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3.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4.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5.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drawings/drawing6.xml" ContentType="application/vnd.openxmlformats-officedocument.drawing+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7.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drawings/drawing8.xml" ContentType="application/vnd.openxmlformats-officedocument.drawing+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9.xml" ContentType="application/vnd.openxmlformats-officedocument.drawing+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comments4.xml" ContentType="application/vnd.openxmlformats-officedocument.spreadsheetml.comments+xml"/>
  <Override PartName="/xl/drawings/drawing13.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6.xml" ContentType="application/vnd.openxmlformats-officedocument.drawing+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17.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8.xml" ContentType="application/vnd.openxmlformats-officedocument.drawing+xml"/>
  <Override PartName="/xl/comments9.xml" ContentType="application/vnd.openxmlformats-officedocument.spreadsheetml.comments+xml"/>
  <Override PartName="/xl/drawings/drawing19.xml" ContentType="application/vnd.openxmlformats-officedocument.drawing+xml"/>
  <Override PartName="/xl/comments10.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UI/images/home.png" ContentType="image/.PNG"/>
  <Override PartName="/customUI/images/rollforming.png" ContentType="image/.PNG"/>
  <Override PartName="/customUI/images/secaoquadrada.png" ContentType="image/.PNG"/>
  <Override PartName="/customUI/images/tubes.png" ContentType="image/.PNG"/>
  <Override PartName="/customUI/images/KFactor.png" ContentType="image/.PNG"/>
  <Override PartName="/customUI/images/width.png" ContentType="image/.PNG"/>
  <Override PartName="/customUI/images/soldagem.png" ContentType="image/.PNG"/>
</Types>
</file>

<file path=_rels/.rels><?xml version="1.0" encoding="UTF-8" standalone="yes"?>
<Relationships xmlns="http://schemas.openxmlformats.org/package/2006/relationships"><Relationship Id="R092c9a4d31024ad1" Type="http://schemas.microsoft.com/office/2007/relationships/ui/extensibility" Target="customUI/customUI14.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EstaPasta_de_trabalho"/>
  <mc:AlternateContent xmlns:mc="http://schemas.openxmlformats.org/markup-compatibility/2006">
    <mc:Choice Requires="x15">
      <x15ac:absPath xmlns:x15ac="http://schemas.microsoft.com/office/spreadsheetml/2010/11/ac" url="I:\Viabilidades\Clientes - Segmento\JOHN DEERE - Agricola\PJT 2444\"/>
    </mc:Choice>
  </mc:AlternateContent>
  <bookViews>
    <workbookView xWindow="164325" yWindow="210" windowWidth="11340" windowHeight="11460" tabRatio="784" activeTab="7"/>
  </bookViews>
  <sheets>
    <sheet name="C.S. PJT 2444.12" sheetId="51" r:id="rId1"/>
    <sheet name="C.S. PJT 2444.11" sheetId="50" r:id="rId2"/>
    <sheet name="C.S. PJT 2444.10" sheetId="49" r:id="rId3"/>
    <sheet name="C.S. PJT 2444.9" sheetId="48" r:id="rId4"/>
    <sheet name="C.S. PJT 2444.8" sheetId="47" r:id="rId5"/>
    <sheet name="C.S. PJT 2444.7" sheetId="46" r:id="rId6"/>
    <sheet name="C.S. PJT 2444.6" sheetId="45" r:id="rId7"/>
    <sheet name="C.S. PJT 2444.5" sheetId="44" r:id="rId8"/>
    <sheet name="PJT XXXX" sheetId="39" r:id="rId9"/>
    <sheet name="(F01 a F06)+AO" sheetId="1" state="hidden" r:id="rId10"/>
    <sheet name="(F07)+AO" sheetId="22" state="hidden" r:id="rId11"/>
    <sheet name="(PF01 e PF02)+AO" sheetId="11" state="hidden" r:id="rId12"/>
    <sheet name="C.S. PJT XXXX" sheetId="43" r:id="rId13"/>
    <sheet name="Conjuntos Soldados" sheetId="36" state="hidden" r:id="rId14"/>
    <sheet name="HOME" sheetId="4" r:id="rId15"/>
    <sheet name="Listas de Dados" sheetId="41" r:id="rId16"/>
    <sheet name="Investimentos" sheetId="19" r:id="rId17"/>
    <sheet name="Pre Punching-PF03" sheetId="26" r:id="rId18"/>
    <sheet name="Pre Punching-PF01" sheetId="35" r:id="rId19"/>
    <sheet name="Dados Slliter" sheetId="42" r:id="rId20"/>
    <sheet name="Embalagem" sheetId="15" r:id="rId21"/>
    <sheet name="Hora-Máquina" sheetId="14" r:id="rId22"/>
    <sheet name="Largura de Tira - Tubo" sheetId="28" r:id="rId23"/>
    <sheet name="Perfil Padrão" sheetId="24" r:id="rId24"/>
    <sheet name="Bobina x tira" sheetId="25" r:id="rId25"/>
    <sheet name="Simuladores" sheetId="27" r:id="rId26"/>
    <sheet name="mm x inches" sheetId="31" state="hidden" r:id="rId27"/>
    <sheet name="Peso de Tira" sheetId="32" r:id="rId28"/>
    <sheet name="Carbono Equivalente" sheetId="34" r:id="rId29"/>
    <sheet name="FORÇA DE DOBRA" sheetId="37" r:id="rId30"/>
  </sheets>
  <externalReferences>
    <externalReference r:id="rId31"/>
    <externalReference r:id="rId32"/>
    <externalReference r:id="rId33"/>
  </externalReferences>
  <definedNames>
    <definedName name="_xlnm.Print_Area" localSheetId="2">'C.S. PJT 2444.10'!$B$2:$Q$81</definedName>
    <definedName name="_xlnm.Print_Area" localSheetId="1">'C.S. PJT 2444.11'!$B$2:$Q$81</definedName>
    <definedName name="_xlnm.Print_Area" localSheetId="0">'C.S. PJT 2444.12'!$B$2:$Q$81</definedName>
    <definedName name="_xlnm.Print_Area" localSheetId="7">'C.S. PJT 2444.5'!$B$2:$Q$81</definedName>
    <definedName name="_xlnm.Print_Area" localSheetId="6">'C.S. PJT 2444.6'!$B$2:$Q$81</definedName>
    <definedName name="_xlnm.Print_Area" localSheetId="5">'C.S. PJT 2444.7'!$B$2:$Q$81</definedName>
    <definedName name="_xlnm.Print_Area" localSheetId="4">'C.S. PJT 2444.8'!$B$2:$Q$81</definedName>
    <definedName name="_xlnm.Print_Area" localSheetId="3">'C.S. PJT 2444.9'!$B$2:$Q$81</definedName>
    <definedName name="_xlnm.Print_Area" localSheetId="12">'C.S. PJT XXXX'!$B$2:$Q$81</definedName>
    <definedName name="_xlnm.Print_Area" localSheetId="28">'Carbono Equivalente'!$B$2:$AV$33</definedName>
    <definedName name="_xlnm.Print_Area" localSheetId="26">'mm x inches'!$B$2:$L$42</definedName>
    <definedName name="_xlnm.Print_Area" localSheetId="27">'Peso de Tira'!$B$2:$Y$25</definedName>
    <definedName name="_xlnm.Print_Area" localSheetId="8">'PJT XXXX'!$B$2:$Q$159</definedName>
    <definedName name="Esp">[1]!Tabela2[Esp]</definedName>
    <definedName name="Maq">[1]!Tabela2[Maq]</definedName>
    <definedName name="MeA">[1]!Tabela2[MeA]</definedName>
    <definedName name="MeB">[1]!Tabela2[MeB]</definedName>
    <definedName name="MeC">[1]!Tabela2[MeC]</definedName>
    <definedName name="Perfis">'Listas de Dados'!$AF$4:$AF$11</definedName>
    <definedName name="solver_eng" localSheetId="8" hidden="1">1</definedName>
    <definedName name="solver_neg" localSheetId="8" hidden="1">1</definedName>
    <definedName name="solver_num" localSheetId="8" hidden="1">0</definedName>
    <definedName name="solver_opt" localSheetId="8" hidden="1">'PJT XXXX'!$V$53</definedName>
    <definedName name="solver_typ" localSheetId="8" hidden="1">1</definedName>
    <definedName name="solver_val" localSheetId="8" hidden="1">0</definedName>
    <definedName name="solver_ver" localSheetId="8" hidden="1">3</definedName>
    <definedName name="TubosConf.Convencional">'Listas de Dados'!$AD$4:$AD$11</definedName>
    <definedName name="TubosDirectForming">'Listas de Dados'!$AE$4:$AE$11</definedName>
  </definedNames>
  <calcPr calcId="162913"/>
</workbook>
</file>

<file path=xl/calcChain.xml><?xml version="1.0" encoding="utf-8"?>
<calcChain xmlns="http://schemas.openxmlformats.org/spreadsheetml/2006/main">
  <c r="V71" i="51" l="1"/>
  <c r="U69" i="51"/>
  <c r="U67" i="51"/>
  <c r="U65" i="51"/>
  <c r="U64" i="51"/>
  <c r="U63" i="51"/>
  <c r="K69" i="51"/>
  <c r="K66" i="51"/>
  <c r="K72" i="51" s="1"/>
  <c r="K63" i="51"/>
  <c r="M63" i="51" s="1"/>
  <c r="I49" i="51"/>
  <c r="I48" i="51"/>
  <c r="I47" i="51"/>
  <c r="I46" i="51"/>
  <c r="I45" i="51"/>
  <c r="I44" i="51"/>
  <c r="I43" i="51"/>
  <c r="I42" i="51"/>
  <c r="I41" i="51"/>
  <c r="I40" i="51"/>
  <c r="I39" i="51"/>
  <c r="I38" i="51"/>
  <c r="I37" i="51"/>
  <c r="I36" i="51"/>
  <c r="I35" i="51"/>
  <c r="I34" i="51"/>
  <c r="I33" i="51"/>
  <c r="I32" i="51"/>
  <c r="I31" i="51"/>
  <c r="I30" i="51"/>
  <c r="I29" i="51"/>
  <c r="I28" i="51"/>
  <c r="I27" i="51"/>
  <c r="I26" i="51"/>
  <c r="I25" i="51"/>
  <c r="P21" i="51"/>
  <c r="I20" i="51"/>
  <c r="K18" i="51" a="1"/>
  <c r="K18" i="51" s="1"/>
  <c r="E8" i="51"/>
  <c r="K69" i="50"/>
  <c r="K66" i="50"/>
  <c r="K72" i="50" s="1"/>
  <c r="K63" i="50"/>
  <c r="M63" i="50" s="1"/>
  <c r="I49" i="50"/>
  <c r="I48" i="50"/>
  <c r="I47" i="50"/>
  <c r="I46" i="50"/>
  <c r="I45" i="50"/>
  <c r="I44" i="50"/>
  <c r="I43" i="50"/>
  <c r="I42" i="50"/>
  <c r="I41" i="50"/>
  <c r="I40" i="50"/>
  <c r="I39" i="50"/>
  <c r="I38" i="50"/>
  <c r="I37" i="50"/>
  <c r="I36" i="50"/>
  <c r="I35" i="50"/>
  <c r="I34" i="50"/>
  <c r="I33" i="50"/>
  <c r="I32" i="50"/>
  <c r="I31" i="50"/>
  <c r="I30" i="50"/>
  <c r="I29" i="50"/>
  <c r="I28" i="50"/>
  <c r="I27" i="50"/>
  <c r="I26" i="50"/>
  <c r="I25" i="50"/>
  <c r="P21" i="50"/>
  <c r="I20" i="50"/>
  <c r="K18" i="50" a="1"/>
  <c r="K18" i="50" s="1"/>
  <c r="E8" i="50"/>
  <c r="K69" i="49"/>
  <c r="K66" i="49"/>
  <c r="K72" i="49" s="1"/>
  <c r="M63" i="49"/>
  <c r="O63" i="49" s="1"/>
  <c r="K63" i="49"/>
  <c r="I49" i="49"/>
  <c r="I48" i="49"/>
  <c r="I47" i="49"/>
  <c r="I46" i="49"/>
  <c r="I45" i="49"/>
  <c r="I44" i="49"/>
  <c r="I43" i="49"/>
  <c r="I42" i="49"/>
  <c r="I41" i="49"/>
  <c r="I40" i="49"/>
  <c r="I39" i="49"/>
  <c r="I38" i="49"/>
  <c r="I37" i="49"/>
  <c r="I36" i="49"/>
  <c r="I35" i="49"/>
  <c r="I34" i="49"/>
  <c r="I33" i="49"/>
  <c r="I32" i="49"/>
  <c r="I31" i="49"/>
  <c r="I30" i="49"/>
  <c r="I29" i="49"/>
  <c r="I28" i="49"/>
  <c r="I27" i="49"/>
  <c r="I26" i="49"/>
  <c r="I25" i="49"/>
  <c r="P21" i="49"/>
  <c r="I20" i="49"/>
  <c r="K18" i="49" a="1"/>
  <c r="K18" i="49" s="1"/>
  <c r="O18" i="49" s="1"/>
  <c r="E8" i="49"/>
  <c r="O44" i="51" l="1"/>
  <c r="M44" i="51" s="1"/>
  <c r="O36" i="51"/>
  <c r="M36" i="51" s="1"/>
  <c r="O28" i="51"/>
  <c r="M28" i="51" s="1"/>
  <c r="H20" i="51"/>
  <c r="O27" i="51"/>
  <c r="M27" i="51" s="1"/>
  <c r="O48" i="51"/>
  <c r="M48" i="51" s="1"/>
  <c r="O40" i="51"/>
  <c r="M40" i="51" s="1"/>
  <c r="O32" i="51"/>
  <c r="M32" i="51" s="1"/>
  <c r="O47" i="51"/>
  <c r="M47" i="51" s="1"/>
  <c r="O31" i="51"/>
  <c r="M31" i="51" s="1"/>
  <c r="O49" i="51"/>
  <c r="M49" i="51" s="1"/>
  <c r="O41" i="51"/>
  <c r="M41" i="51" s="1"/>
  <c r="O33" i="51"/>
  <c r="M33" i="51" s="1"/>
  <c r="O25" i="51"/>
  <c r="M25" i="51" s="1"/>
  <c r="O18" i="51"/>
  <c r="M69" i="51"/>
  <c r="O69" i="51" s="1"/>
  <c r="O43" i="51"/>
  <c r="M43" i="51" s="1"/>
  <c r="O39" i="51"/>
  <c r="M39" i="51" s="1"/>
  <c r="O46" i="51"/>
  <c r="M46" i="51" s="1"/>
  <c r="O38" i="51"/>
  <c r="M38" i="51" s="1"/>
  <c r="O30" i="51"/>
  <c r="M30" i="51" s="1"/>
  <c r="O35" i="51"/>
  <c r="O45" i="51"/>
  <c r="M45" i="51" s="1"/>
  <c r="O37" i="51"/>
  <c r="M37" i="51" s="1"/>
  <c r="O29" i="51"/>
  <c r="M29" i="51" s="1"/>
  <c r="O21" i="51"/>
  <c r="O42" i="51"/>
  <c r="M42" i="51" s="1"/>
  <c r="O34" i="51"/>
  <c r="M34" i="51" s="1"/>
  <c r="O26" i="51"/>
  <c r="M26" i="51" s="1"/>
  <c r="M35" i="51"/>
  <c r="M72" i="51"/>
  <c r="O63" i="51"/>
  <c r="M72" i="50"/>
  <c r="K75" i="50" s="1"/>
  <c r="M75" i="50" s="1"/>
  <c r="O39" i="50"/>
  <c r="M39" i="50" s="1"/>
  <c r="O44" i="50"/>
  <c r="M44" i="50" s="1"/>
  <c r="O36" i="50"/>
  <c r="M36" i="50" s="1"/>
  <c r="O28" i="50"/>
  <c r="M28" i="50" s="1"/>
  <c r="H20" i="50"/>
  <c r="O45" i="50"/>
  <c r="M45" i="50" s="1"/>
  <c r="O21" i="50"/>
  <c r="O34" i="50"/>
  <c r="M34" i="50" s="1"/>
  <c r="O31" i="50"/>
  <c r="M31" i="50" s="1"/>
  <c r="O49" i="50"/>
  <c r="M49" i="50" s="1"/>
  <c r="O41" i="50"/>
  <c r="M41" i="50" s="1"/>
  <c r="O33" i="50"/>
  <c r="M33" i="50" s="1"/>
  <c r="O25" i="50"/>
  <c r="M25" i="50" s="1"/>
  <c r="O18" i="50"/>
  <c r="O48" i="50"/>
  <c r="M48" i="50" s="1"/>
  <c r="O40" i="50"/>
  <c r="M40" i="50" s="1"/>
  <c r="O32" i="50"/>
  <c r="M32" i="50" s="1"/>
  <c r="O46" i="50"/>
  <c r="M46" i="50" s="1"/>
  <c r="O38" i="50"/>
  <c r="M38" i="50" s="1"/>
  <c r="O30" i="50"/>
  <c r="M30" i="50" s="1"/>
  <c r="O26" i="50"/>
  <c r="M26" i="50" s="1"/>
  <c r="O47" i="50"/>
  <c r="M47" i="50" s="1"/>
  <c r="M69" i="50"/>
  <c r="O69" i="50" s="1"/>
  <c r="O43" i="50"/>
  <c r="M43" i="50" s="1"/>
  <c r="O35" i="50"/>
  <c r="M35" i="50" s="1"/>
  <c r="O27" i="50"/>
  <c r="M27" i="50" s="1"/>
  <c r="O37" i="50"/>
  <c r="M37" i="50" s="1"/>
  <c r="O29" i="50"/>
  <c r="M29" i="50" s="1"/>
  <c r="O42" i="50"/>
  <c r="M42" i="50" s="1"/>
  <c r="O63" i="50"/>
  <c r="O21" i="49"/>
  <c r="O45" i="49"/>
  <c r="M45" i="49" s="1"/>
  <c r="O37" i="49"/>
  <c r="M37" i="49" s="1"/>
  <c r="O29" i="49"/>
  <c r="M29" i="49" s="1"/>
  <c r="O42" i="49"/>
  <c r="M42" i="49" s="1"/>
  <c r="O34" i="49"/>
  <c r="M34" i="49" s="1"/>
  <c r="O26" i="49"/>
  <c r="M26" i="49" s="1"/>
  <c r="O47" i="49"/>
  <c r="M47" i="49" s="1"/>
  <c r="O39" i="49"/>
  <c r="M39" i="49" s="1"/>
  <c r="O31" i="49"/>
  <c r="M31" i="49" s="1"/>
  <c r="O44" i="49"/>
  <c r="M44" i="49" s="1"/>
  <c r="O36" i="49"/>
  <c r="M36" i="49" s="1"/>
  <c r="O28" i="49"/>
  <c r="M28" i="49" s="1"/>
  <c r="H20" i="49"/>
  <c r="O49" i="49"/>
  <c r="M49" i="49" s="1"/>
  <c r="O41" i="49"/>
  <c r="M41" i="49" s="1"/>
  <c r="O33" i="49"/>
  <c r="M33" i="49" s="1"/>
  <c r="O25" i="49"/>
  <c r="M25" i="49" s="1"/>
  <c r="O46" i="49"/>
  <c r="M46" i="49" s="1"/>
  <c r="O38" i="49"/>
  <c r="M38" i="49" s="1"/>
  <c r="O30" i="49"/>
  <c r="M69" i="49"/>
  <c r="O69" i="49" s="1"/>
  <c r="O43" i="49"/>
  <c r="M43" i="49" s="1"/>
  <c r="O35" i="49"/>
  <c r="M35" i="49" s="1"/>
  <c r="O27" i="49"/>
  <c r="M27" i="49" s="1"/>
  <c r="O48" i="49"/>
  <c r="M48" i="49" s="1"/>
  <c r="O40" i="49"/>
  <c r="M40" i="49" s="1"/>
  <c r="O32" i="49"/>
  <c r="M32" i="49" s="1"/>
  <c r="M30" i="49"/>
  <c r="M72" i="49"/>
  <c r="K69" i="48"/>
  <c r="K66" i="48"/>
  <c r="K72" i="48" s="1"/>
  <c r="K63" i="48"/>
  <c r="M63" i="48" s="1"/>
  <c r="M72" i="48" s="1"/>
  <c r="I49" i="48"/>
  <c r="I48" i="48"/>
  <c r="I47" i="48"/>
  <c r="I46" i="48"/>
  <c r="I45" i="48"/>
  <c r="I44" i="48"/>
  <c r="I43" i="48"/>
  <c r="I42" i="48"/>
  <c r="I41" i="48"/>
  <c r="I40" i="48"/>
  <c r="I39" i="48"/>
  <c r="I38" i="48"/>
  <c r="I37" i="48"/>
  <c r="I36" i="48"/>
  <c r="I35" i="48"/>
  <c r="I34" i="48"/>
  <c r="I33" i="48"/>
  <c r="I32" i="48"/>
  <c r="I31" i="48"/>
  <c r="I30" i="48"/>
  <c r="I29" i="48"/>
  <c r="I28" i="48"/>
  <c r="I27" i="48"/>
  <c r="I26" i="48"/>
  <c r="I25" i="48"/>
  <c r="P21" i="48"/>
  <c r="I20" i="48"/>
  <c r="K18" i="48" a="1"/>
  <c r="K18" i="48" s="1"/>
  <c r="E8" i="48"/>
  <c r="K69" i="47"/>
  <c r="K66" i="47"/>
  <c r="K72" i="47" s="1"/>
  <c r="K63" i="47"/>
  <c r="M63" i="47" s="1"/>
  <c r="O63" i="47" s="1"/>
  <c r="I49" i="47"/>
  <c r="I48" i="47"/>
  <c r="I47" i="47"/>
  <c r="I46" i="47"/>
  <c r="I45" i="47"/>
  <c r="I44" i="47"/>
  <c r="I43" i="47"/>
  <c r="I42" i="47"/>
  <c r="I41" i="47"/>
  <c r="I40" i="47"/>
  <c r="I39" i="47"/>
  <c r="I38" i="47"/>
  <c r="I37" i="47"/>
  <c r="I36" i="47"/>
  <c r="I35" i="47"/>
  <c r="I34" i="47"/>
  <c r="I33" i="47"/>
  <c r="I32" i="47"/>
  <c r="I31" i="47"/>
  <c r="I30" i="47"/>
  <c r="I29" i="47"/>
  <c r="I28" i="47"/>
  <c r="I27" i="47"/>
  <c r="I26" i="47"/>
  <c r="I25" i="47"/>
  <c r="P21" i="47"/>
  <c r="I20" i="47"/>
  <c r="K18" i="47" a="1"/>
  <c r="K18" i="47" s="1"/>
  <c r="E8" i="47"/>
  <c r="K21" i="51" l="1"/>
  <c r="K75" i="51"/>
  <c r="M75" i="51" s="1"/>
  <c r="O75" i="51"/>
  <c r="O75" i="50"/>
  <c r="K21" i="50"/>
  <c r="O75" i="49"/>
  <c r="K75" i="49"/>
  <c r="M75" i="49" s="1"/>
  <c r="K21" i="49"/>
  <c r="O21" i="48"/>
  <c r="M45" i="48"/>
  <c r="O75" i="48"/>
  <c r="K75" i="48"/>
  <c r="M75" i="48" s="1"/>
  <c r="O44" i="48"/>
  <c r="M44" i="48" s="1"/>
  <c r="O36" i="48"/>
  <c r="M36" i="48" s="1"/>
  <c r="O28" i="48"/>
  <c r="M28" i="48" s="1"/>
  <c r="H20" i="48"/>
  <c r="O49" i="48"/>
  <c r="M49" i="48" s="1"/>
  <c r="O41" i="48"/>
  <c r="M41" i="48" s="1"/>
  <c r="O33" i="48"/>
  <c r="M33" i="48" s="1"/>
  <c r="O25" i="48"/>
  <c r="M25" i="48" s="1"/>
  <c r="O18" i="48"/>
  <c r="O45" i="48"/>
  <c r="O37" i="48"/>
  <c r="M37" i="48" s="1"/>
  <c r="O29" i="48"/>
  <c r="M29" i="48" s="1"/>
  <c r="O42" i="48"/>
  <c r="M42" i="48" s="1"/>
  <c r="O34" i="48"/>
  <c r="M34" i="48" s="1"/>
  <c r="O26" i="48"/>
  <c r="M26" i="48" s="1"/>
  <c r="O47" i="48"/>
  <c r="M47" i="48" s="1"/>
  <c r="O39" i="48"/>
  <c r="M39" i="48" s="1"/>
  <c r="O46" i="48"/>
  <c r="M46" i="48" s="1"/>
  <c r="O38" i="48"/>
  <c r="M38" i="48" s="1"/>
  <c r="O30" i="48"/>
  <c r="M30" i="48" s="1"/>
  <c r="O48" i="48"/>
  <c r="O40" i="48"/>
  <c r="M40" i="48" s="1"/>
  <c r="O32" i="48"/>
  <c r="M32" i="48" s="1"/>
  <c r="O31" i="48"/>
  <c r="M31" i="48" s="1"/>
  <c r="M69" i="48"/>
  <c r="O69" i="48" s="1"/>
  <c r="O43" i="48"/>
  <c r="M43" i="48" s="1"/>
  <c r="O35" i="48"/>
  <c r="M35" i="48" s="1"/>
  <c r="O27" i="48"/>
  <c r="M27" i="48" s="1"/>
  <c r="M48" i="48"/>
  <c r="O63" i="48"/>
  <c r="O45" i="47"/>
  <c r="M45" i="47" s="1"/>
  <c r="O37" i="47"/>
  <c r="M37" i="47" s="1"/>
  <c r="O29" i="47"/>
  <c r="M29" i="47" s="1"/>
  <c r="O21" i="47"/>
  <c r="O42" i="47"/>
  <c r="M42" i="47" s="1"/>
  <c r="O34" i="47"/>
  <c r="M34" i="47" s="1"/>
  <c r="O26" i="47"/>
  <c r="M26" i="47" s="1"/>
  <c r="O31" i="47"/>
  <c r="M31" i="47" s="1"/>
  <c r="O44" i="47"/>
  <c r="M44" i="47" s="1"/>
  <c r="O36" i="47"/>
  <c r="M36" i="47" s="1"/>
  <c r="O28" i="47"/>
  <c r="M28" i="47" s="1"/>
  <c r="H20" i="47"/>
  <c r="O49" i="47"/>
  <c r="M49" i="47" s="1"/>
  <c r="O41" i="47"/>
  <c r="M41" i="47" s="1"/>
  <c r="O33" i="47"/>
  <c r="M33" i="47" s="1"/>
  <c r="O25" i="47"/>
  <c r="M25" i="47" s="1"/>
  <c r="O18" i="47"/>
  <c r="O46" i="47"/>
  <c r="M46" i="47" s="1"/>
  <c r="O38" i="47"/>
  <c r="M38" i="47" s="1"/>
  <c r="O30" i="47"/>
  <c r="M30" i="47" s="1"/>
  <c r="O43" i="47"/>
  <c r="M43" i="47" s="1"/>
  <c r="O35" i="47"/>
  <c r="M35" i="47" s="1"/>
  <c r="M69" i="47"/>
  <c r="O69" i="47" s="1"/>
  <c r="O27" i="47"/>
  <c r="M27" i="47" s="1"/>
  <c r="O47" i="47"/>
  <c r="M47" i="47" s="1"/>
  <c r="O39" i="47"/>
  <c r="M39" i="47" s="1"/>
  <c r="O48" i="47"/>
  <c r="M48" i="47" s="1"/>
  <c r="O40" i="47"/>
  <c r="M40" i="47" s="1"/>
  <c r="O32" i="47"/>
  <c r="M32" i="47" s="1"/>
  <c r="M72" i="47"/>
  <c r="K63" i="45"/>
  <c r="M63" i="45"/>
  <c r="O63" i="45"/>
  <c r="K72" i="46"/>
  <c r="K69" i="46"/>
  <c r="K66" i="46"/>
  <c r="K63" i="46"/>
  <c r="M63" i="46" s="1"/>
  <c r="I49" i="46"/>
  <c r="I48" i="46"/>
  <c r="I47" i="46"/>
  <c r="I46" i="46"/>
  <c r="I45" i="46"/>
  <c r="I44" i="46"/>
  <c r="I43" i="46"/>
  <c r="I42" i="46"/>
  <c r="I41" i="46"/>
  <c r="I40" i="46"/>
  <c r="I39" i="46"/>
  <c r="I38" i="46"/>
  <c r="I37" i="46"/>
  <c r="I36" i="46"/>
  <c r="I35" i="46"/>
  <c r="I34" i="46"/>
  <c r="I33" i="46"/>
  <c r="I32" i="46"/>
  <c r="I31" i="46"/>
  <c r="I30" i="46"/>
  <c r="I29" i="46"/>
  <c r="I28" i="46"/>
  <c r="I27" i="46"/>
  <c r="I26" i="46"/>
  <c r="I25" i="46"/>
  <c r="P21" i="46"/>
  <c r="I20" i="46"/>
  <c r="K18" i="46" a="1"/>
  <c r="K18" i="46" s="1"/>
  <c r="E8" i="46"/>
  <c r="K21" i="48" l="1"/>
  <c r="K21" i="47"/>
  <c r="O75" i="47"/>
  <c r="K75" i="47"/>
  <c r="M75" i="47" s="1"/>
  <c r="O63" i="46"/>
  <c r="M72" i="46"/>
  <c r="O46" i="46"/>
  <c r="M46" i="46" s="1"/>
  <c r="O38" i="46"/>
  <c r="M38" i="46" s="1"/>
  <c r="O30" i="46"/>
  <c r="M30" i="46" s="1"/>
  <c r="M69" i="46"/>
  <c r="O69" i="46" s="1"/>
  <c r="O43" i="46"/>
  <c r="M43" i="46" s="1"/>
  <c r="O35" i="46"/>
  <c r="M35" i="46" s="1"/>
  <c r="O27" i="46"/>
  <c r="M27" i="46" s="1"/>
  <c r="O48" i="46"/>
  <c r="M48" i="46" s="1"/>
  <c r="O40" i="46"/>
  <c r="M40" i="46" s="1"/>
  <c r="O32" i="46"/>
  <c r="M32" i="46" s="1"/>
  <c r="O45" i="46"/>
  <c r="M45" i="46" s="1"/>
  <c r="O37" i="46"/>
  <c r="M37" i="46" s="1"/>
  <c r="O29" i="46"/>
  <c r="M29" i="46" s="1"/>
  <c r="O21" i="46"/>
  <c r="O42" i="46"/>
  <c r="M42" i="46" s="1"/>
  <c r="O34" i="46"/>
  <c r="M34" i="46" s="1"/>
  <c r="O26" i="46"/>
  <c r="M26" i="46" s="1"/>
  <c r="O47" i="46"/>
  <c r="M47" i="46" s="1"/>
  <c r="O39" i="46"/>
  <c r="M39" i="46" s="1"/>
  <c r="O31" i="46"/>
  <c r="M31" i="46" s="1"/>
  <c r="O44" i="46"/>
  <c r="M44" i="46" s="1"/>
  <c r="O36" i="46"/>
  <c r="M36" i="46" s="1"/>
  <c r="O28" i="46"/>
  <c r="M28" i="46" s="1"/>
  <c r="H20" i="46"/>
  <c r="O49" i="46"/>
  <c r="M49" i="46" s="1"/>
  <c r="O41" i="46"/>
  <c r="M41" i="46" s="1"/>
  <c r="O33" i="46"/>
  <c r="M33" i="46" s="1"/>
  <c r="O25" i="46"/>
  <c r="M25" i="46" s="1"/>
  <c r="O18" i="46"/>
  <c r="K69" i="45"/>
  <c r="K66" i="45"/>
  <c r="K72" i="45" s="1"/>
  <c r="I49" i="45"/>
  <c r="I48" i="45"/>
  <c r="I47" i="45"/>
  <c r="I46" i="45"/>
  <c r="I45" i="45"/>
  <c r="I44" i="45"/>
  <c r="I43" i="45"/>
  <c r="I42" i="45"/>
  <c r="I41" i="45"/>
  <c r="I40" i="45"/>
  <c r="I39" i="45"/>
  <c r="I38" i="45"/>
  <c r="I37" i="45"/>
  <c r="I36" i="45"/>
  <c r="I35" i="45"/>
  <c r="I34" i="45"/>
  <c r="I33" i="45"/>
  <c r="I32" i="45"/>
  <c r="I31" i="45"/>
  <c r="I30" i="45"/>
  <c r="I29" i="45"/>
  <c r="I28" i="45"/>
  <c r="I27" i="45"/>
  <c r="I26" i="45"/>
  <c r="I25" i="45"/>
  <c r="P21" i="45"/>
  <c r="I20" i="45"/>
  <c r="K18" i="45"/>
  <c r="O46" i="45" s="1"/>
  <c r="K18" i="45" a="1"/>
  <c r="E8" i="45"/>
  <c r="K69" i="44"/>
  <c r="K72" i="44"/>
  <c r="K63" i="44"/>
  <c r="M63" i="44" s="1"/>
  <c r="I49" i="44"/>
  <c r="I48" i="44"/>
  <c r="I47" i="44"/>
  <c r="I46" i="44"/>
  <c r="I45" i="44"/>
  <c r="I44" i="44"/>
  <c r="I43" i="44"/>
  <c r="I42" i="44"/>
  <c r="I41" i="44"/>
  <c r="I40" i="44"/>
  <c r="I39" i="44"/>
  <c r="I38" i="44"/>
  <c r="I37" i="44"/>
  <c r="I36" i="44"/>
  <c r="I35" i="44"/>
  <c r="I34" i="44"/>
  <c r="I33" i="44"/>
  <c r="I32" i="44"/>
  <c r="I31" i="44"/>
  <c r="I30" i="44"/>
  <c r="I29" i="44"/>
  <c r="I28" i="44"/>
  <c r="I27" i="44"/>
  <c r="I26" i="44"/>
  <c r="I25" i="44"/>
  <c r="P21" i="44"/>
  <c r="I20" i="44"/>
  <c r="K18" i="44"/>
  <c r="O42" i="44" s="1"/>
  <c r="K18" i="44" a="1"/>
  <c r="E8" i="44"/>
  <c r="K21" i="46" l="1"/>
  <c r="O75" i="46"/>
  <c r="K75" i="46"/>
  <c r="M75" i="46" s="1"/>
  <c r="O49" i="45"/>
  <c r="M49" i="45" s="1"/>
  <c r="M72" i="45"/>
  <c r="M46" i="45"/>
  <c r="O30" i="45"/>
  <c r="M30" i="45" s="1"/>
  <c r="O18" i="45"/>
  <c r="O25" i="45"/>
  <c r="M25" i="45" s="1"/>
  <c r="O33" i="45"/>
  <c r="M33" i="45" s="1"/>
  <c r="H20" i="45"/>
  <c r="O28" i="45"/>
  <c r="M28" i="45" s="1"/>
  <c r="O36" i="45"/>
  <c r="M36" i="45" s="1"/>
  <c r="O44" i="45"/>
  <c r="M44" i="45" s="1"/>
  <c r="O31" i="45"/>
  <c r="M31" i="45" s="1"/>
  <c r="O39" i="45"/>
  <c r="M39" i="45" s="1"/>
  <c r="O47" i="45"/>
  <c r="M47" i="45" s="1"/>
  <c r="O26" i="45"/>
  <c r="M26" i="45" s="1"/>
  <c r="O34" i="45"/>
  <c r="M34" i="45" s="1"/>
  <c r="O42" i="45"/>
  <c r="M42" i="45" s="1"/>
  <c r="O21" i="45"/>
  <c r="O29" i="45"/>
  <c r="M29" i="45" s="1"/>
  <c r="O37" i="45"/>
  <c r="M37" i="45" s="1"/>
  <c r="O45" i="45"/>
  <c r="M45" i="45" s="1"/>
  <c r="O32" i="45"/>
  <c r="M32" i="45" s="1"/>
  <c r="O40" i="45"/>
  <c r="M40" i="45" s="1"/>
  <c r="O48" i="45"/>
  <c r="M48" i="45" s="1"/>
  <c r="O27" i="45"/>
  <c r="M27" i="45" s="1"/>
  <c r="O35" i="45"/>
  <c r="M35" i="45" s="1"/>
  <c r="O43" i="45"/>
  <c r="M43" i="45" s="1"/>
  <c r="M69" i="45"/>
  <c r="O69" i="45" s="1"/>
  <c r="O38" i="45"/>
  <c r="M38" i="45" s="1"/>
  <c r="O41" i="45"/>
  <c r="M41" i="45" s="1"/>
  <c r="O37" i="44"/>
  <c r="M37" i="44" s="1"/>
  <c r="O32" i="44"/>
  <c r="M32" i="44" s="1"/>
  <c r="M42" i="44"/>
  <c r="O48" i="44"/>
  <c r="M48" i="44" s="1"/>
  <c r="O29" i="44"/>
  <c r="M29" i="44" s="1"/>
  <c r="O40" i="44"/>
  <c r="M40" i="44" s="1"/>
  <c r="O21" i="44"/>
  <c r="O45" i="44"/>
  <c r="M45" i="44" s="1"/>
  <c r="O63" i="44"/>
  <c r="M72" i="44"/>
  <c r="O27" i="44"/>
  <c r="M27" i="44" s="1"/>
  <c r="O35" i="44"/>
  <c r="M35" i="44" s="1"/>
  <c r="O43" i="44"/>
  <c r="M43" i="44" s="1"/>
  <c r="M69" i="44"/>
  <c r="O69" i="44" s="1"/>
  <c r="O30" i="44"/>
  <c r="M30" i="44" s="1"/>
  <c r="O38" i="44"/>
  <c r="M38" i="44" s="1"/>
  <c r="O46" i="44"/>
  <c r="M46" i="44" s="1"/>
  <c r="O18" i="44"/>
  <c r="O25" i="44"/>
  <c r="M25" i="44" s="1"/>
  <c r="O33" i="44"/>
  <c r="M33" i="44" s="1"/>
  <c r="O41" i="44"/>
  <c r="M41" i="44" s="1"/>
  <c r="O49" i="44"/>
  <c r="M49" i="44" s="1"/>
  <c r="H20" i="44"/>
  <c r="O28" i="44"/>
  <c r="M28" i="44" s="1"/>
  <c r="O36" i="44"/>
  <c r="M36" i="44" s="1"/>
  <c r="O44" i="44"/>
  <c r="M44" i="44" s="1"/>
  <c r="O31" i="44"/>
  <c r="M31" i="44" s="1"/>
  <c r="O39" i="44"/>
  <c r="M39" i="44" s="1"/>
  <c r="O47" i="44"/>
  <c r="M47" i="44" s="1"/>
  <c r="O26" i="44"/>
  <c r="M26" i="44" s="1"/>
  <c r="O34" i="44"/>
  <c r="M34" i="44" s="1"/>
  <c r="D9" i="37"/>
  <c r="AH9" i="34"/>
  <c r="K9" i="34"/>
  <c r="Q22" i="32"/>
  <c r="Q18" i="32"/>
  <c r="N12" i="32"/>
  <c r="C51" i="27"/>
  <c r="C50" i="27"/>
  <c r="C40" i="27"/>
  <c r="C38" i="27"/>
  <c r="C30" i="27"/>
  <c r="C19" i="27"/>
  <c r="C17" i="27"/>
  <c r="C11" i="27"/>
  <c r="G14" i="25"/>
  <c r="F14" i="25"/>
  <c r="D14" i="25"/>
  <c r="G13" i="25"/>
  <c r="F13" i="25"/>
  <c r="D11" i="25"/>
  <c r="A22" i="28"/>
  <c r="A21" i="28"/>
  <c r="A20" i="28"/>
  <c r="A19" i="28"/>
  <c r="A18" i="28"/>
  <c r="I17" i="28"/>
  <c r="A17" i="28"/>
  <c r="I16" i="28"/>
  <c r="A16" i="28"/>
  <c r="I15" i="28"/>
  <c r="A15" i="28"/>
  <c r="I14" i="28"/>
  <c r="A14" i="28"/>
  <c r="I13" i="28"/>
  <c r="A13" i="28"/>
  <c r="I12" i="28"/>
  <c r="A12" i="28"/>
  <c r="I11" i="28"/>
  <c r="A11" i="28"/>
  <c r="I10" i="28"/>
  <c r="A10" i="28"/>
  <c r="I9" i="28"/>
  <c r="A9" i="28"/>
  <c r="I8" i="28"/>
  <c r="A8" i="28"/>
  <c r="I7" i="28"/>
  <c r="A7" i="28"/>
  <c r="A6" i="28"/>
  <c r="P5" i="28"/>
  <c r="M5" i="28"/>
  <c r="I5" i="28"/>
  <c r="N4" i="28"/>
  <c r="I4" i="28"/>
  <c r="P3" i="28"/>
  <c r="P2" i="28"/>
  <c r="F45" i="14"/>
  <c r="F44" i="14"/>
  <c r="F43" i="14"/>
  <c r="F41" i="14"/>
  <c r="F37" i="14"/>
  <c r="C35" i="14"/>
  <c r="C34" i="14"/>
  <c r="F33" i="14"/>
  <c r="F27" i="14"/>
  <c r="F25" i="14"/>
  <c r="C22" i="14"/>
  <c r="F21" i="14"/>
  <c r="D19" i="14"/>
  <c r="C19" i="14"/>
  <c r="F15" i="14"/>
  <c r="F13" i="14"/>
  <c r="J7" i="15"/>
  <c r="F7" i="15"/>
  <c r="C85" i="35"/>
  <c r="C81" i="35"/>
  <c r="C75" i="35"/>
  <c r="C74" i="35"/>
  <c r="C73" i="35"/>
  <c r="C72" i="35"/>
  <c r="C71" i="35"/>
  <c r="C68" i="35"/>
  <c r="C64" i="35"/>
  <c r="C63" i="35"/>
  <c r="C62" i="35"/>
  <c r="C61" i="35"/>
  <c r="C60" i="35"/>
  <c r="C57" i="35"/>
  <c r="E51" i="35"/>
  <c r="E50" i="35"/>
  <c r="E49" i="35"/>
  <c r="J47" i="35"/>
  <c r="I47" i="35"/>
  <c r="H47" i="35"/>
  <c r="G47" i="35"/>
  <c r="F47" i="35"/>
  <c r="E47" i="35"/>
  <c r="J46" i="35"/>
  <c r="I46" i="35"/>
  <c r="H46" i="35"/>
  <c r="G46" i="35"/>
  <c r="F46" i="35"/>
  <c r="E46" i="35"/>
  <c r="J45" i="35"/>
  <c r="I45" i="35"/>
  <c r="H45" i="35"/>
  <c r="G45" i="35"/>
  <c r="F45" i="35"/>
  <c r="E45" i="35"/>
  <c r="J44" i="35"/>
  <c r="I44" i="35"/>
  <c r="H44" i="35"/>
  <c r="G44" i="35"/>
  <c r="F44" i="35"/>
  <c r="E44" i="35"/>
  <c r="J43" i="35"/>
  <c r="I43" i="35"/>
  <c r="H43" i="35"/>
  <c r="G43" i="35"/>
  <c r="F43" i="35"/>
  <c r="E43" i="35"/>
  <c r="J42" i="35"/>
  <c r="I42" i="35"/>
  <c r="H42" i="35"/>
  <c r="G42" i="35"/>
  <c r="F42" i="35"/>
  <c r="E42" i="35"/>
  <c r="J41" i="35"/>
  <c r="I41" i="35"/>
  <c r="H41" i="35"/>
  <c r="G41" i="35"/>
  <c r="F41" i="35"/>
  <c r="E41" i="35"/>
  <c r="J40" i="35"/>
  <c r="I40" i="35"/>
  <c r="H40" i="35"/>
  <c r="G40" i="35"/>
  <c r="F40" i="35"/>
  <c r="E40" i="35"/>
  <c r="J39" i="35"/>
  <c r="I39" i="35"/>
  <c r="H39" i="35"/>
  <c r="G39" i="35"/>
  <c r="F39" i="35"/>
  <c r="E39" i="35"/>
  <c r="J38" i="35"/>
  <c r="I38" i="35"/>
  <c r="H38" i="35"/>
  <c r="G38" i="35"/>
  <c r="F38" i="35"/>
  <c r="E38" i="35"/>
  <c r="J37" i="35"/>
  <c r="I37" i="35"/>
  <c r="H37" i="35"/>
  <c r="G37" i="35"/>
  <c r="F37" i="35"/>
  <c r="E37" i="35"/>
  <c r="J36" i="35"/>
  <c r="I36" i="35"/>
  <c r="H36" i="35"/>
  <c r="G36" i="35"/>
  <c r="F36" i="35"/>
  <c r="E36" i="35"/>
  <c r="J35" i="35"/>
  <c r="I35" i="35"/>
  <c r="H35" i="35"/>
  <c r="G35" i="35"/>
  <c r="F35" i="35"/>
  <c r="E35" i="35"/>
  <c r="J34" i="35"/>
  <c r="I34" i="35"/>
  <c r="H34" i="35"/>
  <c r="G34" i="35"/>
  <c r="F34" i="35"/>
  <c r="E34" i="35"/>
  <c r="J33" i="35"/>
  <c r="I33" i="35"/>
  <c r="H33" i="35"/>
  <c r="G33" i="35"/>
  <c r="F33" i="35"/>
  <c r="E33" i="35"/>
  <c r="CF32" i="35"/>
  <c r="BS32" i="35"/>
  <c r="BR32" i="35"/>
  <c r="BP32" i="35"/>
  <c r="BO32" i="35"/>
  <c r="BM32" i="35"/>
  <c r="BL32" i="35"/>
  <c r="BJ32" i="35"/>
  <c r="BI32" i="35"/>
  <c r="BG32" i="35"/>
  <c r="BF32" i="35"/>
  <c r="BD32" i="35"/>
  <c r="BC32" i="35"/>
  <c r="BA32" i="35"/>
  <c r="AZ32" i="35"/>
  <c r="AX32" i="35"/>
  <c r="AW32" i="35"/>
  <c r="AU32" i="35"/>
  <c r="AT32" i="35"/>
  <c r="AR32" i="35"/>
  <c r="AQ32" i="35"/>
  <c r="AO32" i="35"/>
  <c r="AN32" i="35"/>
  <c r="AL32" i="35"/>
  <c r="AK32" i="35"/>
  <c r="AI32" i="35"/>
  <c r="AH32" i="35"/>
  <c r="AF32" i="35"/>
  <c r="AE32" i="35"/>
  <c r="AC32" i="35"/>
  <c r="AB32" i="35"/>
  <c r="Z32" i="35"/>
  <c r="Y32" i="35"/>
  <c r="W32" i="35"/>
  <c r="V32" i="35"/>
  <c r="T32" i="35"/>
  <c r="S32" i="35"/>
  <c r="Q32" i="35"/>
  <c r="P32" i="35"/>
  <c r="N32" i="35"/>
  <c r="M32" i="35"/>
  <c r="J32" i="35"/>
  <c r="I32" i="35"/>
  <c r="H32" i="35"/>
  <c r="G32" i="35"/>
  <c r="F32" i="35"/>
  <c r="E32" i="35"/>
  <c r="CF31" i="35"/>
  <c r="BT31" i="35"/>
  <c r="BS31" i="35"/>
  <c r="BR31" i="35"/>
  <c r="BQ31" i="35"/>
  <c r="BP31" i="35"/>
  <c r="BO31" i="35"/>
  <c r="BN31" i="35"/>
  <c r="BM31" i="35"/>
  <c r="BL31" i="35"/>
  <c r="BK31" i="35"/>
  <c r="BJ31" i="35"/>
  <c r="BI31" i="35"/>
  <c r="BH31" i="35"/>
  <c r="BG31" i="35"/>
  <c r="BF31" i="35"/>
  <c r="BE31" i="35"/>
  <c r="BD31" i="35"/>
  <c r="BC31" i="35"/>
  <c r="BB31" i="35"/>
  <c r="BA31" i="35"/>
  <c r="AZ31" i="35"/>
  <c r="AY31" i="35"/>
  <c r="AX31" i="35"/>
  <c r="AW31" i="35"/>
  <c r="AV31" i="35"/>
  <c r="AU31" i="35"/>
  <c r="AT31" i="35"/>
  <c r="AS31" i="35"/>
  <c r="AR31" i="35"/>
  <c r="AQ31" i="35"/>
  <c r="AP31" i="35"/>
  <c r="AO31" i="35"/>
  <c r="AN31" i="35"/>
  <c r="AM31" i="35"/>
  <c r="AL31" i="35"/>
  <c r="AK31" i="35"/>
  <c r="AJ31" i="35"/>
  <c r="AI31" i="35"/>
  <c r="AH31" i="35"/>
  <c r="AG31" i="35"/>
  <c r="AF31" i="35"/>
  <c r="AE31" i="35"/>
  <c r="AD31" i="35"/>
  <c r="AC31" i="35"/>
  <c r="AB31" i="35"/>
  <c r="AA31" i="35"/>
  <c r="Z31" i="35"/>
  <c r="Y31" i="35"/>
  <c r="X31" i="35"/>
  <c r="W31" i="35"/>
  <c r="V31" i="35"/>
  <c r="U31" i="35"/>
  <c r="T31" i="35"/>
  <c r="S31" i="35"/>
  <c r="R31" i="35"/>
  <c r="Q31" i="35"/>
  <c r="P31" i="35"/>
  <c r="O31" i="35"/>
  <c r="N31" i="35"/>
  <c r="M31" i="35"/>
  <c r="J31" i="35"/>
  <c r="I31" i="35"/>
  <c r="H31" i="35"/>
  <c r="G31" i="35"/>
  <c r="F31" i="35"/>
  <c r="E31" i="35"/>
  <c r="BT30" i="35"/>
  <c r="BS30" i="35"/>
  <c r="BR30" i="35"/>
  <c r="BQ30" i="35"/>
  <c r="BP30" i="35"/>
  <c r="BO30" i="35"/>
  <c r="BN30" i="35"/>
  <c r="BM30" i="35"/>
  <c r="BL30" i="35"/>
  <c r="BK30" i="35"/>
  <c r="BJ30" i="35"/>
  <c r="BI30" i="35"/>
  <c r="BH30" i="35"/>
  <c r="BG30" i="35"/>
  <c r="BF30" i="35"/>
  <c r="BE30" i="35"/>
  <c r="BD30" i="35"/>
  <c r="BC30" i="35"/>
  <c r="BB30" i="35"/>
  <c r="BA30" i="35"/>
  <c r="AZ30" i="35"/>
  <c r="AY30" i="35"/>
  <c r="AX30" i="35"/>
  <c r="AW30" i="35"/>
  <c r="AV30" i="35"/>
  <c r="AU30" i="35"/>
  <c r="AT30" i="35"/>
  <c r="AS30" i="35"/>
  <c r="AR30" i="35"/>
  <c r="AQ30" i="35"/>
  <c r="AP30" i="35"/>
  <c r="AO30" i="35"/>
  <c r="AN30" i="35"/>
  <c r="AM30" i="35"/>
  <c r="AL30" i="35"/>
  <c r="AK30" i="35"/>
  <c r="AJ30" i="35"/>
  <c r="AI30" i="35"/>
  <c r="AH30" i="35"/>
  <c r="AG30" i="35"/>
  <c r="AF30" i="35"/>
  <c r="AE30" i="35"/>
  <c r="AD30" i="35"/>
  <c r="AC30" i="35"/>
  <c r="AB30" i="35"/>
  <c r="AA30" i="35"/>
  <c r="Z30" i="35"/>
  <c r="Y30" i="35"/>
  <c r="X30" i="35"/>
  <c r="W30" i="35"/>
  <c r="V30" i="35"/>
  <c r="U30" i="35"/>
  <c r="T30" i="35"/>
  <c r="S30" i="35"/>
  <c r="R30" i="35"/>
  <c r="Q30" i="35"/>
  <c r="P30" i="35"/>
  <c r="O30" i="35"/>
  <c r="N30" i="35"/>
  <c r="M30" i="35"/>
  <c r="J30" i="35"/>
  <c r="I30" i="35"/>
  <c r="H30" i="35"/>
  <c r="G30" i="35"/>
  <c r="F30" i="35"/>
  <c r="E30" i="35"/>
  <c r="J29" i="35"/>
  <c r="I29" i="35"/>
  <c r="H29" i="35"/>
  <c r="G29" i="35"/>
  <c r="F29" i="35"/>
  <c r="E29" i="35"/>
  <c r="J28" i="35"/>
  <c r="I28" i="35"/>
  <c r="H28" i="35"/>
  <c r="G28" i="35"/>
  <c r="F28" i="35"/>
  <c r="E28" i="35"/>
  <c r="F15" i="35"/>
  <c r="M14" i="35"/>
  <c r="L14" i="35"/>
  <c r="F14" i="35"/>
  <c r="N13" i="35"/>
  <c r="M13" i="35"/>
  <c r="L13" i="35"/>
  <c r="N12" i="35"/>
  <c r="M12" i="35"/>
  <c r="L12" i="35"/>
  <c r="C12" i="35"/>
  <c r="J11" i="35"/>
  <c r="I11" i="35"/>
  <c r="H11" i="35"/>
  <c r="G11" i="35"/>
  <c r="C11" i="35"/>
  <c r="C5" i="35"/>
  <c r="D86" i="26"/>
  <c r="D79" i="26"/>
  <c r="D77" i="26"/>
  <c r="H74" i="26"/>
  <c r="F74" i="26"/>
  <c r="D64" i="26"/>
  <c r="D62" i="26"/>
  <c r="D61" i="26"/>
  <c r="D59" i="26"/>
  <c r="D58" i="26"/>
  <c r="D57" i="26"/>
  <c r="G54" i="26"/>
  <c r="F54" i="26"/>
  <c r="H53" i="26"/>
  <c r="G53" i="26"/>
  <c r="F53" i="26"/>
  <c r="H52" i="26"/>
  <c r="G52" i="26"/>
  <c r="F52" i="26"/>
  <c r="D49" i="26"/>
  <c r="D48" i="26"/>
  <c r="D47" i="26"/>
  <c r="D45" i="26"/>
  <c r="D43" i="26"/>
  <c r="D42" i="26"/>
  <c r="D41" i="26"/>
  <c r="D40" i="26"/>
  <c r="G39" i="26"/>
  <c r="G38" i="26"/>
  <c r="G37" i="26"/>
  <c r="F37" i="26"/>
  <c r="E37" i="26"/>
  <c r="G33" i="26"/>
  <c r="D32" i="26"/>
  <c r="D31" i="26"/>
  <c r="G29" i="26"/>
  <c r="F29" i="26"/>
  <c r="E29" i="26"/>
  <c r="D29" i="26"/>
  <c r="G28" i="26"/>
  <c r="F28" i="26"/>
  <c r="E28" i="26"/>
  <c r="D28" i="26"/>
  <c r="D27" i="26"/>
  <c r="F19" i="26"/>
  <c r="D13" i="26"/>
  <c r="R12" i="19"/>
  <c r="N12" i="19"/>
  <c r="J12" i="19"/>
  <c r="F12" i="19"/>
  <c r="W11" i="19"/>
  <c r="R11" i="19"/>
  <c r="N11" i="19"/>
  <c r="J11" i="19"/>
  <c r="F11" i="19"/>
  <c r="W6" i="19"/>
  <c r="R6" i="19"/>
  <c r="Q6" i="19"/>
  <c r="P6" i="19"/>
  <c r="O6" i="19"/>
  <c r="I6" i="19"/>
  <c r="AP10" i="41"/>
  <c r="AP9" i="41"/>
  <c r="AP8" i="41"/>
  <c r="AP7" i="41"/>
  <c r="AP6" i="41"/>
  <c r="AP5" i="41"/>
  <c r="AP4" i="41"/>
  <c r="N11" i="36"/>
  <c r="F11" i="36"/>
  <c r="N10" i="36"/>
  <c r="M10" i="36"/>
  <c r="K10" i="36"/>
  <c r="I10" i="36"/>
  <c r="F10" i="36"/>
  <c r="N9" i="36"/>
  <c r="M9" i="36"/>
  <c r="K9" i="36"/>
  <c r="I9" i="36"/>
  <c r="F9" i="36"/>
  <c r="N8" i="36"/>
  <c r="M8" i="36"/>
  <c r="K8" i="36"/>
  <c r="I8" i="36"/>
  <c r="F8" i="36"/>
  <c r="BE7" i="36"/>
  <c r="N7" i="36"/>
  <c r="M7" i="36"/>
  <c r="K7" i="36"/>
  <c r="I7" i="36"/>
  <c r="F7" i="36"/>
  <c r="BJ6" i="36"/>
  <c r="BE6" i="36"/>
  <c r="AT6" i="36"/>
  <c r="AS6" i="36"/>
  <c r="AR6" i="36"/>
  <c r="AQ6" i="36"/>
  <c r="AN6" i="36"/>
  <c r="AM6" i="36"/>
  <c r="AJ6" i="36"/>
  <c r="AI6" i="36"/>
  <c r="AH6" i="36"/>
  <c r="AG6" i="36"/>
  <c r="AF6" i="36"/>
  <c r="AD6" i="36"/>
  <c r="AC6" i="36"/>
  <c r="AB6" i="36"/>
  <c r="V6" i="36"/>
  <c r="Q6" i="36"/>
  <c r="P6" i="36"/>
  <c r="O6" i="36"/>
  <c r="D6" i="36"/>
  <c r="O75" i="43"/>
  <c r="M75" i="43"/>
  <c r="K75" i="43"/>
  <c r="M72" i="43"/>
  <c r="K72" i="43"/>
  <c r="O69" i="43"/>
  <c r="M69" i="43"/>
  <c r="K69" i="43"/>
  <c r="K66" i="43"/>
  <c r="O63" i="43"/>
  <c r="M63" i="43"/>
  <c r="K63" i="43"/>
  <c r="O49" i="43"/>
  <c r="M49" i="43"/>
  <c r="I49" i="43"/>
  <c r="O48" i="43"/>
  <c r="M48" i="43"/>
  <c r="I48" i="43"/>
  <c r="O47" i="43"/>
  <c r="M47" i="43"/>
  <c r="I47" i="43"/>
  <c r="O46" i="43"/>
  <c r="M46" i="43"/>
  <c r="I46" i="43"/>
  <c r="O45" i="43"/>
  <c r="M45" i="43"/>
  <c r="I45" i="43"/>
  <c r="O44" i="43"/>
  <c r="M44" i="43"/>
  <c r="I44" i="43"/>
  <c r="O43" i="43"/>
  <c r="M43" i="43"/>
  <c r="I43" i="43"/>
  <c r="O42" i="43"/>
  <c r="M42" i="43"/>
  <c r="I42" i="43"/>
  <c r="O41" i="43"/>
  <c r="M41" i="43"/>
  <c r="I41" i="43"/>
  <c r="O40" i="43"/>
  <c r="M40" i="43"/>
  <c r="I40" i="43"/>
  <c r="O39" i="43"/>
  <c r="M39" i="43"/>
  <c r="I39" i="43"/>
  <c r="O38" i="43"/>
  <c r="M38" i="43"/>
  <c r="I38" i="43"/>
  <c r="O37" i="43"/>
  <c r="M37" i="43"/>
  <c r="I37" i="43"/>
  <c r="O36" i="43"/>
  <c r="M36" i="43"/>
  <c r="I36" i="43"/>
  <c r="O35" i="43"/>
  <c r="M35" i="43"/>
  <c r="I35" i="43"/>
  <c r="O34" i="43"/>
  <c r="M34" i="43"/>
  <c r="I34" i="43"/>
  <c r="O33" i="43"/>
  <c r="M33" i="43"/>
  <c r="I33" i="43"/>
  <c r="O32" i="43"/>
  <c r="M32" i="43"/>
  <c r="I32" i="43"/>
  <c r="O31" i="43"/>
  <c r="M31" i="43"/>
  <c r="I31" i="43"/>
  <c r="O30" i="43"/>
  <c r="M30" i="43"/>
  <c r="I30" i="43"/>
  <c r="O29" i="43"/>
  <c r="M29" i="43"/>
  <c r="I29" i="43"/>
  <c r="O28" i="43"/>
  <c r="M28" i="43"/>
  <c r="I28" i="43"/>
  <c r="O27" i="43"/>
  <c r="M27" i="43"/>
  <c r="I27" i="43"/>
  <c r="O26" i="43"/>
  <c r="M26" i="43"/>
  <c r="I26" i="43"/>
  <c r="O25" i="43"/>
  <c r="M25" i="43"/>
  <c r="I25" i="43"/>
  <c r="P21" i="43"/>
  <c r="O21" i="43"/>
  <c r="K21" i="43"/>
  <c r="I20" i="43"/>
  <c r="H20" i="43"/>
  <c r="O18" i="43"/>
  <c r="K18" i="43"/>
  <c r="K18" i="43" a="1"/>
  <c r="E8" i="43"/>
  <c r="BV12" i="11"/>
  <c r="BU12" i="11"/>
  <c r="BT12" i="11"/>
  <c r="BS12" i="11"/>
  <c r="BP12" i="11"/>
  <c r="BO12" i="11"/>
  <c r="BL12" i="11"/>
  <c r="BK12" i="11"/>
  <c r="BJ12" i="11"/>
  <c r="BI12" i="11"/>
  <c r="BH12" i="11"/>
  <c r="BG12" i="11"/>
  <c r="BF12" i="11"/>
  <c r="BE12" i="11"/>
  <c r="BC12" i="11"/>
  <c r="AZ12" i="11"/>
  <c r="AY12" i="11"/>
  <c r="AX12" i="11"/>
  <c r="AS12" i="11"/>
  <c r="CF11" i="11"/>
  <c r="BV11" i="11"/>
  <c r="BU11" i="11"/>
  <c r="BT11" i="11"/>
  <c r="BS11" i="11"/>
  <c r="BP11" i="11"/>
  <c r="BO11" i="11"/>
  <c r="BL11" i="11"/>
  <c r="BK11" i="11"/>
  <c r="BJ11" i="11"/>
  <c r="BI11" i="11"/>
  <c r="BH11" i="11"/>
  <c r="BG11" i="11"/>
  <c r="BF11" i="11"/>
  <c r="BE11" i="11"/>
  <c r="BC11" i="11"/>
  <c r="AZ11" i="11"/>
  <c r="AY11" i="11"/>
  <c r="AX11" i="11"/>
  <c r="AS11" i="11"/>
  <c r="CF10" i="11"/>
  <c r="BV10" i="11"/>
  <c r="BU10" i="11"/>
  <c r="BT10" i="11"/>
  <c r="BS10" i="11"/>
  <c r="BP10" i="11"/>
  <c r="BO10" i="11"/>
  <c r="BL10" i="11"/>
  <c r="BK10" i="11"/>
  <c r="BJ10" i="11"/>
  <c r="BI10" i="11"/>
  <c r="BH10" i="11"/>
  <c r="BG10" i="11"/>
  <c r="BF10" i="11"/>
  <c r="BE10" i="11"/>
  <c r="BC10" i="11"/>
  <c r="AZ10" i="11"/>
  <c r="AY10" i="11"/>
  <c r="AX10" i="11"/>
  <c r="AS10" i="11"/>
  <c r="CF9" i="11"/>
  <c r="BV9" i="11"/>
  <c r="BU9" i="11"/>
  <c r="BT9" i="11"/>
  <c r="BS9" i="11"/>
  <c r="BP9" i="11"/>
  <c r="BO9" i="11"/>
  <c r="BL9" i="11"/>
  <c r="BK9" i="11"/>
  <c r="BJ9" i="11"/>
  <c r="BI9" i="11"/>
  <c r="BH9" i="11"/>
  <c r="BG9" i="11"/>
  <c r="BF9" i="11"/>
  <c r="BE9" i="11"/>
  <c r="BC9" i="11"/>
  <c r="AZ9" i="11"/>
  <c r="AY9" i="11"/>
  <c r="AX9" i="11"/>
  <c r="AS9" i="11"/>
  <c r="CF8" i="11"/>
  <c r="BV8" i="11"/>
  <c r="BU8" i="11"/>
  <c r="BT8" i="11"/>
  <c r="BS8" i="11"/>
  <c r="BP8" i="11"/>
  <c r="BO8" i="11"/>
  <c r="BL8" i="11"/>
  <c r="BK8" i="11"/>
  <c r="BJ8" i="11"/>
  <c r="BI8" i="11"/>
  <c r="BH8" i="11"/>
  <c r="BF8" i="11"/>
  <c r="BE8" i="11"/>
  <c r="BD8" i="11"/>
  <c r="BC8" i="11"/>
  <c r="AZ8" i="11"/>
  <c r="AY8" i="11"/>
  <c r="AX8" i="11"/>
  <c r="AS8" i="11"/>
  <c r="CK7" i="11"/>
  <c r="CF7" i="11"/>
  <c r="BV7" i="11"/>
  <c r="BU7" i="11"/>
  <c r="BT7" i="11"/>
  <c r="BS7" i="11"/>
  <c r="BP7" i="11"/>
  <c r="BO7" i="11"/>
  <c r="BL7" i="11"/>
  <c r="BK7" i="11"/>
  <c r="BJ7" i="11"/>
  <c r="BI7" i="11"/>
  <c r="BH7" i="11"/>
  <c r="BF7" i="11"/>
  <c r="BE7" i="11"/>
  <c r="BD7" i="11"/>
  <c r="BC7" i="11"/>
  <c r="AZ7" i="11"/>
  <c r="AY7" i="11"/>
  <c r="AX7" i="11"/>
  <c r="AS7" i="11"/>
  <c r="AO7" i="11"/>
  <c r="AN7" i="11"/>
  <c r="AM7" i="11"/>
  <c r="AL7" i="11"/>
  <c r="AI7" i="11"/>
  <c r="AH7" i="11"/>
  <c r="AG7" i="11"/>
  <c r="AF7" i="11"/>
  <c r="AE7" i="11"/>
  <c r="AD7" i="11"/>
  <c r="AC7" i="11"/>
  <c r="AB7" i="11"/>
  <c r="AA7" i="11"/>
  <c r="Y7" i="11"/>
  <c r="V7" i="11"/>
  <c r="U7" i="11"/>
  <c r="O7" i="11"/>
  <c r="N7" i="11"/>
  <c r="L7" i="11"/>
  <c r="K7" i="11"/>
  <c r="J7" i="11"/>
  <c r="H7" i="11"/>
  <c r="G7" i="11"/>
  <c r="BU10" i="22"/>
  <c r="BT10" i="22"/>
  <c r="BS10" i="22"/>
  <c r="BR10" i="22"/>
  <c r="BO10" i="22"/>
  <c r="BN10" i="22"/>
  <c r="BK10" i="22"/>
  <c r="BJ10" i="22"/>
  <c r="BI10" i="22"/>
  <c r="BH10" i="22"/>
  <c r="BG10" i="22"/>
  <c r="BF10" i="22"/>
  <c r="BE10" i="22"/>
  <c r="BD10" i="22"/>
  <c r="BB10" i="22"/>
  <c r="AY10" i="22"/>
  <c r="AX10" i="22"/>
  <c r="AW10" i="22"/>
  <c r="AS10" i="22"/>
  <c r="AR10" i="22"/>
  <c r="BU9" i="22"/>
  <c r="BT9" i="22"/>
  <c r="BS9" i="22"/>
  <c r="BR9" i="22"/>
  <c r="BO9" i="22"/>
  <c r="BN9" i="22"/>
  <c r="BK9" i="22"/>
  <c r="BJ9" i="22"/>
  <c r="BI9" i="22"/>
  <c r="BH9" i="22"/>
  <c r="BG9" i="22"/>
  <c r="BF9" i="22"/>
  <c r="BE9" i="22"/>
  <c r="BD9" i="22"/>
  <c r="BB9" i="22"/>
  <c r="AY9" i="22"/>
  <c r="AX9" i="22"/>
  <c r="AW9" i="22"/>
  <c r="AS9" i="22"/>
  <c r="AR9" i="22"/>
  <c r="BU8" i="22"/>
  <c r="BT8" i="22"/>
  <c r="BS8" i="22"/>
  <c r="BR8" i="22"/>
  <c r="BO8" i="22"/>
  <c r="BN8" i="22"/>
  <c r="BK8" i="22"/>
  <c r="BJ8" i="22"/>
  <c r="BI8" i="22"/>
  <c r="BH8" i="22"/>
  <c r="BG8" i="22"/>
  <c r="BF8" i="22"/>
  <c r="BE8" i="22"/>
  <c r="BD8" i="22"/>
  <c r="BB8" i="22"/>
  <c r="AY8" i="22"/>
  <c r="AX8" i="22"/>
  <c r="AW8" i="22"/>
  <c r="AS8" i="22"/>
  <c r="AR8" i="22"/>
  <c r="BU7" i="22"/>
  <c r="BT7" i="22"/>
  <c r="BS7" i="22"/>
  <c r="BR7" i="22"/>
  <c r="BO7" i="22"/>
  <c r="BN7" i="22"/>
  <c r="BK7" i="22"/>
  <c r="BJ7" i="22"/>
  <c r="BI7" i="22"/>
  <c r="BH7" i="22"/>
  <c r="BG7" i="22"/>
  <c r="BF7" i="22"/>
  <c r="BE7" i="22"/>
  <c r="BD7" i="22"/>
  <c r="BB7" i="22"/>
  <c r="AY7" i="22"/>
  <c r="AX7" i="22"/>
  <c r="AW7" i="22"/>
  <c r="AS7" i="22"/>
  <c r="AR7" i="22"/>
  <c r="W7" i="22"/>
  <c r="U7" i="22"/>
  <c r="CK6" i="22"/>
  <c r="BU6" i="22"/>
  <c r="BT6" i="22"/>
  <c r="BS6" i="22"/>
  <c r="BR6" i="22"/>
  <c r="BO6" i="22"/>
  <c r="BN6" i="22"/>
  <c r="BK6" i="22"/>
  <c r="BJ6" i="22"/>
  <c r="BI6" i="22"/>
  <c r="BH6" i="22"/>
  <c r="BG6" i="22"/>
  <c r="BE6" i="22"/>
  <c r="BD6" i="22"/>
  <c r="BC6" i="22"/>
  <c r="BB6" i="22"/>
  <c r="AY6" i="22"/>
  <c r="AX6" i="22"/>
  <c r="AW6" i="22"/>
  <c r="AR6" i="22"/>
  <c r="CK5" i="22"/>
  <c r="CF5" i="22"/>
  <c r="BU5" i="22"/>
  <c r="BT5" i="22"/>
  <c r="BS5" i="22"/>
  <c r="BR5" i="22"/>
  <c r="BO5" i="22"/>
  <c r="BN5" i="22"/>
  <c r="BK5" i="22"/>
  <c r="BJ5" i="22"/>
  <c r="BI5" i="22"/>
  <c r="BH5" i="22"/>
  <c r="BG5" i="22"/>
  <c r="BE5" i="22"/>
  <c r="BD5" i="22"/>
  <c r="BC5" i="22"/>
  <c r="BB5" i="22"/>
  <c r="AY5" i="22"/>
  <c r="AX5" i="22"/>
  <c r="AW5" i="22"/>
  <c r="AR5" i="22"/>
  <c r="AN5" i="22"/>
  <c r="AM5" i="22"/>
  <c r="AL5" i="22"/>
  <c r="AK5" i="22"/>
  <c r="AH5" i="22"/>
  <c r="AG5" i="22"/>
  <c r="AF5" i="22"/>
  <c r="AE5" i="22"/>
  <c r="AD5" i="22"/>
  <c r="AC5" i="22"/>
  <c r="AB5" i="22"/>
  <c r="AA5" i="22"/>
  <c r="Z5" i="22"/>
  <c r="X5" i="22"/>
  <c r="U5" i="22"/>
  <c r="T5" i="22"/>
  <c r="N5" i="22"/>
  <c r="M5" i="22"/>
  <c r="K5" i="22"/>
  <c r="J5" i="22"/>
  <c r="I5" i="22"/>
  <c r="F5" i="22"/>
  <c r="BP9" i="1"/>
  <c r="BO9" i="1"/>
  <c r="BN9" i="1"/>
  <c r="BM9" i="1"/>
  <c r="BJ9" i="1"/>
  <c r="BI9" i="1"/>
  <c r="BF9" i="1"/>
  <c r="BE9" i="1"/>
  <c r="BD9" i="1"/>
  <c r="BC9" i="1"/>
  <c r="BB9" i="1"/>
  <c r="BA9" i="1"/>
  <c r="AZ9" i="1"/>
  <c r="AY9" i="1"/>
  <c r="AW9" i="1"/>
  <c r="AT9" i="1"/>
  <c r="AS9" i="1"/>
  <c r="AR9" i="1"/>
  <c r="AN9" i="1"/>
  <c r="AM9" i="1"/>
  <c r="BP8" i="1"/>
  <c r="BO8" i="1"/>
  <c r="BN8" i="1"/>
  <c r="BM8" i="1"/>
  <c r="BJ8" i="1"/>
  <c r="BI8" i="1"/>
  <c r="BF8" i="1"/>
  <c r="BE8" i="1"/>
  <c r="BD8" i="1"/>
  <c r="BC8" i="1"/>
  <c r="BA8" i="1"/>
  <c r="AZ8" i="1"/>
  <c r="AY8" i="1"/>
  <c r="AW8" i="1"/>
  <c r="AT8" i="1"/>
  <c r="AS8" i="1"/>
  <c r="AR8" i="1"/>
  <c r="AN8" i="1"/>
  <c r="AM8" i="1"/>
  <c r="BP7" i="1"/>
  <c r="BO7" i="1"/>
  <c r="BN7" i="1"/>
  <c r="BM7" i="1"/>
  <c r="BJ7" i="1"/>
  <c r="BI7" i="1"/>
  <c r="BF7" i="1"/>
  <c r="BE7" i="1"/>
  <c r="BD7" i="1"/>
  <c r="BC7" i="1"/>
  <c r="BB7" i="1"/>
  <c r="BA7" i="1"/>
  <c r="AZ7" i="1"/>
  <c r="AY7" i="1"/>
  <c r="AW7" i="1"/>
  <c r="AT7" i="1"/>
  <c r="AS7" i="1"/>
  <c r="AR7" i="1"/>
  <c r="AN7" i="1"/>
  <c r="AM7" i="1"/>
  <c r="BP6" i="1"/>
  <c r="BO6" i="1"/>
  <c r="BN6" i="1"/>
  <c r="BM6" i="1"/>
  <c r="BJ6" i="1"/>
  <c r="BI6" i="1"/>
  <c r="BF6" i="1"/>
  <c r="BE6" i="1"/>
  <c r="BD6" i="1"/>
  <c r="BC6" i="1"/>
  <c r="BB6" i="1"/>
  <c r="BA6" i="1"/>
  <c r="AZ6" i="1"/>
  <c r="AY6" i="1"/>
  <c r="AW6" i="1"/>
  <c r="AT6" i="1"/>
  <c r="AS6" i="1"/>
  <c r="AR6" i="1"/>
  <c r="AN6" i="1"/>
  <c r="AM6" i="1"/>
  <c r="CC5" i="1"/>
  <c r="BP5" i="1"/>
  <c r="BO5" i="1"/>
  <c r="BN5" i="1"/>
  <c r="BM5" i="1"/>
  <c r="BJ5" i="1"/>
  <c r="BI5" i="1"/>
  <c r="BF5" i="1"/>
  <c r="BE5" i="1"/>
  <c r="BD5" i="1"/>
  <c r="BC5" i="1"/>
  <c r="BB5" i="1"/>
  <c r="AZ5" i="1"/>
  <c r="AY5" i="1"/>
  <c r="AX5" i="1"/>
  <c r="AW5" i="1"/>
  <c r="AT5" i="1"/>
  <c r="AS5" i="1"/>
  <c r="AR5" i="1"/>
  <c r="AM5" i="1"/>
  <c r="CC4" i="1"/>
  <c r="BX4" i="1"/>
  <c r="BP4" i="1"/>
  <c r="BO4" i="1"/>
  <c r="BN4" i="1"/>
  <c r="BM4" i="1"/>
  <c r="BJ4" i="1"/>
  <c r="BI4" i="1"/>
  <c r="BF4" i="1"/>
  <c r="BE4" i="1"/>
  <c r="BD4" i="1"/>
  <c r="BC4" i="1"/>
  <c r="BB4" i="1"/>
  <c r="AZ4" i="1"/>
  <c r="AY4" i="1"/>
  <c r="AX4" i="1"/>
  <c r="AW4" i="1"/>
  <c r="AT4" i="1"/>
  <c r="AS4" i="1"/>
  <c r="AR4" i="1"/>
  <c r="AM4" i="1"/>
  <c r="AI4" i="1"/>
  <c r="AH4" i="1"/>
  <c r="AG4" i="1"/>
  <c r="AF4" i="1"/>
  <c r="AC4" i="1"/>
  <c r="AB4" i="1"/>
  <c r="AA4" i="1"/>
  <c r="Z4" i="1"/>
  <c r="X4" i="1"/>
  <c r="V4" i="1"/>
  <c r="S4" i="1"/>
  <c r="N4" i="1"/>
  <c r="M4" i="1"/>
  <c r="L4" i="1"/>
  <c r="I4" i="1"/>
  <c r="H4" i="1"/>
  <c r="G4" i="1"/>
  <c r="E4" i="1"/>
  <c r="O147" i="39"/>
  <c r="I147" i="39"/>
  <c r="K147" i="39" s="1"/>
  <c r="F147" i="39"/>
  <c r="F146" i="39"/>
  <c r="D146" i="39"/>
  <c r="O144" i="39"/>
  <c r="M144" i="39"/>
  <c r="I144" i="39"/>
  <c r="F143" i="39"/>
  <c r="D143" i="39"/>
  <c r="O141" i="39"/>
  <c r="M141" i="39"/>
  <c r="K141" i="39"/>
  <c r="I141" i="39"/>
  <c r="F137" i="39"/>
  <c r="D137" i="39"/>
  <c r="O131" i="39"/>
  <c r="M131" i="39"/>
  <c r="K131" i="39"/>
  <c r="I131" i="39"/>
  <c r="F131" i="39"/>
  <c r="F130" i="39"/>
  <c r="D130" i="39"/>
  <c r="O128" i="39"/>
  <c r="M128" i="39"/>
  <c r="K128" i="39"/>
  <c r="I128" i="39"/>
  <c r="F127" i="39"/>
  <c r="D127" i="39"/>
  <c r="O125" i="39"/>
  <c r="M125" i="39"/>
  <c r="K125" i="39"/>
  <c r="I125" i="39"/>
  <c r="F121" i="39"/>
  <c r="D121" i="39"/>
  <c r="I115" i="39"/>
  <c r="K115" i="39" s="1"/>
  <c r="M115" i="39" s="1"/>
  <c r="F115" i="39"/>
  <c r="F114" i="39"/>
  <c r="D114" i="39"/>
  <c r="O112" i="39"/>
  <c r="O115" i="39" s="1"/>
  <c r="M112" i="39"/>
  <c r="I112" i="39"/>
  <c r="F111" i="39"/>
  <c r="D111" i="39"/>
  <c r="O109" i="39"/>
  <c r="M109" i="39"/>
  <c r="K109" i="39"/>
  <c r="I109" i="39"/>
  <c r="F105" i="39"/>
  <c r="D105" i="39"/>
  <c r="I99" i="39"/>
  <c r="K99" i="39" s="1"/>
  <c r="M99" i="39" s="1"/>
  <c r="O96" i="39"/>
  <c r="O99" i="39" s="1"/>
  <c r="K96" i="39" s="1"/>
  <c r="M96" i="39"/>
  <c r="I96" i="39"/>
  <c r="F95" i="39"/>
  <c r="D95" i="39"/>
  <c r="O93" i="39"/>
  <c r="M93" i="39"/>
  <c r="K93" i="39"/>
  <c r="I93" i="39"/>
  <c r="F89" i="39"/>
  <c r="O62" i="39"/>
  <c r="M62" i="39"/>
  <c r="K62" i="39"/>
  <c r="O59" i="39"/>
  <c r="M59" i="39"/>
  <c r="K59" i="39"/>
  <c r="K53" i="39"/>
  <c r="O53" i="39" s="1"/>
  <c r="O47" i="39"/>
  <c r="O44" i="39" s="1"/>
  <c r="M47" i="39"/>
  <c r="K47" i="39"/>
  <c r="M44" i="39"/>
  <c r="O41" i="39"/>
  <c r="M41" i="39"/>
  <c r="K41" i="39"/>
  <c r="Z36" i="39"/>
  <c r="Y36" i="39"/>
  <c r="Z35" i="39"/>
  <c r="Y35" i="39"/>
  <c r="N35" i="39"/>
  <c r="Z34" i="39"/>
  <c r="Y34" i="39"/>
  <c r="Z33" i="39"/>
  <c r="Y33" i="39"/>
  <c r="N32" i="39"/>
  <c r="E24" i="39"/>
  <c r="O19" i="39"/>
  <c r="O18" i="39"/>
  <c r="J18" i="39"/>
  <c r="H18" i="39"/>
  <c r="E8" i="39"/>
  <c r="O71" i="39" s="1"/>
  <c r="O2" i="39"/>
  <c r="K21" i="45" l="1"/>
  <c r="O75" i="45"/>
  <c r="K75" i="45"/>
  <c r="M75" i="45" s="1"/>
  <c r="K21" i="44"/>
  <c r="K75" i="44"/>
  <c r="O75" i="44"/>
  <c r="M56" i="39"/>
  <c r="O56" i="39" s="1"/>
  <c r="K56" i="39"/>
  <c r="K112" i="39"/>
  <c r="M147" i="39"/>
  <c r="K144" i="39"/>
  <c r="K44" i="39"/>
  <c r="K7" i="15"/>
  <c r="L7" i="15" s="1"/>
  <c r="K50" i="39"/>
  <c r="O50" i="39"/>
  <c r="M53" i="39"/>
  <c r="O76" i="39"/>
  <c r="O77" i="39"/>
  <c r="O73" i="39"/>
  <c r="O72" i="39"/>
  <c r="O74" i="39"/>
  <c r="O75" i="39"/>
  <c r="M75" i="44" l="1"/>
  <c r="U70" i="51"/>
  <c r="U71" i="51" s="1"/>
  <c r="O80" i="39"/>
</calcChain>
</file>

<file path=xl/comments1.xml><?xml version="1.0" encoding="utf-8"?>
<comments xmlns="http://schemas.openxmlformats.org/spreadsheetml/2006/main">
  <authors>
    <author>Boff Arthur</author>
    <author>Garcia Cristian</author>
  </authors>
  <commentList>
    <comment ref="E23" authorId="0" shapeId="0">
      <text>
        <r>
          <rPr>
            <b/>
            <sz val="9"/>
            <color indexed="81"/>
            <rFont val="Segoe UI"/>
            <family val="2"/>
          </rPr>
          <t>Boff Arthur:</t>
        </r>
        <r>
          <rPr>
            <sz val="9"/>
            <color indexed="81"/>
            <rFont val="Segoe UI"/>
            <family val="2"/>
          </rPr>
          <t xml:space="preserve">
Largura da tira calculada com base na linha neutra da bitola de origem</t>
        </r>
      </text>
    </comment>
    <comment ref="E27" authorId="1" shapeId="0">
      <text>
        <r>
          <rPr>
            <b/>
            <sz val="9"/>
            <color indexed="81"/>
            <rFont val="Tahoma"/>
            <family val="2"/>
          </rPr>
          <t>F02
F03
F05</t>
        </r>
        <r>
          <rPr>
            <sz val="9"/>
            <color indexed="81"/>
            <rFont val="Tahoma"/>
            <family val="2"/>
          </rPr>
          <t xml:space="preserve">
(Ver IT 3.1.1)</t>
        </r>
      </text>
    </comment>
    <comment ref="G27" authorId="1" shapeId="0">
      <text>
        <r>
          <rPr>
            <b/>
            <sz val="9"/>
            <color indexed="81"/>
            <rFont val="Tahoma"/>
            <family val="2"/>
          </rPr>
          <t xml:space="preserve">F02
F03
F04
F05
F07
</t>
        </r>
        <r>
          <rPr>
            <sz val="9"/>
            <color indexed="81"/>
            <rFont val="Tahoma"/>
            <family val="2"/>
          </rPr>
          <t>(Ver IT 3.1.1)</t>
        </r>
      </text>
    </comment>
    <comment ref="I27" authorId="1" shapeId="0">
      <text>
        <r>
          <rPr>
            <b/>
            <sz val="9"/>
            <color indexed="81"/>
            <rFont val="Tahoma"/>
            <family val="2"/>
          </rPr>
          <t>F01
F02
F03
F04
F06</t>
        </r>
        <r>
          <rPr>
            <sz val="9"/>
            <color indexed="81"/>
            <rFont val="Tahoma"/>
            <family val="2"/>
          </rPr>
          <t xml:space="preserve">
(Ver IT 3.1.1)</t>
        </r>
      </text>
    </comment>
    <comment ref="N31" authorId="0" shapeId="0">
      <text/>
    </comment>
    <comment ref="Y31" authorId="0" shapeId="0">
      <text>
        <r>
          <rPr>
            <b/>
            <sz val="9"/>
            <color indexed="81"/>
            <rFont val="Segoe UI"/>
            <family val="2"/>
          </rPr>
          <t>Boff Arthur:</t>
        </r>
        <r>
          <rPr>
            <sz val="9"/>
            <color indexed="81"/>
            <rFont val="Segoe UI"/>
            <family val="2"/>
          </rPr>
          <t xml:space="preserve">
Perimetro por geometria</t>
        </r>
      </text>
    </comment>
    <comment ref="Z31" authorId="0" shapeId="0">
      <text>
        <r>
          <rPr>
            <b/>
            <sz val="9"/>
            <color indexed="81"/>
            <rFont val="Segoe UI"/>
            <family val="2"/>
          </rPr>
          <t>Boff Arthur:</t>
        </r>
        <r>
          <rPr>
            <sz val="9"/>
            <color indexed="81"/>
            <rFont val="Segoe UI"/>
            <family val="2"/>
          </rPr>
          <t xml:space="preserve">
Área por geometria</t>
        </r>
      </text>
    </comment>
    <comment ref="T33" authorId="1" shapeId="0">
      <text/>
    </comment>
    <comment ref="U33" authorId="1" shapeId="0">
      <text/>
    </comment>
    <comment ref="L34" authorId="0" shapeId="0">
      <text>
        <r>
          <rPr>
            <b/>
            <sz val="9"/>
            <color indexed="81"/>
            <rFont val="Segoe UI"/>
            <family val="2"/>
          </rPr>
          <t>Boff Arthur:</t>
        </r>
        <r>
          <rPr>
            <sz val="9"/>
            <color indexed="81"/>
            <rFont val="Segoe UI"/>
            <family val="2"/>
          </rPr>
          <t xml:space="preserve">
Classificação do tamanho da matriz de Pré Punching:
PF01 - 375 Kg é Leve
PF01 - 750 Kg é Média
PF01 - 1,5 Ton é Pesada
Demais são classificados como Indiferente.
</t>
        </r>
      </text>
    </comment>
    <comment ref="N34" authorId="0" shapeId="0">
      <text/>
    </comment>
    <comment ref="T34" authorId="0" shapeId="0">
      <text/>
    </comment>
    <comment ref="U35" authorId="0" shapeId="0">
      <text/>
    </comment>
    <comment ref="V35" authorId="0" shapeId="0">
      <text/>
    </comment>
    <comment ref="U36" authorId="0" shapeId="0">
      <text/>
    </comment>
    <comment ref="O43" authorId="0" shapeId="0">
      <text>
        <r>
          <rPr>
            <b/>
            <sz val="9"/>
            <color indexed="81"/>
            <rFont val="Segoe UI"/>
            <family val="2"/>
          </rPr>
          <t>Boff Arthur:</t>
        </r>
        <r>
          <rPr>
            <sz val="9"/>
            <color indexed="81"/>
            <rFont val="Segoe UI"/>
            <family val="2"/>
          </rPr>
          <t xml:space="preserve">
Peso final da peça, descontando quaisquer perdas inerentes.</t>
        </r>
      </text>
    </comment>
    <comment ref="K58" authorId="0" shapeId="0">
      <text>
        <r>
          <rPr>
            <b/>
            <sz val="9"/>
            <color indexed="81"/>
            <rFont val="Segoe UI"/>
            <family val="2"/>
          </rPr>
          <t>Boff Arthur:</t>
        </r>
        <r>
          <rPr>
            <sz val="9"/>
            <color indexed="81"/>
            <rFont val="Segoe UI"/>
            <family val="2"/>
          </rPr>
          <t xml:space="preserve">
Força de perfuração pre punching.
Máximo: 80 Ton (PF1, PF2 e PF3)</t>
        </r>
      </text>
    </comment>
    <comment ref="M58" authorId="0" shapeId="0">
      <text>
        <r>
          <rPr>
            <b/>
            <sz val="9"/>
            <color indexed="81"/>
            <rFont val="Segoe UI"/>
            <family val="2"/>
          </rPr>
          <t>Boff Arthur:</t>
        </r>
        <r>
          <rPr>
            <sz val="9"/>
            <color indexed="81"/>
            <rFont val="Segoe UI"/>
            <family val="2"/>
          </rPr>
          <t xml:space="preserve">
Força de corte por cisalhamento.
Máximo 64 Ton.</t>
        </r>
      </text>
    </comment>
    <comment ref="O58" authorId="0" shapeId="0">
      <text>
        <r>
          <rPr>
            <b/>
            <sz val="9"/>
            <color indexed="81"/>
            <rFont val="Segoe UI"/>
            <family val="2"/>
          </rPr>
          <t>Boff Arthur:</t>
        </r>
        <r>
          <rPr>
            <sz val="9"/>
            <color indexed="81"/>
            <rFont val="Segoe UI"/>
            <family val="2"/>
          </rPr>
          <t xml:space="preserve">
Máximo 500 kN.
Só desenvolvido para PF01</t>
        </r>
      </text>
    </comment>
    <comment ref="M86" authorId="0" shapeId="0">
      <text>
        <r>
          <rPr>
            <b/>
            <sz val="9"/>
            <color indexed="81"/>
            <rFont val="Segoe UI"/>
            <family val="2"/>
          </rPr>
          <t>Boff Arthur:</t>
        </r>
        <r>
          <rPr>
            <sz val="9"/>
            <color indexed="81"/>
            <rFont val="Segoe UI"/>
            <family val="2"/>
          </rPr>
          <t xml:space="preserve">
Perdas ao longo da produção</t>
        </r>
      </text>
    </comment>
    <comment ref="I92"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94"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94" authorId="0" shapeId="0">
      <text>
        <r>
          <rPr>
            <b/>
            <sz val="9"/>
            <color indexed="81"/>
            <rFont val="Segoe UI"/>
            <family val="2"/>
          </rPr>
          <t>Boff Arthur:</t>
        </r>
        <r>
          <rPr>
            <sz val="9"/>
            <color indexed="81"/>
            <rFont val="Segoe UI"/>
            <family val="2"/>
          </rPr>
          <t xml:space="preserve">
Peso final da peça, descontando quaisquer perdas inerentes.</t>
        </r>
      </text>
    </comment>
    <comment ref="M102" authorId="0" shapeId="0">
      <text>
        <r>
          <rPr>
            <b/>
            <sz val="9"/>
            <color indexed="81"/>
            <rFont val="Segoe UI"/>
            <family val="2"/>
          </rPr>
          <t>Boff Arthur:</t>
        </r>
        <r>
          <rPr>
            <sz val="9"/>
            <color indexed="81"/>
            <rFont val="Segoe UI"/>
            <family val="2"/>
          </rPr>
          <t xml:space="preserve">
Perdas ao longo da produção</t>
        </r>
      </text>
    </comment>
    <comment ref="I108"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10"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10" authorId="0" shapeId="0">
      <text>
        <r>
          <rPr>
            <b/>
            <sz val="9"/>
            <color indexed="81"/>
            <rFont val="Segoe UI"/>
            <family val="2"/>
          </rPr>
          <t>Boff Arthur:</t>
        </r>
        <r>
          <rPr>
            <sz val="9"/>
            <color indexed="81"/>
            <rFont val="Segoe UI"/>
            <family val="2"/>
          </rPr>
          <t xml:space="preserve">
Peso final da peça, descontando quaisquer perdas inerentes.</t>
        </r>
      </text>
    </comment>
    <comment ref="M118" authorId="0" shapeId="0">
      <text>
        <r>
          <rPr>
            <b/>
            <sz val="9"/>
            <color indexed="81"/>
            <rFont val="Segoe UI"/>
            <family val="2"/>
          </rPr>
          <t>Boff Arthur:</t>
        </r>
        <r>
          <rPr>
            <sz val="9"/>
            <color indexed="81"/>
            <rFont val="Segoe UI"/>
            <family val="2"/>
          </rPr>
          <t xml:space="preserve">
Perdas ao longo da produção</t>
        </r>
      </text>
    </comment>
    <comment ref="I124"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26"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26" authorId="0" shapeId="0">
      <text>
        <r>
          <rPr>
            <b/>
            <sz val="9"/>
            <color indexed="81"/>
            <rFont val="Segoe UI"/>
            <family val="2"/>
          </rPr>
          <t>Boff Arthur:</t>
        </r>
        <r>
          <rPr>
            <sz val="9"/>
            <color indexed="81"/>
            <rFont val="Segoe UI"/>
            <family val="2"/>
          </rPr>
          <t xml:space="preserve">
Peso final da peça, descontando quaisquer perdas inerentes.</t>
        </r>
      </text>
    </comment>
    <comment ref="M134" authorId="0" shapeId="0">
      <text>
        <r>
          <rPr>
            <b/>
            <sz val="9"/>
            <color indexed="81"/>
            <rFont val="Segoe UI"/>
            <family val="2"/>
          </rPr>
          <t>Boff Arthur:</t>
        </r>
        <r>
          <rPr>
            <sz val="9"/>
            <color indexed="81"/>
            <rFont val="Segoe UI"/>
            <family val="2"/>
          </rPr>
          <t xml:space="preserve">
Perdas ao longo da produção</t>
        </r>
      </text>
    </comment>
    <comment ref="I140" authorId="0" shapeId="0">
      <text>
        <r>
          <rPr>
            <b/>
            <sz val="9"/>
            <color indexed="81"/>
            <rFont val="Segoe UI"/>
            <family val="2"/>
          </rPr>
          <t>Boff Arthur:</t>
        </r>
        <r>
          <rPr>
            <sz val="9"/>
            <color indexed="81"/>
            <rFont val="Segoe UI"/>
            <family val="2"/>
          </rPr>
          <t xml:space="preserve">
Perdas Inerentes ao processo (sobremetal necessário para dobra, por exemplo).</t>
        </r>
      </text>
    </comment>
    <comment ref="D142" authorId="0" shapeId="0">
      <text>
        <r>
          <rPr>
            <b/>
            <sz val="9"/>
            <color indexed="81"/>
            <rFont val="Segoe UI"/>
            <family val="2"/>
          </rPr>
          <t>Boff Arthur:</t>
        </r>
        <r>
          <rPr>
            <sz val="9"/>
            <color indexed="81"/>
            <rFont val="Segoe UI"/>
            <family val="2"/>
          </rPr>
          <t xml:space="preserve">
Peso bruto da peça, sem descontar possiveis perdas por cortes em ângulo e/ou perfuração</t>
        </r>
      </text>
    </comment>
    <comment ref="F142" authorId="0" shapeId="0">
      <text>
        <r>
          <rPr>
            <b/>
            <sz val="9"/>
            <color indexed="81"/>
            <rFont val="Segoe UI"/>
            <family val="2"/>
          </rPr>
          <t>Boff Arthur:</t>
        </r>
        <r>
          <rPr>
            <sz val="9"/>
            <color indexed="81"/>
            <rFont val="Segoe UI"/>
            <family val="2"/>
          </rPr>
          <t xml:space="preserve">
Peso final da peça, descontando quaisquer perdas inerentes.</t>
        </r>
      </text>
    </comment>
  </commentList>
</comments>
</file>

<file path=xl/comments2.xml><?xml version="1.0" encoding="utf-8"?>
<comments xmlns="http://schemas.openxmlformats.org/spreadsheetml/2006/main">
  <authors>
    <author>Lemos Fernando</author>
    <author>Pinto Lemos Fernando</author>
    <author>Jocemar Gross</author>
  </authors>
  <commentList>
    <comment ref="S4" authorId="0" shapeId="0">
      <text>
        <r>
          <rPr>
            <b/>
            <sz val="9"/>
            <color indexed="81"/>
            <rFont val="Segoe UI"/>
            <family val="2"/>
          </rPr>
          <t>Lemos Fernando:</t>
        </r>
        <r>
          <rPr>
            <sz val="9"/>
            <color indexed="81"/>
            <rFont val="Segoe UI"/>
            <family val="2"/>
          </rPr>
          <t xml:space="preserve">
</t>
        </r>
        <r>
          <rPr>
            <b/>
            <sz val="12"/>
            <color indexed="81"/>
            <rFont val="Segoe UI"/>
            <family val="2"/>
          </rPr>
          <t>F05</t>
        </r>
        <r>
          <rPr>
            <sz val="9"/>
            <color indexed="81"/>
            <rFont val="Segoe UI"/>
            <family val="2"/>
          </rPr>
          <t>-</t>
        </r>
        <r>
          <rPr>
            <b/>
            <sz val="9"/>
            <color indexed="81"/>
            <rFont val="Segoe UI"/>
            <family val="2"/>
          </rPr>
          <t xml:space="preserve"> </t>
        </r>
        <r>
          <rPr>
            <b/>
            <sz val="10"/>
            <color indexed="81"/>
            <rFont val="Segoe UI"/>
            <family val="2"/>
          </rPr>
          <t>Para Bitola 8.5/8" considerar 8h de Setup.
Para as demais bitolas da F05, será considerado 6h de setup.</t>
        </r>
      </text>
    </comment>
    <comment ref="AA4" authorId="1" shapeId="0">
      <text>
        <r>
          <rPr>
            <b/>
            <sz val="9"/>
            <color indexed="81"/>
            <rFont val="Tahoma"/>
            <family val="2"/>
          </rPr>
          <t xml:space="preserve">Pinto Lemos Fernando:
</t>
        </r>
        <r>
          <rPr>
            <sz val="9"/>
            <color indexed="81"/>
            <rFont val="Tahoma"/>
            <family val="2"/>
          </rPr>
          <t xml:space="preserve">
- </t>
        </r>
        <r>
          <rPr>
            <b/>
            <sz val="9"/>
            <color indexed="81"/>
            <rFont val="Tahoma"/>
            <family val="2"/>
          </rPr>
          <t xml:space="preserve">Para itens padrão: (RED, QUA e RET)
</t>
        </r>
        <r>
          <rPr>
            <sz val="9"/>
            <color indexed="81"/>
            <rFont val="Tahoma"/>
            <family val="2"/>
          </rPr>
          <t xml:space="preserve">
</t>
        </r>
        <r>
          <rPr>
            <b/>
            <sz val="9"/>
            <color indexed="81"/>
            <rFont val="Tahoma"/>
            <family val="2"/>
          </rPr>
          <t>PERDAS TOTAL</t>
        </r>
        <r>
          <rPr>
            <sz val="9"/>
            <color indexed="81"/>
            <rFont val="Tahoma"/>
            <family val="2"/>
          </rPr>
          <t xml:space="preserve">: </t>
        </r>
        <r>
          <rPr>
            <sz val="10"/>
            <color indexed="81"/>
            <rFont val="Tahoma"/>
            <family val="2"/>
          </rPr>
          <t>Considerar APENAS perda de processo, ou seja, NÃO considerar perdas de ajuste</t>
        </r>
        <r>
          <rPr>
            <sz val="9"/>
            <color indexed="81"/>
            <rFont val="Tahoma"/>
            <family val="2"/>
          </rPr>
          <t xml:space="preserve">.
- </t>
        </r>
        <r>
          <rPr>
            <b/>
            <sz val="9"/>
            <color indexed="81"/>
            <rFont val="Tahoma"/>
            <family val="2"/>
          </rPr>
          <t xml:space="preserve">Para Itens Criticos: (Decapados, RIR e Material/Tolerancia especial)
- PERDAS TOTAL: </t>
        </r>
        <r>
          <rPr>
            <sz val="10"/>
            <color indexed="81"/>
            <rFont val="Tahoma"/>
            <family val="2"/>
          </rPr>
          <t xml:space="preserve">Considerar perda de ajuste + perdas de Processo. </t>
        </r>
      </text>
    </comment>
    <comment ref="CK4" authorId="2" shapeId="0">
      <text>
        <r>
          <rPr>
            <b/>
            <sz val="8"/>
            <color indexed="81"/>
            <rFont val="Tahoma"/>
            <family val="2"/>
          </rPr>
          <t>Jocemar Gross:</t>
        </r>
        <r>
          <rPr>
            <sz val="8"/>
            <color indexed="81"/>
            <rFont val="Tahoma"/>
            <family val="2"/>
          </rPr>
          <t xml:space="preserve">
50 mm + (3mm/corte)</t>
        </r>
      </text>
    </comment>
    <comment ref="CK5" authorId="2" shapeId="0">
      <text>
        <r>
          <rPr>
            <b/>
            <sz val="8"/>
            <color indexed="81"/>
            <rFont val="Tahoma"/>
            <family val="2"/>
          </rPr>
          <t>Jocemar Gross:</t>
        </r>
        <r>
          <rPr>
            <sz val="8"/>
            <color indexed="81"/>
            <rFont val="Tahoma"/>
            <family val="2"/>
          </rPr>
          <t xml:space="preserve">
50 mm + (3mm/corte)</t>
        </r>
      </text>
    </comment>
  </commentList>
</comments>
</file>

<file path=xl/comments3.xml><?xml version="1.0" encoding="utf-8"?>
<comments xmlns="http://schemas.openxmlformats.org/spreadsheetml/2006/main">
  <authors>
    <author>Jocemar Gross</author>
    <author>jocemar</author>
  </authors>
  <commentList>
    <comment ref="U5" authorId="0" shapeId="0">
      <text>
        <r>
          <rPr>
            <b/>
            <sz val="8"/>
            <color indexed="81"/>
            <rFont val="Tahoma"/>
            <family val="2"/>
          </rPr>
          <t>Jocemar Gross:</t>
        </r>
        <r>
          <rPr>
            <sz val="8"/>
            <color indexed="81"/>
            <rFont val="Tahoma"/>
            <family val="2"/>
          </rPr>
          <t xml:space="preserve">
(min/estágio) + 60 min (Sistema de Corte)</t>
        </r>
      </text>
    </comment>
    <comment ref="W5" authorId="1" shapeId="0">
      <text>
        <r>
          <rPr>
            <b/>
            <sz val="9"/>
            <color indexed="81"/>
            <rFont val="Tahoma"/>
            <family val="2"/>
          </rPr>
          <t>jocemar:</t>
        </r>
        <r>
          <rPr>
            <sz val="9"/>
            <color indexed="81"/>
            <rFont val="Tahoma"/>
            <family val="2"/>
          </rPr>
          <t xml:space="preserve">
Incluso no setup da Formadora.</t>
        </r>
      </text>
    </comment>
    <comment ref="CS5" authorId="0" shapeId="0">
      <text>
        <r>
          <rPr>
            <b/>
            <sz val="8"/>
            <color indexed="81"/>
            <rFont val="Tahoma"/>
            <family val="2"/>
          </rPr>
          <t>Jocemar Gross:</t>
        </r>
        <r>
          <rPr>
            <sz val="8"/>
            <color indexed="81"/>
            <rFont val="Tahoma"/>
            <family val="2"/>
          </rPr>
          <t xml:space="preserve">
50 mm + (3mm/corte)</t>
        </r>
      </text>
    </comment>
    <comment ref="CS6" authorId="0" shapeId="0">
      <text>
        <r>
          <rPr>
            <b/>
            <sz val="8"/>
            <color indexed="81"/>
            <rFont val="Tahoma"/>
            <family val="2"/>
          </rPr>
          <t>Jocemar Gross:</t>
        </r>
        <r>
          <rPr>
            <sz val="8"/>
            <color indexed="81"/>
            <rFont val="Tahoma"/>
            <family val="2"/>
          </rPr>
          <t xml:space="preserve">
50 mm + (3mm/corte)</t>
        </r>
      </text>
    </comment>
    <comment ref="BZ9" authorId="0" shapeId="0">
      <text>
        <r>
          <rPr>
            <b/>
            <sz val="8"/>
            <color indexed="81"/>
            <rFont val="Tahoma"/>
            <family val="2"/>
          </rPr>
          <t>Jocemar Gross:</t>
        </r>
        <r>
          <rPr>
            <sz val="8"/>
            <color indexed="81"/>
            <rFont val="Tahoma"/>
            <family val="2"/>
          </rPr>
          <t xml:space="preserve">
Calcular ou Diferença entre Peso Bruto e Peso Líquido.</t>
        </r>
      </text>
    </comment>
  </commentList>
</comments>
</file>

<file path=xl/comments4.xml><?xml version="1.0" encoding="utf-8"?>
<comments xmlns="http://schemas.openxmlformats.org/spreadsheetml/2006/main">
  <authors>
    <author>Jocemar Gross</author>
  </authors>
  <commentList>
    <comment ref="V7" authorId="0" shapeId="0">
      <text>
        <r>
          <rPr>
            <b/>
            <sz val="8"/>
            <color indexed="81"/>
            <rFont val="Tahoma"/>
            <family val="2"/>
          </rPr>
          <t>Jocemar Gross:</t>
        </r>
        <r>
          <rPr>
            <sz val="8"/>
            <color indexed="81"/>
            <rFont val="Tahoma"/>
            <family val="2"/>
          </rPr>
          <t xml:space="preserve">
(min/estágio) + 30 min (CT) + 30 min (MC)</t>
        </r>
      </text>
    </comment>
    <comment ref="CS7" authorId="0" shapeId="0">
      <text>
        <r>
          <rPr>
            <b/>
            <sz val="8"/>
            <color indexed="81"/>
            <rFont val="Tahoma"/>
            <family val="2"/>
          </rPr>
          <t>Jocemar Gross:</t>
        </r>
        <r>
          <rPr>
            <sz val="8"/>
            <color indexed="81"/>
            <rFont val="Tahoma"/>
            <family val="2"/>
          </rPr>
          <t xml:space="preserve">
50 mm + (3mm/corte)</t>
        </r>
      </text>
    </comment>
    <comment ref="CA11" authorId="0" shapeId="0">
      <text>
        <r>
          <rPr>
            <b/>
            <sz val="8"/>
            <color indexed="81"/>
            <rFont val="Tahoma"/>
            <family val="2"/>
          </rPr>
          <t>Jocemar Gross:</t>
        </r>
        <r>
          <rPr>
            <sz val="8"/>
            <color indexed="81"/>
            <rFont val="Tahoma"/>
            <family val="2"/>
          </rPr>
          <t xml:space="preserve">
Calcular ou Diferença entre Peso Bruto e Peso Líquido.</t>
        </r>
      </text>
    </comment>
    <comment ref="BZ14" authorId="0" shapeId="0">
      <text>
        <r>
          <rPr>
            <b/>
            <sz val="8"/>
            <color indexed="81"/>
            <rFont val="Tahoma"/>
            <family val="2"/>
          </rPr>
          <t>Jocemar Gross:</t>
        </r>
        <r>
          <rPr>
            <sz val="8"/>
            <color indexed="81"/>
            <rFont val="Tahoma"/>
            <family val="2"/>
          </rPr>
          <t xml:space="preserve">
Espessura da Faca: 8,00 mm
Lote de Produção / Peso Linear = metros por produção
Metros por produção / Comprimento = Números de corte
Números de Corte * Peso da sucata gerada no corte = Peso de sucata total
Peso de sucata total gerada no corte / Lote de produção * 100 = Percentual de Sucata Corte</t>
        </r>
      </text>
    </comment>
  </commentList>
</comments>
</file>

<file path=xl/comments5.xml><?xml version="1.0" encoding="utf-8"?>
<comments xmlns="http://schemas.openxmlformats.org/spreadsheetml/2006/main">
  <authors>
    <author>Jocemar Gross</author>
  </authors>
  <commentList>
    <comment ref="BR6" authorId="0" shapeId="0">
      <text>
        <r>
          <rPr>
            <b/>
            <sz val="8"/>
            <color indexed="81"/>
            <rFont val="Tahoma"/>
            <family val="2"/>
          </rPr>
          <t>Jocemar Gross:</t>
        </r>
        <r>
          <rPr>
            <sz val="8"/>
            <color indexed="81"/>
            <rFont val="Tahoma"/>
            <family val="2"/>
          </rPr>
          <t xml:space="preserve">
50 mm + (3mm/corte)</t>
        </r>
      </text>
    </comment>
  </commentList>
</comments>
</file>

<file path=xl/comments6.xml><?xml version="1.0" encoding="utf-8"?>
<comments xmlns="http://schemas.openxmlformats.org/spreadsheetml/2006/main">
  <authors>
    <author>Boff Arthur</author>
    <author>Jocemar Gross</author>
  </authors>
  <commentList>
    <comment ref="D3" authorId="0" shapeId="0">
      <text>
        <r>
          <rPr>
            <b/>
            <sz val="9"/>
            <color indexed="81"/>
            <rFont val="Segoe UI"/>
            <family val="2"/>
          </rPr>
          <t>Boff Arthur:</t>
        </r>
        <r>
          <rPr>
            <sz val="9"/>
            <color indexed="81"/>
            <rFont val="Segoe UI"/>
            <family val="2"/>
          </rPr>
          <t xml:space="preserve">
Se a classificação é &gt;6 então o Setup é medido em minutos por estágio</t>
        </r>
      </text>
    </comment>
    <comment ref="E3" authorId="0" shapeId="0">
      <text>
        <r>
          <rPr>
            <b/>
            <sz val="9"/>
            <color indexed="81"/>
            <rFont val="Segoe UI"/>
            <family val="2"/>
          </rPr>
          <t>Boff Arthur:</t>
        </r>
        <r>
          <rPr>
            <sz val="9"/>
            <color indexed="81"/>
            <rFont val="Segoe UI"/>
            <family val="2"/>
          </rPr>
          <t xml:space="preserve">
Minutos por estágio</t>
        </r>
      </text>
    </comment>
    <comment ref="M7" authorId="1" shapeId="0">
      <text>
        <r>
          <rPr>
            <b/>
            <sz val="8"/>
            <color indexed="81"/>
            <rFont val="Tahoma"/>
            <family val="2"/>
          </rPr>
          <t>Jocemar Gross:</t>
        </r>
        <r>
          <rPr>
            <sz val="8"/>
            <color indexed="81"/>
            <rFont val="Tahoma"/>
            <family val="2"/>
          </rPr>
          <t xml:space="preserve">
50 mm + (3mm/corte)</t>
        </r>
      </text>
    </comment>
    <comment ref="M8" authorId="1" shapeId="0">
      <text>
        <r>
          <rPr>
            <b/>
            <sz val="8"/>
            <color indexed="81"/>
            <rFont val="Tahoma"/>
            <family val="2"/>
          </rPr>
          <t>Jocemar Gross:</t>
        </r>
        <r>
          <rPr>
            <sz val="8"/>
            <color indexed="81"/>
            <rFont val="Tahoma"/>
            <family val="2"/>
          </rPr>
          <t xml:space="preserve">
50 mm + (3mm/corte)</t>
        </r>
      </text>
    </comment>
  </commentList>
</comments>
</file>

<file path=xl/comments7.xml><?xml version="1.0" encoding="utf-8"?>
<comments xmlns="http://schemas.openxmlformats.org/spreadsheetml/2006/main">
  <authors>
    <author>Boff Arthur</author>
  </authors>
  <commentList>
    <comment ref="L5" authorId="0" shapeId="0">
      <text>
        <r>
          <rPr>
            <b/>
            <sz val="9"/>
            <color indexed="81"/>
            <rFont val="Segoe UI"/>
            <family val="2"/>
          </rPr>
          <t>Boff Arthur:</t>
        </r>
        <r>
          <rPr>
            <sz val="9"/>
            <color indexed="81"/>
            <rFont val="Segoe UI"/>
            <family val="2"/>
          </rPr>
          <t xml:space="preserve">
MP = Matéria Prima</t>
        </r>
      </text>
    </comment>
    <comment ref="M5" authorId="0" shapeId="0">
      <text>
        <r>
          <rPr>
            <b/>
            <sz val="9"/>
            <color indexed="81"/>
            <rFont val="Segoe UI"/>
            <family val="2"/>
          </rPr>
          <t>Boff Arthur:</t>
        </r>
        <r>
          <rPr>
            <sz val="9"/>
            <color indexed="81"/>
            <rFont val="Segoe UI"/>
            <family val="2"/>
          </rPr>
          <t xml:space="preserve">
TT = Tratamento térmico</t>
        </r>
      </text>
    </comment>
    <comment ref="N5" authorId="0" shapeId="0">
      <text>
        <r>
          <rPr>
            <b/>
            <sz val="9"/>
            <color indexed="81"/>
            <rFont val="Segoe UI"/>
            <family val="2"/>
          </rPr>
          <t>Boff Arthur:</t>
        </r>
        <r>
          <rPr>
            <sz val="9"/>
            <color indexed="81"/>
            <rFont val="Segoe UI"/>
            <family val="2"/>
          </rPr>
          <t xml:space="preserve">
MO = Mão de Obra</t>
        </r>
      </text>
    </comment>
  </commentList>
</comments>
</file>

<file path=xl/comments8.xml><?xml version="1.0" encoding="utf-8"?>
<comments xmlns="http://schemas.openxmlformats.org/spreadsheetml/2006/main">
  <authors>
    <author>Garcia Cristian</author>
  </authors>
  <commentList>
    <comment ref="G10" authorId="0" shapeId="0">
      <text>
        <r>
          <rPr>
            <b/>
            <sz val="9"/>
            <color indexed="81"/>
            <rFont val="Tahoma"/>
            <family val="2"/>
          </rPr>
          <t>Distância até obter velocidade  máxima do Alimentador</t>
        </r>
      </text>
    </comment>
    <comment ref="H10" authorId="0" shapeId="0">
      <text>
        <r>
          <rPr>
            <b/>
            <sz val="9"/>
            <color indexed="81"/>
            <rFont val="Tahoma"/>
            <family val="2"/>
          </rPr>
          <t>Tempo até obter velocidade  máxima do Alimentador</t>
        </r>
      </text>
    </comment>
    <comment ref="I10" authorId="0" shapeId="0">
      <text>
        <r>
          <rPr>
            <b/>
            <sz val="9"/>
            <color indexed="81"/>
            <rFont val="Tahoma"/>
            <family val="2"/>
          </rPr>
          <t>Distância percorrida com velocidade  máxima.</t>
        </r>
      </text>
    </comment>
    <comment ref="J10" authorId="0" shapeId="0">
      <text>
        <r>
          <rPr>
            <b/>
            <sz val="9"/>
            <color indexed="81"/>
            <rFont val="Tahoma"/>
            <family val="2"/>
          </rPr>
          <t>Tempo percorrido com velocidade máxima</t>
        </r>
      </text>
    </comment>
    <comment ref="C11" authorId="0" shapeId="0">
      <text>
        <r>
          <rPr>
            <b/>
            <sz val="9"/>
            <color indexed="81"/>
            <rFont val="Tahoma"/>
            <family val="2"/>
          </rPr>
          <t>t=ac+dc+vel máx</t>
        </r>
      </text>
    </comment>
    <comment ref="G11" authorId="0" shapeId="0">
      <text>
        <r>
          <rPr>
            <b/>
            <sz val="9"/>
            <color indexed="81"/>
            <rFont val="Tahoma"/>
            <family val="2"/>
          </rPr>
          <t>v²=vi²+2a(x-xi)</t>
        </r>
        <r>
          <rPr>
            <sz val="9"/>
            <color indexed="81"/>
            <rFont val="Tahoma"/>
            <family val="2"/>
          </rPr>
          <t xml:space="preserve">
</t>
        </r>
      </text>
    </comment>
    <comment ref="H11" authorId="0" shapeId="0">
      <text>
        <r>
          <rPr>
            <b/>
            <sz val="9"/>
            <color indexed="81"/>
            <rFont val="Tahoma"/>
            <family val="2"/>
          </rPr>
          <t>x=xi+vit+at²/2</t>
        </r>
        <r>
          <rPr>
            <sz val="9"/>
            <color indexed="81"/>
            <rFont val="Tahoma"/>
            <family val="2"/>
          </rPr>
          <t xml:space="preserve">
</t>
        </r>
      </text>
    </comment>
    <comment ref="I11" authorId="0" shapeId="0">
      <text>
        <r>
          <rPr>
            <b/>
            <sz val="9"/>
            <color indexed="81"/>
            <rFont val="Tahoma"/>
            <family val="2"/>
          </rPr>
          <t>Avanço - (Dac+Ddc)</t>
        </r>
      </text>
    </comment>
    <comment ref="J11" authorId="0" shapeId="0">
      <text>
        <r>
          <rPr>
            <b/>
            <sz val="9"/>
            <color indexed="81"/>
            <rFont val="Tahoma"/>
            <family val="2"/>
          </rPr>
          <t>t=d/v</t>
        </r>
      </text>
    </comment>
    <comment ref="G27" authorId="0" shapeId="0">
      <text>
        <r>
          <rPr>
            <b/>
            <sz val="9"/>
            <color indexed="81"/>
            <rFont val="Tahoma"/>
            <family val="2"/>
          </rPr>
          <t>Distância até obter velocidade  máxima do Alimentador</t>
        </r>
      </text>
    </comment>
    <comment ref="H27" authorId="0" shapeId="0">
      <text>
        <r>
          <rPr>
            <b/>
            <sz val="9"/>
            <color indexed="81"/>
            <rFont val="Tahoma"/>
            <family val="2"/>
          </rPr>
          <t>Tempo até obter velocidade  máxima do Alimentador</t>
        </r>
      </text>
    </comment>
    <comment ref="I27" authorId="0" shapeId="0">
      <text>
        <r>
          <rPr>
            <b/>
            <sz val="9"/>
            <color indexed="81"/>
            <rFont val="Tahoma"/>
            <family val="2"/>
          </rPr>
          <t>Distância percorrida com velocidade  máxima.</t>
        </r>
      </text>
    </comment>
    <comment ref="J27" authorId="0" shapeId="0">
      <text>
        <r>
          <rPr>
            <b/>
            <sz val="9"/>
            <color indexed="81"/>
            <rFont val="Tahoma"/>
            <family val="2"/>
          </rPr>
          <t>Tempo percorrido com velocidade máxima</t>
        </r>
      </text>
    </comment>
    <comment ref="G28" authorId="0" shapeId="0">
      <text>
        <r>
          <rPr>
            <b/>
            <sz val="9"/>
            <color indexed="81"/>
            <rFont val="Tahoma"/>
            <family val="2"/>
          </rPr>
          <t>v²=vi²+2a(x-xi)</t>
        </r>
        <r>
          <rPr>
            <sz val="9"/>
            <color indexed="81"/>
            <rFont val="Tahoma"/>
            <family val="2"/>
          </rPr>
          <t xml:space="preserve">
</t>
        </r>
      </text>
    </comment>
    <comment ref="H28" authorId="0" shapeId="0">
      <text>
        <r>
          <rPr>
            <b/>
            <sz val="9"/>
            <color indexed="81"/>
            <rFont val="Tahoma"/>
            <family val="2"/>
          </rPr>
          <t>x=xi+vit+at²/2</t>
        </r>
        <r>
          <rPr>
            <sz val="9"/>
            <color indexed="81"/>
            <rFont val="Tahoma"/>
            <family val="2"/>
          </rPr>
          <t xml:space="preserve">
</t>
        </r>
      </text>
    </comment>
    <comment ref="I28" authorId="0" shapeId="0">
      <text>
        <r>
          <rPr>
            <b/>
            <sz val="9"/>
            <color indexed="81"/>
            <rFont val="Tahoma"/>
            <family val="2"/>
          </rPr>
          <t>Avanço - (Dac+Ddc)</t>
        </r>
      </text>
    </comment>
    <comment ref="J28" authorId="0" shapeId="0">
      <text>
        <r>
          <rPr>
            <b/>
            <sz val="9"/>
            <color indexed="81"/>
            <rFont val="Tahoma"/>
            <family val="2"/>
          </rPr>
          <t>t=d/v</t>
        </r>
      </text>
    </comment>
  </commentList>
</comments>
</file>

<file path=xl/comments9.xml><?xml version="1.0" encoding="utf-8"?>
<comments xmlns="http://schemas.openxmlformats.org/spreadsheetml/2006/main">
  <authors>
    <author>jocemar</author>
  </authors>
  <commentList>
    <comment ref="G17" authorId="0" shapeId="0">
      <text>
        <r>
          <rPr>
            <b/>
            <sz val="8"/>
            <color indexed="81"/>
            <rFont val="Tahoma"/>
            <family val="2"/>
          </rPr>
          <t>jocemar:</t>
        </r>
        <r>
          <rPr>
            <sz val="8"/>
            <color indexed="81"/>
            <rFont val="Tahoma"/>
            <family val="2"/>
          </rPr>
          <t xml:space="preserve">
Ds = Diametro tubo no ponto de solda
S = Espessura do material
K = 2(S&lt;=1), 1.5(1&lt;S&lt;=1.5), 1.2 (1.5&lt;S&lt;=2.5), 1(2.5&lt;S)</t>
        </r>
      </text>
    </comment>
  </commentList>
</comments>
</file>

<file path=xl/comments10.xml><?xml version="1.0" encoding="utf-8"?>
<comments xmlns="http://schemas.openxmlformats.org/spreadsheetml/2006/main">
  <authors>
    <author>flemos</author>
  </authors>
  <commentList>
    <comment ref="D12" authorId="0" shapeId="0">
      <text>
        <r>
          <rPr>
            <b/>
            <sz val="9"/>
            <color indexed="81"/>
            <rFont val="Tahoma"/>
            <family val="2"/>
          </rPr>
          <t>flemos:</t>
        </r>
        <r>
          <rPr>
            <sz val="9"/>
            <color indexed="81"/>
            <rFont val="Tahoma"/>
            <family val="2"/>
          </rPr>
          <t xml:space="preserve">
Na ultima conferencia de peças, feita pelo Joel Hoffman, essa matriz não foi achada. </t>
        </r>
      </text>
    </comment>
  </commentList>
</comments>
</file>

<file path=xl/sharedStrings.xml><?xml version="1.0" encoding="utf-8"?>
<sst xmlns="http://schemas.openxmlformats.org/spreadsheetml/2006/main" count="3837" uniqueCount="923">
  <si>
    <t>Informações do Projeto</t>
  </si>
  <si>
    <t>Projeto</t>
  </si>
  <si>
    <t>Descrição</t>
  </si>
  <si>
    <t>Bitola de Origem
(mm)</t>
  </si>
  <si>
    <r>
      <t xml:space="preserve">Espessura
</t>
    </r>
    <r>
      <rPr>
        <i/>
        <sz val="11"/>
        <color indexed="8"/>
        <rFont val="Calibri"/>
        <family val="2"/>
      </rPr>
      <t>(mm)</t>
    </r>
  </si>
  <si>
    <r>
      <t xml:space="preserve">Peso Linear
</t>
    </r>
    <r>
      <rPr>
        <i/>
        <sz val="11"/>
        <color indexed="8"/>
        <rFont val="Calibri"/>
        <family val="2"/>
      </rPr>
      <t>(kg/m)</t>
    </r>
  </si>
  <si>
    <r>
      <t xml:space="preserve">Peso Líquido
</t>
    </r>
    <r>
      <rPr>
        <i/>
        <sz val="11"/>
        <color indexed="8"/>
        <rFont val="Calibri"/>
        <family val="2"/>
      </rPr>
      <t>(kg/pc)</t>
    </r>
  </si>
  <si>
    <r>
      <t xml:space="preserve">Consumo
</t>
    </r>
    <r>
      <rPr>
        <i/>
        <sz val="11"/>
        <color indexed="8"/>
        <rFont val="Calibri"/>
        <family val="2"/>
      </rPr>
      <t>(ton/mês)</t>
    </r>
    <r>
      <rPr>
        <sz val="10"/>
        <color theme="1"/>
        <rFont val="Arial"/>
        <family val="2"/>
      </rPr>
      <t xml:space="preserve">
</t>
    </r>
  </si>
  <si>
    <r>
      <t xml:space="preserve">Lote de Produção
</t>
    </r>
    <r>
      <rPr>
        <i/>
        <sz val="11"/>
        <color indexed="8"/>
        <rFont val="Calibri"/>
        <family val="2"/>
      </rPr>
      <t>(ton)</t>
    </r>
  </si>
  <si>
    <t>mm</t>
  </si>
  <si>
    <t>3/8"</t>
  </si>
  <si>
    <t>1/2"</t>
  </si>
  <si>
    <t>5/8"</t>
  </si>
  <si>
    <t>3/4"</t>
  </si>
  <si>
    <t>7/8"</t>
  </si>
  <si>
    <t>1"</t>
  </si>
  <si>
    <t>1.1/8"</t>
  </si>
  <si>
    <t>1.1/4"</t>
  </si>
  <si>
    <t>1.3/8"</t>
  </si>
  <si>
    <t>1.1/2"</t>
  </si>
  <si>
    <t>1.5/8"</t>
  </si>
  <si>
    <t>1.3/4"</t>
  </si>
  <si>
    <t>1.7/8"</t>
  </si>
  <si>
    <t>2"</t>
  </si>
  <si>
    <t>2.1/4"</t>
  </si>
  <si>
    <t>2.3/8"</t>
  </si>
  <si>
    <t>2.1/2"</t>
  </si>
  <si>
    <t>3"</t>
  </si>
  <si>
    <t>3.1/4"</t>
  </si>
  <si>
    <t>3.1/2"</t>
  </si>
  <si>
    <t>4"</t>
  </si>
  <si>
    <t>4.1/2"</t>
  </si>
  <si>
    <t>5"</t>
  </si>
  <si>
    <t>5.1/2"</t>
  </si>
  <si>
    <t>6"</t>
  </si>
  <si>
    <t>6.5/8"</t>
  </si>
  <si>
    <t>7.5/8"</t>
  </si>
  <si>
    <t>8.5/8"</t>
  </si>
  <si>
    <t>10.3/4"</t>
  </si>
  <si>
    <t>Formadora</t>
  </si>
  <si>
    <r>
      <t xml:space="preserve">Ajuste
</t>
    </r>
    <r>
      <rPr>
        <i/>
        <sz val="11"/>
        <color indexed="8"/>
        <rFont val="Calibri"/>
        <family val="2"/>
      </rPr>
      <t>(m)</t>
    </r>
  </si>
  <si>
    <r>
      <t xml:space="preserve">Velocidade
</t>
    </r>
    <r>
      <rPr>
        <i/>
        <sz val="11"/>
        <color indexed="8"/>
        <rFont val="Calibri"/>
        <family val="2"/>
      </rPr>
      <t>(m/min)</t>
    </r>
  </si>
  <si>
    <r>
      <t xml:space="preserve">Eficiência
</t>
    </r>
    <r>
      <rPr>
        <i/>
        <sz val="11"/>
        <color indexed="8"/>
        <rFont val="Calibri"/>
        <family val="2"/>
      </rPr>
      <t>(%)</t>
    </r>
  </si>
  <si>
    <t>(m)</t>
  </si>
  <si>
    <t>(min)</t>
  </si>
  <si>
    <r>
      <t xml:space="preserve">Perdas - Ajuste
</t>
    </r>
    <r>
      <rPr>
        <i/>
        <sz val="11"/>
        <color indexed="8"/>
        <rFont val="Calibri"/>
        <family val="2"/>
      </rPr>
      <t>(%)</t>
    </r>
  </si>
  <si>
    <r>
      <t xml:space="preserve">TEMPO OPERAÇÃO
</t>
    </r>
    <r>
      <rPr>
        <i/>
        <sz val="11"/>
        <color indexed="8"/>
        <rFont val="Calibri"/>
        <family val="2"/>
      </rPr>
      <t>(min/ton)</t>
    </r>
  </si>
  <si>
    <r>
      <t xml:space="preserve">TEMPO PREPARAÇÃO
</t>
    </r>
    <r>
      <rPr>
        <i/>
        <sz val="11"/>
        <color indexed="8"/>
        <rFont val="Calibri"/>
        <family val="2"/>
      </rPr>
      <t>(min/ton)</t>
    </r>
  </si>
  <si>
    <r>
      <t xml:space="preserve">Perdas de Processo
</t>
    </r>
    <r>
      <rPr>
        <i/>
        <sz val="11"/>
        <color indexed="8"/>
        <rFont val="Calibri"/>
        <family val="2"/>
      </rPr>
      <t>(%)</t>
    </r>
  </si>
  <si>
    <t>Máquina</t>
  </si>
  <si>
    <t>Perdas</t>
  </si>
  <si>
    <t>F01</t>
  </si>
  <si>
    <t>F02</t>
  </si>
  <si>
    <t>F03</t>
  </si>
  <si>
    <t>F04</t>
  </si>
  <si>
    <t>F05</t>
  </si>
  <si>
    <t>F06</t>
  </si>
  <si>
    <t>F07</t>
  </si>
  <si>
    <t>Perfiladeira</t>
  </si>
  <si>
    <t>PF01</t>
  </si>
  <si>
    <t>PF02</t>
  </si>
  <si>
    <t>Setup</t>
  </si>
  <si>
    <r>
      <t xml:space="preserve">Setup
</t>
    </r>
    <r>
      <rPr>
        <i/>
        <sz val="11"/>
        <color indexed="8"/>
        <rFont val="Calibri"/>
        <family val="2"/>
      </rPr>
      <t>(horas)</t>
    </r>
  </si>
  <si>
    <t>(horas)</t>
  </si>
  <si>
    <t>Eficiência</t>
  </si>
  <si>
    <r>
      <t xml:space="preserve">Perdas TOTAL
</t>
    </r>
    <r>
      <rPr>
        <i/>
        <sz val="11"/>
        <color indexed="8"/>
        <rFont val="Calibri"/>
        <family val="2"/>
      </rPr>
      <t>(%)</t>
    </r>
  </si>
  <si>
    <r>
      <t xml:space="preserve">Setup TOTAL
</t>
    </r>
    <r>
      <rPr>
        <i/>
        <sz val="11"/>
        <color indexed="8"/>
        <rFont val="Calibri"/>
        <family val="2"/>
      </rPr>
      <t>(horas)</t>
    </r>
  </si>
  <si>
    <t>Dados de Máquina</t>
  </si>
  <si>
    <t>Processo Agregado</t>
  </si>
  <si>
    <t>DT03</t>
  </si>
  <si>
    <t>COE</t>
  </si>
  <si>
    <r>
      <t xml:space="preserve">Múltiplo
</t>
    </r>
    <r>
      <rPr>
        <i/>
        <sz val="11"/>
        <color indexed="8"/>
        <rFont val="Calibri"/>
        <family val="2"/>
      </rPr>
      <t>(pc/barra)</t>
    </r>
  </si>
  <si>
    <t>Adicional</t>
  </si>
  <si>
    <r>
      <t xml:space="preserve">Adicional
</t>
    </r>
    <r>
      <rPr>
        <i/>
        <sz val="11"/>
        <color indexed="8"/>
        <rFont val="Calibri"/>
        <family val="2"/>
      </rPr>
      <t>(mm)</t>
    </r>
  </si>
  <si>
    <r>
      <t xml:space="preserve">Comprimento
</t>
    </r>
    <r>
      <rPr>
        <i/>
        <sz val="11"/>
        <color indexed="8"/>
        <rFont val="Calibri"/>
        <family val="2"/>
      </rPr>
      <t>(mm)</t>
    </r>
  </si>
  <si>
    <r>
      <t xml:space="preserve">Perdas MP
</t>
    </r>
    <r>
      <rPr>
        <i/>
        <sz val="11"/>
        <color indexed="8"/>
        <rFont val="Calibri"/>
        <family val="2"/>
      </rPr>
      <t>(%)</t>
    </r>
  </si>
  <si>
    <r>
      <t xml:space="preserve">Peso Bruto
</t>
    </r>
    <r>
      <rPr>
        <i/>
        <sz val="11"/>
        <color indexed="8"/>
        <rFont val="Calibri"/>
        <family val="2"/>
      </rPr>
      <t>(kg/pc)</t>
    </r>
  </si>
  <si>
    <r>
      <t xml:space="preserve">Comprimento Múltiplo
</t>
    </r>
    <r>
      <rPr>
        <i/>
        <sz val="11"/>
        <color indexed="8"/>
        <rFont val="Calibri"/>
        <family val="2"/>
      </rPr>
      <t>(mm)</t>
    </r>
  </si>
  <si>
    <t>Classificação
da Peça</t>
  </si>
  <si>
    <r>
      <t xml:space="preserve">Tempo por peça
</t>
    </r>
    <r>
      <rPr>
        <i/>
        <sz val="11"/>
        <color indexed="8"/>
        <rFont val="Calibri"/>
        <family val="2"/>
      </rPr>
      <t>(s/pc)</t>
    </r>
  </si>
  <si>
    <t>(pc)</t>
  </si>
  <si>
    <t>Classificação</t>
  </si>
  <si>
    <t>Leve</t>
  </si>
  <si>
    <t>Normal</t>
  </si>
  <si>
    <t>Pesada</t>
  </si>
  <si>
    <t>Peso</t>
  </si>
  <si>
    <r>
      <t xml:space="preserve">Tempo por peça
</t>
    </r>
    <r>
      <rPr>
        <i/>
        <sz val="11"/>
        <color indexed="8"/>
        <rFont val="Calibri"/>
        <family val="2"/>
      </rPr>
      <t>(min/pc)</t>
    </r>
  </si>
  <si>
    <r>
      <t xml:space="preserve">Consumo
</t>
    </r>
    <r>
      <rPr>
        <i/>
        <sz val="11"/>
        <color indexed="8"/>
        <rFont val="Calibri"/>
        <family val="2"/>
      </rPr>
      <t>(pc/mês)</t>
    </r>
    <r>
      <rPr>
        <sz val="10"/>
        <color theme="1"/>
        <rFont val="Arial"/>
        <family val="2"/>
      </rPr>
      <t xml:space="preserve">
</t>
    </r>
  </si>
  <si>
    <t>SIM</t>
  </si>
  <si>
    <t>NÃO</t>
  </si>
  <si>
    <r>
      <t xml:space="preserve">TEMPO PRODUÇÃO
</t>
    </r>
    <r>
      <rPr>
        <i/>
        <sz val="11"/>
        <color indexed="8"/>
        <rFont val="Calibri"/>
        <family val="2"/>
      </rPr>
      <t>(horas)</t>
    </r>
  </si>
  <si>
    <r>
      <t xml:space="preserve">Carga Horária
</t>
    </r>
    <r>
      <rPr>
        <i/>
        <sz val="11"/>
        <color indexed="8"/>
        <rFont val="Calibri"/>
        <family val="2"/>
      </rPr>
      <t>(horas)</t>
    </r>
  </si>
  <si>
    <t>Turnos</t>
  </si>
  <si>
    <r>
      <t xml:space="preserve">TEMPO PRODUÇÃO
</t>
    </r>
    <r>
      <rPr>
        <i/>
        <sz val="11"/>
        <color indexed="8"/>
        <rFont val="Calibri"/>
        <family val="2"/>
      </rPr>
      <t>(dias úteis)</t>
    </r>
  </si>
  <si>
    <t>Lista de Variáveis</t>
  </si>
  <si>
    <t>Espessura</t>
  </si>
  <si>
    <t>Formadoras</t>
  </si>
  <si>
    <t>Bitolas (mm)</t>
  </si>
  <si>
    <t>Bitolas (pol)</t>
  </si>
  <si>
    <t>2.1/8"</t>
  </si>
  <si>
    <t>2.7/8"</t>
  </si>
  <si>
    <t>3.3/4"</t>
  </si>
  <si>
    <t>Bitola de Origem
(pol)</t>
  </si>
  <si>
    <t>Material</t>
  </si>
  <si>
    <t>Estágios</t>
  </si>
  <si>
    <t>Pre Punching</t>
  </si>
  <si>
    <r>
      <t xml:space="preserve">Setup
Pre Punching
</t>
    </r>
    <r>
      <rPr>
        <i/>
        <sz val="10"/>
        <color indexed="8"/>
        <rFont val="Calibri"/>
        <family val="2"/>
      </rPr>
      <t>(horas)</t>
    </r>
  </si>
  <si>
    <r>
      <t xml:space="preserve">Setup
Perfiladeira
</t>
    </r>
    <r>
      <rPr>
        <i/>
        <sz val="10"/>
        <color indexed="8"/>
        <rFont val="Calibri"/>
        <family val="2"/>
      </rPr>
      <t>(horas)</t>
    </r>
  </si>
  <si>
    <r>
      <t xml:space="preserve">Perdas Pre Punching
</t>
    </r>
    <r>
      <rPr>
        <i/>
        <sz val="11"/>
        <color indexed="8"/>
        <rFont val="Calibri"/>
        <family val="2"/>
      </rPr>
      <t>(%)</t>
    </r>
  </si>
  <si>
    <t>Sistema de Corte</t>
  </si>
  <si>
    <t>Cisalhamento</t>
  </si>
  <si>
    <t>Faca</t>
  </si>
  <si>
    <r>
      <t xml:space="preserve">Perdas Corte
</t>
    </r>
    <r>
      <rPr>
        <i/>
        <sz val="11"/>
        <color indexed="8"/>
        <rFont val="Calibri"/>
        <family val="2"/>
      </rPr>
      <t>(%)</t>
    </r>
  </si>
  <si>
    <t>4.3/8"</t>
  </si>
  <si>
    <t>4.7/8"</t>
  </si>
  <si>
    <t>4.13/16"</t>
  </si>
  <si>
    <t>-</t>
  </si>
  <si>
    <r>
      <t xml:space="preserve">CUSTO HORA MÁQ.
</t>
    </r>
    <r>
      <rPr>
        <i/>
        <sz val="11"/>
        <color indexed="8"/>
        <rFont val="Calibri"/>
        <family val="2"/>
      </rPr>
      <t>(R$/hora)</t>
    </r>
  </si>
  <si>
    <r>
      <t xml:space="preserve">CUSTO MP
</t>
    </r>
    <r>
      <rPr>
        <i/>
        <sz val="11"/>
        <color indexed="8"/>
        <rFont val="Calibri"/>
        <family val="2"/>
      </rPr>
      <t>(R$/ton)</t>
    </r>
  </si>
  <si>
    <r>
      <t xml:space="preserve">CUSTO PERDAS
</t>
    </r>
    <r>
      <rPr>
        <i/>
        <sz val="11"/>
        <color indexed="8"/>
        <rFont val="Calibri"/>
        <family val="2"/>
      </rPr>
      <t>(R$/ton)</t>
    </r>
  </si>
  <si>
    <r>
      <t xml:space="preserve">CUSTO PREPARAÇÃO
</t>
    </r>
    <r>
      <rPr>
        <i/>
        <sz val="11"/>
        <color indexed="8"/>
        <rFont val="Calibri"/>
        <family val="2"/>
      </rPr>
      <t>(R$/ton)</t>
    </r>
  </si>
  <si>
    <r>
      <t xml:space="preserve">CUSTO OPERAÇÃO
</t>
    </r>
    <r>
      <rPr>
        <i/>
        <sz val="11"/>
        <color indexed="8"/>
        <rFont val="Calibri"/>
        <family val="2"/>
      </rPr>
      <t>(R$/ton)</t>
    </r>
  </si>
  <si>
    <r>
      <t xml:space="preserve">CUSTO
</t>
    </r>
    <r>
      <rPr>
        <i/>
        <sz val="11"/>
        <color indexed="8"/>
        <rFont val="Calibri"/>
        <family val="2"/>
      </rPr>
      <t>(R$/ton)</t>
    </r>
  </si>
  <si>
    <t>Investimento</t>
  </si>
  <si>
    <t>Energia</t>
  </si>
  <si>
    <t>Carga horária dia</t>
  </si>
  <si>
    <t>Turno(s)</t>
  </si>
  <si>
    <t>Mão de obra</t>
  </si>
  <si>
    <t>CUSTO HORA-MÁQUINA</t>
  </si>
  <si>
    <t>Simulação CUSTO HORA-MÁQUINA</t>
  </si>
  <si>
    <r>
      <t xml:space="preserve">Setup </t>
    </r>
    <r>
      <rPr>
        <i/>
        <sz val="11"/>
        <color indexed="8"/>
        <rFont val="Calibri"/>
        <family val="2"/>
      </rPr>
      <t>(min/estágio)</t>
    </r>
  </si>
  <si>
    <t>Embalagem</t>
  </si>
  <si>
    <t>Largura
(mm)</t>
  </si>
  <si>
    <t>Altura
(mm)</t>
  </si>
  <si>
    <t>Comprimento
(mm)</t>
  </si>
  <si>
    <r>
      <t xml:space="preserve">Volume
</t>
    </r>
    <r>
      <rPr>
        <i/>
        <sz val="10"/>
        <rFont val="Arial"/>
        <family val="2"/>
      </rPr>
      <t>(m</t>
    </r>
    <r>
      <rPr>
        <i/>
        <vertAlign val="superscript"/>
        <sz val="10"/>
        <rFont val="Arial"/>
        <family val="2"/>
      </rPr>
      <t>3</t>
    </r>
    <r>
      <rPr>
        <i/>
        <sz val="10"/>
        <rFont val="Arial"/>
        <family val="2"/>
      </rPr>
      <t>)</t>
    </r>
  </si>
  <si>
    <r>
      <t xml:space="preserve">Peso Líquido
</t>
    </r>
    <r>
      <rPr>
        <i/>
        <sz val="10"/>
        <rFont val="Arial"/>
        <family val="2"/>
      </rPr>
      <t>(kg/pc)</t>
    </r>
  </si>
  <si>
    <r>
      <t xml:space="preserve">Peso Embalagem
</t>
    </r>
    <r>
      <rPr>
        <i/>
        <sz val="10"/>
        <rFont val="Arial"/>
        <family val="2"/>
      </rPr>
      <t>(kg/embalagem)</t>
    </r>
  </si>
  <si>
    <r>
      <t>Custo Maderia
(R$/m</t>
    </r>
    <r>
      <rPr>
        <vertAlign val="superscript"/>
        <sz val="10"/>
        <rFont val="Arial"/>
        <family val="2"/>
      </rPr>
      <t>3</t>
    </r>
    <r>
      <rPr>
        <sz val="10"/>
        <rFont val="Arial"/>
        <family val="2"/>
      </rPr>
      <t>)</t>
    </r>
  </si>
  <si>
    <r>
      <t xml:space="preserve">Custo Embalagem
</t>
    </r>
    <r>
      <rPr>
        <i/>
        <sz val="10"/>
        <rFont val="Arial"/>
        <family val="2"/>
      </rPr>
      <t>(R$/ton)</t>
    </r>
  </si>
  <si>
    <r>
      <t xml:space="preserve">Quantidade Peças
</t>
    </r>
    <r>
      <rPr>
        <i/>
        <sz val="10"/>
        <rFont val="Arial"/>
        <family val="2"/>
      </rPr>
      <t>(pc/embalagem)</t>
    </r>
  </si>
  <si>
    <r>
      <t xml:space="preserve">Quantidade Madeira
</t>
    </r>
    <r>
      <rPr>
        <i/>
        <sz val="10"/>
        <rFont val="Arial"/>
        <family val="2"/>
      </rPr>
      <t>(madeira/embalagem)</t>
    </r>
  </si>
  <si>
    <r>
      <t xml:space="preserve">Custo Embalagem
</t>
    </r>
    <r>
      <rPr>
        <i/>
        <sz val="10"/>
        <rFont val="Arial"/>
        <family val="2"/>
      </rPr>
      <t>(R$/embalagem)</t>
    </r>
  </si>
  <si>
    <t>Processo</t>
  </si>
  <si>
    <t>Corte em ângulo</t>
  </si>
  <si>
    <t>Corte Estacionário</t>
  </si>
  <si>
    <t>Corte Laser</t>
  </si>
  <si>
    <t>Corte em Ângulo</t>
  </si>
  <si>
    <t>Dobradeira</t>
  </si>
  <si>
    <t>Serra Fira</t>
  </si>
  <si>
    <t>Serra Fita</t>
  </si>
  <si>
    <t>Peças por
Amarrado</t>
  </si>
  <si>
    <r>
      <t xml:space="preserve">Comprimento de processo
</t>
    </r>
    <r>
      <rPr>
        <i/>
        <sz val="11"/>
        <color indexed="8"/>
        <rFont val="Calibri"/>
        <family val="2"/>
      </rPr>
      <t>(mm)</t>
    </r>
  </si>
  <si>
    <r>
      <t xml:space="preserve">Tempo de Corte </t>
    </r>
    <r>
      <rPr>
        <i/>
        <sz val="11"/>
        <color indexed="8"/>
        <rFont val="Calibri"/>
        <family val="2"/>
      </rPr>
      <t>(s/mm)</t>
    </r>
  </si>
  <si>
    <t>Tipo</t>
  </si>
  <si>
    <t>&lt; 2" ; &lt; 1 m</t>
  </si>
  <si>
    <t>&gt; 2" ; &gt; 1 m</t>
  </si>
  <si>
    <t>&lt; 2" ; &gt; 1 m</t>
  </si>
  <si>
    <t>&gt; 2" ; &lt; 1 m</t>
  </si>
  <si>
    <t xml:space="preserve">Tempo de Corte </t>
  </si>
  <si>
    <t>1 corte /  1 pc</t>
  </si>
  <si>
    <t>2 corte / 1 pc</t>
  </si>
  <si>
    <r>
      <t xml:space="preserve">Altura do Amarrado/Peça
</t>
    </r>
    <r>
      <rPr>
        <i/>
        <sz val="11"/>
        <color indexed="8"/>
        <rFont val="Calibri"/>
        <family val="2"/>
      </rPr>
      <t>(mm)</t>
    </r>
  </si>
  <si>
    <t>Multiplo</t>
  </si>
  <si>
    <r>
      <t xml:space="preserve">Sucata de Processo
</t>
    </r>
    <r>
      <rPr>
        <i/>
        <sz val="11"/>
        <color indexed="8"/>
        <rFont val="Calibri"/>
        <family val="2"/>
      </rPr>
      <t>(kg)</t>
    </r>
  </si>
  <si>
    <t>Dobra</t>
  </si>
  <si>
    <t>L1</t>
  </si>
  <si>
    <t>L2</t>
  </si>
  <si>
    <t>L</t>
  </si>
  <si>
    <t>Perdas
(kg/pc)</t>
  </si>
  <si>
    <t>Largura de Tira
(mm)</t>
  </si>
  <si>
    <r>
      <t xml:space="preserve">Perdas PF
</t>
    </r>
    <r>
      <rPr>
        <i/>
        <sz val="11"/>
        <color indexed="8"/>
        <rFont val="Calibri"/>
        <family val="2"/>
      </rPr>
      <t>(%)</t>
    </r>
  </si>
  <si>
    <t>Número de Estágios</t>
  </si>
  <si>
    <t>Total de Ferramentas</t>
  </si>
  <si>
    <t>Mordente ou
Matriz de Corte</t>
  </si>
  <si>
    <t>TOTAL</t>
  </si>
  <si>
    <t>Matriz de
Pre Punching</t>
  </si>
  <si>
    <t>Qtd Dispositivos
Especiais</t>
  </si>
  <si>
    <t>Qtd Carros Laterais</t>
  </si>
  <si>
    <t>TOTAL
Carros e Disp.</t>
  </si>
  <si>
    <t>Total MO</t>
  </si>
  <si>
    <t>Total TT</t>
  </si>
  <si>
    <t>Total MP</t>
  </si>
  <si>
    <t>Custo
Carros Laterais (R$)</t>
  </si>
  <si>
    <t>Custo
Disp. Especiais (R$)</t>
  </si>
  <si>
    <r>
      <t xml:space="preserve">Perdas SCRAP
</t>
    </r>
    <r>
      <rPr>
        <i/>
        <sz val="11"/>
        <color indexed="8"/>
        <rFont val="Calibri"/>
        <family val="2"/>
      </rPr>
      <t>(%)</t>
    </r>
  </si>
  <si>
    <t>DT04</t>
  </si>
  <si>
    <t>s</t>
  </si>
  <si>
    <t>Mordente</t>
  </si>
  <si>
    <t>Perfil U</t>
  </si>
  <si>
    <t>PERFIL C</t>
  </si>
  <si>
    <t>&gt; 3 mm</t>
  </si>
  <si>
    <t>&lt; 3 mm</t>
  </si>
  <si>
    <t>Relação de Matrizes para Corte de Perfil Padrão</t>
  </si>
  <si>
    <t>35 X 50</t>
  </si>
  <si>
    <t>50 X 50</t>
  </si>
  <si>
    <t>50 X 60</t>
  </si>
  <si>
    <t>50 X 68</t>
  </si>
  <si>
    <t>50 X 91</t>
  </si>
  <si>
    <t>50 X 100</t>
  </si>
  <si>
    <t>40 X 75</t>
  </si>
  <si>
    <t>50 X 127</t>
  </si>
  <si>
    <t>60 X 92</t>
  </si>
  <si>
    <t>60 X 83</t>
  </si>
  <si>
    <t>60 X 119</t>
  </si>
  <si>
    <t>75 X 150</t>
  </si>
  <si>
    <t>75 X 200</t>
  </si>
  <si>
    <t>10 X 25 X 50</t>
  </si>
  <si>
    <t>15 X 40 X 75</t>
  </si>
  <si>
    <t>17 X 40 X 100</t>
  </si>
  <si>
    <t>20 X 40 X 100</t>
  </si>
  <si>
    <t>17 X 40 X 127</t>
  </si>
  <si>
    <t>20 X 60 X 150</t>
  </si>
  <si>
    <t>20 X 60 X 200</t>
  </si>
  <si>
    <t>17 X 50 X 100</t>
  </si>
  <si>
    <t>17 X 50 X 127</t>
  </si>
  <si>
    <t>20 X 50 X 150</t>
  </si>
  <si>
    <t>25 X 75 X 200</t>
  </si>
  <si>
    <r>
      <t xml:space="preserve">CARGA MÁQUINA
</t>
    </r>
    <r>
      <rPr>
        <i/>
        <sz val="11"/>
        <color indexed="8"/>
        <rFont val="Calibri"/>
        <family val="2"/>
      </rPr>
      <t>(dias úteis)</t>
    </r>
  </si>
  <si>
    <r>
      <t xml:space="preserve">Setup
Formadora
</t>
    </r>
    <r>
      <rPr>
        <i/>
        <sz val="10"/>
        <color indexed="8"/>
        <rFont val="Calibri"/>
        <family val="2"/>
      </rPr>
      <t>(horas)</t>
    </r>
  </si>
  <si>
    <r>
      <t xml:space="preserve">Setup In-line </t>
    </r>
    <r>
      <rPr>
        <i/>
        <sz val="11"/>
        <color indexed="8"/>
        <rFont val="Calibri"/>
        <family val="2"/>
      </rPr>
      <t>(min/estágio)</t>
    </r>
  </si>
  <si>
    <r>
      <t xml:space="preserve">Setup Off-line </t>
    </r>
    <r>
      <rPr>
        <i/>
        <sz val="11"/>
        <color indexed="8"/>
        <rFont val="Calibri"/>
        <family val="2"/>
      </rPr>
      <t>(min/estágio)</t>
    </r>
  </si>
  <si>
    <r>
      <t xml:space="preserve">Setup Off-line
</t>
    </r>
    <r>
      <rPr>
        <i/>
        <sz val="10"/>
        <color indexed="8"/>
        <rFont val="Calibri"/>
        <family val="2"/>
      </rPr>
      <t>(horas)</t>
    </r>
  </si>
  <si>
    <t>Setup Off-line (R$/hora)</t>
  </si>
  <si>
    <t>Setup Off-line (R$/ton)</t>
  </si>
  <si>
    <t>Largura bobina ideal</t>
  </si>
  <si>
    <t>Largura bobina de mercado</t>
  </si>
  <si>
    <t>Adicional refilo</t>
  </si>
  <si>
    <t>Numero de tiras desejado</t>
  </si>
  <si>
    <t>Espessura do material</t>
  </si>
  <si>
    <t>Largura da tira</t>
  </si>
  <si>
    <t>Líquido</t>
  </si>
  <si>
    <t>Valor/ton</t>
  </si>
  <si>
    <t>Gasto Gerais Fixos</t>
  </si>
  <si>
    <t>Gasto Gerais Variáveis</t>
  </si>
  <si>
    <t>Manutenção</t>
  </si>
  <si>
    <t>Consumíveis</t>
  </si>
  <si>
    <t>Instalação</t>
  </si>
  <si>
    <t>Consumo Médio</t>
  </si>
  <si>
    <t>Disponibilidade (Eficiência)</t>
  </si>
  <si>
    <t>Custo por operador (White Collar)</t>
  </si>
  <si>
    <t>Dias úteis</t>
  </si>
  <si>
    <t>Carga de Trabalho</t>
  </si>
  <si>
    <t>Operadores por turno</t>
  </si>
  <si>
    <t>Custo fixo + Rateio</t>
  </si>
  <si>
    <t>Custo/hora fixo</t>
  </si>
  <si>
    <t>Custo/hora variável</t>
  </si>
  <si>
    <t>Custo mensal por operador</t>
  </si>
  <si>
    <t>Depreciação Anual</t>
  </si>
  <si>
    <t>Potência Instalada (kw)</t>
  </si>
  <si>
    <t>Custo de energia (R$ / kw.h)</t>
  </si>
  <si>
    <t>Vida Útil (anos)</t>
  </si>
  <si>
    <t>CUSTOS FIXOS MENSAIS</t>
  </si>
  <si>
    <t>CUSTOS VARIÁVEIS MENSAIS</t>
  </si>
  <si>
    <t>Exemplo para uma Célula de Operação Especial</t>
  </si>
  <si>
    <t>CUSTO MENSAL TOTAL</t>
  </si>
  <si>
    <r>
      <t xml:space="preserve">PRODUÇÃO DIA
</t>
    </r>
    <r>
      <rPr>
        <i/>
        <sz val="11"/>
        <color indexed="8"/>
        <rFont val="Calibri"/>
        <family val="2"/>
      </rPr>
      <t>(ton)</t>
    </r>
  </si>
  <si>
    <r>
      <t xml:space="preserve">Peso Linear Nominal
</t>
    </r>
    <r>
      <rPr>
        <i/>
        <sz val="11"/>
        <color indexed="8"/>
        <rFont val="Calibri"/>
        <family val="2"/>
      </rPr>
      <t>(kg/m)</t>
    </r>
  </si>
  <si>
    <r>
      <t xml:space="preserve">Peso Linear Real
</t>
    </r>
    <r>
      <rPr>
        <i/>
        <sz val="11"/>
        <color indexed="8"/>
        <rFont val="Calibri"/>
        <family val="2"/>
      </rPr>
      <t>(kg/m)</t>
    </r>
  </si>
  <si>
    <t>Scrap Perfuração</t>
  </si>
  <si>
    <r>
      <t xml:space="preserve">Consumo
</t>
    </r>
    <r>
      <rPr>
        <i/>
        <sz val="11"/>
        <color indexed="8"/>
        <rFont val="Calibri"/>
        <family val="2"/>
      </rPr>
      <t>(m/mês)</t>
    </r>
    <r>
      <rPr>
        <sz val="10"/>
        <color theme="1"/>
        <rFont val="Arial"/>
        <family val="2"/>
      </rPr>
      <t xml:space="preserve">
</t>
    </r>
  </si>
  <si>
    <t>Estimar Investimento em Ferramental para Formadora/Perfiladeira</t>
  </si>
  <si>
    <t>Estimar Investimento para Processo Agregado</t>
  </si>
  <si>
    <t>Gabarito Dimensional</t>
  </si>
  <si>
    <t>Ferramental
Calandra
(TOTAL)</t>
  </si>
  <si>
    <t>Ferramental
Calandra</t>
  </si>
  <si>
    <t>Gabarito de
Laser 3D</t>
  </si>
  <si>
    <t>Ferramental
Dobradeira</t>
  </si>
  <si>
    <t>Ferramental
Dobradeira
(TOTAL)</t>
  </si>
  <si>
    <t>Dispositivo
Especial</t>
  </si>
  <si>
    <t>Padrão</t>
  </si>
  <si>
    <t>Especial</t>
  </si>
  <si>
    <t>Simples</t>
  </si>
  <si>
    <t>Complexo</t>
  </si>
  <si>
    <t>MATERIAL</t>
  </si>
  <si>
    <t>MATRIZ</t>
  </si>
  <si>
    <t>Passagem</t>
  </si>
  <si>
    <t>Transpasse</t>
  </si>
  <si>
    <t>Prensa</t>
  </si>
  <si>
    <t>gpm</t>
  </si>
  <si>
    <t>Feeder</t>
  </si>
  <si>
    <t>m/min</t>
  </si>
  <si>
    <t>PRENSA</t>
  </si>
  <si>
    <t>Tempo de Batida</t>
  </si>
  <si>
    <t>Tempo de Corte</t>
  </si>
  <si>
    <t>Tempo Livre para Avanço</t>
  </si>
  <si>
    <t>Avanço</t>
  </si>
  <si>
    <t>Tempo de Avanço</t>
  </si>
  <si>
    <t>Avanço
(mm)</t>
  </si>
  <si>
    <t>Tempo
(min)</t>
  </si>
  <si>
    <t>CICLO NÃO-CONTÍNUO</t>
  </si>
  <si>
    <t>Comprimento da Peça</t>
  </si>
  <si>
    <t>%</t>
  </si>
  <si>
    <t>CICLO CONTÍNUO</t>
  </si>
  <si>
    <t>Linha de Programação</t>
  </si>
  <si>
    <t>Repetição
(x)</t>
  </si>
  <si>
    <t>Velocidade da Perfiladeira</t>
  </si>
  <si>
    <t xml:space="preserve"> m/min</t>
  </si>
  <si>
    <t>Total dos Avanços</t>
  </si>
  <si>
    <t>Total Avanço
(mm)</t>
  </si>
  <si>
    <t xml:space="preserve"> mm</t>
  </si>
  <si>
    <t>Velocidade
(m/min)</t>
  </si>
  <si>
    <t>PRECISÃO DE AVAÇO</t>
  </si>
  <si>
    <t>Margem de Aceitabilidade</t>
  </si>
  <si>
    <t>pulsos</t>
  </si>
  <si>
    <t>Encoder</t>
  </si>
  <si>
    <t>Diâmetro do Rolo</t>
  </si>
  <si>
    <t>Precisão dimensional de Avanço</t>
  </si>
  <si>
    <t>Comparativo entre LE vs ESP</t>
  </si>
  <si>
    <t>Limite de Escoamento</t>
  </si>
  <si>
    <t>MPa</t>
  </si>
  <si>
    <t>Força de Tração</t>
  </si>
  <si>
    <t>Largura de Tira</t>
  </si>
  <si>
    <t>kN</t>
  </si>
  <si>
    <t>MATERIAL 1</t>
  </si>
  <si>
    <t>MATERIAL 2</t>
  </si>
  <si>
    <t>TUBO 1</t>
  </si>
  <si>
    <t>60X60X4,00</t>
  </si>
  <si>
    <t>Momento de Inércia</t>
  </si>
  <si>
    <t>mm^4</t>
  </si>
  <si>
    <t>60X60X8,00</t>
  </si>
  <si>
    <t>TUBO 2</t>
  </si>
  <si>
    <t>Lado</t>
  </si>
  <si>
    <t>Força para deformar em flexão</t>
  </si>
  <si>
    <t>Entre centros da Calandra</t>
  </si>
  <si>
    <t>Comparativo entre Tubos</t>
  </si>
  <si>
    <t>Força de Dobramento</t>
  </si>
  <si>
    <t>ABA</t>
  </si>
  <si>
    <t>Comprimento de dobra</t>
  </si>
  <si>
    <t>N</t>
  </si>
  <si>
    <t xml:space="preserve"> </t>
  </si>
  <si>
    <t>Round tube</t>
  </si>
  <si>
    <t>Thickness group</t>
  </si>
  <si>
    <t>Thickness</t>
  </si>
  <si>
    <t>External Perimeter</t>
  </si>
  <si>
    <t>Group</t>
  </si>
  <si>
    <t>&gt;&gt;</t>
  </si>
  <si>
    <t>R</t>
  </si>
  <si>
    <t>From</t>
  </si>
  <si>
    <t>To</t>
  </si>
  <si>
    <t>Fator "K"</t>
  </si>
  <si>
    <t>P</t>
  </si>
  <si>
    <t>Center Line</t>
  </si>
  <si>
    <t>Chapa Fina &lt; 4,25 mm (Osvaldo)</t>
  </si>
  <si>
    <t>Chapa Grossa &gt; 4,25 mm (Osvaldo)</t>
  </si>
  <si>
    <t>Practical</t>
  </si>
  <si>
    <t>Project</t>
  </si>
  <si>
    <t>COPRA</t>
  </si>
  <si>
    <t>Área</t>
  </si>
  <si>
    <t>Força de Corte</t>
  </si>
  <si>
    <t>ton</t>
  </si>
  <si>
    <t>0"</t>
  </si>
  <si>
    <t>7"</t>
  </si>
  <si>
    <t>8"</t>
  </si>
  <si>
    <t>9"</t>
  </si>
  <si>
    <t>127.00</t>
  </si>
  <si>
    <t>1/32"</t>
  </si>
  <si>
    <t>0.794</t>
  </si>
  <si>
    <t>1/16"</t>
  </si>
  <si>
    <t>3/32"</t>
  </si>
  <si>
    <t>1/8"</t>
  </si>
  <si>
    <t>5/32"</t>
  </si>
  <si>
    <t>3/16"</t>
  </si>
  <si>
    <t>7/32"</t>
  </si>
  <si>
    <t>1/4"</t>
  </si>
  <si>
    <t>9/32"</t>
  </si>
  <si>
    <t>5/16"</t>
  </si>
  <si>
    <t>11/32"</t>
  </si>
  <si>
    <t>13/32"</t>
  </si>
  <si>
    <t>7/16"</t>
  </si>
  <si>
    <t>15/32"</t>
  </si>
  <si>
    <t>17/32"</t>
  </si>
  <si>
    <t>9/16"</t>
  </si>
  <si>
    <t>19/32"</t>
  </si>
  <si>
    <t>21/32"</t>
  </si>
  <si>
    <t>11/16"</t>
  </si>
  <si>
    <t>23/32"</t>
  </si>
  <si>
    <t>25/32"</t>
  </si>
  <si>
    <t>13/16"</t>
  </si>
  <si>
    <t>27/32"</t>
  </si>
  <si>
    <t>29/32"</t>
  </si>
  <si>
    <t>15/16"</t>
  </si>
  <si>
    <t>PESO DE TIRA</t>
  </si>
  <si>
    <t>BOBINA</t>
  </si>
  <si>
    <t>Øi</t>
  </si>
  <si>
    <t>762±30</t>
  </si>
  <si>
    <t>Øe</t>
  </si>
  <si>
    <t>SLITTER</t>
  </si>
  <si>
    <t>METRAGEM DE UMA TIRA</t>
  </si>
  <si>
    <t>1500 - 1600</t>
  </si>
  <si>
    <t>Largura</t>
  </si>
  <si>
    <t>m</t>
  </si>
  <si>
    <t>Peso Linear</t>
  </si>
  <si>
    <t>kg/m</t>
  </si>
  <si>
    <t>m/s</t>
  </si>
  <si>
    <t>CARBONO EQUIVALENTE</t>
  </si>
  <si>
    <t>C</t>
  </si>
  <si>
    <t>Mn</t>
  </si>
  <si>
    <t>Ni</t>
  </si>
  <si>
    <t>Cr</t>
  </si>
  <si>
    <t>Mo</t>
  </si>
  <si>
    <t>Cu</t>
  </si>
  <si>
    <t>V</t>
  </si>
  <si>
    <t>Fonte: Prof. Victor Hugo Velazquez (51) 9117.5325</t>
  </si>
  <si>
    <t>Fonte: NBR 7007 - 2002 - Aços Carbono e Microligados para Uso Estrutural em Geral</t>
  </si>
  <si>
    <t>Fator de Compressão</t>
  </si>
  <si>
    <t>* mínimo 5 mm</t>
  </si>
  <si>
    <t>COE1</t>
  </si>
  <si>
    <t>DT3</t>
  </si>
  <si>
    <t>DT4</t>
  </si>
  <si>
    <t>CL2</t>
  </si>
  <si>
    <t>CL1</t>
  </si>
  <si>
    <t>CA1</t>
  </si>
  <si>
    <t>C5</t>
  </si>
  <si>
    <t>C1</t>
  </si>
  <si>
    <t>C2</t>
  </si>
  <si>
    <t>C3</t>
  </si>
  <si>
    <t>C4</t>
  </si>
  <si>
    <t>C6</t>
  </si>
  <si>
    <t>POL</t>
  </si>
  <si>
    <t>Simulação para Largura de Bobina</t>
  </si>
  <si>
    <t>Campos a serem preenchidos</t>
  </si>
  <si>
    <t>Valores calculados parcialmente</t>
  </si>
  <si>
    <t>Valor total</t>
  </si>
  <si>
    <t>Campos previamente preenchidos com base em históricos (atualizado em Março/2014) - Valores podem serem alterados de acordo com as particularidades de cada projeto.</t>
  </si>
  <si>
    <t>Identificação do projeto (PJT XXX)</t>
  </si>
  <si>
    <t>Premissas</t>
  </si>
  <si>
    <t>Considerado 1/3 do custo fixo atual (sendo: Serras + Calandra Tauring + Calandra Nova)</t>
  </si>
  <si>
    <t>Baseado no histórico da calandra atual</t>
  </si>
  <si>
    <t>Considerado 1/3 do custo/hora do operador, visando que o mesmo não está full time nesta máquina.</t>
  </si>
  <si>
    <t>SAE 1010</t>
  </si>
  <si>
    <t>Curso de corte</t>
  </si>
  <si>
    <t>ângulo</t>
  </si>
  <si>
    <t>curso</t>
  </si>
  <si>
    <t>Rotação da Prensa</t>
  </si>
  <si>
    <t>Atualizado por Jocemar Gross</t>
  </si>
  <si>
    <t>Necessário ajustar rotação para</t>
  </si>
  <si>
    <t>Possível de utilizar rotação de</t>
  </si>
  <si>
    <t>Curso do martelo</t>
  </si>
  <si>
    <t>Velocidade do Feeder</t>
  </si>
  <si>
    <t>Aceleração do Feeder</t>
  </si>
  <si>
    <t>Ângulo de Alimentação</t>
  </si>
  <si>
    <t>(início)</t>
  </si>
  <si>
    <t>(fim)</t>
  </si>
  <si>
    <t>tempo</t>
  </si>
  <si>
    <t>vel</t>
  </si>
  <si>
    <r>
      <t>m/s</t>
    </r>
    <r>
      <rPr>
        <vertAlign val="superscript"/>
        <sz val="11"/>
        <color indexed="8"/>
        <rFont val="Calibri"/>
        <family val="2"/>
      </rPr>
      <t>2</t>
    </r>
  </si>
  <si>
    <t>Distância até obter vel máx Feeder</t>
  </si>
  <si>
    <t>Tempo até obter vel máx Feeder</t>
  </si>
  <si>
    <t>Distância percorrida com vel máx</t>
  </si>
  <si>
    <t>Tempo percorrido com vel máx</t>
  </si>
  <si>
    <t>Velocidade média do Feeder</t>
  </si>
  <si>
    <r>
      <t>t</t>
    </r>
    <r>
      <rPr>
        <b/>
        <vertAlign val="subscript"/>
        <sz val="11"/>
        <color indexed="8"/>
        <rFont val="Calibri"/>
        <family val="2"/>
      </rPr>
      <t>0</t>
    </r>
  </si>
  <si>
    <r>
      <t>t</t>
    </r>
    <r>
      <rPr>
        <b/>
        <vertAlign val="subscript"/>
        <sz val="11"/>
        <color indexed="8"/>
        <rFont val="Calibri"/>
        <family val="2"/>
      </rPr>
      <t>1</t>
    </r>
  </si>
  <si>
    <r>
      <t>t</t>
    </r>
    <r>
      <rPr>
        <b/>
        <vertAlign val="subscript"/>
        <sz val="11"/>
        <color indexed="8"/>
        <rFont val="Calibri"/>
        <family val="2"/>
      </rPr>
      <t>2</t>
    </r>
  </si>
  <si>
    <r>
      <t>t</t>
    </r>
    <r>
      <rPr>
        <b/>
        <vertAlign val="subscript"/>
        <sz val="11"/>
        <color indexed="8"/>
        <rFont val="Calibri"/>
        <family val="2"/>
      </rPr>
      <t>3</t>
    </r>
  </si>
  <si>
    <t>avanço</t>
  </si>
  <si>
    <t>Performance calculada do Feeder</t>
  </si>
  <si>
    <t>Tempo de Ciclo (Avanço + Corte)</t>
  </si>
  <si>
    <t>Prático</t>
  </si>
  <si>
    <t>Teórico</t>
  </si>
  <si>
    <t>considerar</t>
  </si>
  <si>
    <t>não considerar</t>
  </si>
  <si>
    <t>Tempo de Comunicação Feeder+Prensa</t>
  </si>
  <si>
    <t>Desempenho prático do Feeder</t>
  </si>
  <si>
    <t>Tempo real para o avanço determinado</t>
  </si>
  <si>
    <t>Tempo teórico para o avanço determinado</t>
  </si>
  <si>
    <r>
      <t>m/s</t>
    </r>
    <r>
      <rPr>
        <vertAlign val="superscript"/>
        <sz val="11"/>
        <color indexed="8"/>
        <rFont val="Calibri"/>
        <family val="2"/>
      </rPr>
      <t>2</t>
    </r>
  </si>
  <si>
    <t>%
feeder</t>
  </si>
  <si>
    <t>máx 1829</t>
  </si>
  <si>
    <t xml:space="preserve">Alimentador </t>
  </si>
  <si>
    <t>Legenda:</t>
  </si>
  <si>
    <t>Parâmetro Editável</t>
  </si>
  <si>
    <t xml:space="preserve">Velocidade </t>
  </si>
  <si>
    <t xml:space="preserve">Resultado </t>
  </si>
  <si>
    <t>Aceleração</t>
  </si>
  <si>
    <t>m/s²</t>
  </si>
  <si>
    <t xml:space="preserve"> Continuo</t>
  </si>
  <si>
    <r>
      <t>∆x até V</t>
    </r>
    <r>
      <rPr>
        <sz val="8"/>
        <color indexed="8"/>
        <rFont val="Calibri"/>
        <family val="2"/>
      </rPr>
      <t>f</t>
    </r>
    <r>
      <rPr>
        <sz val="10"/>
        <color theme="1"/>
        <rFont val="Arial"/>
        <family val="2"/>
      </rPr>
      <t xml:space="preserve"> (m) </t>
    </r>
  </si>
  <si>
    <r>
      <t>∆s até V</t>
    </r>
    <r>
      <rPr>
        <sz val="8"/>
        <color indexed="8"/>
        <rFont val="Calibri"/>
        <family val="2"/>
      </rPr>
      <t>f</t>
    </r>
    <r>
      <rPr>
        <sz val="10"/>
        <color theme="1"/>
        <rFont val="Arial"/>
        <family val="2"/>
      </rPr>
      <t xml:space="preserve"> (s)</t>
    </r>
  </si>
  <si>
    <r>
      <t>∆x com V</t>
    </r>
    <r>
      <rPr>
        <sz val="8"/>
        <color indexed="8"/>
        <rFont val="Calibri"/>
        <family val="2"/>
      </rPr>
      <t>f</t>
    </r>
    <r>
      <rPr>
        <sz val="10"/>
        <color theme="1"/>
        <rFont val="Arial"/>
        <family val="2"/>
      </rPr>
      <t xml:space="preserve"> (m)</t>
    </r>
  </si>
  <si>
    <r>
      <t>∆s com V</t>
    </r>
    <r>
      <rPr>
        <sz val="8"/>
        <color indexed="8"/>
        <rFont val="Calibri"/>
        <family val="2"/>
      </rPr>
      <t>f</t>
    </r>
    <r>
      <rPr>
        <sz val="10"/>
        <color theme="1"/>
        <rFont val="Arial"/>
        <family val="2"/>
      </rPr>
      <t xml:space="preserve"> (s)</t>
    </r>
  </si>
  <si>
    <t>Tempo do avanço</t>
  </si>
  <si>
    <t xml:space="preserve">Velocidade média </t>
  </si>
  <si>
    <t>Desempenho</t>
  </si>
  <si>
    <t xml:space="preserve"> Não Continuo</t>
  </si>
  <si>
    <t>Tempo
(s)</t>
  </si>
  <si>
    <t>Linha 1</t>
  </si>
  <si>
    <t>Linha 2</t>
  </si>
  <si>
    <t>Linha 3</t>
  </si>
  <si>
    <t>Linha 4</t>
  </si>
  <si>
    <t>Linha 5</t>
  </si>
  <si>
    <t>Linha 6</t>
  </si>
  <si>
    <t>Linha 7</t>
  </si>
  <si>
    <t>Linha 8</t>
  </si>
  <si>
    <t>Linha 9</t>
  </si>
  <si>
    <t>Linha 10</t>
  </si>
  <si>
    <t>Linha 11</t>
  </si>
  <si>
    <t>Linha 12</t>
  </si>
  <si>
    <t>Linha 13</t>
  </si>
  <si>
    <t>Linha 14</t>
  </si>
  <si>
    <t>Linha 15</t>
  </si>
  <si>
    <t>Linha 16</t>
  </si>
  <si>
    <t>Linha 17</t>
  </si>
  <si>
    <t>Linha 18</t>
  </si>
  <si>
    <t>Linha 19</t>
  </si>
  <si>
    <t>Linha 20</t>
  </si>
  <si>
    <t>Ineficiência</t>
  </si>
  <si>
    <t>Avanço Total</t>
  </si>
  <si>
    <t>Tempo Total</t>
  </si>
  <si>
    <t>min</t>
  </si>
  <si>
    <t>Velocidade Média</t>
  </si>
  <si>
    <t xml:space="preserve">Prensa </t>
  </si>
  <si>
    <t xml:space="preserve"> Contínuo</t>
  </si>
  <si>
    <t>Total de Ciclos</t>
  </si>
  <si>
    <t xml:space="preserve">Sistema Hidraulico (Av+Re) </t>
  </si>
  <si>
    <t>Avanço do material</t>
  </si>
  <si>
    <t>Tempo do Ciclo</t>
  </si>
  <si>
    <t>Fator de Correção</t>
  </si>
  <si>
    <t>Tempo do Fator</t>
  </si>
  <si>
    <t xml:space="preserve"> Não Contínuo</t>
  </si>
  <si>
    <t>Velocidade</t>
  </si>
  <si>
    <t>Elaborado por: Cristian Garcia</t>
  </si>
  <si>
    <t>Data: 30/07/15</t>
  </si>
  <si>
    <t>Atualiazado por: Cristian Garcia</t>
  </si>
  <si>
    <t>Inificiência</t>
  </si>
  <si>
    <t>Componentes</t>
  </si>
  <si>
    <t>Comprimento de processo
(mm de Solda)</t>
  </si>
  <si>
    <t>Tempo Arco Aberto (s/pc)</t>
  </si>
  <si>
    <t>Tempo de Limpeza (s/pc)</t>
  </si>
  <si>
    <t>Alimentação/Posicionamento (s/pc)</t>
  </si>
  <si>
    <t>Tempo de Setup (Hora)</t>
  </si>
  <si>
    <t xml:space="preserve">Ajuste
</t>
  </si>
  <si>
    <t>Perda padrão</t>
  </si>
  <si>
    <t>Part Number</t>
  </si>
  <si>
    <t>Kg/pç</t>
  </si>
  <si>
    <t>Preço Peças Terceiros 
(R$/Pç)</t>
  </si>
  <si>
    <t>Custo Peças Terceiros
(R$/ton)</t>
  </si>
  <si>
    <t>CPV Tubo Peça 
(R$ton)</t>
  </si>
  <si>
    <t xml:space="preserve">Representatividade </t>
  </si>
  <si>
    <t>Custo MP
 (R$/ton)</t>
  </si>
  <si>
    <t>CS01</t>
  </si>
  <si>
    <t>SOLDA</t>
  </si>
  <si>
    <t xml:space="preserve"> -</t>
  </si>
  <si>
    <t xml:space="preserve">  -</t>
  </si>
  <si>
    <t>Custo MP PJT</t>
  </si>
  <si>
    <t>QTD (Peças/ton)</t>
  </si>
  <si>
    <t>Solda</t>
  </si>
  <si>
    <t>QTD
(Peças/CJ)</t>
  </si>
  <si>
    <t>Peso Cj.</t>
  </si>
  <si>
    <t>Consumo
(Cj/lote)</t>
  </si>
  <si>
    <t>C7</t>
  </si>
  <si>
    <t>L3D1</t>
  </si>
  <si>
    <t>Dobra Calandra</t>
  </si>
  <si>
    <t>Dobradeira CNC</t>
  </si>
  <si>
    <t>CL2 (LT8)</t>
  </si>
  <si>
    <t>CL1 (LT722)</t>
  </si>
  <si>
    <t>CT1 (Tauring)</t>
  </si>
  <si>
    <t>CT2 (Calfran)</t>
  </si>
  <si>
    <t xml:space="preserve">L3D1 </t>
  </si>
  <si>
    <t>Momento de inércia no Solid Works no eixo "Y"</t>
  </si>
  <si>
    <t>Raio de Dobra</t>
  </si>
  <si>
    <t>Ângulo de dobra</t>
  </si>
  <si>
    <t>°</t>
  </si>
  <si>
    <t>Limite de escoamento</t>
  </si>
  <si>
    <t>Momento de inércia</t>
  </si>
  <si>
    <t>OBS: Sempre utilizar o momento no sentido da dobra</t>
  </si>
  <si>
    <t>Força de Dobra Estimada</t>
  </si>
  <si>
    <t>Nm</t>
  </si>
  <si>
    <t>Capacidade Máquinas</t>
  </si>
  <si>
    <t>Momento de inércia no Solid Works no eixo "X"</t>
  </si>
  <si>
    <t>Cálculo da força de dobra</t>
  </si>
  <si>
    <t>Caixas de armazenagem</t>
  </si>
  <si>
    <t>Espessura
(mm)</t>
  </si>
  <si>
    <t>Peso Linear Tira
(kg/m)</t>
  </si>
  <si>
    <t>Peso Linear Tubo
(kg/m)</t>
  </si>
  <si>
    <t>Peso Bruto
(kg/pc)</t>
  </si>
  <si>
    <t>Peso Líquido
(kg/pc)</t>
  </si>
  <si>
    <t>Perdas MP
(%)</t>
  </si>
  <si>
    <t>Lote de Produção
(ton)</t>
  </si>
  <si>
    <t>Consumo
(ton/mês)</t>
  </si>
  <si>
    <t>Consumo
(pc/mês)</t>
  </si>
  <si>
    <t>Setup
(horas)</t>
  </si>
  <si>
    <t>Ajuste</t>
  </si>
  <si>
    <t>Setup TOTAL
(horas)</t>
  </si>
  <si>
    <t>Eficiência
(%)</t>
  </si>
  <si>
    <t>Perdas de Processo
(%)</t>
  </si>
  <si>
    <t>Perdas - Ajuste
(%)</t>
  </si>
  <si>
    <t>Perdas TOTAL
(%)</t>
  </si>
  <si>
    <t>TEMPO OPERAÇÃO
(min/ton)</t>
  </si>
  <si>
    <t>TEMPO PREPARAÇÃO
(min/ton)</t>
  </si>
  <si>
    <t>Carga Horária
(horas)</t>
  </si>
  <si>
    <t>TEMPO PRODUÇÃO
(horas)</t>
  </si>
  <si>
    <t>TEMPO PRODUÇÃO
(dias úteis)</t>
  </si>
  <si>
    <t>CARGA MÁQUINA
(dias úteis)</t>
  </si>
  <si>
    <t>PRODUÇÃO DIA
(ton)</t>
  </si>
  <si>
    <t>Comprimento de processo
(mm)</t>
  </si>
  <si>
    <t>Sucata de Processo
(kg)</t>
  </si>
  <si>
    <t>Múltiplo
(pc/barra)</t>
  </si>
  <si>
    <t>Altura do Amarrado/Peça
(mm)</t>
  </si>
  <si>
    <t>Adicional
(mm)</t>
  </si>
  <si>
    <t>Comprimento Múltiplo
(mm)</t>
  </si>
  <si>
    <t>Tempo por peça
(s/pc)</t>
  </si>
  <si>
    <t>Tempo por peça
(min/pc)</t>
  </si>
  <si>
    <t>Perdas SCRAP
(%)</t>
  </si>
  <si>
    <t>CUSTO HORA MÁQ.
(R$/hora)</t>
  </si>
  <si>
    <t>CUSTO MP
(R$/ton)</t>
  </si>
  <si>
    <t>CUSTO PERDAS
(R$/ton)</t>
  </si>
  <si>
    <t>CUSTO PREPARAÇÃO
(R$/ton)</t>
  </si>
  <si>
    <t>CUSTO OPERAÇÃO
(R$/ton)</t>
  </si>
  <si>
    <t>CUSTO
(R$/ton)</t>
  </si>
  <si>
    <t>Tempo de Corte (s/mm)</t>
  </si>
  <si>
    <t>Descrição do item:</t>
  </si>
  <si>
    <t>Legenda</t>
  </si>
  <si>
    <t>Nome do Cliente:</t>
  </si>
  <si>
    <t>Automático</t>
  </si>
  <si>
    <t>Aplicação:</t>
  </si>
  <si>
    <t>Lote de Produção:</t>
  </si>
  <si>
    <t>metros</t>
  </si>
  <si>
    <t>peças</t>
  </si>
  <si>
    <t>Comprimento</t>
  </si>
  <si>
    <t>Bitola de Origem</t>
  </si>
  <si>
    <t>Lagura da Tira</t>
  </si>
  <si>
    <t>Peso Nominal</t>
  </si>
  <si>
    <t>Decapado</t>
  </si>
  <si>
    <t>RIR</t>
  </si>
  <si>
    <t>Metalização</t>
  </si>
  <si>
    <t>Eddy Current</t>
  </si>
  <si>
    <t>Revisão</t>
  </si>
  <si>
    <t>Responsável</t>
  </si>
  <si>
    <t>Data</t>
  </si>
  <si>
    <t>Selecionável</t>
  </si>
  <si>
    <t>Fixo</t>
  </si>
  <si>
    <t>Versão 1.0_2021</t>
  </si>
  <si>
    <t>Versão 1.0</t>
  </si>
  <si>
    <t>Arthur Boff</t>
  </si>
  <si>
    <t>Consumo:</t>
  </si>
  <si>
    <t>Tubos Conf. Convencional</t>
  </si>
  <si>
    <t>Formadora 1</t>
  </si>
  <si>
    <t>Formadora 2</t>
  </si>
  <si>
    <t>Formadora 3</t>
  </si>
  <si>
    <t>Formadora 4</t>
  </si>
  <si>
    <t>Formadora 5</t>
  </si>
  <si>
    <t>Formadora 6</t>
  </si>
  <si>
    <t>Perfiladeira 1</t>
  </si>
  <si>
    <t>Perfiladeira 2</t>
  </si>
  <si>
    <t>Perfiladeira 3</t>
  </si>
  <si>
    <t>Formadora 7</t>
  </si>
  <si>
    <t>DADOS DO PRODUTO</t>
  </si>
  <si>
    <t>Perdas de Processo</t>
  </si>
  <si>
    <t>Estágios de Conf.</t>
  </si>
  <si>
    <t>Perdas Ajuste</t>
  </si>
  <si>
    <t>Tempo Operação</t>
  </si>
  <si>
    <t>Horas</t>
  </si>
  <si>
    <t>min/ton</t>
  </si>
  <si>
    <t>Tempo Preparação</t>
  </si>
  <si>
    <t>Tempo Produção</t>
  </si>
  <si>
    <t>Dias Uteis</t>
  </si>
  <si>
    <t>Carga Máquina</t>
  </si>
  <si>
    <t>Produção</t>
  </si>
  <si>
    <t>Ton/Dia</t>
  </si>
  <si>
    <t>Perdas Pré Punching</t>
  </si>
  <si>
    <t>Perdas Corte</t>
  </si>
  <si>
    <t>DADOS DO PROCESSO - CONFORMAÇÃO</t>
  </si>
  <si>
    <t>Minutos</t>
  </si>
  <si>
    <t>Tubos Direct Forming</t>
  </si>
  <si>
    <t xml:space="preserve">Perfis </t>
  </si>
  <si>
    <t>Máquinas de Conformação</t>
  </si>
  <si>
    <t>Processo Agregado 1</t>
  </si>
  <si>
    <t>Corte Reto_C6</t>
  </si>
  <si>
    <t>Corte Reto_C7</t>
  </si>
  <si>
    <t>Corte Reto_C5</t>
  </si>
  <si>
    <t>Corte Laser_CL1</t>
  </si>
  <si>
    <t>Corte Laser_CL2</t>
  </si>
  <si>
    <t>Célula de Operações Especiais_COE1</t>
  </si>
  <si>
    <t>Calandra Tauring_CT1</t>
  </si>
  <si>
    <t>Calandra Calfran_CT2</t>
  </si>
  <si>
    <t>Dobra Tubos CNC_DT3</t>
  </si>
  <si>
    <t>Dobra Tubos CNC_DT4</t>
  </si>
  <si>
    <t>Corte Laser_L3D1</t>
  </si>
  <si>
    <t>Célula de Solda_CS01</t>
  </si>
  <si>
    <t>Corte Laser_CL3</t>
  </si>
  <si>
    <t>Célula de Solda_CS02</t>
  </si>
  <si>
    <t>Célula de Solda_CS03</t>
  </si>
  <si>
    <t>Máquina After Operation</t>
  </si>
  <si>
    <t>ok</t>
  </si>
  <si>
    <t>Perdas Totais</t>
  </si>
  <si>
    <t>Perda</t>
  </si>
  <si>
    <t>Setup Pré Punching</t>
  </si>
  <si>
    <t>Classificação de Busca</t>
  </si>
  <si>
    <t>Setup In-line</t>
  </si>
  <si>
    <t>Setup Off-line</t>
  </si>
  <si>
    <t>Projeto N°</t>
  </si>
  <si>
    <t>Opcional</t>
  </si>
  <si>
    <t>Obrigatório</t>
  </si>
  <si>
    <t>Responsável:</t>
  </si>
  <si>
    <t>ESTUDOS DE VIABILIDADE</t>
  </si>
  <si>
    <t>Setup Total</t>
  </si>
  <si>
    <t>Observações:</t>
  </si>
  <si>
    <t>Tempo Setup (Hrs)</t>
  </si>
  <si>
    <t>Média</t>
  </si>
  <si>
    <t>Setup Conformação</t>
  </si>
  <si>
    <t>Setup Corte</t>
  </si>
  <si>
    <t>Tipo de Matriz P.P.</t>
  </si>
  <si>
    <t>Indiferente</t>
  </si>
  <si>
    <t>Procura</t>
  </si>
  <si>
    <t>Setup (hrs)</t>
  </si>
  <si>
    <t>Área de Perfuração Total</t>
  </si>
  <si>
    <t>mm²</t>
  </si>
  <si>
    <t>Mín.</t>
  </si>
  <si>
    <t>Máx.</t>
  </si>
  <si>
    <t>Alongamento (%):</t>
  </si>
  <si>
    <t>Espessura (mm):</t>
  </si>
  <si>
    <t>Limite de Escoamento (MPa):</t>
  </si>
  <si>
    <t>Limite de Resistência (MPa):</t>
  </si>
  <si>
    <t>Ton/mês</t>
  </si>
  <si>
    <t>Peça/mês</t>
  </si>
  <si>
    <t>Ton</t>
  </si>
  <si>
    <t>Força de Perfuração</t>
  </si>
  <si>
    <t>Perimetro de Perfuração Total</t>
  </si>
  <si>
    <t>Metros</t>
  </si>
  <si>
    <t>Tempo por Peça</t>
  </si>
  <si>
    <t>s/peça</t>
  </si>
  <si>
    <t>Perdas Processo</t>
  </si>
  <si>
    <t>Perdas Scrap</t>
  </si>
  <si>
    <t>Eficiência (%)</t>
  </si>
  <si>
    <t>Processo Agregado 2</t>
  </si>
  <si>
    <t>Peças / multiplo</t>
  </si>
  <si>
    <t>Peças</t>
  </si>
  <si>
    <t>Peso Bruto</t>
  </si>
  <si>
    <t>Peso Líquido</t>
  </si>
  <si>
    <t>kg/PC</t>
  </si>
  <si>
    <t>Sucata Processo</t>
  </si>
  <si>
    <t>Lote</t>
  </si>
  <si>
    <t>Consumo</t>
  </si>
  <si>
    <t>Dados Máquinas</t>
  </si>
  <si>
    <t>AGREGADOS</t>
  </si>
  <si>
    <t>CONFORMAÇÃO</t>
  </si>
  <si>
    <t xml:space="preserve">Tempo de Corte (s/pc) </t>
  </si>
  <si>
    <t>Processo Agregado 3</t>
  </si>
  <si>
    <t>Processo Agregado 4</t>
  </si>
  <si>
    <t>Classificação da Peça</t>
  </si>
  <si>
    <t>Eficiência Leve</t>
  </si>
  <si>
    <t>Eficiência Normal</t>
  </si>
  <si>
    <t>Eficiência Pesada</t>
  </si>
  <si>
    <t>Eficiência das Máquinas (%)</t>
  </si>
  <si>
    <t>Limitantes de Projeto:</t>
  </si>
  <si>
    <t>Criado novo modelo para Estudos de Viabilidade, atualizando os campos da antiga planilha</t>
  </si>
  <si>
    <t>Estudos</t>
  </si>
  <si>
    <t>Projeto
GPE</t>
  </si>
  <si>
    <t>Diâmetro Médio
(mm)</t>
  </si>
  <si>
    <t>Largura Média
(mm)</t>
  </si>
  <si>
    <t>Peso de MP
(kg)</t>
  </si>
  <si>
    <t>Quantidade
(un)</t>
  </si>
  <si>
    <t>Gabarito Dimensional
(TOTAL)</t>
  </si>
  <si>
    <t>Gabarito de
Laser 3D
(TOTAL)</t>
  </si>
  <si>
    <t>Peso Linear
(kg/Cj)</t>
  </si>
  <si>
    <t xml:space="preserve">Consumo
(Cj/ton)
</t>
  </si>
  <si>
    <t xml:space="preserve">Consumo
(m/mês)
</t>
  </si>
  <si>
    <t>Espessura (mm)</t>
  </si>
  <si>
    <t>Operação (min/ton)</t>
  </si>
  <si>
    <t>Preparação (min/ton)</t>
  </si>
  <si>
    <t>Perdas (%)</t>
  </si>
  <si>
    <t>Tempo Total (h/ton)</t>
  </si>
  <si>
    <t>0,60 à 3,75</t>
  </si>
  <si>
    <t>4,0 à 6,30</t>
  </si>
  <si>
    <t>x</t>
  </si>
  <si>
    <t>Conjuntos Soldados</t>
  </si>
  <si>
    <t>Galvanizado</t>
  </si>
  <si>
    <t>Pintado</t>
  </si>
  <si>
    <t>Componentes Soldados</t>
  </si>
  <si>
    <t xml:space="preserve">Preço Peças Terceiros </t>
  </si>
  <si>
    <t>Peças/CJ</t>
  </si>
  <si>
    <t>Peso do Conjunto</t>
  </si>
  <si>
    <t>R$/PC</t>
  </si>
  <si>
    <t>Custo Peças Terceiros</t>
  </si>
  <si>
    <t xml:space="preserve">CPV Tubo Peça </t>
  </si>
  <si>
    <t>Custo MP</t>
  </si>
  <si>
    <t>Representatividade</t>
  </si>
  <si>
    <t>kg/pç</t>
  </si>
  <si>
    <t>kg/pc</t>
  </si>
  <si>
    <t>R$/Ton</t>
  </si>
  <si>
    <t>Comprimento de Cordão</t>
  </si>
  <si>
    <t>mm de Solda</t>
  </si>
  <si>
    <t>Tempo de Limpeza</t>
  </si>
  <si>
    <t>s/PC</t>
  </si>
  <si>
    <t xml:space="preserve">Alimentação / Posicionamento </t>
  </si>
  <si>
    <t>Tempo Arco Aberto</t>
  </si>
  <si>
    <t>Min/PC</t>
  </si>
  <si>
    <t>Tempo Setup</t>
  </si>
  <si>
    <t>Revisão N°</t>
  </si>
  <si>
    <t>DADOS DO PROCESSO - SOLDAGEM</t>
  </si>
  <si>
    <t>Setup Off-Line Total</t>
  </si>
  <si>
    <t>Qtd de Caixas de Armazenagem</t>
  </si>
  <si>
    <t>Largura Teórica</t>
  </si>
  <si>
    <t>Versão 1.1</t>
  </si>
  <si>
    <t>Alterada perdas de processo para máquinas de conformação padrão.</t>
  </si>
  <si>
    <t>Versão 1.2</t>
  </si>
  <si>
    <t>Adicionado tempo de preparação offline para Direct Forming</t>
  </si>
  <si>
    <t>Versão 1.3</t>
  </si>
  <si>
    <t>Corrigido problemas de cálculo encontrados e algumas unidades de medidas incorretas.</t>
  </si>
  <si>
    <t>Versão 1.4</t>
  </si>
  <si>
    <t>Alterada forma que é disposta as larguras de tira conforme o tipo de produto escolhido.</t>
  </si>
  <si>
    <t>Versão 1.5</t>
  </si>
  <si>
    <t>Turnos de Trabalho</t>
  </si>
  <si>
    <t>Comprimento Processo</t>
  </si>
  <si>
    <t>DADOS DO PROCESSO - AGREGADOS</t>
  </si>
  <si>
    <t>REDmín = (øSOLDA x pi)-(1,5 x #)</t>
  </si>
  <si>
    <t>REDmáx = (øSOLDA x pi)-(2,5 x #)</t>
  </si>
  <si>
    <t>QUAmín = Perímetro - 1,5 x #</t>
  </si>
  <si>
    <t>QUAmáx = Perímetro - 2,5 x #</t>
  </si>
  <si>
    <t>Lt=(Ds-S)+K.S (MTM)</t>
  </si>
  <si>
    <t>Perdas Produção</t>
  </si>
  <si>
    <t>Alterada parte dos AO, tornando alguns dados dependentes do processo anterior.</t>
  </si>
  <si>
    <t>Carga Por Turno</t>
  </si>
  <si>
    <t>Ø [mm]</t>
  </si>
  <si>
    <t>D1 [mm]</t>
  </si>
  <si>
    <t>D2 [mm]</t>
  </si>
  <si>
    <t>Oblongo</t>
  </si>
  <si>
    <t>NA</t>
  </si>
  <si>
    <t>Retangular</t>
  </si>
  <si>
    <t>Quadro</t>
  </si>
  <si>
    <t>Operação</t>
  </si>
  <si>
    <t>Preparação</t>
  </si>
  <si>
    <t>(mm)</t>
  </si>
  <si>
    <t>(min/ton)</t>
  </si>
  <si>
    <t>(%)</t>
  </si>
  <si>
    <t>(h/ton)</t>
  </si>
  <si>
    <t>Operação Slliter</t>
  </si>
  <si>
    <t>Preparação Slliter</t>
  </si>
  <si>
    <t>Perdas Slliter</t>
  </si>
  <si>
    <t xml:space="preserve">31/32" </t>
  </si>
  <si>
    <t>Dados De SLLITER</t>
  </si>
  <si>
    <t>Redondo</t>
  </si>
  <si>
    <t>[mm²]</t>
  </si>
  <si>
    <t>Versão 1.6</t>
  </si>
  <si>
    <t>Adicionada tabela para calculo de área e perimetro de perfuração (pre-punching).</t>
  </si>
  <si>
    <t>Dados dos furos</t>
  </si>
  <si>
    <t>[mm]</t>
  </si>
  <si>
    <t>Perimetro</t>
  </si>
  <si>
    <t>Tipo Punção</t>
  </si>
  <si>
    <t>Formadoras 01 a 06</t>
  </si>
  <si>
    <t>Formadora 07 (Direct Forming)</t>
  </si>
  <si>
    <t>Perfiladeiras 01 a 03</t>
  </si>
  <si>
    <t>Versão 1.7</t>
  </si>
  <si>
    <t>Alterada a forma de calculo para forças de pre punching (junto com a tabela da Versão 1.6).</t>
  </si>
  <si>
    <t>Qtd. Total</t>
  </si>
  <si>
    <t>Qtd. Perfuração</t>
  </si>
  <si>
    <t>Quantidades</t>
  </si>
  <si>
    <t>Total:</t>
  </si>
  <si>
    <t>Tratamento Térmico:</t>
  </si>
  <si>
    <t>Usinagem Externa:</t>
  </si>
  <si>
    <t>Investimentos - Resumo</t>
  </si>
  <si>
    <t>Versão 1.8</t>
  </si>
  <si>
    <t>Arthur Boff / Cristian Garcia</t>
  </si>
  <si>
    <t>Abreviação de Nomes das Máquinas</t>
  </si>
  <si>
    <t>Abreviação</t>
  </si>
  <si>
    <t>PF03</t>
  </si>
  <si>
    <t>Rolos de Conformação:</t>
  </si>
  <si>
    <t>Adicionada tabela de Investimentos. Inclusão do módulo GPEAutomation.</t>
  </si>
  <si>
    <t>Versão 2.0</t>
  </si>
  <si>
    <t>R.F. e A.O.</t>
  </si>
  <si>
    <t>Conj. Sold.</t>
  </si>
  <si>
    <t>Custo:</t>
  </si>
  <si>
    <t>Operação Extra:</t>
  </si>
  <si>
    <t>Lote:</t>
  </si>
  <si>
    <t>Auxílio de Cálculo</t>
  </si>
  <si>
    <t>Adicionado Ribbon "Estudos de Viabilidades". Transferido ao Controle pelo Cronus.</t>
  </si>
  <si>
    <t>Custo M.O.
(R$/pc)</t>
  </si>
  <si>
    <t>Custo T.T.
(R$/kg)</t>
  </si>
  <si>
    <t>Custo M.P.
(R$/kg)</t>
  </si>
  <si>
    <t>Carros e Dispositivos Especiais:</t>
  </si>
  <si>
    <t>Matriz de Pre Punching:</t>
  </si>
  <si>
    <t>Mordente ou Matriz de Corte:</t>
  </si>
  <si>
    <t>Caixas de armazenagem:</t>
  </si>
  <si>
    <t>SD01-rev.Out/21</t>
  </si>
  <si>
    <t>SD02-rev.Out/21</t>
  </si>
  <si>
    <t>C.S. PJT 2444.5</t>
  </si>
  <si>
    <t>CONJ SOLDADO (TUBO TR114603)</t>
  </si>
  <si>
    <t>Fernando</t>
  </si>
  <si>
    <t>TA27207</t>
  </si>
  <si>
    <t>TA19535</t>
  </si>
  <si>
    <t>TR115389</t>
  </si>
  <si>
    <t>L100974</t>
  </si>
  <si>
    <t>TR114603</t>
  </si>
  <si>
    <t>C.S. PJT 2444.6</t>
  </si>
  <si>
    <t>TA20400</t>
  </si>
  <si>
    <t>TR120757</t>
  </si>
  <si>
    <t>TR114604</t>
  </si>
  <si>
    <t>C.S. PJT 2444.7</t>
  </si>
  <si>
    <t>TR114892</t>
  </si>
  <si>
    <t>L79926</t>
  </si>
  <si>
    <t>H154370</t>
  </si>
  <si>
    <t>C.S. PJT 2444.8</t>
  </si>
  <si>
    <t>C.S. PJT 2444.9</t>
  </si>
  <si>
    <t>TR126149</t>
  </si>
  <si>
    <t>MIU10342</t>
  </si>
  <si>
    <t>C.S. PJT 2444.10</t>
  </si>
  <si>
    <t>TR126110</t>
  </si>
  <si>
    <t>MIU10230</t>
  </si>
  <si>
    <t>C.S. PJT 2444.11</t>
  </si>
  <si>
    <t>LUV29605</t>
  </si>
  <si>
    <t>TA20806</t>
  </si>
  <si>
    <t>TA22678</t>
  </si>
  <si>
    <t>TA22679</t>
  </si>
  <si>
    <t>MIU10226</t>
  </si>
  <si>
    <t>C.S. PJT 2444.12</t>
  </si>
  <si>
    <t>TR126112</t>
  </si>
  <si>
    <t>MIU11137</t>
  </si>
  <si>
    <t>Resumo do Projeto</t>
  </si>
  <si>
    <t xml:space="preserve">Investimento </t>
  </si>
  <si>
    <t>2444.12</t>
  </si>
  <si>
    <t>2444.11</t>
  </si>
  <si>
    <t>2444.10</t>
  </si>
  <si>
    <t>2444.9</t>
  </si>
  <si>
    <t>2444.8</t>
  </si>
  <si>
    <t>2444.7</t>
  </si>
  <si>
    <t>2444.6</t>
  </si>
  <si>
    <t>2444.5</t>
  </si>
  <si>
    <t>Tempo (h)</t>
  </si>
  <si>
    <t>Considerações: 
 - principais investimento são gabaritos de solda, gabaritos dimensionais e máquina solda stud (solda pino);
- para tados PN's foi considerado lote de produção de 3 meses (180 peças);</t>
  </si>
  <si>
    <t>TR127691</t>
  </si>
  <si>
    <t>14M7233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</si>
</sst>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_(&quot;R$&quot;* #,##0.00_);_(&quot;R$&quot;* \(#,##0.00\);_(&quot;R$&quot;* &quot;-&quot;??_);_(@_)"/>
    <numFmt numFmtId="165" formatCode="_(* #,##0.00_);_(* \(#,##0.00\);_(* &quot;-&quot;??_);_(@_)"/>
    <numFmt numFmtId="166" formatCode="_(&quot;R$ &quot;* #,##0.00_);_(&quot;R$ &quot;* \(#,##0.00\);_(&quot;R$ &quot;* &quot;-&quot;??_);_(@_)"/>
    <numFmt numFmtId="167" formatCode="0.0"/>
    <numFmt numFmtId="168" formatCode="0.000"/>
    <numFmt numFmtId="169" formatCode="0.00000"/>
    <numFmt numFmtId="170" formatCode="0.0%"/>
    <numFmt numFmtId="171" formatCode="0.0\ &quot;x esp&quot;"/>
    <numFmt numFmtId="172" formatCode="0\°"/>
    <numFmt numFmtId="173" formatCode="0.00\ &quot;s&quot;"/>
    <numFmt numFmtId="174" formatCode="0.0000"/>
    <numFmt numFmtId="175" formatCode="#&quot; UN&quot;"/>
    <numFmt numFmtId="176" formatCode="_-[$R$-416]\ * #,##0.00_-;\-[$R$-416]\ * #,##0.00_-;_-[$R$-416]\ * &quot;-&quot;??_-;_-@_-"/>
  </numFmts>
  <fonts count="91" x14ac:knownFonts="1">
    <font>
      <sz val="10"/>
      <color theme="1"/>
      <name val="Arial"/>
      <family val="2"/>
    </font>
    <font>
      <sz val="10"/>
      <color theme="1"/>
      <name val="Arial"/>
      <family val="2"/>
    </font>
    <font>
      <i/>
      <sz val="11"/>
      <color indexed="8"/>
      <name val="Calibri"/>
      <family val="2"/>
    </font>
    <font>
      <sz val="10"/>
      <name val="Arial"/>
      <family val="2"/>
    </font>
    <font>
      <i/>
      <sz val="10"/>
      <color indexed="8"/>
      <name val="Calibri"/>
      <family val="2"/>
    </font>
    <font>
      <sz val="8"/>
      <color indexed="81"/>
      <name val="Tahoma"/>
      <family val="2"/>
    </font>
    <font>
      <b/>
      <sz val="8"/>
      <color indexed="81"/>
      <name val="Tahoma"/>
      <family val="2"/>
    </font>
    <font>
      <b/>
      <sz val="10"/>
      <name val="Arial"/>
      <family val="2"/>
    </font>
    <font>
      <b/>
      <sz val="10"/>
      <name val="Verdana"/>
      <family val="2"/>
    </font>
    <font>
      <i/>
      <sz val="10"/>
      <name val="Arial"/>
      <family val="2"/>
    </font>
    <font>
      <sz val="10"/>
      <name val="Verdana"/>
      <family val="2"/>
    </font>
    <font>
      <vertAlign val="superscript"/>
      <sz val="10"/>
      <name val="Arial"/>
      <family val="2"/>
    </font>
    <font>
      <i/>
      <vertAlign val="superscript"/>
      <sz val="10"/>
      <name val="Arial"/>
      <family val="2"/>
    </font>
    <font>
      <sz val="9"/>
      <color indexed="81"/>
      <name val="Tahoma"/>
      <family val="2"/>
    </font>
    <font>
      <b/>
      <sz val="9"/>
      <color indexed="81"/>
      <name val="Tahoma"/>
      <family val="2"/>
    </font>
    <font>
      <b/>
      <i/>
      <sz val="10"/>
      <name val="Arial"/>
      <family val="2"/>
    </font>
    <font>
      <sz val="10"/>
      <name val="Arial"/>
      <family val="2"/>
    </font>
    <font>
      <b/>
      <sz val="22"/>
      <name val="Arial"/>
      <family val="2"/>
    </font>
    <font>
      <b/>
      <sz val="12"/>
      <name val="Arial"/>
      <family val="2"/>
    </font>
    <font>
      <sz val="11"/>
      <name val="Arial"/>
      <family val="2"/>
    </font>
    <font>
      <sz val="11"/>
      <color indexed="8"/>
      <name val="Arial"/>
      <family val="2"/>
    </font>
    <font>
      <b/>
      <sz val="36"/>
      <name val="Arial"/>
      <family val="2"/>
    </font>
    <font>
      <i/>
      <sz val="8"/>
      <name val="Arial"/>
      <family val="2"/>
    </font>
    <font>
      <vertAlign val="superscript"/>
      <sz val="11"/>
      <color indexed="8"/>
      <name val="Calibri"/>
      <family val="2"/>
    </font>
    <font>
      <b/>
      <vertAlign val="subscript"/>
      <sz val="11"/>
      <color indexed="8"/>
      <name val="Calibri"/>
      <family val="2"/>
    </font>
    <font>
      <sz val="8"/>
      <color indexed="8"/>
      <name val="Calibri"/>
      <family val="2"/>
    </font>
    <font>
      <sz val="10"/>
      <color indexed="81"/>
      <name val="Tahoma"/>
      <family val="2"/>
    </font>
    <font>
      <sz val="11"/>
      <color theme="1"/>
      <name val="Calibri"/>
      <family val="2"/>
      <scheme val="minor"/>
    </font>
    <font>
      <sz val="11"/>
      <color theme="0"/>
      <name val="Calibri"/>
      <family val="2"/>
      <scheme val="minor"/>
    </font>
    <font>
      <i/>
      <sz val="11"/>
      <color theme="1"/>
      <name val="Calibri"/>
      <family val="2"/>
      <scheme val="minor"/>
    </font>
    <font>
      <b/>
      <sz val="11"/>
      <color theme="1"/>
      <name val="Calibri"/>
      <family val="2"/>
      <scheme val="minor"/>
    </font>
    <font>
      <i/>
      <sz val="10"/>
      <color theme="1"/>
      <name val="Calibri"/>
      <family val="2"/>
      <scheme val="minor"/>
    </font>
    <font>
      <b/>
      <sz val="10"/>
      <color theme="1"/>
      <name val="Arial"/>
      <family val="2"/>
    </font>
    <font>
      <b/>
      <sz val="10"/>
      <color theme="1"/>
      <name val="Verdana"/>
      <family val="2"/>
    </font>
    <font>
      <sz val="10"/>
      <color theme="1"/>
      <name val="Calibri"/>
      <family val="2"/>
      <scheme val="minor"/>
    </font>
    <font>
      <b/>
      <sz val="11"/>
      <color rgb="FF376092"/>
      <name val="Calibri"/>
      <family val="2"/>
      <scheme val="minor"/>
    </font>
    <font>
      <sz val="9"/>
      <color theme="1"/>
      <name val="Calibri"/>
      <family val="2"/>
      <scheme val="minor"/>
    </font>
    <font>
      <b/>
      <sz val="10"/>
      <color theme="0"/>
      <name val="Arial"/>
      <family val="2"/>
    </font>
    <font>
      <sz val="11"/>
      <color rgb="FF3F3F3F"/>
      <name val="Calibri"/>
      <family val="2"/>
      <scheme val="minor"/>
    </font>
    <font>
      <b/>
      <sz val="10"/>
      <color rgb="FFFF0000"/>
      <name val="Arial"/>
      <family val="2"/>
    </font>
    <font>
      <i/>
      <sz val="9"/>
      <color theme="1"/>
      <name val="Calibri"/>
      <family val="2"/>
      <scheme val="minor"/>
    </font>
    <font>
      <b/>
      <sz val="11"/>
      <color rgb="FFFF0000"/>
      <name val="Calibri"/>
      <family val="2"/>
      <scheme val="minor"/>
    </font>
    <font>
      <b/>
      <sz val="11"/>
      <color rgb="FF00B050"/>
      <name val="Calibri"/>
      <family val="2"/>
      <scheme val="minor"/>
    </font>
    <font>
      <sz val="11"/>
      <color rgb="FFFF0000"/>
      <name val="Calibri"/>
      <family val="2"/>
      <scheme val="minor"/>
    </font>
    <font>
      <i/>
      <sz val="11"/>
      <color rgb="FFFF0000"/>
      <name val="Calibri"/>
      <family val="2"/>
      <scheme val="minor"/>
    </font>
    <font>
      <b/>
      <sz val="11"/>
      <name val="Calibri"/>
      <family val="2"/>
      <scheme val="minor"/>
    </font>
    <font>
      <sz val="11"/>
      <name val="Calibri"/>
      <family val="2"/>
      <scheme val="minor"/>
    </font>
    <font>
      <sz val="11"/>
      <color theme="1"/>
      <name val="Calibri"/>
      <family val="2"/>
    </font>
    <font>
      <sz val="11"/>
      <color theme="0" tint="-0.14999847407452621"/>
      <name val="Calibri"/>
      <family val="2"/>
      <scheme val="minor"/>
    </font>
    <font>
      <sz val="11"/>
      <color theme="0" tint="-0.14999847407452621"/>
      <name val="Calibri"/>
      <family val="2"/>
    </font>
    <font>
      <b/>
      <sz val="11"/>
      <color theme="0"/>
      <name val="Calibri"/>
      <family val="2"/>
      <scheme val="minor"/>
    </font>
    <font>
      <sz val="9"/>
      <color indexed="81"/>
      <name val="Segoe UI"/>
      <family val="2"/>
    </font>
    <font>
      <b/>
      <sz val="9"/>
      <color indexed="81"/>
      <name val="Segoe UI"/>
      <family val="2"/>
    </font>
    <font>
      <b/>
      <sz val="10"/>
      <color indexed="81"/>
      <name val="Segoe UI"/>
      <family val="2"/>
    </font>
    <font>
      <b/>
      <sz val="12"/>
      <color indexed="81"/>
      <name val="Segoe UI"/>
      <family val="2"/>
    </font>
    <font>
      <sz val="10"/>
      <color theme="0"/>
      <name val="Arial"/>
      <family val="2"/>
    </font>
    <font>
      <sz val="10"/>
      <color theme="1"/>
      <name val="voestalpine"/>
      <family val="2"/>
    </font>
    <font>
      <b/>
      <sz val="10"/>
      <color rgb="FF3F3F3F"/>
      <name val="Arial"/>
      <family val="2"/>
    </font>
    <font>
      <sz val="10"/>
      <color theme="0"/>
      <name val="voestalpine"/>
      <family val="2"/>
    </font>
    <font>
      <u/>
      <sz val="10"/>
      <color theme="0"/>
      <name val="voestalpine"/>
      <family val="2"/>
    </font>
    <font>
      <sz val="11"/>
      <color theme="1"/>
      <name val="voestalpine"/>
      <family val="2"/>
    </font>
    <font>
      <sz val="8"/>
      <color theme="1"/>
      <name val="voestalpine"/>
      <family val="2"/>
    </font>
    <font>
      <b/>
      <sz val="14"/>
      <color theme="0"/>
      <name val="voestalpine"/>
      <family val="2"/>
    </font>
    <font>
      <b/>
      <sz val="20"/>
      <color theme="0"/>
      <name val="voestalpine"/>
      <family val="2"/>
    </font>
    <font>
      <sz val="8"/>
      <color theme="3" tint="0.59999389629810485"/>
      <name val="voestalpine"/>
      <family val="2"/>
    </font>
    <font>
      <sz val="10"/>
      <color theme="3" tint="0.59999389629810485"/>
      <name val="voestalpine"/>
      <family val="2"/>
    </font>
    <font>
      <b/>
      <sz val="10"/>
      <color theme="0"/>
      <name val="voestalpine"/>
      <family val="2"/>
    </font>
    <font>
      <sz val="12"/>
      <color theme="1"/>
      <name val="voestalpine"/>
      <family val="2"/>
    </font>
    <font>
      <sz val="10"/>
      <color theme="2"/>
      <name val="voestalpine"/>
      <family val="2"/>
    </font>
    <font>
      <b/>
      <sz val="10"/>
      <color rgb="FFFF0000"/>
      <name val="voestalpine"/>
      <family val="2"/>
    </font>
    <font>
      <b/>
      <sz val="8"/>
      <name val="voestalpine"/>
      <family val="2"/>
    </font>
    <font>
      <b/>
      <sz val="10"/>
      <name val="voestalpine"/>
      <family val="2"/>
    </font>
    <font>
      <sz val="10"/>
      <name val="voestalpine"/>
      <family val="2"/>
    </font>
    <font>
      <b/>
      <sz val="10"/>
      <color indexed="9"/>
      <name val="voestalpine"/>
      <family val="2"/>
    </font>
    <font>
      <i/>
      <sz val="10"/>
      <color rgb="FFFF0000"/>
      <name val="voestalpine"/>
      <family val="2"/>
    </font>
    <font>
      <b/>
      <sz val="8"/>
      <color indexed="55"/>
      <name val="voestalpine"/>
      <family val="2"/>
    </font>
    <font>
      <i/>
      <sz val="10"/>
      <color indexed="18"/>
      <name val="voestalpine"/>
      <family val="2"/>
    </font>
    <font>
      <sz val="10"/>
      <color indexed="60"/>
      <name val="voestalpine"/>
      <family val="2"/>
    </font>
    <font>
      <b/>
      <sz val="10"/>
      <color indexed="10"/>
      <name val="voestalpine"/>
      <family val="2"/>
    </font>
    <font>
      <sz val="10"/>
      <color indexed="10"/>
      <name val="voestalpine"/>
      <family val="2"/>
    </font>
    <font>
      <strike/>
      <sz val="10"/>
      <color theme="1"/>
      <name val="voestalpine"/>
      <family val="2"/>
    </font>
    <font>
      <strike/>
      <sz val="10"/>
      <color theme="1"/>
      <name val="Arial"/>
      <family val="2"/>
    </font>
    <font>
      <b/>
      <sz val="12"/>
      <color theme="0"/>
      <name val="voestalpine"/>
      <family val="2"/>
    </font>
    <font>
      <i/>
      <sz val="9"/>
      <color theme="1"/>
      <name val="voestalpine"/>
      <family val="2"/>
    </font>
    <font>
      <b/>
      <sz val="11"/>
      <color theme="0"/>
      <name val="voestalpine"/>
      <family val="2"/>
    </font>
    <font>
      <u/>
      <sz val="10"/>
      <color theme="10"/>
      <name val="Arial"/>
      <family val="2"/>
    </font>
    <font>
      <sz val="18"/>
      <color rgb="FF464646"/>
      <name val="voestalpine"/>
      <family val="2"/>
    </font>
    <font>
      <sz val="10"/>
      <color rgb="FF464646"/>
      <name val="voestalpine"/>
      <family val="2"/>
    </font>
    <font>
      <u/>
      <sz val="10"/>
      <color theme="1"/>
      <name val="voestalpine"/>
      <family val="2"/>
    </font>
    <font>
      <b/>
      <sz val="10"/>
      <color theme="1"/>
      <name val="voestalpine"/>
      <family val="2"/>
    </font>
    <font>
      <sz val="9"/>
      <color theme="1"/>
      <name val="voestalpine"/>
      <family val="2"/>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4" tint="0.79998168889431442"/>
        <bgColor indexed="65"/>
      </patternFill>
    </fill>
    <fill>
      <patternFill patternType="solid">
        <fgColor theme="4"/>
      </patternFill>
    </fill>
    <fill>
      <patternFill patternType="solid">
        <fgColor rgb="FFF2F2F2"/>
      </patternFill>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theme="1"/>
        <bgColor indexed="64"/>
      </patternFill>
    </fill>
    <fill>
      <patternFill patternType="solid">
        <fgColor theme="4" tint="-0.249977111117893"/>
        <bgColor indexed="64"/>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2"/>
        <bgColor indexed="64"/>
      </patternFill>
    </fill>
    <fill>
      <patternFill patternType="solid">
        <fgColor theme="5" tint="0.59999389629810485"/>
        <bgColor indexed="64"/>
      </patternFill>
    </fill>
    <fill>
      <patternFill patternType="solid">
        <fgColor theme="4"/>
        <bgColor indexed="64"/>
      </patternFill>
    </fill>
    <fill>
      <patternFill patternType="solid">
        <fgColor theme="3"/>
        <bgColor indexed="64"/>
      </patternFill>
    </fill>
    <fill>
      <patternFill patternType="solid">
        <fgColor theme="1" tint="0.249977111117893"/>
        <bgColor indexed="64"/>
      </patternFill>
    </fill>
    <fill>
      <patternFill patternType="solid">
        <fgColor theme="7" tint="0.39997558519241921"/>
        <bgColor indexed="64"/>
      </patternFill>
    </fill>
    <fill>
      <patternFill patternType="solid">
        <fgColor rgb="FFFFFF00"/>
        <bgColor indexed="64"/>
      </patternFill>
    </fill>
  </fills>
  <borders count="136">
    <border>
      <left/>
      <right/>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bottom style="thin">
        <color indexed="64"/>
      </bottom>
      <diagonal/>
    </border>
    <border>
      <left/>
      <right style="thin">
        <color indexed="64"/>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DashDot">
        <color indexed="64"/>
      </left>
      <right/>
      <top/>
      <bottom/>
      <diagonal/>
    </border>
    <border>
      <left/>
      <right style="thick">
        <color indexed="9"/>
      </right>
      <top style="thick">
        <color indexed="9"/>
      </top>
      <bottom style="thick">
        <color indexed="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indexed="9"/>
      </left>
      <right/>
      <top style="thick">
        <color indexed="9"/>
      </top>
      <bottom style="thick">
        <color indexed="9"/>
      </bottom>
      <diagonal/>
    </border>
    <border>
      <left style="thin">
        <color rgb="FF3F3F3F"/>
      </left>
      <right style="thin">
        <color rgb="FF3F3F3F"/>
      </right>
      <top style="thin">
        <color rgb="FF3F3F3F"/>
      </top>
      <bottom style="thin">
        <color rgb="FF3F3F3F"/>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style="medium">
        <color theme="0"/>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top/>
      <bottom style="medium">
        <color theme="0"/>
      </bottom>
      <diagonal/>
    </border>
    <border>
      <left/>
      <right/>
      <top style="medium">
        <color theme="0"/>
      </top>
      <bottom/>
      <diagonal/>
    </border>
    <border>
      <left style="medium">
        <color theme="0"/>
      </left>
      <right style="medium">
        <color theme="0"/>
      </right>
      <top/>
      <bottom style="medium">
        <color theme="0"/>
      </bottom>
      <diagonal/>
    </border>
    <border>
      <left style="medium">
        <color theme="0" tint="-0.499984740745262"/>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thin">
        <color theme="0"/>
      </left>
      <right style="thin">
        <color theme="0"/>
      </right>
      <top style="thin">
        <color theme="0"/>
      </top>
      <bottom style="thin">
        <color theme="0"/>
      </bottom>
      <diagonal/>
    </border>
    <border>
      <left style="thick">
        <color theme="0"/>
      </left>
      <right style="thick">
        <color theme="0"/>
      </right>
      <top style="thick">
        <color theme="0"/>
      </top>
      <bottom style="thick">
        <color theme="0"/>
      </bottom>
      <diagonal/>
    </border>
    <border>
      <left style="medium">
        <color theme="0"/>
      </left>
      <right/>
      <top/>
      <bottom/>
      <diagonal/>
    </border>
    <border>
      <left/>
      <right style="medium">
        <color theme="0"/>
      </right>
      <top/>
      <bottom/>
      <diagonal/>
    </border>
    <border>
      <left style="medium">
        <color theme="0"/>
      </left>
      <right/>
      <top style="medium">
        <color theme="0"/>
      </top>
      <bottom/>
      <diagonal/>
    </border>
    <border>
      <left/>
      <right style="medium">
        <color theme="0"/>
      </right>
      <top style="medium">
        <color theme="0"/>
      </top>
      <bottom/>
      <diagonal/>
    </border>
    <border>
      <left/>
      <right style="thin">
        <color theme="0"/>
      </right>
      <top style="thin">
        <color theme="0"/>
      </top>
      <bottom style="thin">
        <color theme="0"/>
      </bottom>
      <diagonal/>
    </border>
    <border>
      <left/>
      <right/>
      <top style="thick">
        <color theme="0"/>
      </top>
      <bottom/>
      <diagonal/>
    </border>
    <border>
      <left style="medium">
        <color theme="0"/>
      </left>
      <right/>
      <top/>
      <bottom style="medium">
        <color theme="0"/>
      </bottom>
      <diagonal/>
    </border>
    <border>
      <left/>
      <right style="medium">
        <color theme="0"/>
      </right>
      <top/>
      <bottom style="medium">
        <color theme="0"/>
      </bottom>
      <diagonal/>
    </border>
    <border>
      <left style="medium">
        <color theme="0"/>
      </left>
      <right style="medium">
        <color theme="0"/>
      </right>
      <top/>
      <bottom/>
      <diagonal/>
    </border>
    <border>
      <left style="medium">
        <color theme="0"/>
      </left>
      <right style="medium">
        <color theme="0"/>
      </right>
      <top style="thick">
        <color theme="0"/>
      </top>
      <bottom style="medium">
        <color theme="0"/>
      </bottom>
      <diagonal/>
    </border>
    <border>
      <left style="medium">
        <color theme="0"/>
      </left>
      <right style="thin">
        <color theme="0"/>
      </right>
      <top/>
      <bottom/>
      <diagonal/>
    </border>
    <border>
      <left style="medium">
        <color theme="0" tint="-0.499984740745262"/>
      </left>
      <right/>
      <top style="medium">
        <color theme="0"/>
      </top>
      <bottom style="medium">
        <color theme="0"/>
      </bottom>
      <diagonal/>
    </border>
    <border>
      <left style="medium">
        <color theme="0" tint="-0.499984740745262"/>
      </left>
      <right style="medium">
        <color theme="0"/>
      </right>
      <top style="medium">
        <color theme="0"/>
      </top>
      <bottom/>
      <diagonal/>
    </border>
    <border>
      <left style="medium">
        <color theme="0" tint="-0.499984740745262"/>
      </left>
      <right style="medium">
        <color theme="0"/>
      </right>
      <top/>
      <bottom style="medium">
        <color theme="0"/>
      </bottom>
      <diagonal/>
    </border>
    <border>
      <left style="medium">
        <color theme="0" tint="-0.499984740745262"/>
      </left>
      <right/>
      <top/>
      <bottom style="medium">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1" tint="0.499984740745262"/>
      </left>
      <right style="thin">
        <color theme="1" tint="0.499984740745262"/>
      </right>
      <top style="hair">
        <color indexed="64"/>
      </top>
      <bottom style="hair">
        <color indexed="64"/>
      </bottom>
      <diagonal/>
    </border>
    <border>
      <left style="thin">
        <color indexed="64"/>
      </left>
      <right style="thin">
        <color indexed="64"/>
      </right>
      <top style="thin">
        <color indexed="64"/>
      </top>
      <bottom/>
      <diagonal/>
    </border>
    <border>
      <left style="thin">
        <color theme="0"/>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thin">
        <color theme="0"/>
      </right>
      <top style="thin">
        <color indexed="64"/>
      </top>
      <bottom style="thick">
        <color theme="0"/>
      </bottom>
      <diagonal/>
    </border>
    <border>
      <left style="thin">
        <color indexed="64"/>
      </left>
      <right style="thin">
        <color indexed="64"/>
      </right>
      <top style="thin">
        <color indexed="64"/>
      </top>
      <bottom style="thick">
        <color theme="0"/>
      </bottom>
      <diagonal/>
    </border>
    <border>
      <left style="thin">
        <color theme="0"/>
      </left>
      <right style="thin">
        <color indexed="64"/>
      </right>
      <top style="thin">
        <color indexed="64"/>
      </top>
      <bottom style="thick">
        <color theme="0"/>
      </bottom>
      <diagonal/>
    </border>
    <border>
      <left style="thin">
        <color theme="0"/>
      </left>
      <right style="thin">
        <color indexed="64"/>
      </right>
      <top style="thick">
        <color theme="0"/>
      </top>
      <bottom/>
      <diagonal/>
    </border>
    <border>
      <left style="thin">
        <color indexed="64"/>
      </left>
      <right/>
      <top style="thin">
        <color indexed="64"/>
      </top>
      <bottom style="thick">
        <color theme="0"/>
      </bottom>
      <diagonal/>
    </border>
    <border>
      <left style="thin">
        <color theme="0"/>
      </left>
      <right style="thin">
        <color indexed="64"/>
      </right>
      <top style="medium">
        <color theme="0"/>
      </top>
      <bottom/>
      <diagonal/>
    </border>
    <border>
      <left/>
      <right style="thin">
        <color indexed="64"/>
      </right>
      <top style="thin">
        <color indexed="64"/>
      </top>
      <bottom style="thick">
        <color theme="0"/>
      </bottom>
      <diagonal/>
    </border>
    <border>
      <left style="thin">
        <color theme="1" tint="0.499984740745262"/>
      </left>
      <right style="thin">
        <color theme="1" tint="0.499984740745262"/>
      </right>
      <top/>
      <bottom style="hair">
        <color indexed="64"/>
      </bottom>
      <diagonal/>
    </border>
    <border>
      <left style="thin">
        <color theme="0"/>
      </left>
      <right style="thin">
        <color indexed="64"/>
      </right>
      <top style="thin">
        <color indexed="64"/>
      </top>
      <bottom style="thin">
        <color indexed="64"/>
      </bottom>
      <diagonal/>
    </border>
    <border>
      <left style="medium">
        <color theme="0"/>
      </left>
      <right style="medium">
        <color theme="0"/>
      </right>
      <top style="medium">
        <color theme="0"/>
      </top>
      <bottom style="thin">
        <color indexed="64"/>
      </bottom>
      <diagonal/>
    </border>
    <border>
      <left style="thin">
        <color auto="1"/>
      </left>
      <right/>
      <top/>
      <bottom/>
      <diagonal/>
    </border>
    <border diagonalUp="1" diagonalDown="1">
      <left style="thin">
        <color theme="1" tint="0.499984740745262"/>
      </left>
      <right style="thin">
        <color theme="1" tint="0.499984740745262"/>
      </right>
      <top style="hair">
        <color indexed="64"/>
      </top>
      <bottom style="hair">
        <color indexed="64"/>
      </bottom>
      <diagonal style="thin">
        <color theme="1" tint="0.499984740745262"/>
      </diagonal>
    </border>
    <border>
      <left/>
      <right style="thin">
        <color theme="1" tint="0.499984740745262"/>
      </right>
      <top/>
      <bottom/>
      <diagonal/>
    </border>
    <border>
      <left style="thin">
        <color theme="1" tint="0.499984740745262"/>
      </left>
      <right/>
      <top style="hair">
        <color indexed="64"/>
      </top>
      <bottom style="hair">
        <color indexed="64"/>
      </bottom>
      <diagonal/>
    </border>
    <border>
      <left/>
      <right style="thin">
        <color theme="1" tint="0.499984740745262"/>
      </right>
      <top style="hair">
        <color indexed="64"/>
      </top>
      <bottom style="hair">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top/>
      <bottom style="medium">
        <color auto="1"/>
      </bottom>
      <diagonal/>
    </border>
    <border>
      <left/>
      <right style="medium">
        <color auto="1"/>
      </right>
      <top/>
      <bottom style="medium">
        <color auto="1"/>
      </bottom>
      <diagonal/>
    </border>
    <border>
      <left style="thin">
        <color indexed="64"/>
      </left>
      <right style="thin">
        <color theme="1" tint="0.499984740745262"/>
      </right>
      <top style="hair">
        <color indexed="64"/>
      </top>
      <bottom style="hair">
        <color indexed="64"/>
      </bottom>
      <diagonal/>
    </border>
    <border>
      <left style="thin">
        <color indexed="64"/>
      </left>
      <right style="thin">
        <color theme="1" tint="0.499984740745262"/>
      </right>
      <top style="hair">
        <color indexed="64"/>
      </top>
      <bottom style="thin">
        <color indexed="64"/>
      </bottom>
      <diagonal/>
    </border>
    <border>
      <left style="thin">
        <color theme="1" tint="0.499984740745262"/>
      </left>
      <right/>
      <top/>
      <bottom/>
      <diagonal/>
    </border>
    <border>
      <left/>
      <right/>
      <top style="hair">
        <color indexed="64"/>
      </top>
      <bottom style="hair">
        <color indexed="64"/>
      </bottom>
      <diagonal/>
    </border>
    <border>
      <left/>
      <right/>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theme="1" tint="0.499984740745262"/>
      </left>
      <right style="thin">
        <color theme="1" tint="0.499984740745262"/>
      </right>
      <top style="hair">
        <color indexed="64"/>
      </top>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thick">
        <color auto="1"/>
      </left>
      <right/>
      <top/>
      <bottom/>
      <diagonal/>
    </border>
    <border>
      <left style="thick">
        <color auto="1"/>
      </left>
      <right style="thin">
        <color indexed="64"/>
      </right>
      <top style="thin">
        <color indexed="64"/>
      </top>
      <bottom/>
      <diagonal/>
    </border>
    <border>
      <left style="thick">
        <color auto="1"/>
      </left>
      <right style="medium">
        <color theme="0"/>
      </right>
      <top style="medium">
        <color theme="0"/>
      </top>
      <bottom/>
      <diagonal/>
    </border>
    <border>
      <left style="thick">
        <color auto="1"/>
      </left>
      <right style="medium">
        <color theme="0"/>
      </right>
      <top/>
      <bottom style="medium">
        <color theme="0"/>
      </bottom>
      <diagonal/>
    </border>
    <border>
      <left style="thick">
        <color auto="1"/>
      </left>
      <right style="thin">
        <color theme="1" tint="0.499984740745262"/>
      </right>
      <top style="hair">
        <color indexed="64"/>
      </top>
      <bottom style="hair">
        <color indexed="64"/>
      </bottom>
      <diagonal/>
    </border>
    <border>
      <left/>
      <right style="thin">
        <color indexed="64"/>
      </right>
      <top style="hair">
        <color indexed="64"/>
      </top>
      <bottom style="hair">
        <color indexed="64"/>
      </bottom>
      <diagonal/>
    </border>
    <border>
      <left style="double">
        <color theme="1" tint="0.499984740745262"/>
      </left>
      <right style="thin">
        <color theme="1" tint="0.499984740745262"/>
      </right>
      <top style="double">
        <color theme="1" tint="0.499984740745262"/>
      </top>
      <bottom style="hair">
        <color indexed="64"/>
      </bottom>
      <diagonal/>
    </border>
    <border>
      <left style="thin">
        <color theme="1" tint="0.499984740745262"/>
      </left>
      <right style="thin">
        <color theme="1" tint="0.499984740745262"/>
      </right>
      <top style="double">
        <color theme="1" tint="0.499984740745262"/>
      </top>
      <bottom style="hair">
        <color indexed="64"/>
      </bottom>
      <diagonal/>
    </border>
    <border>
      <left style="thin">
        <color theme="1" tint="0.499984740745262"/>
      </left>
      <right style="double">
        <color theme="1" tint="0.499984740745262"/>
      </right>
      <top style="double">
        <color theme="1" tint="0.499984740745262"/>
      </top>
      <bottom style="hair">
        <color indexed="64"/>
      </bottom>
      <diagonal/>
    </border>
    <border>
      <left style="double">
        <color theme="1" tint="0.499984740745262"/>
      </left>
      <right style="thin">
        <color theme="1" tint="0.499984740745262"/>
      </right>
      <top style="hair">
        <color indexed="64"/>
      </top>
      <bottom style="hair">
        <color indexed="64"/>
      </bottom>
      <diagonal/>
    </border>
    <border>
      <left style="thin">
        <color theme="1" tint="0.499984740745262"/>
      </left>
      <right style="double">
        <color theme="1" tint="0.499984740745262"/>
      </right>
      <top style="hair">
        <color indexed="64"/>
      </top>
      <bottom style="hair">
        <color indexed="64"/>
      </bottom>
      <diagonal/>
    </border>
    <border>
      <left style="double">
        <color theme="1" tint="0.499984740745262"/>
      </left>
      <right style="thin">
        <color theme="1" tint="0.499984740745262"/>
      </right>
      <top style="hair">
        <color indexed="64"/>
      </top>
      <bottom style="double">
        <color theme="1" tint="0.499984740745262"/>
      </bottom>
      <diagonal/>
    </border>
    <border>
      <left style="thin">
        <color theme="1" tint="0.499984740745262"/>
      </left>
      <right style="thin">
        <color theme="1" tint="0.499984740745262"/>
      </right>
      <top style="hair">
        <color indexed="64"/>
      </top>
      <bottom style="double">
        <color theme="1" tint="0.499984740745262"/>
      </bottom>
      <diagonal/>
    </border>
    <border>
      <left/>
      <right/>
      <top/>
      <bottom style="double">
        <color theme="1" tint="0.499984740745262"/>
      </bottom>
      <diagonal/>
    </border>
    <border>
      <left style="thin">
        <color theme="1" tint="0.499984740745262"/>
      </left>
      <right style="double">
        <color theme="1" tint="0.499984740745262"/>
      </right>
      <top style="hair">
        <color indexed="64"/>
      </top>
      <bottom style="double">
        <color theme="1" tint="0.499984740745262"/>
      </bottom>
      <diagonal/>
    </border>
    <border>
      <left style="double">
        <color theme="1" tint="0.499984740745262"/>
      </left>
      <right style="thin">
        <color theme="1" tint="0.499984740745262"/>
      </right>
      <top style="hair">
        <color indexed="64"/>
      </top>
      <bottom/>
      <diagonal/>
    </border>
    <border>
      <left style="thin">
        <color theme="1" tint="0.499984740745262"/>
      </left>
      <right style="double">
        <color theme="1" tint="0.499984740745262"/>
      </right>
      <top style="hair">
        <color indexed="64"/>
      </top>
      <bottom/>
      <diagonal/>
    </border>
    <border>
      <left style="double">
        <color theme="1" tint="0.499984740745262"/>
      </left>
      <right style="thin">
        <color theme="1" tint="0.499984740745262"/>
      </right>
      <top style="double">
        <color theme="1" tint="0.499984740745262"/>
      </top>
      <bottom style="double">
        <color theme="1" tint="0.499984740745262"/>
      </bottom>
      <diagonal/>
    </border>
    <border>
      <left style="thin">
        <color theme="1" tint="0.499984740745262"/>
      </left>
      <right style="thin">
        <color theme="1" tint="0.499984740745262"/>
      </right>
      <top style="double">
        <color theme="1" tint="0.499984740745262"/>
      </top>
      <bottom style="double">
        <color theme="1" tint="0.499984740745262"/>
      </bottom>
      <diagonal/>
    </border>
    <border>
      <left style="thin">
        <color theme="1" tint="0.499984740745262"/>
      </left>
      <right style="double">
        <color theme="1" tint="0.499984740745262"/>
      </right>
      <top style="double">
        <color theme="1" tint="0.499984740745262"/>
      </top>
      <bottom style="double">
        <color theme="1" tint="0.499984740745262"/>
      </bottom>
      <diagonal/>
    </border>
    <border>
      <left/>
      <right style="thin">
        <color theme="1" tint="0.499984740745262"/>
      </right>
      <top style="hair">
        <color indexed="64"/>
      </top>
      <bottom style="double">
        <color theme="1" tint="0.499984740745262"/>
      </bottom>
      <diagonal/>
    </border>
    <border>
      <left/>
      <right/>
      <top style="double">
        <color theme="1" tint="0.499984740745262"/>
      </top>
      <bottom/>
      <diagonal/>
    </border>
    <border>
      <left style="medium">
        <color indexed="64"/>
      </left>
      <right style="thin">
        <color indexed="64"/>
      </right>
      <top style="medium">
        <color indexed="64"/>
      </top>
      <bottom/>
      <diagonal/>
    </border>
    <border>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bottom/>
      <diagonal/>
    </border>
    <border>
      <left style="thin">
        <color theme="1" tint="0.499984740745262"/>
      </left>
      <right style="medium">
        <color indexed="64"/>
      </right>
      <top style="hair">
        <color indexed="64"/>
      </top>
      <bottom style="hair">
        <color indexed="64"/>
      </bottom>
      <diagonal/>
    </border>
    <border>
      <left style="medium">
        <color indexed="64"/>
      </left>
      <right style="medium">
        <color indexed="8"/>
      </right>
      <top/>
      <bottom style="medium">
        <color indexed="64"/>
      </bottom>
      <diagonal/>
    </border>
    <border>
      <left style="thin">
        <color theme="1" tint="0.499984740745262"/>
      </left>
      <right style="thin">
        <color theme="1" tint="0.499984740745262"/>
      </right>
      <top style="hair">
        <color indexed="64"/>
      </top>
      <bottom style="medium">
        <color indexed="64"/>
      </bottom>
      <diagonal/>
    </border>
    <border>
      <left style="thin">
        <color theme="1" tint="0.499984740745262"/>
      </left>
      <right style="medium">
        <color indexed="64"/>
      </right>
      <top style="hair">
        <color indexed="64"/>
      </top>
      <bottom style="medium">
        <color indexed="64"/>
      </bottom>
      <diagonal/>
    </border>
    <border>
      <left style="thin">
        <color rgb="FFA9A9A9"/>
      </left>
      <right/>
      <top/>
      <bottom/>
      <diagonal/>
    </border>
    <border>
      <left style="thin">
        <color auto="1"/>
      </left>
      <right style="thin">
        <color auto="1"/>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s>
  <cellStyleXfs count="29">
    <xf numFmtId="0" fontId="0" fillId="0" borderId="0"/>
    <xf numFmtId="0" fontId="1" fillId="4" borderId="0" applyNumberFormat="0" applyBorder="0" applyAlignment="0" applyProtection="0"/>
    <xf numFmtId="0" fontId="55" fillId="5" borderId="0" applyNumberFormat="0" applyBorder="0" applyAlignment="0" applyProtection="0"/>
    <xf numFmtId="164" fontId="1" fillId="0" borderId="0" applyFont="0" applyFill="0" applyBorder="0" applyAlignment="0" applyProtection="0"/>
    <xf numFmtId="9" fontId="27" fillId="0" borderId="0" applyFont="0" applyFill="0" applyBorder="0" applyAlignment="0" applyProtection="0"/>
    <xf numFmtId="0" fontId="57" fillId="6" borderId="30" applyNumberFormat="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56" fillId="17" borderId="59" applyNumberFormat="0" applyProtection="0">
      <alignment horizontal="center" vertical="center"/>
      <protection locked="0"/>
    </xf>
    <xf numFmtId="49" fontId="56" fillId="7" borderId="59" applyNumberFormat="0">
      <alignment horizontal="center" vertical="center"/>
    </xf>
    <xf numFmtId="0" fontId="56" fillId="33" borderId="59" applyNumberFormat="0" applyProtection="0">
      <alignment horizontal="center" vertical="center"/>
      <protection locked="0"/>
    </xf>
    <xf numFmtId="0" fontId="56" fillId="34" borderId="59">
      <alignment horizontal="center" vertical="center"/>
    </xf>
    <xf numFmtId="0" fontId="56" fillId="35" borderId="59">
      <alignment horizontal="center" vertical="center"/>
      <protection locked="0"/>
    </xf>
    <xf numFmtId="0" fontId="62" fillId="36" borderId="0">
      <alignment horizontal="center" vertical="center"/>
    </xf>
    <xf numFmtId="0" fontId="56" fillId="13" borderId="59">
      <alignment horizontal="center" vertical="center"/>
      <protection locked="0"/>
    </xf>
    <xf numFmtId="0" fontId="58" fillId="37" borderId="60">
      <alignment horizontal="center" vertical="center"/>
    </xf>
    <xf numFmtId="0" fontId="62" fillId="36" borderId="0">
      <alignment horizontal="center" vertical="center"/>
    </xf>
    <xf numFmtId="0" fontId="56" fillId="38" borderId="59">
      <alignment horizontal="center" vertical="center"/>
    </xf>
    <xf numFmtId="0" fontId="58" fillId="20" borderId="60">
      <alignment horizontal="center" vertical="center"/>
    </xf>
    <xf numFmtId="0" fontId="85" fillId="0" borderId="0" applyNumberFormat="0" applyFill="0" applyBorder="0" applyAlignment="0" applyProtection="0"/>
  </cellStyleXfs>
  <cellXfs count="953">
    <xf numFmtId="0" fontId="0" fillId="0" borderId="0" xfId="0"/>
    <xf numFmtId="0" fontId="56" fillId="17" borderId="59" xfId="17" applyProtection="1">
      <alignment horizontal="center" vertical="center"/>
    </xf>
    <xf numFmtId="0" fontId="0" fillId="7" borderId="0" xfId="0" applyFill="1"/>
    <xf numFmtId="0" fontId="29" fillId="9" borderId="31" xfId="0" applyFont="1" applyFill="1" applyBorder="1" applyAlignment="1">
      <alignment horizontal="center" vertical="center" wrapText="1"/>
    </xf>
    <xf numFmtId="0" fontId="0" fillId="10" borderId="31" xfId="0" applyFill="1" applyBorder="1" applyAlignment="1">
      <alignment horizontal="center"/>
    </xf>
    <xf numFmtId="2" fontId="0" fillId="10" borderId="31" xfId="0" applyNumberFormat="1" applyFill="1" applyBorder="1" applyAlignment="1">
      <alignment horizontal="center"/>
    </xf>
    <xf numFmtId="0" fontId="0" fillId="7" borderId="0" xfId="0" applyFill="1" applyBorder="1" applyAlignment="1">
      <alignment horizontal="center"/>
    </xf>
    <xf numFmtId="0" fontId="30" fillId="8" borderId="31" xfId="0" applyFont="1" applyFill="1" applyBorder="1" applyAlignment="1">
      <alignment horizontal="center"/>
    </xf>
    <xf numFmtId="0" fontId="30" fillId="8" borderId="31" xfId="0" applyFont="1" applyFill="1" applyBorder="1"/>
    <xf numFmtId="2" fontId="0" fillId="8" borderId="31" xfId="0" applyNumberFormat="1" applyFont="1" applyFill="1" applyBorder="1" applyAlignment="1">
      <alignment horizontal="center"/>
    </xf>
    <xf numFmtId="168" fontId="0" fillId="10" borderId="31" xfId="0" applyNumberFormat="1" applyFont="1" applyFill="1" applyBorder="1" applyAlignment="1">
      <alignment horizontal="center"/>
    </xf>
    <xf numFmtId="0" fontId="0" fillId="8" borderId="31" xfId="0" applyFont="1" applyFill="1" applyBorder="1" applyAlignment="1">
      <alignment horizontal="center"/>
    </xf>
    <xf numFmtId="0" fontId="0" fillId="10" borderId="31" xfId="0" applyFont="1" applyFill="1" applyBorder="1" applyAlignment="1">
      <alignment horizontal="center"/>
    </xf>
    <xf numFmtId="0" fontId="0" fillId="8" borderId="31" xfId="0" applyFill="1" applyBorder="1" applyAlignment="1">
      <alignment horizontal="center"/>
    </xf>
    <xf numFmtId="2" fontId="0" fillId="10" borderId="31" xfId="0" applyNumberFormat="1" applyFont="1" applyFill="1" applyBorder="1" applyAlignment="1">
      <alignment horizontal="center"/>
    </xf>
    <xf numFmtId="167" fontId="0" fillId="10" borderId="31" xfId="0" applyNumberFormat="1" applyFont="1" applyFill="1" applyBorder="1" applyAlignment="1">
      <alignment horizontal="center"/>
    </xf>
    <xf numFmtId="0" fontId="0" fillId="7" borderId="31" xfId="0" applyFill="1" applyBorder="1"/>
    <xf numFmtId="0" fontId="0" fillId="7" borderId="31" xfId="0" applyFill="1" applyBorder="1" applyAlignment="1">
      <alignment horizontal="center"/>
    </xf>
    <xf numFmtId="1" fontId="0" fillId="7" borderId="31" xfId="0" applyNumberFormat="1" applyFill="1" applyBorder="1" applyAlignment="1">
      <alignment horizontal="center"/>
    </xf>
    <xf numFmtId="0" fontId="0" fillId="7" borderId="32" xfId="0" applyFill="1" applyBorder="1" applyAlignment="1"/>
    <xf numFmtId="0" fontId="0" fillId="7" borderId="32" xfId="0" applyFill="1" applyBorder="1" applyAlignment="1">
      <alignment horizontal="center"/>
    </xf>
    <xf numFmtId="0" fontId="0" fillId="7" borderId="0" xfId="0" applyFill="1" applyBorder="1" applyAlignment="1"/>
    <xf numFmtId="2" fontId="0" fillId="7" borderId="31" xfId="0" applyNumberFormat="1" applyFill="1" applyBorder="1" applyAlignment="1">
      <alignment horizontal="center"/>
    </xf>
    <xf numFmtId="0" fontId="0" fillId="7" borderId="33" xfId="0" applyFill="1" applyBorder="1" applyAlignment="1"/>
    <xf numFmtId="1" fontId="0" fillId="8" borderId="31" xfId="0" applyNumberFormat="1" applyFont="1" applyFill="1" applyBorder="1" applyAlignment="1">
      <alignment horizontal="center"/>
    </xf>
    <xf numFmtId="0" fontId="0" fillId="7" borderId="36" xfId="0" applyFill="1" applyBorder="1" applyAlignment="1"/>
    <xf numFmtId="167" fontId="0" fillId="8" borderId="31" xfId="0" applyNumberFormat="1" applyFill="1" applyBorder="1" applyAlignment="1">
      <alignment horizontal="center"/>
    </xf>
    <xf numFmtId="0" fontId="31" fillId="7" borderId="0" xfId="0" applyFont="1" applyFill="1" applyAlignment="1">
      <alignment horizontal="right"/>
    </xf>
    <xf numFmtId="0" fontId="0" fillId="7" borderId="0" xfId="0" applyFill="1"/>
    <xf numFmtId="0" fontId="0" fillId="9" borderId="31" xfId="0" applyFill="1" applyBorder="1" applyAlignment="1">
      <alignment horizontal="center" wrapText="1"/>
    </xf>
    <xf numFmtId="0" fontId="0" fillId="8" borderId="31" xfId="0" applyFill="1" applyBorder="1" applyAlignment="1">
      <alignment horizontal="center"/>
    </xf>
    <xf numFmtId="2" fontId="0" fillId="10" borderId="31" xfId="0" applyNumberFormat="1" applyFill="1" applyBorder="1" applyAlignment="1">
      <alignment horizontal="center"/>
    </xf>
    <xf numFmtId="0" fontId="0" fillId="0" borderId="31" xfId="0" applyBorder="1"/>
    <xf numFmtId="0" fontId="7" fillId="0" borderId="31" xfId="0" applyFont="1" applyBorder="1"/>
    <xf numFmtId="0" fontId="3" fillId="12" borderId="31" xfId="0" applyFont="1" applyFill="1" applyBorder="1" applyAlignment="1">
      <alignment horizontal="center"/>
    </xf>
    <xf numFmtId="166" fontId="0" fillId="0" borderId="31" xfId="0" applyNumberFormat="1" applyBorder="1" applyAlignment="1">
      <alignment horizontal="center"/>
    </xf>
    <xf numFmtId="0" fontId="9" fillId="0" borderId="31" xfId="0" applyFont="1" applyBorder="1" applyAlignment="1">
      <alignment horizontal="right"/>
    </xf>
    <xf numFmtId="0" fontId="29" fillId="0" borderId="31" xfId="0" applyFont="1" applyBorder="1"/>
    <xf numFmtId="0" fontId="3" fillId="7" borderId="31" xfId="0" applyFont="1" applyFill="1" applyBorder="1" applyAlignment="1">
      <alignment horizontal="center"/>
    </xf>
    <xf numFmtId="0" fontId="3" fillId="7" borderId="31" xfId="0" applyFont="1" applyFill="1" applyBorder="1"/>
    <xf numFmtId="0" fontId="0" fillId="7" borderId="31" xfId="0" applyFill="1" applyBorder="1" applyAlignment="1">
      <alignment horizontal="center"/>
    </xf>
    <xf numFmtId="0" fontId="0" fillId="7" borderId="31" xfId="0" applyFont="1" applyFill="1" applyBorder="1" applyAlignment="1">
      <alignment horizontal="center"/>
    </xf>
    <xf numFmtId="2" fontId="0" fillId="7" borderId="0" xfId="0" applyNumberFormat="1" applyFill="1" applyAlignment="1">
      <alignment horizontal="center"/>
    </xf>
    <xf numFmtId="168" fontId="0" fillId="8" borderId="31" xfId="0" applyNumberFormat="1" applyFill="1" applyBorder="1" applyAlignment="1">
      <alignment horizontal="center"/>
    </xf>
    <xf numFmtId="169" fontId="0" fillId="10" borderId="31" xfId="0" applyNumberFormat="1" applyFill="1" applyBorder="1" applyAlignment="1">
      <alignment horizontal="center"/>
    </xf>
    <xf numFmtId="168" fontId="0" fillId="10" borderId="31" xfId="0" applyNumberFormat="1" applyFill="1" applyBorder="1" applyAlignment="1">
      <alignment horizontal="center"/>
    </xf>
    <xf numFmtId="1" fontId="0" fillId="8" borderId="31" xfId="0" applyNumberFormat="1" applyFill="1" applyBorder="1" applyAlignment="1">
      <alignment horizontal="center"/>
    </xf>
    <xf numFmtId="0" fontId="0" fillId="9" borderId="31" xfId="0" applyFill="1" applyBorder="1" applyAlignment="1">
      <alignment horizontal="center" vertical="center" wrapText="1"/>
    </xf>
    <xf numFmtId="0" fontId="0" fillId="7" borderId="0" xfId="0" applyFill="1" applyBorder="1" applyAlignment="1">
      <alignment horizontal="center"/>
    </xf>
    <xf numFmtId="167" fontId="0" fillId="10" borderId="34" xfId="0" applyNumberFormat="1" applyFont="1" applyFill="1" applyBorder="1" applyAlignment="1">
      <alignment horizontal="center"/>
    </xf>
    <xf numFmtId="0" fontId="0" fillId="7" borderId="0" xfId="0" applyFill="1" applyBorder="1"/>
    <xf numFmtId="168" fontId="0" fillId="8" borderId="31" xfId="0" applyNumberFormat="1" applyFont="1" applyFill="1" applyBorder="1" applyAlignment="1">
      <alignment horizontal="center"/>
    </xf>
    <xf numFmtId="1" fontId="0" fillId="10" borderId="31" xfId="0" applyNumberFormat="1" applyFill="1" applyBorder="1" applyAlignment="1">
      <alignment horizontal="center" vertical="center"/>
    </xf>
    <xf numFmtId="168" fontId="0" fillId="7" borderId="0" xfId="0" applyNumberFormat="1" applyFill="1"/>
    <xf numFmtId="167" fontId="0" fillId="8" borderId="31" xfId="0" applyNumberFormat="1" applyFont="1" applyFill="1" applyBorder="1" applyAlignment="1">
      <alignment horizontal="center"/>
    </xf>
    <xf numFmtId="0" fontId="0" fillId="7" borderId="31" xfId="0" applyFill="1" applyBorder="1" applyAlignment="1">
      <alignment horizontal="center"/>
    </xf>
    <xf numFmtId="0" fontId="0" fillId="7" borderId="0" xfId="0" applyFill="1" applyBorder="1" applyAlignment="1">
      <alignment horizontal="center"/>
    </xf>
    <xf numFmtId="0" fontId="0" fillId="8" borderId="34" xfId="0" applyFont="1" applyFill="1" applyBorder="1" applyAlignment="1">
      <alignment horizontal="center"/>
    </xf>
    <xf numFmtId="167" fontId="0" fillId="8" borderId="38" xfId="0" applyNumberFormat="1" applyFill="1" applyBorder="1" applyAlignment="1">
      <alignment horizontal="center"/>
    </xf>
    <xf numFmtId="0" fontId="0" fillId="8" borderId="38" xfId="0" applyFont="1" applyFill="1" applyBorder="1" applyAlignment="1">
      <alignment horizontal="center"/>
    </xf>
    <xf numFmtId="1" fontId="3" fillId="8" borderId="31" xfId="0" applyNumberFormat="1" applyFont="1" applyFill="1" applyBorder="1" applyAlignment="1">
      <alignment horizontal="center" vertical="center"/>
    </xf>
    <xf numFmtId="0" fontId="0" fillId="13" borderId="35" xfId="0" applyFill="1" applyBorder="1" applyAlignment="1">
      <alignment horizontal="center"/>
    </xf>
    <xf numFmtId="0" fontId="33" fillId="13" borderId="33" xfId="0" applyFont="1" applyFill="1" applyBorder="1" applyAlignment="1">
      <alignment horizontal="center"/>
    </xf>
    <xf numFmtId="0" fontId="34" fillId="9" borderId="39" xfId="0" applyFont="1" applyFill="1" applyBorder="1" applyAlignment="1">
      <alignment horizontal="center" vertical="center" wrapText="1"/>
    </xf>
    <xf numFmtId="164" fontId="27" fillId="8" borderId="31" xfId="3" applyFont="1" applyFill="1" applyBorder="1" applyAlignment="1">
      <alignment horizontal="center"/>
    </xf>
    <xf numFmtId="164" fontId="3" fillId="7" borderId="0" xfId="3" applyFont="1" applyFill="1"/>
    <xf numFmtId="164" fontId="3" fillId="12" borderId="31" xfId="3" applyFont="1" applyFill="1" applyBorder="1" applyAlignment="1" applyProtection="1">
      <alignment horizontal="center"/>
      <protection locked="0"/>
    </xf>
    <xf numFmtId="1" fontId="0" fillId="7" borderId="0" xfId="0" applyNumberFormat="1" applyFill="1" applyAlignment="1">
      <alignment horizontal="center"/>
    </xf>
    <xf numFmtId="0" fontId="3" fillId="12" borderId="31" xfId="0" applyNumberFormat="1" applyFont="1" applyFill="1" applyBorder="1" applyAlignment="1" applyProtection="1">
      <alignment horizontal="center"/>
      <protection locked="0"/>
    </xf>
    <xf numFmtId="0" fontId="0" fillId="7" borderId="0" xfId="0" applyFill="1" applyAlignment="1">
      <alignment horizontal="left"/>
    </xf>
    <xf numFmtId="1" fontId="0" fillId="0" borderId="31" xfId="0" applyNumberFormat="1" applyBorder="1" applyAlignment="1">
      <alignment horizontal="center"/>
    </xf>
    <xf numFmtId="0" fontId="15" fillId="0" borderId="31" xfId="0" applyFont="1" applyBorder="1" applyAlignment="1">
      <alignment horizontal="center"/>
    </xf>
    <xf numFmtId="0" fontId="35" fillId="0" borderId="0" xfId="0" applyFont="1" applyAlignment="1">
      <alignment horizontal="center"/>
    </xf>
    <xf numFmtId="10" fontId="3" fillId="7" borderId="0" xfId="4" applyNumberFormat="1" applyFont="1" applyFill="1" applyAlignment="1">
      <alignment horizontal="center"/>
    </xf>
    <xf numFmtId="165" fontId="0" fillId="0" borderId="31" xfId="0" applyNumberFormat="1" applyBorder="1"/>
    <xf numFmtId="0" fontId="7" fillId="10" borderId="34" xfId="0" applyFont="1" applyFill="1" applyBorder="1"/>
    <xf numFmtId="0" fontId="0" fillId="10" borderId="0" xfId="0" applyFill="1" applyBorder="1"/>
    <xf numFmtId="166" fontId="0" fillId="10" borderId="32" xfId="0" applyNumberFormat="1" applyFill="1" applyBorder="1" applyAlignment="1">
      <alignment horizontal="center"/>
    </xf>
    <xf numFmtId="0" fontId="9" fillId="7" borderId="0" xfId="0" applyFont="1" applyFill="1"/>
    <xf numFmtId="0" fontId="0" fillId="12" borderId="31" xfId="0" applyFill="1" applyBorder="1" applyAlignment="1">
      <alignment horizontal="center"/>
    </xf>
    <xf numFmtId="166" fontId="0" fillId="0" borderId="0" xfId="0" applyNumberFormat="1" applyBorder="1" applyAlignment="1">
      <alignment horizontal="center"/>
    </xf>
    <xf numFmtId="9" fontId="27" fillId="12" borderId="31" xfId="4" applyFont="1" applyFill="1" applyBorder="1" applyAlignment="1">
      <alignment horizontal="center"/>
    </xf>
    <xf numFmtId="0" fontId="3" fillId="7" borderId="31" xfId="0" applyFont="1" applyFill="1" applyBorder="1" applyAlignment="1">
      <alignment horizontal="left"/>
    </xf>
    <xf numFmtId="164" fontId="27" fillId="12" borderId="31" xfId="3" applyFont="1" applyFill="1" applyBorder="1" applyAlignment="1">
      <alignment horizontal="left"/>
    </xf>
    <xf numFmtId="0" fontId="3" fillId="12" borderId="31" xfId="0" applyFont="1" applyFill="1" applyBorder="1" applyAlignment="1">
      <alignment horizontal="left"/>
    </xf>
    <xf numFmtId="166" fontId="0" fillId="13" borderId="32" xfId="0" applyNumberFormat="1" applyFill="1" applyBorder="1" applyAlignment="1">
      <alignment horizontal="center"/>
    </xf>
    <xf numFmtId="0" fontId="0" fillId="13" borderId="33" xfId="0" applyFill="1" applyBorder="1"/>
    <xf numFmtId="0" fontId="3" fillId="13" borderId="33" xfId="0" applyFont="1" applyFill="1" applyBorder="1" applyAlignment="1">
      <alignment horizontal="center"/>
    </xf>
    <xf numFmtId="0" fontId="9" fillId="0" borderId="39" xfId="0" applyFont="1" applyBorder="1" applyAlignment="1">
      <alignment horizontal="right"/>
    </xf>
    <xf numFmtId="0" fontId="0" fillId="0" borderId="39" xfId="0" applyBorder="1"/>
    <xf numFmtId="0" fontId="3" fillId="7" borderId="39" xfId="0" applyFont="1" applyFill="1" applyBorder="1" applyAlignment="1">
      <alignment horizontal="center"/>
    </xf>
    <xf numFmtId="166" fontId="0" fillId="0" borderId="39" xfId="0" applyNumberFormat="1" applyBorder="1" applyAlignment="1">
      <alignment horizontal="center"/>
    </xf>
    <xf numFmtId="0" fontId="0" fillId="0" borderId="37" xfId="0" applyBorder="1"/>
    <xf numFmtId="0" fontId="7" fillId="0" borderId="37" xfId="0" applyFont="1" applyBorder="1" applyAlignment="1">
      <alignment horizontal="center"/>
    </xf>
    <xf numFmtId="0" fontId="7" fillId="13" borderId="33" xfId="0" applyFont="1" applyFill="1" applyBorder="1" applyAlignment="1">
      <alignment horizontal="left"/>
    </xf>
    <xf numFmtId="166" fontId="0" fillId="13" borderId="33" xfId="0" applyNumberFormat="1" applyFill="1" applyBorder="1" applyAlignment="1">
      <alignment horizontal="center"/>
    </xf>
    <xf numFmtId="166" fontId="7" fillId="13" borderId="31" xfId="0" applyNumberFormat="1" applyFont="1" applyFill="1" applyBorder="1" applyAlignment="1">
      <alignment horizontal="left"/>
    </xf>
    <xf numFmtId="0" fontId="33" fillId="13" borderId="33" xfId="0" applyFont="1" applyFill="1" applyBorder="1" applyAlignment="1">
      <alignment horizontal="center"/>
    </xf>
    <xf numFmtId="0" fontId="0" fillId="13" borderId="35" xfId="0" applyFill="1" applyBorder="1" applyAlignment="1">
      <alignment horizontal="center"/>
    </xf>
    <xf numFmtId="0" fontId="0" fillId="0" borderId="0" xfId="0" applyFill="1"/>
    <xf numFmtId="3" fontId="0" fillId="8" borderId="31" xfId="0" applyNumberFormat="1" applyFont="1" applyFill="1" applyBorder="1" applyAlignment="1">
      <alignment horizontal="center"/>
    </xf>
    <xf numFmtId="2" fontId="0" fillId="7" borderId="37" xfId="0" applyNumberFormat="1" applyFill="1" applyBorder="1" applyAlignment="1">
      <alignment horizontal="center"/>
    </xf>
    <xf numFmtId="0" fontId="0" fillId="13" borderId="40" xfId="0" applyFill="1" applyBorder="1" applyAlignment="1">
      <alignment horizontal="center"/>
    </xf>
    <xf numFmtId="0" fontId="0" fillId="7" borderId="40" xfId="0" applyFill="1" applyBorder="1"/>
    <xf numFmtId="0" fontId="0" fillId="9" borderId="40" xfId="0" applyFill="1" applyBorder="1" applyAlignment="1">
      <alignment horizontal="center"/>
    </xf>
    <xf numFmtId="0" fontId="0" fillId="9" borderId="40" xfId="0" applyFill="1" applyBorder="1" applyAlignment="1">
      <alignment horizontal="center" wrapText="1"/>
    </xf>
    <xf numFmtId="2" fontId="0" fillId="10" borderId="40" xfId="0" applyNumberFormat="1" applyFill="1" applyBorder="1" applyAlignment="1">
      <alignment horizontal="center"/>
    </xf>
    <xf numFmtId="0" fontId="0" fillId="10" borderId="40" xfId="0" applyFill="1" applyBorder="1" applyAlignment="1">
      <alignment horizontal="center"/>
    </xf>
    <xf numFmtId="1" fontId="0" fillId="10" borderId="40" xfId="0" applyNumberFormat="1" applyFill="1" applyBorder="1" applyAlignment="1">
      <alignment horizontal="center"/>
    </xf>
    <xf numFmtId="1" fontId="0" fillId="7" borderId="40" xfId="0" applyNumberFormat="1" applyFill="1" applyBorder="1" applyAlignment="1">
      <alignment horizontal="center"/>
    </xf>
    <xf numFmtId="0" fontId="36" fillId="10" borderId="40" xfId="0" applyFont="1" applyFill="1" applyBorder="1" applyAlignment="1">
      <alignment horizontal="center"/>
    </xf>
    <xf numFmtId="167" fontId="0" fillId="7" borderId="40" xfId="0" applyNumberFormat="1" applyFill="1" applyBorder="1" applyAlignment="1">
      <alignment horizontal="center"/>
    </xf>
    <xf numFmtId="0" fontId="0" fillId="7" borderId="40" xfId="0" applyFill="1" applyBorder="1" applyAlignment="1">
      <alignment horizontal="center"/>
    </xf>
    <xf numFmtId="2" fontId="0" fillId="7" borderId="40" xfId="0" applyNumberFormat="1" applyFill="1" applyBorder="1" applyAlignment="1">
      <alignment horizontal="center"/>
    </xf>
    <xf numFmtId="0" fontId="0" fillId="0" borderId="40" xfId="0" applyFill="1" applyBorder="1" applyAlignment="1">
      <alignment horizontal="center"/>
    </xf>
    <xf numFmtId="2" fontId="0" fillId="0" borderId="40" xfId="0" applyNumberFormat="1" applyFill="1" applyBorder="1" applyAlignment="1">
      <alignment horizontal="center"/>
    </xf>
    <xf numFmtId="167" fontId="0" fillId="10" borderId="40" xfId="0" applyNumberFormat="1" applyFill="1" applyBorder="1" applyAlignment="1">
      <alignment horizontal="center"/>
    </xf>
    <xf numFmtId="0" fontId="9" fillId="7" borderId="0" xfId="0" applyFont="1" applyFill="1" applyAlignment="1">
      <alignment horizontal="right"/>
    </xf>
    <xf numFmtId="166" fontId="0" fillId="7" borderId="0" xfId="0" applyNumberFormat="1" applyFill="1"/>
    <xf numFmtId="0" fontId="27" fillId="4" borderId="31" xfId="1" applyFont="1" applyBorder="1" applyAlignment="1">
      <alignment horizontal="center" vertical="center"/>
    </xf>
    <xf numFmtId="0" fontId="27" fillId="4" borderId="31" xfId="1" applyFont="1" applyBorder="1" applyAlignment="1">
      <alignment horizontal="center" vertical="center" wrapText="1"/>
    </xf>
    <xf numFmtId="0" fontId="0" fillId="7" borderId="0" xfId="0" applyFill="1" applyBorder="1" applyAlignment="1">
      <alignment horizontal="right"/>
    </xf>
    <xf numFmtId="0" fontId="38" fillId="7" borderId="0" xfId="5" applyFont="1" applyFill="1" applyBorder="1" applyAlignment="1">
      <alignment horizontal="center"/>
    </xf>
    <xf numFmtId="1" fontId="38" fillId="7" borderId="0" xfId="5" applyNumberFormat="1" applyFont="1" applyFill="1" applyBorder="1" applyAlignment="1">
      <alignment horizontal="center"/>
    </xf>
    <xf numFmtId="168" fontId="38" fillId="7" borderId="0" xfId="5" applyNumberFormat="1" applyFont="1" applyFill="1" applyBorder="1" applyAlignment="1">
      <alignment vertical="center"/>
    </xf>
    <xf numFmtId="0" fontId="38" fillId="7" borderId="0" xfId="5" applyFont="1" applyFill="1" applyBorder="1" applyAlignment="1">
      <alignment horizontal="right"/>
    </xf>
    <xf numFmtId="1" fontId="38" fillId="7" borderId="0" xfId="5" applyNumberFormat="1" applyFont="1" applyFill="1" applyBorder="1" applyAlignment="1">
      <alignment horizontal="left"/>
    </xf>
    <xf numFmtId="2" fontId="3" fillId="10" borderId="31" xfId="0" applyNumberFormat="1" applyFont="1" applyFill="1" applyBorder="1" applyAlignment="1" applyProtection="1">
      <alignment horizontal="center"/>
      <protection locked="0"/>
    </xf>
    <xf numFmtId="0" fontId="3" fillId="10" borderId="31" xfId="0" applyNumberFormat="1" applyFont="1" applyFill="1" applyBorder="1" applyAlignment="1" applyProtection="1">
      <alignment horizontal="center"/>
      <protection locked="0"/>
    </xf>
    <xf numFmtId="1" fontId="3" fillId="10" borderId="31" xfId="0" applyNumberFormat="1" applyFont="1" applyFill="1" applyBorder="1" applyAlignment="1" applyProtection="1">
      <alignment horizontal="center"/>
      <protection locked="0"/>
    </xf>
    <xf numFmtId="0" fontId="7" fillId="7" borderId="0" xfId="0" applyFont="1" applyFill="1" applyAlignment="1">
      <alignment horizontal="right"/>
    </xf>
    <xf numFmtId="2" fontId="37" fillId="12" borderId="31" xfId="0" applyNumberFormat="1" applyFont="1" applyFill="1" applyBorder="1" applyAlignment="1" applyProtection="1">
      <alignment horizontal="center"/>
      <protection locked="0"/>
    </xf>
    <xf numFmtId="0" fontId="3" fillId="0" borderId="34" xfId="0" applyFont="1" applyBorder="1" applyAlignment="1">
      <alignment horizontal="right"/>
    </xf>
    <xf numFmtId="0" fontId="0" fillId="7" borderId="0" xfId="0" applyFill="1" applyAlignment="1">
      <alignment horizontal="right"/>
    </xf>
    <xf numFmtId="0" fontId="0" fillId="0" borderId="31" xfId="0" applyBorder="1" applyAlignment="1">
      <alignment horizontal="right"/>
    </xf>
    <xf numFmtId="167" fontId="0" fillId="7" borderId="0" xfId="0" applyNumberFormat="1" applyFill="1"/>
    <xf numFmtId="170" fontId="3" fillId="7" borderId="0" xfId="4" applyNumberFormat="1" applyFont="1" applyFill="1"/>
    <xf numFmtId="2" fontId="0" fillId="7" borderId="0" xfId="0" applyNumberFormat="1" applyFill="1"/>
    <xf numFmtId="1" fontId="0" fillId="7" borderId="0" xfId="0" applyNumberFormat="1" applyFill="1"/>
    <xf numFmtId="0" fontId="0" fillId="2" borderId="0" xfId="0" applyFill="1"/>
    <xf numFmtId="0" fontId="0" fillId="0" borderId="0" xfId="0"/>
    <xf numFmtId="0" fontId="0" fillId="0" borderId="0"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3" fillId="0" borderId="0" xfId="0" applyFont="1" applyFill="1" applyBorder="1" applyAlignment="1">
      <alignment horizontal="left"/>
    </xf>
    <xf numFmtId="0" fontId="0" fillId="0" borderId="23" xfId="0" applyBorder="1"/>
    <xf numFmtId="0" fontId="3" fillId="0" borderId="0" xfId="0" applyFont="1" applyBorder="1"/>
    <xf numFmtId="0" fontId="3" fillId="0" borderId="0" xfId="0" applyFont="1" applyFill="1" applyBorder="1"/>
    <xf numFmtId="0" fontId="16" fillId="0" borderId="0" xfId="0" applyFont="1" applyFill="1" applyBorder="1"/>
    <xf numFmtId="0" fontId="16" fillId="2" borderId="0" xfId="0" applyFont="1" applyFill="1"/>
    <xf numFmtId="0" fontId="7" fillId="0" borderId="0" xfId="0" applyFont="1" applyBorder="1"/>
    <xf numFmtId="0" fontId="3" fillId="0" borderId="0" xfId="0" applyFont="1" applyBorder="1" applyAlignment="1">
      <alignment horizontal="left"/>
    </xf>
    <xf numFmtId="0" fontId="9" fillId="0" borderId="0" xfId="0" applyFont="1" applyBorder="1"/>
    <xf numFmtId="0" fontId="7" fillId="0" borderId="0" xfId="0" applyFont="1" applyBorder="1" applyAlignment="1">
      <alignment horizontal="center"/>
    </xf>
    <xf numFmtId="0" fontId="9" fillId="0" borderId="0" xfId="0" applyFont="1" applyBorder="1" applyAlignment="1">
      <alignment horizontal="left"/>
    </xf>
    <xf numFmtId="0" fontId="0" fillId="0" borderId="0" xfId="0" applyFill="1" applyBorder="1"/>
    <xf numFmtId="0" fontId="15" fillId="0" borderId="0" xfId="0" applyFont="1" applyBorder="1"/>
    <xf numFmtId="0" fontId="0" fillId="0" borderId="24" xfId="0" applyBorder="1"/>
    <xf numFmtId="0" fontId="3" fillId="0" borderId="25" xfId="0" applyFont="1" applyBorder="1" applyAlignment="1">
      <alignment vertical="center"/>
    </xf>
    <xf numFmtId="0" fontId="9" fillId="0" borderId="0" xfId="0" applyFont="1" applyFill="1" applyBorder="1"/>
    <xf numFmtId="0" fontId="3" fillId="0" borderId="22" xfId="0" applyFont="1" applyBorder="1" applyAlignment="1"/>
    <xf numFmtId="0" fontId="3" fillId="0" borderId="22" xfId="0" applyFont="1" applyBorder="1"/>
    <xf numFmtId="0" fontId="0" fillId="7" borderId="0" xfId="0" applyFill="1" applyBorder="1"/>
    <xf numFmtId="0" fontId="22" fillId="7" borderId="0" xfId="0" applyFont="1" applyFill="1"/>
    <xf numFmtId="165" fontId="0" fillId="7" borderId="0" xfId="0" applyNumberFormat="1" applyFill="1"/>
    <xf numFmtId="0" fontId="0" fillId="7" borderId="0" xfId="0" applyFill="1" applyBorder="1" applyAlignment="1">
      <alignment horizontal="center"/>
    </xf>
    <xf numFmtId="1" fontId="0" fillId="7" borderId="0" xfId="0" applyNumberFormat="1" applyFill="1" applyBorder="1" applyAlignment="1">
      <alignment horizontal="center"/>
    </xf>
    <xf numFmtId="2" fontId="0" fillId="7" borderId="0" xfId="0" applyNumberFormat="1" applyFill="1" applyBorder="1" applyAlignment="1">
      <alignment horizontal="center"/>
    </xf>
    <xf numFmtId="10" fontId="27" fillId="8" borderId="31" xfId="4" applyNumberFormat="1" applyFont="1" applyFill="1" applyBorder="1" applyAlignment="1">
      <alignment horizontal="center"/>
    </xf>
    <xf numFmtId="9" fontId="39" fillId="13" borderId="0" xfId="4" applyNumberFormat="1" applyFont="1" applyFill="1"/>
    <xf numFmtId="0" fontId="0" fillId="7" borderId="0" xfId="0" applyFill="1" applyBorder="1" applyAlignment="1">
      <alignment horizontal="center"/>
    </xf>
    <xf numFmtId="0" fontId="0" fillId="7" borderId="31" xfId="0" applyFill="1" applyBorder="1" applyAlignment="1">
      <alignment horizontal="center"/>
    </xf>
    <xf numFmtId="0" fontId="30" fillId="7" borderId="31" xfId="0" applyFont="1" applyFill="1" applyBorder="1" applyAlignment="1">
      <alignment horizontal="center"/>
    </xf>
    <xf numFmtId="0" fontId="30" fillId="7" borderId="31" xfId="0" applyFont="1" applyFill="1" applyBorder="1"/>
    <xf numFmtId="2" fontId="0" fillId="7" borderId="31" xfId="0" applyNumberFormat="1" applyFont="1" applyFill="1" applyBorder="1" applyAlignment="1">
      <alignment horizontal="center"/>
    </xf>
    <xf numFmtId="1" fontId="0" fillId="7" borderId="31" xfId="0" applyNumberFormat="1" applyFont="1" applyFill="1" applyBorder="1" applyAlignment="1">
      <alignment horizontal="center"/>
    </xf>
    <xf numFmtId="10" fontId="27" fillId="7" borderId="31" xfId="4" applyNumberFormat="1" applyFont="1" applyFill="1" applyBorder="1" applyAlignment="1">
      <alignment horizontal="center"/>
    </xf>
    <xf numFmtId="168" fontId="0" fillId="7" borderId="31" xfId="0" applyNumberFormat="1" applyFont="1" applyFill="1" applyBorder="1" applyAlignment="1">
      <alignment horizontal="center"/>
    </xf>
    <xf numFmtId="167" fontId="0" fillId="7" borderId="31" xfId="0" applyNumberFormat="1" applyFont="1" applyFill="1" applyBorder="1" applyAlignment="1">
      <alignment horizontal="center"/>
    </xf>
    <xf numFmtId="3" fontId="0" fillId="7" borderId="31" xfId="0" applyNumberFormat="1" applyFont="1" applyFill="1" applyBorder="1" applyAlignment="1">
      <alignment horizontal="center"/>
    </xf>
    <xf numFmtId="167" fontId="0" fillId="7" borderId="31" xfId="0" applyNumberFormat="1" applyFill="1" applyBorder="1" applyAlignment="1">
      <alignment horizontal="center"/>
    </xf>
    <xf numFmtId="167" fontId="0" fillId="7" borderId="34" xfId="0" applyNumberFormat="1" applyFont="1" applyFill="1" applyBorder="1" applyAlignment="1">
      <alignment horizontal="center"/>
    </xf>
    <xf numFmtId="0" fontId="0" fillId="7" borderId="0" xfId="0" applyFill="1" applyBorder="1" applyAlignment="1">
      <alignment horizontal="center"/>
    </xf>
    <xf numFmtId="0" fontId="30" fillId="7" borderId="0" xfId="0" applyFont="1" applyFill="1" applyBorder="1" applyAlignment="1">
      <alignment horizontal="center"/>
    </xf>
    <xf numFmtId="9" fontId="27" fillId="15" borderId="41" xfId="4" applyFont="1" applyFill="1" applyBorder="1" applyAlignment="1">
      <alignment horizontal="center" vertical="center"/>
    </xf>
    <xf numFmtId="172" fontId="0" fillId="15" borderId="41" xfId="0" applyNumberFormat="1" applyFill="1" applyBorder="1" applyAlignment="1">
      <alignment horizontal="center" vertical="center"/>
    </xf>
    <xf numFmtId="0" fontId="0" fillId="15" borderId="41" xfId="0" applyFill="1" applyBorder="1" applyAlignment="1">
      <alignment horizontal="center"/>
    </xf>
    <xf numFmtId="9" fontId="27" fillId="16" borderId="41" xfId="4" applyFont="1" applyFill="1" applyBorder="1" applyAlignment="1">
      <alignment horizontal="center" vertical="center"/>
    </xf>
    <xf numFmtId="172" fontId="0" fillId="16" borderId="41" xfId="0" applyNumberFormat="1" applyFill="1" applyBorder="1" applyAlignment="1">
      <alignment horizontal="center" vertical="center"/>
    </xf>
    <xf numFmtId="0" fontId="0" fillId="16" borderId="41" xfId="0" applyFill="1" applyBorder="1" applyAlignment="1">
      <alignment horizontal="center"/>
    </xf>
    <xf numFmtId="167" fontId="30" fillId="13" borderId="26" xfId="0" applyNumberFormat="1" applyFont="1" applyFill="1" applyBorder="1" applyAlignment="1">
      <alignment horizontal="center"/>
    </xf>
    <xf numFmtId="14" fontId="0" fillId="7" borderId="0" xfId="0" applyNumberFormat="1" applyFill="1" applyAlignment="1">
      <alignment horizontal="left"/>
    </xf>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0" fillId="7" borderId="12" xfId="0" applyFill="1" applyBorder="1"/>
    <xf numFmtId="2" fontId="57" fillId="7" borderId="30" xfId="5" applyNumberFormat="1" applyFill="1" applyBorder="1" applyAlignment="1">
      <alignment horizontal="center"/>
    </xf>
    <xf numFmtId="167" fontId="0" fillId="7" borderId="0" xfId="0" applyNumberFormat="1" applyFill="1" applyBorder="1" applyAlignment="1">
      <alignment horizontal="center"/>
    </xf>
    <xf numFmtId="0" fontId="57" fillId="7" borderId="30" xfId="5" applyFill="1" applyBorder="1" applyAlignment="1">
      <alignment horizontal="center"/>
    </xf>
    <xf numFmtId="0" fontId="1" fillId="4" borderId="0" xfId="1" applyBorder="1" applyAlignment="1"/>
    <xf numFmtId="173" fontId="0" fillId="7" borderId="0" xfId="0" applyNumberFormat="1" applyFill="1" applyBorder="1" applyAlignment="1">
      <alignment horizontal="center"/>
    </xf>
    <xf numFmtId="0" fontId="40" fillId="7" borderId="11" xfId="0" applyFont="1" applyFill="1" applyBorder="1"/>
    <xf numFmtId="3" fontId="0" fillId="7" borderId="0" xfId="0" applyNumberFormat="1" applyFill="1" applyBorder="1" applyAlignment="1">
      <alignment horizontal="center"/>
    </xf>
    <xf numFmtId="0" fontId="0" fillId="7" borderId="13" xfId="0" applyFill="1" applyBorder="1"/>
    <xf numFmtId="0" fontId="0" fillId="7" borderId="14" xfId="0" applyFill="1" applyBorder="1" applyAlignment="1">
      <alignment horizontal="right"/>
    </xf>
    <xf numFmtId="0" fontId="0" fillId="7" borderId="14" xfId="0" applyFill="1" applyBorder="1"/>
    <xf numFmtId="0" fontId="0" fillId="7" borderId="15" xfId="0" applyFill="1" applyBorder="1"/>
    <xf numFmtId="1" fontId="57" fillId="7" borderId="30" xfId="5" applyNumberFormat="1" applyFill="1" applyBorder="1" applyAlignment="1">
      <alignment horizontal="center"/>
    </xf>
    <xf numFmtId="0" fontId="0" fillId="7" borderId="0" xfId="0" applyFill="1" applyBorder="1" applyAlignment="1">
      <alignment horizontal="center" vertical="center"/>
    </xf>
    <xf numFmtId="1" fontId="0" fillId="7" borderId="0" xfId="0" applyNumberFormat="1" applyFill="1" applyBorder="1" applyAlignment="1">
      <alignment horizontal="center" vertical="center"/>
    </xf>
    <xf numFmtId="0" fontId="0" fillId="7" borderId="0" xfId="0" applyFill="1" applyBorder="1" applyAlignment="1">
      <alignment horizontal="left" vertical="center"/>
    </xf>
    <xf numFmtId="0" fontId="0" fillId="7" borderId="0" xfId="0" applyFill="1" applyBorder="1" applyAlignment="1">
      <alignment horizontal="right" vertical="center"/>
    </xf>
    <xf numFmtId="172" fontId="0" fillId="7" borderId="0" xfId="0" applyNumberFormat="1" applyFill="1" applyBorder="1" applyAlignment="1">
      <alignment horizontal="center" vertical="center"/>
    </xf>
    <xf numFmtId="0" fontId="41" fillId="7" borderId="0" xfId="0" applyFont="1" applyFill="1" applyBorder="1" applyAlignment="1">
      <alignment horizontal="right"/>
    </xf>
    <xf numFmtId="0" fontId="42" fillId="7" borderId="0" xfId="0" applyFont="1" applyFill="1" applyBorder="1" applyAlignment="1">
      <alignment horizontal="right"/>
    </xf>
    <xf numFmtId="172" fontId="28" fillId="7" borderId="0" xfId="0" applyNumberFormat="1" applyFont="1" applyFill="1" applyBorder="1" applyAlignment="1">
      <alignment horizontal="right"/>
    </xf>
    <xf numFmtId="172" fontId="28" fillId="7" borderId="0" xfId="0" applyNumberFormat="1" applyFont="1" applyFill="1" applyBorder="1" applyAlignment="1">
      <alignment horizontal="center"/>
    </xf>
    <xf numFmtId="172" fontId="28" fillId="7" borderId="0" xfId="0" applyNumberFormat="1" applyFont="1" applyFill="1" applyBorder="1" applyAlignment="1">
      <alignment horizontal="left"/>
    </xf>
    <xf numFmtId="173" fontId="0" fillId="7" borderId="0" xfId="0" applyNumberFormat="1" applyFill="1" applyBorder="1" applyAlignment="1">
      <alignment horizontal="center" vertical="center"/>
    </xf>
    <xf numFmtId="0" fontId="0" fillId="7" borderId="0" xfId="0" applyFill="1" applyBorder="1" applyAlignment="1">
      <alignment horizontal="center"/>
    </xf>
    <xf numFmtId="0" fontId="0" fillId="7" borderId="0" xfId="0" applyFill="1" applyAlignment="1">
      <alignment horizontal="right"/>
    </xf>
    <xf numFmtId="0" fontId="0" fillId="7" borderId="0" xfId="0" applyFill="1" applyAlignment="1">
      <alignment horizontal="center"/>
    </xf>
    <xf numFmtId="2" fontId="27" fillId="7" borderId="0" xfId="4" applyNumberFormat="1" applyFont="1" applyFill="1" applyAlignment="1">
      <alignment horizontal="center"/>
    </xf>
    <xf numFmtId="167" fontId="0" fillId="7" borderId="0" xfId="0" applyNumberFormat="1" applyFill="1" applyAlignment="1">
      <alignment horizontal="center"/>
    </xf>
    <xf numFmtId="0" fontId="0" fillId="7" borderId="0" xfId="0" applyFill="1" applyBorder="1" applyAlignment="1">
      <alignment horizontal="left"/>
    </xf>
    <xf numFmtId="0" fontId="30" fillId="7" borderId="0" xfId="0" applyFont="1" applyFill="1" applyAlignment="1">
      <alignment horizontal="right"/>
    </xf>
    <xf numFmtId="0" fontId="30" fillId="7" borderId="0" xfId="0" applyFont="1" applyFill="1" applyAlignment="1">
      <alignment horizontal="center"/>
    </xf>
    <xf numFmtId="167" fontId="27" fillId="7" borderId="0" xfId="4" applyNumberFormat="1" applyFont="1" applyFill="1" applyBorder="1" applyAlignment="1">
      <alignment horizontal="center"/>
    </xf>
    <xf numFmtId="2" fontId="0" fillId="7" borderId="0" xfId="0" applyNumberFormat="1" applyFill="1" applyBorder="1" applyAlignment="1">
      <alignment vertical="center"/>
    </xf>
    <xf numFmtId="168" fontId="0" fillId="7" borderId="0" xfId="0" applyNumberFormat="1" applyFill="1" applyBorder="1" applyAlignment="1">
      <alignment horizontal="center"/>
    </xf>
    <xf numFmtId="2" fontId="0" fillId="7" borderId="0" xfId="0" applyNumberFormat="1" applyFill="1" applyBorder="1" applyAlignment="1">
      <alignment horizontal="right"/>
    </xf>
    <xf numFmtId="0" fontId="30" fillId="7" borderId="0" xfId="0" applyFont="1" applyFill="1" applyBorder="1" applyAlignment="1">
      <alignment horizontal="right"/>
    </xf>
    <xf numFmtId="0" fontId="30" fillId="0" borderId="0" xfId="0" applyFont="1" applyFill="1" applyBorder="1" applyAlignment="1">
      <alignment horizontal="center"/>
    </xf>
    <xf numFmtId="2" fontId="0" fillId="0" borderId="41" xfId="0" applyNumberFormat="1" applyFill="1" applyBorder="1" applyAlignment="1">
      <alignment horizontal="center"/>
    </xf>
    <xf numFmtId="2" fontId="0" fillId="13" borderId="26" xfId="0" applyNumberFormat="1" applyFill="1" applyBorder="1" applyAlignment="1">
      <alignment horizontal="center"/>
    </xf>
    <xf numFmtId="0" fontId="0" fillId="13" borderId="26" xfId="0" applyFill="1" applyBorder="1" applyAlignment="1">
      <alignment horizontal="center"/>
    </xf>
    <xf numFmtId="2" fontId="0" fillId="17" borderId="26" xfId="0" applyNumberFormat="1" applyFill="1" applyBorder="1" applyAlignment="1">
      <alignment horizontal="center"/>
    </xf>
    <xf numFmtId="0" fontId="0" fillId="17" borderId="26" xfId="0" applyFill="1" applyBorder="1" applyAlignment="1">
      <alignment horizontal="center"/>
    </xf>
    <xf numFmtId="167" fontId="0" fillId="13" borderId="26" xfId="0" applyNumberFormat="1" applyFill="1" applyBorder="1" applyAlignment="1">
      <alignment horizontal="center"/>
    </xf>
    <xf numFmtId="167" fontId="0" fillId="17" borderId="26" xfId="0" applyNumberFormat="1" applyFill="1" applyBorder="1" applyAlignment="1">
      <alignment horizontal="center"/>
    </xf>
    <xf numFmtId="9" fontId="27" fillId="7" borderId="0" xfId="4" applyFont="1" applyFill="1" applyBorder="1" applyAlignment="1">
      <alignment horizontal="center"/>
    </xf>
    <xf numFmtId="0" fontId="28" fillId="7" borderId="0" xfId="0" applyFont="1" applyFill="1" applyAlignment="1">
      <alignment horizontal="center"/>
    </xf>
    <xf numFmtId="0" fontId="28" fillId="7" borderId="0" xfId="0" applyFont="1" applyFill="1" applyAlignment="1">
      <alignment horizontal="left"/>
    </xf>
    <xf numFmtId="0" fontId="43" fillId="7" borderId="0" xfId="0" applyFont="1" applyFill="1" applyBorder="1"/>
    <xf numFmtId="2" fontId="44" fillId="7" borderId="0" xfId="0" applyNumberFormat="1" applyFont="1" applyFill="1" applyBorder="1" applyAlignment="1">
      <alignment horizontal="center"/>
    </xf>
    <xf numFmtId="0" fontId="38" fillId="10" borderId="31" xfId="5" applyFont="1" applyFill="1" applyBorder="1" applyAlignment="1">
      <alignment horizontal="center"/>
    </xf>
    <xf numFmtId="1" fontId="38" fillId="10" borderId="31" xfId="5" applyNumberFormat="1" applyFont="1" applyFill="1" applyBorder="1" applyAlignment="1">
      <alignment horizontal="center"/>
    </xf>
    <xf numFmtId="168" fontId="38" fillId="10" borderId="31" xfId="5" applyNumberFormat="1" applyFont="1" applyFill="1" applyBorder="1" applyAlignment="1">
      <alignment horizontal="center" vertical="center"/>
    </xf>
    <xf numFmtId="0" fontId="43" fillId="7" borderId="26" xfId="0" applyFont="1" applyFill="1" applyBorder="1" applyAlignment="1">
      <alignment horizontal="center" vertical="center"/>
    </xf>
    <xf numFmtId="0" fontId="0" fillId="9" borderId="31" xfId="0" applyFill="1" applyBorder="1" applyAlignment="1">
      <alignment horizontal="center" vertical="center" wrapText="1"/>
    </xf>
    <xf numFmtId="0" fontId="0" fillId="9" borderId="31" xfId="0" applyFill="1" applyBorder="1" applyAlignment="1">
      <alignment horizontal="center" vertical="center"/>
    </xf>
    <xf numFmtId="0" fontId="0" fillId="0" borderId="0" xfId="0" applyAlignment="1">
      <alignment horizontal="center" vertical="center"/>
    </xf>
    <xf numFmtId="0" fontId="30" fillId="0" borderId="0" xfId="0" applyFont="1" applyAlignment="1">
      <alignment horizontal="left" vertical="center"/>
    </xf>
    <xf numFmtId="0" fontId="0" fillId="10" borderId="42" xfId="0" applyFill="1" applyBorder="1" applyAlignment="1">
      <alignment horizontal="center" vertical="center"/>
    </xf>
    <xf numFmtId="0" fontId="0" fillId="10" borderId="0" xfId="0" applyFill="1" applyBorder="1" applyAlignment="1">
      <alignment horizontal="center" vertical="center"/>
    </xf>
    <xf numFmtId="0" fontId="0" fillId="10" borderId="43" xfId="0" applyFill="1" applyBorder="1" applyAlignment="1">
      <alignment horizontal="center" vertical="center"/>
    </xf>
    <xf numFmtId="0" fontId="0" fillId="18" borderId="0" xfId="0" applyFill="1" applyAlignment="1">
      <alignment horizontal="center" vertical="center"/>
    </xf>
    <xf numFmtId="0" fontId="0" fillId="0" borderId="0" xfId="0" applyAlignment="1">
      <alignment horizontal="left" vertical="center"/>
    </xf>
    <xf numFmtId="0" fontId="0" fillId="10" borderId="31" xfId="0" applyFont="1" applyFill="1" applyBorder="1" applyAlignment="1">
      <alignment horizontal="right" vertical="center"/>
    </xf>
    <xf numFmtId="167" fontId="45" fillId="18" borderId="31" xfId="5" applyNumberFormat="1" applyFont="1" applyFill="1" applyBorder="1" applyAlignment="1">
      <alignment horizontal="center"/>
    </xf>
    <xf numFmtId="0" fontId="0" fillId="10" borderId="31" xfId="0" applyFont="1" applyFill="1" applyBorder="1" applyAlignment="1">
      <alignment horizontal="left" vertical="top"/>
    </xf>
    <xf numFmtId="0" fontId="0" fillId="9" borderId="0" xfId="0" applyFill="1" applyAlignment="1">
      <alignment horizontal="center" vertical="center"/>
    </xf>
    <xf numFmtId="0" fontId="0" fillId="10" borderId="42" xfId="0" applyFont="1" applyFill="1" applyBorder="1" applyAlignment="1">
      <alignment horizontal="center" vertical="center"/>
    </xf>
    <xf numFmtId="2" fontId="0" fillId="10" borderId="39" xfId="0" applyNumberFormat="1" applyFill="1" applyBorder="1" applyAlignment="1">
      <alignment horizontal="center" vertical="center"/>
    </xf>
    <xf numFmtId="0" fontId="0" fillId="10" borderId="44" xfId="0" applyFill="1" applyBorder="1" applyAlignment="1">
      <alignment horizontal="center" vertical="center"/>
    </xf>
    <xf numFmtId="0" fontId="0" fillId="10" borderId="36" xfId="0" applyFill="1" applyBorder="1" applyAlignment="1">
      <alignment horizontal="center" vertical="center"/>
    </xf>
    <xf numFmtId="0" fontId="0" fillId="10" borderId="45" xfId="0" applyFill="1" applyBorder="1" applyAlignment="1">
      <alignment horizontal="center" vertical="center"/>
    </xf>
    <xf numFmtId="0" fontId="0" fillId="10" borderId="31" xfId="0" applyFont="1" applyFill="1" applyBorder="1" applyAlignment="1">
      <alignment horizontal="left" vertical="center"/>
    </xf>
    <xf numFmtId="0" fontId="0" fillId="13" borderId="46" xfId="0" applyFill="1" applyBorder="1" applyAlignment="1">
      <alignment horizontal="center" vertical="center"/>
    </xf>
    <xf numFmtId="0" fontId="0" fillId="13" borderId="40" xfId="0" applyFill="1" applyBorder="1" applyAlignment="1">
      <alignment horizontal="center" vertical="center"/>
    </xf>
    <xf numFmtId="0" fontId="0" fillId="0" borderId="0" xfId="0" applyFill="1" applyBorder="1"/>
    <xf numFmtId="174" fontId="46" fillId="9" borderId="31" xfId="0" applyNumberFormat="1" applyFont="1" applyFill="1" applyBorder="1" applyAlignment="1">
      <alignment horizontal="center"/>
    </xf>
    <xf numFmtId="174" fontId="0" fillId="19" borderId="46" xfId="0" applyNumberFormat="1" applyFill="1" applyBorder="1" applyAlignment="1">
      <alignment horizontal="center" vertical="center"/>
    </xf>
    <xf numFmtId="174" fontId="0" fillId="19" borderId="40" xfId="0" applyNumberFormat="1" applyFill="1" applyBorder="1" applyAlignment="1">
      <alignment horizontal="center"/>
    </xf>
    <xf numFmtId="0" fontId="30" fillId="0" borderId="0" xfId="0" applyFont="1" applyFill="1" applyBorder="1" applyAlignment="1">
      <alignment horizontal="right"/>
    </xf>
    <xf numFmtId="2" fontId="41" fillId="9" borderId="31" xfId="0" applyNumberFormat="1" applyFont="1" applyFill="1" applyBorder="1" applyAlignment="1">
      <alignment horizontal="center"/>
    </xf>
    <xf numFmtId="0" fontId="47" fillId="0" borderId="0" xfId="0" applyFont="1" applyAlignment="1">
      <alignment horizontal="center" vertical="center"/>
    </xf>
    <xf numFmtId="0" fontId="0" fillId="0" borderId="47" xfId="0" applyBorder="1" applyAlignment="1">
      <alignment horizontal="center" vertical="center"/>
    </xf>
    <xf numFmtId="0" fontId="0" fillId="10" borderId="48" xfId="0" applyFill="1" applyBorder="1" applyAlignment="1">
      <alignment horizontal="center" vertical="center"/>
    </xf>
    <xf numFmtId="0" fontId="0" fillId="10" borderId="35" xfId="0" applyFill="1" applyBorder="1" applyAlignment="1">
      <alignment horizontal="center" vertical="center"/>
    </xf>
    <xf numFmtId="0" fontId="0" fillId="10" borderId="49" xfId="0" applyFill="1" applyBorder="1" applyAlignment="1">
      <alignment horizontal="center" vertical="center"/>
    </xf>
    <xf numFmtId="0" fontId="0" fillId="20" borderId="34" xfId="0" applyFill="1" applyBorder="1" applyAlignment="1">
      <alignment horizontal="center" vertical="center"/>
    </xf>
    <xf numFmtId="0" fontId="0" fillId="20" borderId="33" xfId="0" applyFill="1" applyBorder="1" applyAlignment="1">
      <alignment horizontal="center" vertical="center"/>
    </xf>
    <xf numFmtId="0" fontId="0" fillId="20" borderId="32" xfId="0" applyFill="1" applyBorder="1" applyAlignment="1">
      <alignment horizontal="center" vertical="center"/>
    </xf>
    <xf numFmtId="0" fontId="0" fillId="0" borderId="0" xfId="0" applyAlignment="1">
      <alignment vertical="center"/>
    </xf>
    <xf numFmtId="0" fontId="0" fillId="10" borderId="31" xfId="0" applyFill="1" applyBorder="1" applyAlignment="1">
      <alignment horizontal="center" vertical="center"/>
    </xf>
    <xf numFmtId="0" fontId="0" fillId="18" borderId="31" xfId="0" applyFill="1" applyBorder="1" applyAlignment="1">
      <alignment horizontal="center" vertical="center"/>
    </xf>
    <xf numFmtId="0" fontId="0" fillId="17" borderId="27" xfId="0" applyFill="1" applyBorder="1" applyAlignment="1">
      <alignment horizontal="center"/>
    </xf>
    <xf numFmtId="167" fontId="0" fillId="13" borderId="27" xfId="0" applyNumberFormat="1" applyFill="1" applyBorder="1" applyAlignment="1">
      <alignment horizontal="center"/>
    </xf>
    <xf numFmtId="167" fontId="0" fillId="17" borderId="27" xfId="0" applyNumberFormat="1" applyFill="1" applyBorder="1" applyAlignment="1">
      <alignment horizontal="center"/>
    </xf>
    <xf numFmtId="0" fontId="48" fillId="10" borderId="0" xfId="0" applyFont="1" applyFill="1" applyBorder="1" applyAlignment="1">
      <alignment horizontal="center" vertical="center"/>
    </xf>
    <xf numFmtId="0" fontId="49" fillId="10" borderId="0" xfId="0" applyFont="1" applyFill="1" applyBorder="1" applyAlignment="1">
      <alignment horizontal="right" vertical="center"/>
    </xf>
    <xf numFmtId="9" fontId="48" fillId="10" borderId="0" xfId="0" applyNumberFormat="1" applyFont="1" applyFill="1" applyBorder="1" applyAlignment="1">
      <alignment horizontal="center" vertical="center"/>
    </xf>
    <xf numFmtId="0" fontId="0" fillId="13" borderId="27" xfId="0" applyFill="1" applyBorder="1" applyAlignment="1">
      <alignment horizontal="center"/>
    </xf>
    <xf numFmtId="0" fontId="48" fillId="10" borderId="0" xfId="0" applyFont="1" applyFill="1" applyBorder="1" applyAlignment="1">
      <alignment horizontal="right" vertical="center"/>
    </xf>
    <xf numFmtId="167" fontId="41" fillId="9" borderId="31" xfId="5" applyNumberFormat="1" applyFont="1" applyFill="1" applyBorder="1" applyAlignment="1">
      <alignment horizontal="center"/>
    </xf>
    <xf numFmtId="0" fontId="0" fillId="10" borderId="31" xfId="0" applyFill="1" applyBorder="1" applyAlignment="1">
      <alignment horizontal="left" vertical="center"/>
    </xf>
    <xf numFmtId="167" fontId="46" fillId="9" borderId="31" xfId="5" applyNumberFormat="1" applyFont="1" applyFill="1" applyBorder="1" applyAlignment="1">
      <alignment horizontal="center"/>
    </xf>
    <xf numFmtId="0" fontId="0" fillId="14" borderId="34" xfId="0" applyFill="1" applyBorder="1" applyAlignment="1">
      <alignment horizontal="center" vertical="center"/>
    </xf>
    <xf numFmtId="0" fontId="0" fillId="14" borderId="33" xfId="0" applyFill="1" applyBorder="1" applyAlignment="1">
      <alignment horizontal="center" vertical="center"/>
    </xf>
    <xf numFmtId="0" fontId="0" fillId="14" borderId="32" xfId="0" applyFill="1" applyBorder="1" applyAlignment="1">
      <alignment horizontal="center" vertical="center"/>
    </xf>
    <xf numFmtId="0" fontId="0" fillId="10" borderId="34" xfId="0" applyFill="1" applyBorder="1" applyAlignment="1">
      <alignment horizontal="center" vertical="center"/>
    </xf>
    <xf numFmtId="0" fontId="0" fillId="10" borderId="33" xfId="0" applyFill="1" applyBorder="1" applyAlignment="1">
      <alignment horizontal="center" vertical="center"/>
    </xf>
    <xf numFmtId="0" fontId="0" fillId="10" borderId="32" xfId="0" applyFill="1" applyBorder="1" applyAlignment="1">
      <alignment horizontal="center" vertical="center"/>
    </xf>
    <xf numFmtId="0" fontId="0" fillId="10" borderId="31" xfId="0" applyFill="1" applyBorder="1" applyAlignment="1">
      <alignment horizontal="right"/>
    </xf>
    <xf numFmtId="1" fontId="41" fillId="11" borderId="31" xfId="5" applyNumberFormat="1" applyFont="1" applyFill="1" applyBorder="1" applyAlignment="1">
      <alignment horizontal="center"/>
    </xf>
    <xf numFmtId="0" fontId="0" fillId="10" borderId="31" xfId="0" applyFill="1" applyBorder="1"/>
    <xf numFmtId="167" fontId="57" fillId="18" borderId="31" xfId="5" applyNumberFormat="1" applyFill="1" applyBorder="1" applyAlignment="1">
      <alignment horizontal="center"/>
    </xf>
    <xf numFmtId="0" fontId="0" fillId="10" borderId="0" xfId="0" applyFill="1" applyBorder="1" applyAlignment="1">
      <alignment horizontal="left" vertical="center"/>
    </xf>
    <xf numFmtId="0" fontId="46" fillId="10" borderId="31" xfId="0" applyFont="1" applyFill="1" applyBorder="1" applyAlignment="1">
      <alignment horizontal="right"/>
    </xf>
    <xf numFmtId="2" fontId="0" fillId="11" borderId="31" xfId="0" applyNumberFormat="1" applyFill="1" applyBorder="1" applyAlignment="1">
      <alignment horizontal="center"/>
    </xf>
    <xf numFmtId="168" fontId="0" fillId="11" borderId="31" xfId="0" applyNumberFormat="1" applyFill="1" applyBorder="1" applyAlignment="1">
      <alignment horizontal="center"/>
    </xf>
    <xf numFmtId="0" fontId="46" fillId="10" borderId="31" xfId="0" applyFont="1" applyFill="1" applyBorder="1" applyAlignment="1">
      <alignment horizontal="right" vertical="center"/>
    </xf>
    <xf numFmtId="167" fontId="0" fillId="11" borderId="31" xfId="0" applyNumberFormat="1" applyFill="1" applyBorder="1" applyAlignment="1">
      <alignment horizontal="center"/>
    </xf>
    <xf numFmtId="0" fontId="0" fillId="10" borderId="31" xfId="0" applyFill="1" applyBorder="1" applyAlignment="1">
      <alignment horizontal="right" vertical="center"/>
    </xf>
    <xf numFmtId="168" fontId="0" fillId="11" borderId="31" xfId="0" applyNumberFormat="1" applyFill="1" applyBorder="1" applyAlignment="1">
      <alignment horizontal="center" vertical="center"/>
    </xf>
    <xf numFmtId="167" fontId="41" fillId="11" borderId="31" xfId="5" applyNumberFormat="1" applyFont="1" applyFill="1" applyBorder="1" applyAlignment="1">
      <alignment horizontal="center"/>
    </xf>
    <xf numFmtId="9" fontId="48" fillId="10" borderId="43" xfId="0" applyNumberFormat="1" applyFont="1" applyFill="1" applyBorder="1" applyAlignment="1">
      <alignment horizontal="center" vertical="center"/>
    </xf>
    <xf numFmtId="0" fontId="0" fillId="13" borderId="40" xfId="0" applyFill="1" applyBorder="1" applyAlignment="1">
      <alignment horizontal="center"/>
    </xf>
    <xf numFmtId="0" fontId="0" fillId="9" borderId="40" xfId="0" applyFill="1" applyBorder="1" applyAlignment="1">
      <alignment horizontal="center"/>
    </xf>
    <xf numFmtId="0" fontId="0" fillId="7" borderId="40" xfId="0" applyFill="1" applyBorder="1" applyAlignment="1">
      <alignment horizontal="center"/>
    </xf>
    <xf numFmtId="1" fontId="0" fillId="8" borderId="31" xfId="0" applyNumberFormat="1" applyFont="1" applyFill="1" applyBorder="1" applyAlignment="1">
      <alignment horizontal="center" vertical="center"/>
    </xf>
    <xf numFmtId="0" fontId="0" fillId="8" borderId="31" xfId="0" applyFill="1" applyBorder="1" applyAlignment="1">
      <alignment horizontal="center" vertical="center"/>
    </xf>
    <xf numFmtId="167" fontId="0" fillId="10" borderId="31" xfId="0" applyNumberFormat="1" applyFont="1" applyFill="1" applyBorder="1" applyAlignment="1">
      <alignment horizontal="center" vertical="center"/>
    </xf>
    <xf numFmtId="0" fontId="0" fillId="8" borderId="31" xfId="0" applyFont="1" applyFill="1" applyBorder="1" applyAlignment="1">
      <alignment horizontal="center" vertical="center"/>
    </xf>
    <xf numFmtId="2" fontId="0" fillId="10" borderId="31" xfId="0" applyNumberFormat="1" applyFont="1" applyFill="1" applyBorder="1" applyAlignment="1">
      <alignment horizontal="center" vertical="center"/>
    </xf>
    <xf numFmtId="0" fontId="0" fillId="10" borderId="31" xfId="0" applyFont="1" applyFill="1" applyBorder="1" applyAlignment="1">
      <alignment horizontal="center" vertical="center"/>
    </xf>
    <xf numFmtId="2" fontId="0" fillId="10" borderId="31" xfId="0" applyNumberFormat="1" applyFill="1" applyBorder="1" applyAlignment="1">
      <alignment horizontal="center" vertical="center"/>
    </xf>
    <xf numFmtId="2" fontId="0" fillId="8" borderId="31" xfId="0" applyNumberFormat="1" applyFont="1" applyFill="1" applyBorder="1" applyAlignment="1">
      <alignment horizontal="center" vertical="center"/>
    </xf>
    <xf numFmtId="168" fontId="0" fillId="8" borderId="51" xfId="0" applyNumberFormat="1" applyFont="1" applyFill="1" applyBorder="1" applyAlignment="1">
      <alignment horizontal="center"/>
    </xf>
    <xf numFmtId="0" fontId="0" fillId="7" borderId="52" xfId="0" applyFill="1" applyBorder="1" applyAlignment="1">
      <alignment horizontal="center"/>
    </xf>
    <xf numFmtId="0" fontId="27" fillId="7" borderId="0" xfId="0" applyFont="1" applyFill="1"/>
    <xf numFmtId="0" fontId="0" fillId="7" borderId="0" xfId="0" applyFill="1" applyAlignment="1">
      <alignment wrapText="1"/>
    </xf>
    <xf numFmtId="0" fontId="0" fillId="7" borderId="0" xfId="0" applyFill="1" applyBorder="1" applyAlignment="1">
      <alignment horizontal="center"/>
    </xf>
    <xf numFmtId="167" fontId="0" fillId="8" borderId="38" xfId="0" applyNumberFormat="1" applyFill="1" applyBorder="1" applyAlignment="1">
      <alignment horizontal="center" vertical="center"/>
    </xf>
    <xf numFmtId="0" fontId="0" fillId="7" borderId="31" xfId="0" applyFill="1" applyBorder="1" applyAlignment="1">
      <alignment horizontal="center" vertical="center"/>
    </xf>
    <xf numFmtId="0" fontId="0" fillId="7" borderId="31" xfId="0" applyFont="1" applyFill="1" applyBorder="1" applyAlignment="1">
      <alignment horizontal="center" vertical="center"/>
    </xf>
    <xf numFmtId="0" fontId="0" fillId="10" borderId="40" xfId="0" applyFill="1" applyBorder="1" applyAlignment="1">
      <alignment horizontal="center" vertical="center"/>
    </xf>
    <xf numFmtId="2" fontId="0" fillId="10" borderId="40" xfId="0" applyNumberFormat="1" applyFill="1" applyBorder="1" applyAlignment="1">
      <alignment horizontal="center" vertical="center"/>
    </xf>
    <xf numFmtId="1" fontId="0" fillId="10" borderId="40" xfId="0" applyNumberFormat="1" applyFill="1" applyBorder="1" applyAlignment="1">
      <alignment horizontal="center" vertical="center"/>
    </xf>
    <xf numFmtId="168" fontId="0" fillId="8" borderId="31" xfId="0" applyNumberFormat="1" applyFont="1" applyFill="1" applyBorder="1" applyAlignment="1">
      <alignment horizontal="center" vertical="center"/>
    </xf>
    <xf numFmtId="0" fontId="0" fillId="7" borderId="0" xfId="0" applyFill="1" applyBorder="1" applyAlignment="1">
      <alignment horizontal="center"/>
    </xf>
    <xf numFmtId="0" fontId="0" fillId="7" borderId="0" xfId="0" applyFill="1" applyAlignment="1">
      <alignment vertical="center"/>
    </xf>
    <xf numFmtId="167" fontId="0" fillId="7" borderId="0" xfId="0" applyNumberFormat="1" applyFill="1" applyAlignment="1">
      <alignment vertical="center"/>
    </xf>
    <xf numFmtId="0" fontId="30" fillId="0" borderId="0" xfId="0" applyFont="1"/>
    <xf numFmtId="0" fontId="0" fillId="7" borderId="32" xfId="0" applyFill="1" applyBorder="1" applyAlignment="1">
      <alignment wrapText="1"/>
    </xf>
    <xf numFmtId="0" fontId="0" fillId="7" borderId="31" xfId="0" applyFill="1" applyBorder="1" applyAlignment="1">
      <alignment horizontal="center" wrapText="1"/>
    </xf>
    <xf numFmtId="0" fontId="0" fillId="7" borderId="34" xfId="0" applyFill="1" applyBorder="1" applyAlignment="1">
      <alignment wrapText="1"/>
    </xf>
    <xf numFmtId="0" fontId="0" fillId="7" borderId="33" xfId="0" applyFill="1" applyBorder="1" applyAlignment="1">
      <alignment wrapText="1"/>
    </xf>
    <xf numFmtId="167" fontId="56" fillId="7" borderId="59" xfId="18" applyNumberFormat="1">
      <alignment horizontal="center" vertical="center"/>
    </xf>
    <xf numFmtId="0" fontId="56" fillId="34" borderId="59" xfId="20">
      <alignment horizontal="center" vertical="center"/>
    </xf>
    <xf numFmtId="2" fontId="56" fillId="17" borderId="59" xfId="17" applyNumberFormat="1" applyProtection="1">
      <alignment horizontal="center" vertical="center"/>
    </xf>
    <xf numFmtId="2" fontId="56" fillId="7" borderId="59" xfId="18" applyNumberFormat="1">
      <alignment horizontal="center" vertical="center"/>
    </xf>
    <xf numFmtId="0" fontId="56" fillId="33" borderId="59" xfId="19" applyProtection="1">
      <alignment horizontal="center" vertical="center"/>
    </xf>
    <xf numFmtId="0" fontId="0" fillId="13" borderId="59" xfId="23" applyFont="1">
      <alignment horizontal="center" vertical="center"/>
      <protection locked="0"/>
    </xf>
    <xf numFmtId="0" fontId="62" fillId="36" borderId="0" xfId="22">
      <alignment horizontal="center" vertical="center"/>
    </xf>
    <xf numFmtId="0" fontId="56" fillId="17" borderId="70" xfId="17" applyBorder="1" applyProtection="1">
      <alignment horizontal="center" vertical="center"/>
    </xf>
    <xf numFmtId="0" fontId="56" fillId="13" borderId="70" xfId="23" applyBorder="1">
      <alignment horizontal="center" vertical="center"/>
      <protection locked="0"/>
    </xf>
    <xf numFmtId="0" fontId="56" fillId="34" borderId="70" xfId="20" applyBorder="1">
      <alignment horizontal="center" vertical="center"/>
    </xf>
    <xf numFmtId="1" fontId="56" fillId="17" borderId="70" xfId="17" applyNumberFormat="1" applyBorder="1" applyProtection="1">
      <alignment horizontal="center" vertical="center"/>
    </xf>
    <xf numFmtId="2" fontId="56" fillId="17" borderId="70" xfId="17" applyNumberFormat="1" applyBorder="1" applyProtection="1">
      <alignment horizontal="center" vertical="center"/>
    </xf>
    <xf numFmtId="0" fontId="0" fillId="13" borderId="70" xfId="23" applyFont="1" applyBorder="1">
      <alignment horizontal="center" vertical="center"/>
      <protection locked="0"/>
    </xf>
    <xf numFmtId="167" fontId="56" fillId="7" borderId="70" xfId="18" applyNumberFormat="1" applyBorder="1">
      <alignment horizontal="center" vertical="center"/>
    </xf>
    <xf numFmtId="2" fontId="0" fillId="10" borderId="37" xfId="0" applyNumberFormat="1" applyFill="1" applyBorder="1" applyAlignment="1">
      <alignment horizontal="center"/>
    </xf>
    <xf numFmtId="1" fontId="0" fillId="7" borderId="37" xfId="0" applyNumberFormat="1" applyFill="1" applyBorder="1" applyAlignment="1">
      <alignment horizontal="center"/>
    </xf>
    <xf numFmtId="0" fontId="0" fillId="7" borderId="37" xfId="0" applyFill="1" applyBorder="1" applyAlignment="1">
      <alignment horizontal="center"/>
    </xf>
    <xf numFmtId="0" fontId="0" fillId="7" borderId="0" xfId="0" applyFill="1" applyBorder="1" applyAlignment="1">
      <alignment wrapText="1"/>
    </xf>
    <xf numFmtId="0" fontId="62" fillId="36" borderId="26" xfId="22" applyBorder="1" applyAlignment="1">
      <alignment horizontal="center" vertical="center" wrapText="1"/>
    </xf>
    <xf numFmtId="0" fontId="0" fillId="7" borderId="6" xfId="0" applyFill="1" applyBorder="1" applyAlignment="1">
      <alignment wrapText="1"/>
    </xf>
    <xf numFmtId="0" fontId="0" fillId="7" borderId="72" xfId="0" applyFill="1" applyBorder="1" applyAlignment="1">
      <alignment horizontal="center" wrapText="1"/>
    </xf>
    <xf numFmtId="0" fontId="56" fillId="7" borderId="59" xfId="18" applyNumberFormat="1">
      <alignment horizontal="center" vertical="center"/>
    </xf>
    <xf numFmtId="0" fontId="56" fillId="17" borderId="59" xfId="17" applyAlignment="1" applyProtection="1">
      <alignment horizontal="center" vertical="center"/>
    </xf>
    <xf numFmtId="1" fontId="56" fillId="7" borderId="59" xfId="18" applyNumberFormat="1">
      <alignment horizontal="center" vertical="center"/>
    </xf>
    <xf numFmtId="0" fontId="56" fillId="0" borderId="0" xfId="0" applyFont="1" applyFill="1" applyBorder="1" applyAlignment="1">
      <alignment vertical="center"/>
    </xf>
    <xf numFmtId="0" fontId="56" fillId="17" borderId="0" xfId="0" applyFont="1" applyFill="1" applyBorder="1" applyAlignment="1">
      <alignment vertical="center"/>
    </xf>
    <xf numFmtId="0" fontId="56" fillId="17" borderId="4" xfId="0" applyFont="1" applyFill="1" applyBorder="1" applyAlignment="1">
      <alignment vertical="center"/>
    </xf>
    <xf numFmtId="0" fontId="56" fillId="17" borderId="73" xfId="0" applyFont="1" applyFill="1" applyBorder="1" applyAlignment="1">
      <alignment vertical="center"/>
    </xf>
    <xf numFmtId="0" fontId="56" fillId="0" borderId="0" xfId="0" applyFont="1" applyBorder="1" applyAlignment="1">
      <alignment vertical="center"/>
    </xf>
    <xf numFmtId="0" fontId="56" fillId="0" borderId="0" xfId="0" applyFont="1" applyAlignment="1">
      <alignment vertical="center"/>
    </xf>
    <xf numFmtId="0" fontId="56" fillId="0" borderId="0" xfId="0" applyFont="1" applyAlignment="1">
      <alignment horizontal="center" vertical="center"/>
    </xf>
    <xf numFmtId="0" fontId="60" fillId="0" borderId="0" xfId="0" applyFont="1" applyBorder="1" applyAlignment="1">
      <alignment horizontal="center" vertical="center"/>
    </xf>
    <xf numFmtId="0" fontId="61" fillId="0" borderId="0" xfId="0" applyFont="1" applyBorder="1" applyAlignment="1">
      <alignment horizontal="center" vertical="center"/>
    </xf>
    <xf numFmtId="0" fontId="61" fillId="0" borderId="0" xfId="0" applyFont="1" applyFill="1" applyBorder="1" applyAlignment="1">
      <alignment horizontal="center" vertical="center"/>
    </xf>
    <xf numFmtId="0" fontId="56" fillId="34" borderId="76" xfId="20" applyBorder="1">
      <alignment horizontal="center" vertical="center"/>
    </xf>
    <xf numFmtId="0" fontId="56" fillId="34" borderId="76" xfId="20" applyBorder="1" applyAlignment="1">
      <alignment horizontal="right" vertical="center"/>
    </xf>
    <xf numFmtId="0" fontId="56" fillId="34" borderId="77" xfId="20" applyBorder="1" applyAlignment="1">
      <alignment horizontal="left" vertical="center"/>
    </xf>
    <xf numFmtId="0" fontId="56" fillId="7" borderId="77" xfId="18" applyNumberFormat="1" applyBorder="1">
      <alignment horizontal="center" vertical="center"/>
    </xf>
    <xf numFmtId="0" fontId="56" fillId="13" borderId="76" xfId="23" applyFont="1" applyBorder="1">
      <alignment horizontal="center" vertical="center"/>
      <protection locked="0"/>
    </xf>
    <xf numFmtId="0" fontId="56" fillId="0" borderId="78" xfId="0" applyFont="1" applyBorder="1" applyAlignment="1">
      <alignment vertical="center"/>
    </xf>
    <xf numFmtId="0" fontId="56" fillId="0" borderId="79" xfId="0" applyFont="1" applyBorder="1" applyAlignment="1">
      <alignment vertical="center"/>
    </xf>
    <xf numFmtId="0" fontId="56" fillId="0" borderId="80" xfId="0" applyFont="1" applyBorder="1" applyAlignment="1">
      <alignment vertical="center"/>
    </xf>
    <xf numFmtId="0" fontId="56" fillId="0" borderId="81" xfId="0" applyFont="1" applyBorder="1" applyAlignment="1">
      <alignment vertical="center"/>
    </xf>
    <xf numFmtId="0" fontId="56" fillId="0" borderId="20" xfId="0" applyFont="1" applyBorder="1" applyAlignment="1">
      <alignment vertical="center"/>
    </xf>
    <xf numFmtId="0" fontId="56" fillId="17" borderId="59" xfId="17" applyBorder="1" applyProtection="1">
      <alignment horizontal="center" vertical="center"/>
      <protection locked="0"/>
    </xf>
    <xf numFmtId="0" fontId="56" fillId="7" borderId="59" xfId="18" applyNumberFormat="1" applyBorder="1">
      <alignment horizontal="center" vertical="center"/>
    </xf>
    <xf numFmtId="0" fontId="56" fillId="34" borderId="59" xfId="20" applyBorder="1">
      <alignment horizontal="center" vertical="center"/>
    </xf>
    <xf numFmtId="0" fontId="56" fillId="0" borderId="81" xfId="0" applyFont="1" applyBorder="1" applyAlignment="1">
      <alignment horizontal="center" vertical="center"/>
    </xf>
    <xf numFmtId="0" fontId="56" fillId="0" borderId="20" xfId="0" applyFont="1" applyBorder="1" applyAlignment="1">
      <alignment horizontal="center" vertical="center"/>
    </xf>
    <xf numFmtId="0" fontId="56" fillId="0" borderId="21" xfId="0" applyFont="1" applyBorder="1" applyAlignment="1">
      <alignment vertical="center"/>
    </xf>
    <xf numFmtId="0" fontId="56" fillId="0" borderId="82" xfId="0" applyFont="1" applyBorder="1" applyAlignment="1">
      <alignment vertical="center"/>
    </xf>
    <xf numFmtId="0" fontId="56" fillId="0" borderId="83" xfId="0" applyFont="1" applyBorder="1" applyAlignment="1">
      <alignment vertical="center"/>
    </xf>
    <xf numFmtId="0" fontId="0" fillId="0" borderId="0" xfId="0"/>
    <xf numFmtId="0" fontId="56" fillId="0" borderId="7" xfId="0" applyFont="1" applyBorder="1" applyAlignment="1">
      <alignment vertical="center"/>
    </xf>
    <xf numFmtId="0" fontId="56" fillId="17" borderId="76" xfId="17" applyBorder="1" applyProtection="1">
      <alignment horizontal="center" vertical="center"/>
    </xf>
    <xf numFmtId="0" fontId="56" fillId="34" borderId="84" xfId="20" applyFont="1" applyBorder="1">
      <alignment horizontal="center" vertical="center"/>
    </xf>
    <xf numFmtId="0" fontId="56" fillId="17" borderId="84" xfId="17" applyNumberFormat="1" applyFont="1" applyBorder="1" applyProtection="1">
      <alignment horizontal="center" vertical="center"/>
    </xf>
    <xf numFmtId="0" fontId="56" fillId="13" borderId="84" xfId="23" applyFont="1" applyBorder="1">
      <alignment horizontal="center" vertical="center"/>
      <protection locked="0"/>
    </xf>
    <xf numFmtId="0" fontId="56" fillId="0" borderId="4" xfId="0" applyFont="1" applyBorder="1" applyAlignment="1">
      <alignment vertical="center"/>
    </xf>
    <xf numFmtId="0" fontId="56" fillId="7" borderId="85" xfId="18" applyNumberFormat="1" applyFont="1" applyBorder="1">
      <alignment horizontal="center" vertical="center"/>
    </xf>
    <xf numFmtId="0" fontId="56" fillId="0" borderId="6" xfId="0" applyFont="1" applyBorder="1" applyAlignment="1">
      <alignment vertical="center"/>
    </xf>
    <xf numFmtId="0" fontId="56" fillId="17" borderId="76" xfId="17" applyBorder="1" applyProtection="1">
      <alignment horizontal="center" vertical="center"/>
      <protection locked="0"/>
    </xf>
    <xf numFmtId="0" fontId="0" fillId="0" borderId="0" xfId="0" quotePrefix="1" applyFont="1" applyBorder="1" applyAlignment="1">
      <alignment vertical="top"/>
    </xf>
    <xf numFmtId="0" fontId="0" fillId="0" borderId="0" xfId="0" quotePrefix="1" applyFont="1" applyFill="1" applyBorder="1" applyAlignment="1">
      <alignment vertical="top"/>
    </xf>
    <xf numFmtId="0" fontId="56" fillId="0" borderId="0" xfId="0" applyFont="1" applyBorder="1" applyAlignment="1">
      <alignment horizontal="left" vertical="center"/>
    </xf>
    <xf numFmtId="0" fontId="56" fillId="0" borderId="4" xfId="0" applyFont="1" applyBorder="1" applyAlignment="1">
      <alignment horizontal="left" vertical="center"/>
    </xf>
    <xf numFmtId="0" fontId="0" fillId="0" borderId="0" xfId="0" applyAlignment="1">
      <alignment horizontal="center" vertical="center"/>
    </xf>
    <xf numFmtId="0" fontId="0" fillId="13" borderId="59" xfId="23" applyFont="1" applyAlignment="1">
      <alignment horizontal="center" vertical="center"/>
      <protection locked="0"/>
    </xf>
    <xf numFmtId="0" fontId="56" fillId="7" borderId="59" xfId="18" applyNumberFormat="1" applyAlignment="1">
      <alignment horizontal="center" vertical="center"/>
    </xf>
    <xf numFmtId="1" fontId="0" fillId="7" borderId="31" xfId="0" applyNumberFormat="1" applyFill="1" applyBorder="1" applyAlignment="1">
      <alignment horizontal="center" vertical="center"/>
    </xf>
    <xf numFmtId="0" fontId="0" fillId="7" borderId="0" xfId="0" applyFill="1" applyAlignment="1">
      <alignment horizontal="center" vertical="center"/>
    </xf>
    <xf numFmtId="0" fontId="31" fillId="7" borderId="0" xfId="0" applyFont="1" applyFill="1" applyAlignment="1">
      <alignment horizontal="center" vertical="center"/>
    </xf>
    <xf numFmtId="167" fontId="56" fillId="7" borderId="59" xfId="18" applyNumberFormat="1" applyAlignment="1">
      <alignment horizontal="center" vertical="center"/>
    </xf>
    <xf numFmtId="0" fontId="0" fillId="0" borderId="74" xfId="0" applyBorder="1" applyAlignment="1">
      <alignment horizontal="center" vertical="center"/>
    </xf>
    <xf numFmtId="0" fontId="56" fillId="34" borderId="59" xfId="20" applyAlignment="1">
      <alignment horizontal="center" vertical="center"/>
    </xf>
    <xf numFmtId="0" fontId="56" fillId="33" borderId="59" xfId="19" applyAlignment="1" applyProtection="1">
      <alignment horizontal="center" vertical="center"/>
    </xf>
    <xf numFmtId="2" fontId="56" fillId="17" borderId="59" xfId="17" applyNumberFormat="1" applyAlignment="1" applyProtection="1">
      <alignment horizontal="center" vertical="center"/>
    </xf>
    <xf numFmtId="1" fontId="56" fillId="7" borderId="59" xfId="18" applyNumberFormat="1" applyAlignment="1">
      <alignment horizontal="center" vertical="center"/>
    </xf>
    <xf numFmtId="2" fontId="56" fillId="7" borderId="59" xfId="18" applyNumberFormat="1" applyAlignment="1">
      <alignment horizontal="center" vertical="center"/>
    </xf>
    <xf numFmtId="2" fontId="56" fillId="34" borderId="76" xfId="20" applyNumberFormat="1" applyBorder="1">
      <alignment horizontal="center" vertical="center"/>
    </xf>
    <xf numFmtId="167" fontId="56" fillId="34" borderId="76" xfId="20" applyNumberFormat="1" applyBorder="1">
      <alignment horizontal="center" vertical="center"/>
    </xf>
    <xf numFmtId="2" fontId="56" fillId="0" borderId="0" xfId="0" applyNumberFormat="1" applyFont="1" applyAlignment="1">
      <alignment vertical="center"/>
    </xf>
    <xf numFmtId="0" fontId="0" fillId="7" borderId="0" xfId="0" applyFill="1" applyBorder="1" applyAlignment="1">
      <alignment horizontal="center"/>
    </xf>
    <xf numFmtId="0" fontId="58" fillId="37" borderId="75" xfId="24" applyBorder="1" applyAlignment="1">
      <alignment horizontal="center" vertical="center"/>
    </xf>
    <xf numFmtId="0" fontId="0" fillId="10" borderId="31" xfId="0" applyNumberFormat="1" applyFont="1" applyFill="1" applyBorder="1" applyAlignment="1">
      <alignment horizontal="center"/>
    </xf>
    <xf numFmtId="0" fontId="56" fillId="0" borderId="2" xfId="0" quotePrefix="1" applyFont="1" applyBorder="1" applyAlignment="1">
      <alignment horizontal="center" vertical="top"/>
    </xf>
    <xf numFmtId="0" fontId="56" fillId="17" borderId="76" xfId="17" applyBorder="1" applyAlignment="1">
      <alignment vertical="center"/>
      <protection locked="0"/>
    </xf>
    <xf numFmtId="168" fontId="56" fillId="34" borderId="76" xfId="20" applyNumberFormat="1" applyBorder="1">
      <alignment horizontal="center" vertical="center"/>
    </xf>
    <xf numFmtId="0" fontId="0" fillId="7" borderId="0" xfId="0" applyFill="1" applyBorder="1" applyAlignment="1">
      <alignment horizontal="center"/>
    </xf>
    <xf numFmtId="0" fontId="56" fillId="7" borderId="59" xfId="18" applyNumberFormat="1">
      <alignment horizontal="center" vertical="center"/>
    </xf>
    <xf numFmtId="0" fontId="56" fillId="7" borderId="59" xfId="18" applyNumberFormat="1" applyAlignment="1">
      <alignment horizontal="center" vertical="center"/>
    </xf>
    <xf numFmtId="0" fontId="58" fillId="37" borderId="0" xfId="24" applyBorder="1" applyAlignment="1">
      <alignment horizontal="right" vertical="center"/>
    </xf>
    <xf numFmtId="0" fontId="56" fillId="0" borderId="0" xfId="0" applyFont="1" applyBorder="1" applyAlignment="1">
      <alignment horizontal="center" vertical="center"/>
    </xf>
    <xf numFmtId="0" fontId="56" fillId="7" borderId="91" xfId="18" applyNumberFormat="1" applyBorder="1" applyAlignment="1">
      <alignment vertical="center"/>
    </xf>
    <xf numFmtId="0" fontId="56" fillId="33" borderId="59" xfId="19" applyBorder="1" applyProtection="1">
      <alignment horizontal="center" vertical="center"/>
    </xf>
    <xf numFmtId="0" fontId="65" fillId="13" borderId="59" xfId="23" applyFont="1" applyBorder="1">
      <alignment horizontal="center" vertical="center"/>
      <protection locked="0"/>
    </xf>
    <xf numFmtId="0" fontId="58" fillId="0" borderId="0" xfId="0" applyFont="1" applyBorder="1" applyAlignment="1">
      <alignment vertical="center"/>
    </xf>
    <xf numFmtId="0" fontId="56" fillId="33" borderId="59" xfId="19" applyBorder="1" applyProtection="1">
      <alignment horizontal="center" vertical="center"/>
      <protection locked="0"/>
    </xf>
    <xf numFmtId="0" fontId="56" fillId="33" borderId="59" xfId="19" applyNumberFormat="1" applyBorder="1" applyProtection="1">
      <alignment horizontal="center" vertical="center"/>
    </xf>
    <xf numFmtId="0" fontId="56" fillId="33" borderId="59" xfId="19" applyBorder="1" applyAlignment="1" applyProtection="1">
      <alignment horizontal="center" vertical="center"/>
    </xf>
    <xf numFmtId="0" fontId="64" fillId="13" borderId="59" xfId="23" applyFont="1" applyBorder="1" applyAlignment="1">
      <alignment horizontal="right" vertical="center"/>
      <protection locked="0"/>
    </xf>
    <xf numFmtId="0" fontId="0" fillId="0" borderId="0" xfId="0" quotePrefix="1" applyBorder="1" applyAlignment="1">
      <alignment vertical="top"/>
    </xf>
    <xf numFmtId="0" fontId="0" fillId="0" borderId="82" xfId="0" applyBorder="1"/>
    <xf numFmtId="0" fontId="0" fillId="0" borderId="79" xfId="0" applyBorder="1"/>
    <xf numFmtId="0" fontId="56" fillId="0" borderId="79" xfId="0" applyFont="1" applyFill="1" applyBorder="1" applyAlignment="1">
      <alignment vertical="center"/>
    </xf>
    <xf numFmtId="168" fontId="56" fillId="17" borderId="59" xfId="17" applyNumberFormat="1" applyProtection="1">
      <alignment horizontal="center" vertical="center"/>
    </xf>
    <xf numFmtId="1" fontId="56" fillId="17" borderId="59" xfId="17" applyNumberFormat="1" applyProtection="1">
      <alignment horizontal="center" vertical="center"/>
    </xf>
    <xf numFmtId="0" fontId="58" fillId="37" borderId="0" xfId="24" applyBorder="1" applyAlignment="1"/>
    <xf numFmtId="0" fontId="58" fillId="37" borderId="0" xfId="24" applyBorder="1" applyAlignment="1">
      <alignment horizontal="right"/>
    </xf>
    <xf numFmtId="2" fontId="56" fillId="17" borderId="59" xfId="17" applyNumberFormat="1" applyProtection="1">
      <alignment horizontal="center" vertical="center"/>
      <protection locked="0"/>
    </xf>
    <xf numFmtId="1" fontId="56" fillId="17" borderId="59" xfId="17" applyNumberFormat="1" applyProtection="1">
      <alignment horizontal="center" vertical="center"/>
      <protection locked="0"/>
    </xf>
    <xf numFmtId="0" fontId="56" fillId="17" borderId="59" xfId="17" applyNumberFormat="1" applyProtection="1">
      <alignment horizontal="center" vertical="center"/>
      <protection locked="0"/>
    </xf>
    <xf numFmtId="0" fontId="56" fillId="35" borderId="59" xfId="21">
      <alignment horizontal="center" vertical="center"/>
      <protection locked="0"/>
    </xf>
    <xf numFmtId="1" fontId="56" fillId="33" borderId="59" xfId="19" applyNumberFormat="1" applyProtection="1">
      <alignment horizontal="center" vertical="center"/>
    </xf>
    <xf numFmtId="0" fontId="56" fillId="34" borderId="59" xfId="20">
      <alignment horizontal="center" vertical="center"/>
    </xf>
    <xf numFmtId="165" fontId="70" fillId="3" borderId="0" xfId="0" applyNumberFormat="1" applyFont="1" applyFill="1"/>
    <xf numFmtId="0" fontId="56" fillId="3" borderId="0" xfId="0" applyFont="1" applyFill="1" applyAlignment="1">
      <alignment horizontal="center"/>
    </xf>
    <xf numFmtId="0" fontId="56" fillId="3" borderId="0" xfId="0" applyFont="1" applyFill="1"/>
    <xf numFmtId="0" fontId="70" fillId="3" borderId="0" xfId="0" applyFont="1" applyFill="1"/>
    <xf numFmtId="0" fontId="56" fillId="2" borderId="8" xfId="0" applyFont="1" applyFill="1" applyBorder="1"/>
    <xf numFmtId="0" fontId="56" fillId="2" borderId="9" xfId="0" applyFont="1" applyFill="1" applyBorder="1"/>
    <xf numFmtId="0" fontId="56" fillId="2" borderId="10" xfId="0" applyFont="1" applyFill="1" applyBorder="1"/>
    <xf numFmtId="0" fontId="71" fillId="2" borderId="0" xfId="0" applyFont="1" applyFill="1" applyBorder="1"/>
    <xf numFmtId="0" fontId="72" fillId="2" borderId="12" xfId="0" applyFont="1" applyFill="1" applyBorder="1" applyAlignment="1">
      <alignment horizontal="left"/>
    </xf>
    <xf numFmtId="0" fontId="56" fillId="2" borderId="0" xfId="0" applyFont="1" applyFill="1" applyBorder="1" applyAlignment="1">
      <alignment horizontal="right"/>
    </xf>
    <xf numFmtId="0" fontId="56" fillId="2" borderId="12" xfId="0" applyFont="1" applyFill="1" applyBorder="1"/>
    <xf numFmtId="0" fontId="56" fillId="2" borderId="11" xfId="0" applyFont="1" applyFill="1" applyBorder="1" applyAlignment="1">
      <alignment horizontal="center"/>
    </xf>
    <xf numFmtId="0" fontId="56" fillId="2" borderId="0" xfId="0" applyFont="1" applyFill="1" applyBorder="1"/>
    <xf numFmtId="0" fontId="73" fillId="2" borderId="0" xfId="0" applyFont="1" applyFill="1" applyBorder="1"/>
    <xf numFmtId="0" fontId="72" fillId="2" borderId="0" xfId="0" applyFont="1" applyFill="1" applyBorder="1" applyAlignment="1">
      <alignment horizontal="right"/>
    </xf>
    <xf numFmtId="0" fontId="56" fillId="2" borderId="0" xfId="0" applyFont="1" applyFill="1" applyBorder="1" applyAlignment="1">
      <alignment horizontal="center"/>
    </xf>
    <xf numFmtId="0" fontId="75" fillId="3" borderId="0" xfId="0" applyFont="1" applyFill="1"/>
    <xf numFmtId="0" fontId="76" fillId="2" borderId="11" xfId="0" applyFont="1" applyFill="1" applyBorder="1" applyAlignment="1">
      <alignment horizontal="center"/>
    </xf>
    <xf numFmtId="0" fontId="56" fillId="2" borderId="12" xfId="0" applyFont="1" applyFill="1" applyBorder="1" applyAlignment="1">
      <alignment horizontal="left"/>
    </xf>
    <xf numFmtId="0" fontId="71" fillId="7" borderId="0" xfId="0" applyFont="1" applyFill="1" applyBorder="1"/>
    <xf numFmtId="0" fontId="56" fillId="3" borderId="0" xfId="0" applyFont="1" applyFill="1" applyBorder="1"/>
    <xf numFmtId="0" fontId="77" fillId="3" borderId="0" xfId="0" applyFont="1" applyFill="1" applyBorder="1" applyAlignment="1">
      <alignment horizontal="left"/>
    </xf>
    <xf numFmtId="168" fontId="77" fillId="3" borderId="0" xfId="0" applyNumberFormat="1" applyFont="1" applyFill="1" applyBorder="1" applyAlignment="1">
      <alignment horizontal="right"/>
    </xf>
    <xf numFmtId="0" fontId="71" fillId="7" borderId="0" xfId="0" quotePrefix="1" applyFont="1" applyFill="1" applyBorder="1" applyAlignment="1">
      <alignment horizontal="left"/>
    </xf>
    <xf numFmtId="168" fontId="78" fillId="3" borderId="0" xfId="0" applyNumberFormat="1" applyFont="1" applyFill="1" applyBorder="1" applyAlignment="1">
      <alignment horizontal="left"/>
    </xf>
    <xf numFmtId="0" fontId="79" fillId="3" borderId="0" xfId="0" applyFont="1" applyFill="1" applyBorder="1"/>
    <xf numFmtId="0" fontId="56" fillId="7" borderId="0" xfId="0" quotePrefix="1" applyFont="1" applyFill="1" applyBorder="1" applyAlignment="1">
      <alignment horizontal="left"/>
    </xf>
    <xf numFmtId="0" fontId="56" fillId="7" borderId="0" xfId="0" applyFont="1" applyFill="1" applyBorder="1"/>
    <xf numFmtId="2" fontId="72" fillId="3" borderId="0" xfId="0" applyNumberFormat="1" applyFont="1" applyFill="1" applyBorder="1"/>
    <xf numFmtId="0" fontId="72" fillId="3" borderId="0" xfId="0" applyFont="1" applyFill="1" applyBorder="1"/>
    <xf numFmtId="0" fontId="72" fillId="3" borderId="0" xfId="0" applyFont="1" applyFill="1"/>
    <xf numFmtId="0" fontId="56" fillId="2" borderId="13" xfId="0" applyFont="1" applyFill="1" applyBorder="1" applyAlignment="1">
      <alignment horizontal="center"/>
    </xf>
    <xf numFmtId="0" fontId="56" fillId="2" borderId="14" xfId="0" applyFont="1" applyFill="1" applyBorder="1"/>
    <xf numFmtId="0" fontId="56" fillId="2" borderId="15" xfId="0" applyFont="1" applyFill="1" applyBorder="1"/>
    <xf numFmtId="164" fontId="56" fillId="33" borderId="59" xfId="19" applyNumberFormat="1" applyProtection="1">
      <alignment horizontal="center" vertical="center"/>
    </xf>
    <xf numFmtId="164" fontId="56" fillId="34" borderId="59" xfId="20" applyNumberFormat="1">
      <alignment horizontal="center" vertical="center"/>
    </xf>
    <xf numFmtId="0" fontId="56" fillId="38" borderId="59" xfId="20" applyFill="1">
      <alignment horizontal="center" vertical="center"/>
    </xf>
    <xf numFmtId="0" fontId="56" fillId="35" borderId="70" xfId="21" applyBorder="1">
      <alignment horizontal="center" vertical="center"/>
      <protection locked="0"/>
    </xf>
    <xf numFmtId="164" fontId="56" fillId="33" borderId="70" xfId="19" applyNumberFormat="1" applyBorder="1" applyProtection="1">
      <alignment horizontal="center" vertical="center"/>
    </xf>
    <xf numFmtId="164" fontId="56" fillId="34" borderId="70" xfId="20" applyNumberFormat="1" applyBorder="1">
      <alignment horizontal="center" vertical="center"/>
    </xf>
    <xf numFmtId="164" fontId="56" fillId="17" borderId="70" xfId="17" applyNumberFormat="1" applyBorder="1" applyProtection="1">
      <alignment horizontal="center" vertical="center"/>
    </xf>
    <xf numFmtId="164" fontId="56" fillId="34" borderId="70" xfId="20" applyNumberFormat="1" applyFont="1" applyBorder="1">
      <alignment horizontal="center" vertical="center"/>
    </xf>
    <xf numFmtId="0" fontId="58" fillId="37" borderId="0" xfId="24" applyBorder="1" applyAlignment="1">
      <alignment horizontal="center" vertical="center" wrapText="1"/>
    </xf>
    <xf numFmtId="0" fontId="58" fillId="37" borderId="50" xfId="24" applyBorder="1" applyAlignment="1">
      <alignment horizontal="center" vertical="center"/>
    </xf>
    <xf numFmtId="0" fontId="58" fillId="37" borderId="39" xfId="24" applyBorder="1" applyAlignment="1">
      <alignment horizontal="center" vertical="center"/>
    </xf>
    <xf numFmtId="0" fontId="58" fillId="37" borderId="50" xfId="24" applyBorder="1" applyAlignment="1">
      <alignment horizontal="center" vertical="center" wrapText="1"/>
    </xf>
    <xf numFmtId="0" fontId="56" fillId="17" borderId="59" xfId="17" applyNumberFormat="1" applyProtection="1">
      <alignment horizontal="center" vertical="center"/>
    </xf>
    <xf numFmtId="0" fontId="58" fillId="37" borderId="17" xfId="24" applyBorder="1" applyAlignment="1">
      <alignment horizontal="right"/>
    </xf>
    <xf numFmtId="0" fontId="28" fillId="7" borderId="0" xfId="0" applyFont="1" applyFill="1" applyAlignment="1">
      <alignment horizontal="center" vertical="center"/>
    </xf>
    <xf numFmtId="0" fontId="0" fillId="7" borderId="40" xfId="0" applyFill="1" applyBorder="1" applyAlignment="1">
      <alignment horizontal="center" vertical="center"/>
    </xf>
    <xf numFmtId="0" fontId="58" fillId="37" borderId="40" xfId="24" applyBorder="1" applyAlignment="1">
      <alignment horizontal="center"/>
    </xf>
    <xf numFmtId="0" fontId="0" fillId="0" borderId="0" xfId="0" applyBorder="1"/>
    <xf numFmtId="0" fontId="0" fillId="0" borderId="0" xfId="0" applyBorder="1"/>
    <xf numFmtId="0" fontId="0" fillId="0" borderId="93" xfId="0" applyBorder="1"/>
    <xf numFmtId="0" fontId="0" fillId="0" borderId="94" xfId="0" applyBorder="1"/>
    <xf numFmtId="0" fontId="0" fillId="0" borderId="88" xfId="0" applyBorder="1"/>
    <xf numFmtId="0" fontId="0" fillId="0" borderId="96" xfId="0" applyBorder="1"/>
    <xf numFmtId="0" fontId="56" fillId="0" borderId="0" xfId="0" applyFont="1" applyAlignment="1">
      <alignment horizontal="center" vertical="center" wrapText="1"/>
    </xf>
    <xf numFmtId="0" fontId="62" fillId="36" borderId="0" xfId="22" applyAlignment="1">
      <alignment horizontal="center" vertical="center" wrapText="1"/>
    </xf>
    <xf numFmtId="0" fontId="56" fillId="33" borderId="59" xfId="19" applyBorder="1" applyProtection="1">
      <alignment horizontal="center" vertical="center"/>
      <protection locked="0"/>
    </xf>
    <xf numFmtId="0" fontId="58" fillId="37" borderId="0" xfId="24" applyBorder="1" applyAlignment="1">
      <alignment horizontal="right" vertical="center"/>
    </xf>
    <xf numFmtId="0" fontId="56" fillId="0" borderId="0" xfId="0" applyFont="1" applyBorder="1" applyAlignment="1">
      <alignment horizontal="center" vertical="center"/>
    </xf>
    <xf numFmtId="0" fontId="0" fillId="0" borderId="0" xfId="0" applyBorder="1"/>
    <xf numFmtId="0" fontId="58" fillId="37" borderId="0" xfId="24" applyBorder="1" applyAlignment="1">
      <alignment horizontal="center" vertical="center"/>
    </xf>
    <xf numFmtId="0" fontId="58" fillId="37" borderId="0" xfId="24" applyBorder="1" applyAlignment="1">
      <alignment horizontal="center" vertical="center"/>
    </xf>
    <xf numFmtId="0" fontId="56" fillId="34" borderId="59" xfId="20" applyBorder="1" applyAlignment="1">
      <alignment horizontal="center" vertical="center"/>
    </xf>
    <xf numFmtId="0" fontId="56" fillId="17" borderId="59" xfId="17" applyBorder="1" applyAlignment="1" applyProtection="1">
      <alignment horizontal="center" vertical="center"/>
    </xf>
    <xf numFmtId="2" fontId="56" fillId="17" borderId="76" xfId="17" applyNumberFormat="1" applyBorder="1" applyAlignment="1" applyProtection="1">
      <alignment horizontal="center" vertical="center"/>
    </xf>
    <xf numFmtId="0" fontId="0" fillId="0" borderId="0" xfId="0" applyBorder="1"/>
    <xf numFmtId="0" fontId="58" fillId="37" borderId="31" xfId="24" applyBorder="1" applyAlignment="1">
      <alignment horizontal="center" vertical="center" wrapText="1"/>
    </xf>
    <xf numFmtId="0" fontId="56" fillId="34" borderId="59" xfId="20">
      <alignment horizontal="center" vertical="center"/>
    </xf>
    <xf numFmtId="168" fontId="56" fillId="34" borderId="59" xfId="20" applyNumberFormat="1" applyAlignment="1">
      <alignment horizontal="center" vertical="center"/>
    </xf>
    <xf numFmtId="0" fontId="58" fillId="37" borderId="0" xfId="24" applyBorder="1" applyAlignment="1">
      <alignment vertical="center" wrapText="1"/>
    </xf>
    <xf numFmtId="2" fontId="56" fillId="17" borderId="76" xfId="17" applyNumberFormat="1" applyBorder="1" applyAlignment="1" applyProtection="1">
      <alignment horizontal="right" vertical="center"/>
    </xf>
    <xf numFmtId="168" fontId="43" fillId="7" borderId="0" xfId="0" applyNumberFormat="1" applyFont="1" applyFill="1"/>
    <xf numFmtId="2" fontId="56" fillId="17" borderId="76" xfId="17" applyNumberFormat="1" applyBorder="1" applyProtection="1">
      <alignment horizontal="center" vertical="center"/>
    </xf>
    <xf numFmtId="0" fontId="0" fillId="7" borderId="97" xfId="0" applyFill="1" applyBorder="1" applyAlignment="1">
      <alignment horizontal="center" vertical="center"/>
    </xf>
    <xf numFmtId="0" fontId="0" fillId="13" borderId="101" xfId="23" applyFont="1" applyBorder="1" applyAlignment="1">
      <alignment horizontal="center" vertical="center"/>
      <protection locked="0"/>
    </xf>
    <xf numFmtId="0" fontId="0" fillId="13" borderId="59" xfId="23" applyFont="1" applyBorder="1" applyAlignment="1">
      <alignment horizontal="center" vertical="center"/>
      <protection locked="0"/>
    </xf>
    <xf numFmtId="2" fontId="56" fillId="33" borderId="59" xfId="19" applyNumberFormat="1" applyBorder="1" applyAlignment="1" applyProtection="1">
      <alignment horizontal="center" vertical="center"/>
    </xf>
    <xf numFmtId="2" fontId="56" fillId="17" borderId="59" xfId="17" applyNumberFormat="1" applyBorder="1" applyAlignment="1" applyProtection="1">
      <alignment horizontal="center" vertical="center"/>
    </xf>
    <xf numFmtId="0" fontId="0" fillId="7" borderId="97" xfId="0" applyFill="1" applyBorder="1"/>
    <xf numFmtId="0" fontId="80" fillId="0" borderId="0" xfId="0" applyFont="1" applyBorder="1" applyAlignment="1">
      <alignment vertical="center"/>
    </xf>
    <xf numFmtId="0" fontId="81" fillId="0" borderId="0" xfId="0" quotePrefix="1" applyFont="1" applyFill="1" applyBorder="1" applyAlignment="1">
      <alignment vertical="top"/>
    </xf>
    <xf numFmtId="0" fontId="81" fillId="0" borderId="0" xfId="0" quotePrefix="1" applyFont="1" applyBorder="1" applyAlignment="1">
      <alignment vertical="top"/>
    </xf>
    <xf numFmtId="0" fontId="80" fillId="0" borderId="0" xfId="0" applyFont="1" applyFill="1" applyBorder="1" applyAlignment="1">
      <alignment vertical="center"/>
    </xf>
    <xf numFmtId="0" fontId="56" fillId="7" borderId="77" xfId="18" applyNumberFormat="1" applyFont="1" applyBorder="1">
      <alignment horizontal="center" vertical="center"/>
    </xf>
    <xf numFmtId="0" fontId="56" fillId="34" borderId="76" xfId="20" applyFont="1" applyBorder="1">
      <alignment horizontal="center" vertical="center"/>
    </xf>
    <xf numFmtId="2" fontId="56" fillId="34" borderId="76" xfId="20" applyNumberFormat="1" applyFont="1" applyBorder="1">
      <alignment horizontal="center" vertical="center"/>
    </xf>
    <xf numFmtId="0" fontId="80" fillId="17" borderId="59" xfId="17" applyFont="1" applyProtection="1">
      <alignment horizontal="center" vertical="center"/>
    </xf>
    <xf numFmtId="0" fontId="80" fillId="7" borderId="59" xfId="18" applyNumberFormat="1" applyFont="1">
      <alignment horizontal="center" vertical="center"/>
    </xf>
    <xf numFmtId="1" fontId="80" fillId="7" borderId="59" xfId="18" applyNumberFormat="1" applyFont="1">
      <alignment horizontal="center" vertical="center"/>
    </xf>
    <xf numFmtId="1" fontId="56" fillId="17" borderId="76" xfId="17" applyNumberFormat="1" applyBorder="1" applyAlignment="1" applyProtection="1">
      <alignment horizontal="center" vertical="center"/>
    </xf>
    <xf numFmtId="168" fontId="56" fillId="17" borderId="76" xfId="17" applyNumberFormat="1" applyBorder="1" applyAlignment="1" applyProtection="1">
      <alignment horizontal="right" vertical="center"/>
    </xf>
    <xf numFmtId="0" fontId="56" fillId="34" borderId="59" xfId="20" applyNumberFormat="1">
      <alignment horizontal="center" vertical="center"/>
    </xf>
    <xf numFmtId="1" fontId="56" fillId="17" borderId="76" xfId="17" applyNumberFormat="1" applyBorder="1" applyAlignment="1" applyProtection="1">
      <alignment vertical="center"/>
    </xf>
    <xf numFmtId="0" fontId="56" fillId="7" borderId="77" xfId="18" applyNumberFormat="1" applyBorder="1">
      <alignment horizontal="center" vertical="center"/>
    </xf>
    <xf numFmtId="0" fontId="58" fillId="37" borderId="0" xfId="24" applyBorder="1" applyAlignment="1">
      <alignment horizontal="center" vertical="center" wrapText="1"/>
    </xf>
    <xf numFmtId="164" fontId="56" fillId="38" borderId="70" xfId="3" applyFont="1" applyFill="1" applyBorder="1" applyAlignment="1">
      <alignment vertical="center"/>
    </xf>
    <xf numFmtId="175" fontId="56" fillId="33" borderId="70" xfId="19" applyNumberFormat="1" applyBorder="1" applyAlignment="1" applyProtection="1">
      <alignment horizontal="center" vertical="center"/>
    </xf>
    <xf numFmtId="1" fontId="56" fillId="17" borderId="70" xfId="17" applyNumberFormat="1" applyBorder="1" applyAlignment="1" applyProtection="1">
      <alignment horizontal="center" vertical="center"/>
    </xf>
    <xf numFmtId="10" fontId="56" fillId="7" borderId="59" xfId="18" applyNumberFormat="1">
      <alignment horizontal="center" vertical="center"/>
    </xf>
    <xf numFmtId="0" fontId="56" fillId="34" borderId="59" xfId="20">
      <alignment horizontal="center" vertical="center"/>
    </xf>
    <xf numFmtId="0" fontId="56" fillId="7" borderId="77" xfId="18" applyNumberFormat="1" applyBorder="1">
      <alignment horizontal="center" vertical="center"/>
    </xf>
    <xf numFmtId="0" fontId="56" fillId="34" borderId="59" xfId="20">
      <alignment horizontal="center" vertical="center"/>
    </xf>
    <xf numFmtId="1" fontId="56" fillId="17" borderId="76" xfId="17" applyNumberFormat="1" applyBorder="1" applyProtection="1">
      <alignment horizontal="center" vertical="center"/>
    </xf>
    <xf numFmtId="1" fontId="56" fillId="33" borderId="76" xfId="19" applyNumberFormat="1" applyBorder="1" applyProtection="1">
      <alignment horizontal="center" vertical="center"/>
    </xf>
    <xf numFmtId="0" fontId="56" fillId="0" borderId="6" xfId="0" applyFont="1" applyFill="1" applyBorder="1" applyAlignment="1">
      <alignment vertical="center"/>
    </xf>
    <xf numFmtId="0" fontId="0" fillId="0" borderId="6" xfId="0" applyBorder="1"/>
    <xf numFmtId="0" fontId="56" fillId="7" borderId="103" xfId="18" applyNumberFormat="1" applyBorder="1">
      <alignment horizontal="center" vertical="center"/>
    </xf>
    <xf numFmtId="0" fontId="56" fillId="17" borderId="104" xfId="17" applyBorder="1" applyProtection="1">
      <alignment horizontal="center" vertical="center"/>
    </xf>
    <xf numFmtId="0" fontId="56" fillId="34" borderId="104" xfId="20" applyBorder="1">
      <alignment horizontal="center" vertical="center"/>
    </xf>
    <xf numFmtId="0" fontId="56" fillId="7" borderId="105" xfId="18" applyNumberFormat="1" applyBorder="1">
      <alignment horizontal="center" vertical="center"/>
    </xf>
    <xf numFmtId="0" fontId="56" fillId="7" borderId="106" xfId="18" applyNumberFormat="1" applyBorder="1">
      <alignment horizontal="center" vertical="center"/>
    </xf>
    <xf numFmtId="0" fontId="56" fillId="17" borderId="59" xfId="17" applyBorder="1" applyProtection="1">
      <alignment horizontal="center" vertical="center"/>
    </xf>
    <xf numFmtId="0" fontId="56" fillId="7" borderId="107" xfId="18" applyNumberFormat="1" applyBorder="1">
      <alignment horizontal="center" vertical="center"/>
    </xf>
    <xf numFmtId="0" fontId="56" fillId="7" borderId="108" xfId="18" applyNumberFormat="1" applyBorder="1">
      <alignment horizontal="center" vertical="center"/>
    </xf>
    <xf numFmtId="0" fontId="56" fillId="7" borderId="111" xfId="18" applyNumberFormat="1" applyBorder="1">
      <alignment horizontal="center" vertical="center"/>
    </xf>
    <xf numFmtId="0" fontId="56" fillId="7" borderId="112" xfId="18" applyNumberFormat="1" applyBorder="1">
      <alignment horizontal="center" vertical="center"/>
    </xf>
    <xf numFmtId="0" fontId="56" fillId="17" borderId="91" xfId="17" applyBorder="1" applyProtection="1">
      <alignment horizontal="center" vertical="center"/>
    </xf>
    <xf numFmtId="171" fontId="74" fillId="2" borderId="0" xfId="0" applyNumberFormat="1" applyFont="1" applyFill="1" applyBorder="1" applyAlignment="1">
      <alignment horizontal="left"/>
    </xf>
    <xf numFmtId="9" fontId="56" fillId="17" borderId="91" xfId="17" applyNumberFormat="1" applyBorder="1" applyProtection="1">
      <alignment horizontal="center" vertical="center"/>
    </xf>
    <xf numFmtId="0" fontId="56" fillId="7" borderId="113" xfId="18" applyNumberFormat="1" applyBorder="1">
      <alignment horizontal="center" vertical="center"/>
    </xf>
    <xf numFmtId="0" fontId="56" fillId="7" borderId="114" xfId="18" applyNumberFormat="1" applyBorder="1">
      <alignment horizontal="center" vertical="center"/>
    </xf>
    <xf numFmtId="0" fontId="56" fillId="34" borderId="115" xfId="20" applyBorder="1">
      <alignment horizontal="center" vertical="center"/>
    </xf>
    <xf numFmtId="0" fontId="56" fillId="7" borderId="116" xfId="18" applyNumberFormat="1" applyBorder="1">
      <alignment horizontal="center" vertical="center"/>
    </xf>
    <xf numFmtId="0" fontId="56" fillId="7" borderId="117" xfId="18" applyNumberFormat="1" applyBorder="1">
      <alignment horizontal="center" vertical="center"/>
    </xf>
    <xf numFmtId="0" fontId="56" fillId="7" borderId="103" xfId="18" quotePrefix="1" applyNumberFormat="1" applyBorder="1">
      <alignment horizontal="center" vertical="center"/>
    </xf>
    <xf numFmtId="0" fontId="71" fillId="2" borderId="118" xfId="0" quotePrefix="1" applyFont="1" applyFill="1" applyBorder="1" applyAlignment="1">
      <alignment horizontal="left"/>
    </xf>
    <xf numFmtId="2" fontId="56" fillId="17" borderId="104" xfId="17" applyNumberFormat="1" applyBorder="1" applyProtection="1">
      <alignment horizontal="center" vertical="center"/>
    </xf>
    <xf numFmtId="2" fontId="56" fillId="17" borderId="59" xfId="17" applyNumberFormat="1" applyBorder="1" applyProtection="1">
      <alignment horizontal="center" vertical="center"/>
    </xf>
    <xf numFmtId="0" fontId="56" fillId="7" borderId="108" xfId="18" quotePrefix="1" applyNumberFormat="1" applyBorder="1">
      <alignment horizontal="center" vertical="center"/>
    </xf>
    <xf numFmtId="0" fontId="71" fillId="2" borderId="110" xfId="0" quotePrefix="1" applyFont="1" applyFill="1" applyBorder="1" applyAlignment="1">
      <alignment horizontal="left"/>
    </xf>
    <xf numFmtId="0" fontId="56" fillId="34" borderId="109" xfId="20" applyBorder="1">
      <alignment horizontal="center" vertical="center"/>
    </xf>
    <xf numFmtId="0" fontId="71" fillId="7" borderId="118" xfId="0" applyFont="1" applyFill="1" applyBorder="1"/>
    <xf numFmtId="0" fontId="56" fillId="7" borderId="106" xfId="18" quotePrefix="1" applyNumberFormat="1" applyBorder="1">
      <alignment horizontal="center" vertical="center"/>
    </xf>
    <xf numFmtId="0" fontId="71" fillId="14" borderId="110" xfId="0" applyFont="1" applyFill="1" applyBorder="1"/>
    <xf numFmtId="0" fontId="56" fillId="7" borderId="118" xfId="0" quotePrefix="1" applyFont="1" applyFill="1" applyBorder="1" applyAlignment="1">
      <alignment horizontal="left"/>
    </xf>
    <xf numFmtId="0" fontId="72" fillId="7" borderId="110" xfId="0" applyFont="1" applyFill="1" applyBorder="1"/>
    <xf numFmtId="2" fontId="56" fillId="17" borderId="109" xfId="17" applyNumberFormat="1" applyBorder="1" applyProtection="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33" borderId="76" xfId="19" applyBorder="1" applyProtection="1">
      <alignment horizontal="center" vertical="center"/>
    </xf>
    <xf numFmtId="0" fontId="58" fillId="37" borderId="26" xfId="24" applyBorder="1" applyAlignment="1">
      <alignment horizontal="center" vertical="center"/>
    </xf>
    <xf numFmtId="2" fontId="56" fillId="34" borderId="59" xfId="20" applyNumberFormat="1" applyBorder="1" applyAlignment="1">
      <alignment horizontal="center" vertical="center"/>
    </xf>
    <xf numFmtId="0" fontId="56" fillId="7" borderId="59" xfId="18" applyNumberFormat="1">
      <alignment horizontal="center" vertical="center"/>
    </xf>
    <xf numFmtId="0" fontId="56" fillId="7" borderId="77" xfId="18" applyNumberFormat="1" applyBorder="1">
      <alignment horizontal="center" vertical="center"/>
    </xf>
    <xf numFmtId="0" fontId="56" fillId="34" borderId="59" xfId="20">
      <alignment horizontal="center" vertical="center"/>
    </xf>
    <xf numFmtId="0" fontId="56" fillId="7" borderId="77" xfId="18" applyNumberFormat="1" applyBorder="1">
      <alignment horizontal="center" vertical="center"/>
    </xf>
    <xf numFmtId="0" fontId="18" fillId="2" borderId="0" xfId="0" applyFont="1" applyFill="1" applyBorder="1" applyAlignment="1">
      <alignment horizontal="center" vertical="top" wrapText="1"/>
    </xf>
    <xf numFmtId="3" fontId="19" fillId="2" borderId="0" xfId="0" applyNumberFormat="1" applyFont="1" applyFill="1" applyBorder="1" applyAlignment="1">
      <alignment horizontal="center" vertical="top" wrapText="1"/>
    </xf>
    <xf numFmtId="0" fontId="19" fillId="2" borderId="0" xfId="0" applyFont="1" applyFill="1" applyBorder="1" applyAlignment="1">
      <alignment horizontal="center" vertical="top" wrapText="1"/>
    </xf>
    <xf numFmtId="3" fontId="20" fillId="2" borderId="0" xfId="0" applyNumberFormat="1" applyFont="1" applyFill="1" applyBorder="1" applyAlignment="1">
      <alignment horizontal="center" vertical="top" wrapText="1"/>
    </xf>
    <xf numFmtId="0" fontId="62" fillId="36" borderId="119" xfId="22" applyBorder="1" applyAlignment="1">
      <alignment horizontal="center" vertical="center"/>
    </xf>
    <xf numFmtId="0" fontId="58" fillId="37" borderId="120" xfId="24" applyBorder="1" applyAlignment="1">
      <alignment horizontal="center" vertical="center" wrapText="1"/>
    </xf>
    <xf numFmtId="0" fontId="58" fillId="37" borderId="121" xfId="24" applyBorder="1" applyAlignment="1">
      <alignment horizontal="center" vertical="center" wrapText="1"/>
    </xf>
    <xf numFmtId="0" fontId="58" fillId="37" borderId="122" xfId="24" applyBorder="1" applyAlignment="1">
      <alignment horizontal="center" vertical="center" wrapText="1"/>
    </xf>
    <xf numFmtId="0" fontId="58" fillId="37" borderId="123" xfId="24" applyBorder="1" applyAlignment="1">
      <alignment horizontal="center" vertical="center" wrapText="1"/>
    </xf>
    <xf numFmtId="0" fontId="56" fillId="7" borderId="59" xfId="18" applyNumberFormat="1" applyBorder="1" applyAlignment="1">
      <alignment horizontal="center" vertical="center"/>
    </xf>
    <xf numFmtId="3" fontId="56" fillId="7" borderId="59" xfId="18" applyNumberFormat="1" applyBorder="1" applyAlignment="1">
      <alignment horizontal="center" vertical="center"/>
    </xf>
    <xf numFmtId="3" fontId="56" fillId="7" borderId="124" xfId="18" applyNumberFormat="1" applyBorder="1" applyAlignment="1">
      <alignment horizontal="center" vertical="center"/>
    </xf>
    <xf numFmtId="0" fontId="56" fillId="7" borderId="124" xfId="18" applyNumberFormat="1" applyBorder="1" applyAlignment="1">
      <alignment horizontal="center" vertical="center"/>
    </xf>
    <xf numFmtId="0" fontId="58" fillId="37" borderId="125" xfId="24" applyBorder="1" applyAlignment="1">
      <alignment horizontal="center" vertical="center" wrapText="1"/>
    </xf>
    <xf numFmtId="3" fontId="56" fillId="7" borderId="126" xfId="18" applyNumberFormat="1" applyBorder="1" applyAlignment="1">
      <alignment horizontal="center" vertical="center"/>
    </xf>
    <xf numFmtId="3" fontId="56" fillId="7" borderId="127" xfId="18" applyNumberFormat="1" applyBorder="1" applyAlignment="1">
      <alignment horizontal="center" vertical="center"/>
    </xf>
    <xf numFmtId="2" fontId="56" fillId="34" borderId="59" xfId="20" applyNumberFormat="1" applyAlignment="1">
      <alignment horizontal="center" vertical="center"/>
    </xf>
    <xf numFmtId="0" fontId="82" fillId="36" borderId="6" xfId="25" applyFont="1" applyBorder="1" applyAlignment="1">
      <alignment horizontal="center" vertical="center"/>
    </xf>
    <xf numFmtId="0" fontId="56" fillId="0" borderId="92" xfId="0" applyFont="1" applyBorder="1" applyAlignment="1">
      <alignment vertical="center"/>
    </xf>
    <xf numFmtId="0" fontId="56" fillId="0" borderId="93" xfId="0" applyFont="1" applyBorder="1" applyAlignment="1">
      <alignment vertical="center"/>
    </xf>
    <xf numFmtId="0" fontId="56" fillId="0" borderId="95" xfId="0" applyFont="1" applyBorder="1" applyAlignment="1">
      <alignment vertical="center"/>
    </xf>
    <xf numFmtId="0" fontId="56" fillId="0" borderId="88" xfId="0" applyFont="1" applyBorder="1" applyAlignment="1">
      <alignment vertical="center"/>
    </xf>
    <xf numFmtId="0" fontId="56" fillId="7" borderId="59" xfId="18" applyNumberFormat="1">
      <alignment horizontal="center" vertical="center"/>
    </xf>
    <xf numFmtId="0" fontId="58" fillId="20" borderId="60" xfId="27">
      <alignment horizontal="center" vertical="center"/>
    </xf>
    <xf numFmtId="0" fontId="85" fillId="17" borderId="73" xfId="28" applyFill="1" applyBorder="1" applyAlignment="1">
      <alignment vertical="center"/>
    </xf>
    <xf numFmtId="0" fontId="56" fillId="17" borderId="128" xfId="0" applyFont="1" applyFill="1" applyBorder="1" applyAlignment="1">
      <alignment vertical="center"/>
    </xf>
    <xf numFmtId="0" fontId="85" fillId="17" borderId="128" xfId="28" applyFill="1" applyBorder="1" applyAlignment="1">
      <alignment vertical="center"/>
    </xf>
    <xf numFmtId="0" fontId="87" fillId="17" borderId="73" xfId="0" applyFont="1" applyFill="1" applyBorder="1" applyAlignment="1">
      <alignment horizontal="center" vertical="center"/>
    </xf>
    <xf numFmtId="0" fontId="87" fillId="17" borderId="0" xfId="0" applyFont="1" applyFill="1" applyBorder="1" applyAlignment="1">
      <alignment vertical="center"/>
    </xf>
    <xf numFmtId="0" fontId="87" fillId="17" borderId="128" xfId="0" applyFont="1" applyFill="1" applyBorder="1" applyAlignment="1">
      <alignment horizontal="center" vertical="center"/>
    </xf>
    <xf numFmtId="0" fontId="58" fillId="37" borderId="0" xfId="24" applyBorder="1" applyAlignment="1">
      <alignment horizontal="right" vertical="center"/>
    </xf>
    <xf numFmtId="0" fontId="58" fillId="37" borderId="60" xfId="24" applyAlignment="1">
      <alignment horizontal="right" vertical="center"/>
    </xf>
    <xf numFmtId="0" fontId="56" fillId="34" borderId="59" xfId="20">
      <alignment horizontal="center" vertical="center"/>
    </xf>
    <xf numFmtId="0" fontId="68" fillId="33" borderId="59" xfId="19" applyFont="1" applyBorder="1" applyAlignment="1" applyProtection="1">
      <alignment vertical="center"/>
      <protection locked="0"/>
    </xf>
    <xf numFmtId="0" fontId="56" fillId="33" borderId="59" xfId="19" applyNumberFormat="1" applyBorder="1" applyAlignment="1" applyProtection="1">
      <alignment horizontal="center" vertical="center"/>
    </xf>
    <xf numFmtId="164" fontId="56" fillId="0" borderId="0" xfId="0" applyNumberFormat="1" applyFont="1" applyAlignment="1">
      <alignment vertical="center"/>
    </xf>
    <xf numFmtId="2" fontId="56" fillId="33" borderId="59" xfId="3" applyNumberFormat="1" applyFont="1" applyFill="1" applyBorder="1" applyAlignment="1" applyProtection="1">
      <alignment horizontal="center" vertical="center"/>
    </xf>
    <xf numFmtId="2" fontId="56" fillId="34" borderId="59" xfId="3" applyNumberFormat="1" applyFont="1" applyFill="1" applyBorder="1" applyAlignment="1">
      <alignment horizontal="center" vertical="center"/>
    </xf>
    <xf numFmtId="0" fontId="58" fillId="37" borderId="0" xfId="24" applyBorder="1" applyAlignment="1">
      <alignment horizontal="center" vertical="center" wrapText="1"/>
    </xf>
    <xf numFmtId="0" fontId="56" fillId="13" borderId="59" xfId="23">
      <alignment horizontal="center" vertical="center"/>
      <protection locked="0"/>
    </xf>
    <xf numFmtId="0" fontId="56" fillId="0" borderId="0" xfId="0" applyFont="1" applyAlignment="1">
      <alignment vertical="center" wrapText="1"/>
    </xf>
    <xf numFmtId="0" fontId="56" fillId="7" borderId="59" xfId="18" applyNumberFormat="1">
      <alignment horizontal="center" vertical="center"/>
    </xf>
    <xf numFmtId="0" fontId="56" fillId="0" borderId="0" xfId="0" applyFont="1" applyFill="1" applyBorder="1" applyAlignment="1">
      <alignment horizontal="left" vertical="center"/>
    </xf>
    <xf numFmtId="0" fontId="58" fillId="37" borderId="0" xfId="24" applyBorder="1" applyAlignment="1">
      <alignment horizontal="center" vertical="center"/>
    </xf>
    <xf numFmtId="0" fontId="58" fillId="37" borderId="0" xfId="24" applyBorder="1" applyAlignment="1">
      <alignment horizontal="right" vertical="center"/>
    </xf>
    <xf numFmtId="0" fontId="56" fillId="0" borderId="0" xfId="0" applyFont="1" applyBorder="1" applyAlignment="1">
      <alignment horizontal="center" vertical="center"/>
    </xf>
    <xf numFmtId="0" fontId="58" fillId="37" borderId="60" xfId="24" applyAlignment="1">
      <alignment horizontal="right" vertical="center"/>
    </xf>
    <xf numFmtId="0" fontId="56" fillId="7" borderId="77" xfId="18" applyNumberFormat="1" applyBorder="1">
      <alignment horizontal="center" vertical="center"/>
    </xf>
    <xf numFmtId="0" fontId="56" fillId="7" borderId="59" xfId="18" applyNumberFormat="1" applyBorder="1">
      <alignment horizontal="center" vertical="center"/>
    </xf>
    <xf numFmtId="0" fontId="56" fillId="33" borderId="59" xfId="19" applyBorder="1" applyProtection="1">
      <alignment horizontal="center" vertical="center"/>
      <protection locked="0"/>
    </xf>
    <xf numFmtId="0" fontId="58" fillId="37" borderId="73" xfId="24" applyBorder="1" applyAlignment="1">
      <alignment horizontal="right" vertical="center"/>
    </xf>
    <xf numFmtId="0" fontId="58" fillId="37" borderId="0" xfId="24" applyBorder="1" applyAlignment="1">
      <alignment horizontal="right" vertical="center"/>
    </xf>
    <xf numFmtId="0" fontId="58" fillId="37" borderId="4" xfId="24" applyBorder="1" applyAlignment="1">
      <alignment horizontal="right" vertical="center"/>
    </xf>
    <xf numFmtId="0" fontId="82" fillId="36" borderId="6" xfId="25" applyFont="1" applyBorder="1" applyAlignment="1">
      <alignment horizontal="center" vertical="center"/>
    </xf>
    <xf numFmtId="0" fontId="56" fillId="0" borderId="27" xfId="0" applyFont="1" applyBorder="1" applyAlignment="1">
      <alignment horizontal="center" vertical="center"/>
    </xf>
    <xf numFmtId="0" fontId="56" fillId="0" borderId="28" xfId="0" applyFont="1" applyBorder="1" applyAlignment="1">
      <alignment horizontal="center" vertical="center"/>
    </xf>
    <xf numFmtId="0" fontId="56" fillId="0" borderId="26" xfId="0" applyFont="1" applyBorder="1" applyAlignment="1">
      <alignment horizontal="left" vertical="center"/>
    </xf>
    <xf numFmtId="0" fontId="56" fillId="0" borderId="26" xfId="0" applyFont="1" applyBorder="1" applyAlignment="1">
      <alignment horizontal="center" vertical="center"/>
    </xf>
    <xf numFmtId="14" fontId="56" fillId="0" borderId="27" xfId="0" applyNumberFormat="1" applyFont="1" applyBorder="1" applyAlignment="1">
      <alignment horizontal="center" vertical="center"/>
    </xf>
    <xf numFmtId="14" fontId="56" fillId="0" borderId="28" xfId="0" applyNumberFormat="1" applyFont="1" applyBorder="1" applyAlignment="1">
      <alignment horizontal="center" vertical="center"/>
    </xf>
    <xf numFmtId="0" fontId="58" fillId="37" borderId="89" xfId="24" applyBorder="1" applyAlignment="1">
      <alignment horizontal="center" vertical="center"/>
    </xf>
    <xf numFmtId="0" fontId="58" fillId="37" borderId="88" xfId="24" applyBorder="1" applyAlignment="1">
      <alignment horizontal="center" vertical="center"/>
    </xf>
    <xf numFmtId="2" fontId="56" fillId="34" borderId="59" xfId="20" applyNumberFormat="1" applyBorder="1" applyAlignment="1">
      <alignment horizontal="center" vertical="center"/>
    </xf>
    <xf numFmtId="2" fontId="56" fillId="34" borderId="76" xfId="20" applyNumberFormat="1" applyBorder="1" applyAlignment="1">
      <alignment horizontal="center" vertical="center"/>
    </xf>
    <xf numFmtId="0" fontId="58" fillId="37" borderId="60" xfId="24" applyBorder="1" applyAlignment="1">
      <alignment horizontal="center" vertical="center"/>
    </xf>
    <xf numFmtId="0" fontId="56" fillId="13" borderId="59" xfId="23" applyBorder="1" applyAlignment="1">
      <alignment horizontal="center" vertical="center"/>
      <protection locked="0"/>
    </xf>
    <xf numFmtId="0" fontId="56" fillId="33" borderId="59" xfId="19" applyNumberFormat="1" applyAlignment="1" applyProtection="1">
      <alignment horizontal="center" vertical="center"/>
    </xf>
    <xf numFmtId="0" fontId="58" fillId="37" borderId="73" xfId="24" applyBorder="1" applyAlignment="1">
      <alignment horizontal="center" vertical="center"/>
    </xf>
    <xf numFmtId="0" fontId="58" fillId="37" borderId="0" xfId="24" applyBorder="1" applyAlignment="1">
      <alignment horizontal="center" vertical="center"/>
    </xf>
    <xf numFmtId="0" fontId="62" fillId="36" borderId="0" xfId="25" applyBorder="1" applyAlignment="1">
      <alignment horizontal="center" vertical="center"/>
    </xf>
    <xf numFmtId="0" fontId="32" fillId="13" borderId="86" xfId="23" applyFont="1" applyBorder="1" applyAlignment="1">
      <alignment horizontal="center" vertical="center"/>
      <protection locked="0"/>
    </xf>
    <xf numFmtId="0" fontId="32" fillId="13" borderId="0" xfId="23" applyFont="1" applyBorder="1" applyAlignment="1">
      <alignment horizontal="center" vertical="center"/>
      <protection locked="0"/>
    </xf>
    <xf numFmtId="0" fontId="58" fillId="37" borderId="60" xfId="24" applyAlignment="1">
      <alignment horizontal="right" vertical="center"/>
    </xf>
    <xf numFmtId="0" fontId="56" fillId="17" borderId="59" xfId="17" applyBorder="1" applyAlignment="1" applyProtection="1">
      <alignment horizontal="left" vertical="center"/>
      <protection locked="0"/>
    </xf>
    <xf numFmtId="0" fontId="56" fillId="33" borderId="59" xfId="19" applyBorder="1" applyAlignment="1" applyProtection="1">
      <alignment horizontal="left" vertical="center"/>
      <protection locked="0"/>
    </xf>
    <xf numFmtId="0" fontId="58" fillId="37" borderId="75" xfId="24" applyBorder="1" applyAlignment="1">
      <alignment horizontal="right" vertical="center"/>
    </xf>
    <xf numFmtId="0" fontId="62" fillId="36" borderId="0" xfId="25" applyBorder="1">
      <alignment horizontal="center" vertical="center"/>
    </xf>
    <xf numFmtId="0" fontId="58" fillId="37" borderId="60" xfId="24" applyBorder="1" applyAlignment="1">
      <alignment horizontal="right" vertical="center"/>
    </xf>
    <xf numFmtId="0" fontId="69" fillId="37" borderId="0" xfId="24" applyFont="1" applyBorder="1" applyAlignment="1">
      <alignment horizontal="center" vertical="center"/>
    </xf>
    <xf numFmtId="0" fontId="83" fillId="0" borderId="79" xfId="0" applyFont="1" applyBorder="1" applyAlignment="1">
      <alignment horizontal="right" vertical="center"/>
    </xf>
    <xf numFmtId="0" fontId="56" fillId="0" borderId="5" xfId="0" applyFont="1" applyBorder="1" applyAlignment="1">
      <alignment horizontal="center" vertical="center"/>
    </xf>
    <xf numFmtId="0" fontId="56" fillId="0" borderId="2" xfId="0" applyFont="1" applyBorder="1" applyAlignment="1">
      <alignment horizontal="center" vertical="center"/>
    </xf>
    <xf numFmtId="0" fontId="56" fillId="0" borderId="73" xfId="0" applyFont="1" applyBorder="1" applyAlignment="1">
      <alignment horizontal="center" vertical="center"/>
    </xf>
    <xf numFmtId="0" fontId="56" fillId="0" borderId="0" xfId="0" applyFont="1" applyBorder="1" applyAlignment="1">
      <alignment horizontal="center" vertical="center"/>
    </xf>
    <xf numFmtId="0" fontId="56" fillId="0" borderId="1" xfId="0" applyFont="1" applyBorder="1" applyAlignment="1">
      <alignment horizontal="center" vertical="center"/>
    </xf>
    <xf numFmtId="0" fontId="56" fillId="0" borderId="6" xfId="0" applyFont="1" applyBorder="1" applyAlignment="1">
      <alignment horizontal="center" vertical="center"/>
    </xf>
    <xf numFmtId="0" fontId="63" fillId="36" borderId="0" xfId="25" applyFont="1" applyBorder="1">
      <alignment horizontal="center" vertical="center"/>
    </xf>
    <xf numFmtId="0" fontId="84" fillId="36" borderId="5" xfId="22" applyFont="1" applyBorder="1" applyAlignment="1">
      <alignment horizontal="center" vertical="center"/>
    </xf>
    <xf numFmtId="0" fontId="84" fillId="36" borderId="2" xfId="22" applyFont="1" applyBorder="1" applyAlignment="1">
      <alignment horizontal="center" vertical="center"/>
    </xf>
    <xf numFmtId="0" fontId="84" fillId="36" borderId="3" xfId="22" applyFont="1" applyBorder="1" applyAlignment="1">
      <alignment horizontal="center" vertical="center"/>
    </xf>
    <xf numFmtId="0" fontId="67" fillId="34" borderId="59" xfId="20" applyFont="1" applyAlignment="1">
      <alignment horizontal="center" vertical="center" wrapText="1"/>
    </xf>
    <xf numFmtId="0" fontId="60" fillId="17" borderId="59" xfId="17" applyFont="1" applyBorder="1" applyAlignment="1" applyProtection="1">
      <alignment horizontal="center" vertical="center"/>
      <protection locked="0"/>
    </xf>
    <xf numFmtId="0" fontId="56" fillId="7" borderId="59" xfId="18" applyNumberFormat="1">
      <alignment horizontal="center" vertical="center"/>
    </xf>
    <xf numFmtId="0" fontId="56" fillId="34" borderId="59" xfId="20" applyBorder="1" applyAlignment="1">
      <alignment horizontal="center" vertical="center"/>
    </xf>
    <xf numFmtId="0" fontId="68" fillId="33" borderId="59" xfId="19" applyFont="1" applyBorder="1" applyProtection="1">
      <alignment horizontal="center" vertical="center"/>
      <protection locked="0"/>
    </xf>
    <xf numFmtId="10" fontId="56" fillId="17" borderId="76" xfId="17" applyNumberFormat="1" applyBorder="1" applyAlignment="1" applyProtection="1">
      <alignment horizontal="center" vertical="center"/>
    </xf>
    <xf numFmtId="10" fontId="56" fillId="17" borderId="77" xfId="17" applyNumberFormat="1" applyBorder="1" applyAlignment="1" applyProtection="1">
      <alignment horizontal="center" vertical="center"/>
    </xf>
    <xf numFmtId="0" fontId="32" fillId="13" borderId="76" xfId="23" applyFont="1" applyBorder="1" applyAlignment="1">
      <alignment horizontal="center" vertical="center"/>
      <protection locked="0"/>
    </xf>
    <xf numFmtId="0" fontId="32" fillId="13" borderId="87" xfId="23" applyFont="1" applyBorder="1" applyAlignment="1">
      <alignment horizontal="center" vertical="center"/>
      <protection locked="0"/>
    </xf>
    <xf numFmtId="0" fontId="32" fillId="13" borderId="77" xfId="23" applyFont="1" applyBorder="1" applyAlignment="1">
      <alignment horizontal="center" vertical="center"/>
      <protection locked="0"/>
    </xf>
    <xf numFmtId="0" fontId="58" fillId="37" borderId="73" xfId="24" applyFont="1" applyBorder="1" applyAlignment="1">
      <alignment horizontal="center" vertical="center"/>
    </xf>
    <xf numFmtId="0" fontId="58" fillId="37" borderId="0" xfId="24" applyFont="1" applyBorder="1" applyAlignment="1">
      <alignment horizontal="center" vertical="center"/>
    </xf>
    <xf numFmtId="0" fontId="56" fillId="17" borderId="59" xfId="17" applyNumberFormat="1" applyBorder="1" applyAlignment="1" applyProtection="1">
      <alignment horizontal="center" vertical="center"/>
    </xf>
    <xf numFmtId="164" fontId="56" fillId="34" borderId="59" xfId="3" applyFont="1" applyFill="1" applyBorder="1" applyAlignment="1">
      <alignment horizontal="center" vertical="center"/>
    </xf>
    <xf numFmtId="164" fontId="56" fillId="33" borderId="59" xfId="3" applyFont="1" applyFill="1" applyBorder="1" applyAlignment="1" applyProtection="1">
      <alignment horizontal="center" vertical="center"/>
    </xf>
    <xf numFmtId="0" fontId="82" fillId="36" borderId="0" xfId="25" applyFont="1" applyAlignment="1">
      <alignment horizontal="center" vertical="center"/>
    </xf>
    <xf numFmtId="0" fontId="56" fillId="33" borderId="59" xfId="19" applyAlignment="1" applyProtection="1">
      <alignment horizontal="right" vertical="center"/>
    </xf>
    <xf numFmtId="0" fontId="58" fillId="37" borderId="90" xfId="24" applyBorder="1" applyAlignment="1">
      <alignment horizontal="center" vertical="center"/>
    </xf>
    <xf numFmtId="0" fontId="58" fillId="37" borderId="87" xfId="24" applyBorder="1" applyAlignment="1">
      <alignment horizontal="center" vertical="center"/>
    </xf>
    <xf numFmtId="0" fontId="58" fillId="37" borderId="102" xfId="24" applyBorder="1" applyAlignment="1">
      <alignment horizontal="center" vertical="center"/>
    </xf>
    <xf numFmtId="0" fontId="62" fillId="36" borderId="69" xfId="22" applyBorder="1">
      <alignment horizontal="center" vertical="center"/>
    </xf>
    <xf numFmtId="0" fontId="62" fillId="36" borderId="64" xfId="22" applyBorder="1">
      <alignment horizontal="center" vertical="center"/>
    </xf>
    <xf numFmtId="0" fontId="62" fillId="36" borderId="63" xfId="22" applyBorder="1">
      <alignment horizontal="center" vertical="center"/>
    </xf>
    <xf numFmtId="0" fontId="62" fillId="36" borderId="60" xfId="22" applyBorder="1" applyAlignment="1">
      <alignment horizontal="center" vertical="center" wrapText="1"/>
    </xf>
    <xf numFmtId="0" fontId="62" fillId="36" borderId="26" xfId="22" applyBorder="1" applyAlignment="1">
      <alignment horizontal="center" vertical="center" wrapText="1"/>
    </xf>
    <xf numFmtId="0" fontId="62" fillId="36" borderId="5" xfId="22" applyBorder="1" applyAlignment="1">
      <alignment horizontal="center" vertical="center" wrapText="1"/>
    </xf>
    <xf numFmtId="0" fontId="62" fillId="36" borderId="27" xfId="22" applyBorder="1" applyAlignment="1">
      <alignment horizontal="center" vertical="center" wrapText="1"/>
    </xf>
    <xf numFmtId="0" fontId="62" fillId="36" borderId="4" xfId="22" applyBorder="1" applyAlignment="1">
      <alignment horizontal="center" vertical="center" wrapText="1"/>
    </xf>
    <xf numFmtId="0" fontId="62" fillId="36" borderId="28" xfId="22" applyBorder="1" applyAlignment="1">
      <alignment horizontal="center" vertical="center" wrapText="1"/>
    </xf>
    <xf numFmtId="0" fontId="59" fillId="36" borderId="60" xfId="22" applyFont="1" applyBorder="1" applyAlignment="1">
      <alignment horizontal="center" vertical="center" wrapText="1"/>
    </xf>
    <xf numFmtId="0" fontId="59" fillId="36" borderId="26" xfId="22" applyFont="1" applyBorder="1" applyAlignment="1">
      <alignment horizontal="center" vertical="center" wrapText="1"/>
    </xf>
    <xf numFmtId="0" fontId="62" fillId="36" borderId="66" xfId="22" applyBorder="1" applyAlignment="1">
      <alignment horizontal="center" vertical="center" wrapText="1"/>
    </xf>
    <xf numFmtId="0" fontId="62" fillId="36" borderId="71" xfId="22" applyBorder="1" applyAlignment="1">
      <alignment horizontal="center" vertical="center" wrapText="1"/>
    </xf>
    <xf numFmtId="0" fontId="0" fillId="7" borderId="31" xfId="0" applyFill="1" applyBorder="1" applyAlignment="1">
      <alignment horizontal="center"/>
    </xf>
    <xf numFmtId="0" fontId="62" fillId="36" borderId="0" xfId="22">
      <alignment horizontal="center" vertical="center"/>
    </xf>
    <xf numFmtId="0" fontId="0" fillId="7" borderId="44" xfId="0" applyFill="1" applyBorder="1" applyAlignment="1">
      <alignment horizontal="center" wrapText="1"/>
    </xf>
    <xf numFmtId="0" fontId="0" fillId="7" borderId="45" xfId="0" applyFill="1" applyBorder="1" applyAlignment="1">
      <alignment horizontal="center"/>
    </xf>
    <xf numFmtId="0" fontId="0" fillId="7" borderId="48" xfId="0" applyFill="1" applyBorder="1" applyAlignment="1">
      <alignment horizontal="center"/>
    </xf>
    <xf numFmtId="0" fontId="0" fillId="7" borderId="49" xfId="0" applyFill="1" applyBorder="1" applyAlignment="1">
      <alignment horizontal="center"/>
    </xf>
    <xf numFmtId="0" fontId="62" fillId="36" borderId="61" xfId="22" applyBorder="1">
      <alignment horizontal="center" vertical="center"/>
    </xf>
    <xf numFmtId="0" fontId="62" fillId="36" borderId="62" xfId="22" applyBorder="1">
      <alignment horizontal="center" vertical="center"/>
    </xf>
    <xf numFmtId="0" fontId="62" fillId="36" borderId="68" xfId="22" applyBorder="1" applyAlignment="1">
      <alignment horizontal="center" vertical="center" wrapText="1"/>
    </xf>
    <xf numFmtId="0" fontId="0" fillId="7" borderId="0" xfId="0" applyFill="1" applyBorder="1" applyAlignment="1">
      <alignment horizontal="center"/>
    </xf>
    <xf numFmtId="0" fontId="62" fillId="36" borderId="65" xfId="22" applyBorder="1">
      <alignment horizontal="center" vertical="center"/>
    </xf>
    <xf numFmtId="0" fontId="62" fillId="36" borderId="67" xfId="22" applyBorder="1">
      <alignment horizontal="center" vertical="center"/>
    </xf>
    <xf numFmtId="0" fontId="0" fillId="9" borderId="40" xfId="0" applyFill="1" applyBorder="1" applyAlignment="1">
      <alignment horizontal="center"/>
    </xf>
    <xf numFmtId="0" fontId="0" fillId="7" borderId="40" xfId="0" applyFill="1" applyBorder="1" applyAlignment="1">
      <alignment horizontal="center"/>
    </xf>
    <xf numFmtId="0" fontId="0" fillId="9" borderId="31" xfId="0" applyFill="1" applyBorder="1" applyAlignment="1">
      <alignment horizontal="center" vertical="center" wrapText="1"/>
    </xf>
    <xf numFmtId="0" fontId="0" fillId="9" borderId="34" xfId="0" applyFill="1" applyBorder="1" applyAlignment="1">
      <alignment horizontal="center" vertical="center" wrapText="1"/>
    </xf>
    <xf numFmtId="0" fontId="0" fillId="9" borderId="54" xfId="0" applyFill="1" applyBorder="1" applyAlignment="1">
      <alignment horizontal="center" vertical="center" wrapText="1"/>
    </xf>
    <xf numFmtId="0" fontId="0" fillId="9" borderId="55" xfId="0" applyFill="1" applyBorder="1" applyAlignment="1">
      <alignment horizontal="center" vertical="center" wrapText="1"/>
    </xf>
    <xf numFmtId="0" fontId="0" fillId="9" borderId="39" xfId="0" applyFill="1" applyBorder="1" applyAlignment="1">
      <alignment horizontal="center" vertical="center" wrapText="1"/>
    </xf>
    <xf numFmtId="0" fontId="0" fillId="9" borderId="37"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31" xfId="0" applyFill="1" applyBorder="1" applyAlignment="1">
      <alignment horizontal="center" vertical="center"/>
    </xf>
    <xf numFmtId="0" fontId="33" fillId="13" borderId="31" xfId="0" applyFont="1" applyFill="1" applyBorder="1" applyAlignment="1">
      <alignment horizontal="center"/>
    </xf>
    <xf numFmtId="0" fontId="33" fillId="13" borderId="34" xfId="0" applyFont="1" applyFill="1" applyBorder="1" applyAlignment="1">
      <alignment horizontal="center"/>
    </xf>
    <xf numFmtId="0" fontId="33" fillId="13" borderId="38" xfId="0" applyFont="1" applyFill="1" applyBorder="1" applyAlignment="1">
      <alignment horizontal="center"/>
    </xf>
    <xf numFmtId="0" fontId="33" fillId="13" borderId="53" xfId="0" applyFont="1" applyFill="1" applyBorder="1" applyAlignment="1">
      <alignment horizontal="center"/>
    </xf>
    <xf numFmtId="0" fontId="33" fillId="13" borderId="33" xfId="0" applyFont="1" applyFill="1" applyBorder="1" applyAlignment="1">
      <alignment horizontal="center"/>
    </xf>
    <xf numFmtId="0" fontId="33" fillId="13" borderId="32" xfId="0" applyFont="1" applyFill="1" applyBorder="1" applyAlignment="1">
      <alignment horizontal="center"/>
    </xf>
    <xf numFmtId="0" fontId="0" fillId="13" borderId="40" xfId="0" applyFill="1" applyBorder="1" applyAlignment="1">
      <alignment horizontal="center"/>
    </xf>
    <xf numFmtId="0" fontId="34" fillId="9" borderId="31" xfId="0" applyFont="1" applyFill="1" applyBorder="1" applyAlignment="1">
      <alignment horizontal="center" vertical="center" wrapText="1"/>
    </xf>
    <xf numFmtId="0" fontId="0" fillId="9" borderId="31" xfId="0" applyFont="1" applyFill="1" applyBorder="1" applyAlignment="1">
      <alignment horizontal="center" vertical="center" wrapText="1"/>
    </xf>
    <xf numFmtId="0" fontId="0" fillId="13" borderId="34" xfId="0" applyFill="1" applyBorder="1" applyAlignment="1">
      <alignment horizontal="center"/>
    </xf>
    <xf numFmtId="0" fontId="0" fillId="13" borderId="33" xfId="0" applyFill="1" applyBorder="1" applyAlignment="1">
      <alignment horizontal="center"/>
    </xf>
    <xf numFmtId="0" fontId="0" fillId="13" borderId="53" xfId="0" applyFill="1" applyBorder="1" applyAlignment="1">
      <alignment horizontal="center"/>
    </xf>
    <xf numFmtId="0" fontId="0" fillId="13" borderId="56" xfId="0" applyFill="1" applyBorder="1" applyAlignment="1">
      <alignment horizontal="center"/>
    </xf>
    <xf numFmtId="0" fontId="0" fillId="13" borderId="35" xfId="0" applyFill="1" applyBorder="1" applyAlignment="1">
      <alignment horizontal="center"/>
    </xf>
    <xf numFmtId="0" fontId="56" fillId="17" borderId="76" xfId="17" applyBorder="1" applyAlignment="1" applyProtection="1">
      <alignment horizontal="center" vertical="center"/>
    </xf>
    <xf numFmtId="0" fontId="56" fillId="17" borderId="77" xfId="17" applyBorder="1" applyAlignment="1" applyProtection="1">
      <alignment horizontal="center" vertical="center"/>
    </xf>
    <xf numFmtId="0" fontId="56" fillId="17" borderId="59" xfId="17" applyFont="1" applyBorder="1" applyAlignment="1" applyProtection="1">
      <alignment horizontal="center" vertical="center"/>
    </xf>
    <xf numFmtId="0" fontId="56" fillId="17" borderId="76" xfId="17" applyFont="1" applyBorder="1" applyAlignment="1" applyProtection="1">
      <alignment horizontal="center" vertical="center"/>
    </xf>
    <xf numFmtId="0" fontId="58" fillId="37" borderId="60" xfId="24" applyFont="1" applyBorder="1" applyAlignment="1">
      <alignment horizontal="center" vertical="center"/>
    </xf>
    <xf numFmtId="0" fontId="56" fillId="0" borderId="79" xfId="0" applyFont="1" applyBorder="1" applyAlignment="1">
      <alignment horizontal="right" vertical="center"/>
    </xf>
    <xf numFmtId="0" fontId="58" fillId="37" borderId="60" xfId="24">
      <alignment horizontal="center" vertical="center"/>
    </xf>
    <xf numFmtId="0" fontId="66" fillId="36" borderId="5" xfId="22" applyFont="1" applyBorder="1" applyAlignment="1">
      <alignment horizontal="center" vertical="center"/>
    </xf>
    <xf numFmtId="0" fontId="66" fillId="36" borderId="2" xfId="22" applyFont="1" applyBorder="1" applyAlignment="1">
      <alignment horizontal="center" vertical="center"/>
    </xf>
    <xf numFmtId="0" fontId="66" fillId="36" borderId="3" xfId="22" applyFont="1" applyBorder="1" applyAlignment="1">
      <alignment horizontal="center" vertical="center"/>
    </xf>
    <xf numFmtId="10" fontId="56" fillId="34" borderId="59" xfId="20" applyNumberFormat="1" applyAlignment="1">
      <alignment horizontal="center" vertical="center"/>
    </xf>
    <xf numFmtId="0" fontId="56" fillId="33" borderId="59" xfId="19" applyBorder="1" applyProtection="1">
      <alignment horizontal="center" vertical="center"/>
      <protection locked="0"/>
    </xf>
    <xf numFmtId="0" fontId="62" fillId="36" borderId="73" xfId="22" applyBorder="1" applyAlignment="1">
      <alignment horizontal="center" vertical="center"/>
    </xf>
    <xf numFmtId="0" fontId="62" fillId="36" borderId="0" xfId="22" applyBorder="1" applyAlignment="1">
      <alignment horizontal="center" vertical="center"/>
    </xf>
    <xf numFmtId="0" fontId="58" fillId="37" borderId="5" xfId="24" applyBorder="1" applyAlignment="1">
      <alignment horizontal="center" vertical="center"/>
    </xf>
    <xf numFmtId="0" fontId="58" fillId="37" borderId="2" xfId="24" applyBorder="1" applyAlignment="1">
      <alignment horizontal="center" vertical="center"/>
    </xf>
    <xf numFmtId="0" fontId="58" fillId="37" borderId="3" xfId="24" applyBorder="1" applyAlignment="1">
      <alignment horizontal="center" vertical="center"/>
    </xf>
    <xf numFmtId="0" fontId="56" fillId="7" borderId="77" xfId="18" applyNumberFormat="1" applyBorder="1">
      <alignment horizontal="center" vertical="center"/>
    </xf>
    <xf numFmtId="0" fontId="56" fillId="7" borderId="59" xfId="18" applyNumberFormat="1" applyBorder="1">
      <alignment horizontal="center" vertical="center"/>
    </xf>
    <xf numFmtId="0" fontId="58" fillId="37" borderId="0" xfId="24" applyBorder="1" applyAlignment="1">
      <alignment horizontal="center" vertical="center" wrapText="1"/>
    </xf>
    <xf numFmtId="0" fontId="62" fillId="36" borderId="5" xfId="22" applyBorder="1">
      <alignment horizontal="center" vertical="center"/>
    </xf>
    <xf numFmtId="0" fontId="62" fillId="36" borderId="98" xfId="22" applyBorder="1">
      <alignment horizontal="center" vertical="center"/>
    </xf>
    <xf numFmtId="0" fontId="62" fillId="36" borderId="60" xfId="22" applyBorder="1">
      <alignment horizontal="center" vertical="center"/>
    </xf>
    <xf numFmtId="0" fontId="58" fillId="37" borderId="44" xfId="24" applyBorder="1" applyAlignment="1">
      <alignment horizontal="center" vertical="center"/>
    </xf>
    <xf numFmtId="0" fontId="58" fillId="37" borderId="36" xfId="24" applyBorder="1" applyAlignment="1">
      <alignment horizontal="center" vertical="center"/>
    </xf>
    <xf numFmtId="0" fontId="58" fillId="37" borderId="45" xfId="24" applyBorder="1" applyAlignment="1">
      <alignment horizontal="center" vertical="center"/>
    </xf>
    <xf numFmtId="0" fontId="58" fillId="37" borderId="42" xfId="24" applyBorder="1" applyAlignment="1">
      <alignment horizontal="center" vertical="center"/>
    </xf>
    <xf numFmtId="0" fontId="58" fillId="37" borderId="43" xfId="24" applyBorder="1" applyAlignment="1">
      <alignment horizontal="center" vertical="center"/>
    </xf>
    <xf numFmtId="0" fontId="58" fillId="37" borderId="39" xfId="24" applyBorder="1" applyAlignment="1">
      <alignment horizontal="center" vertical="top" wrapText="1"/>
    </xf>
    <xf numFmtId="0" fontId="58" fillId="37" borderId="37" xfId="24" applyBorder="1" applyAlignment="1">
      <alignment horizontal="center" vertical="top" wrapText="1"/>
    </xf>
    <xf numFmtId="0" fontId="58" fillId="37" borderId="31" xfId="24" applyBorder="1" applyAlignment="1">
      <alignment horizontal="center" vertical="center" wrapText="1"/>
    </xf>
    <xf numFmtId="0" fontId="58" fillId="37" borderId="34" xfId="24" applyBorder="1" applyAlignment="1">
      <alignment horizontal="center" vertical="center" wrapText="1"/>
    </xf>
    <xf numFmtId="0" fontId="58" fillId="37" borderId="99" xfId="24" applyBorder="1" applyAlignment="1">
      <alignment horizontal="center" vertical="center" wrapText="1"/>
    </xf>
    <xf numFmtId="0" fontId="58" fillId="37" borderId="100" xfId="24" applyBorder="1" applyAlignment="1">
      <alignment horizontal="center" vertical="center" wrapText="1"/>
    </xf>
    <xf numFmtId="0" fontId="58" fillId="37" borderId="34" xfId="24" applyBorder="1" applyAlignment="1">
      <alignment horizontal="center" vertical="top" wrapText="1"/>
    </xf>
    <xf numFmtId="0" fontId="58" fillId="37" borderId="32" xfId="24" applyBorder="1" applyAlignment="1">
      <alignment horizontal="center" vertical="top" wrapText="1"/>
    </xf>
    <xf numFmtId="0" fontId="58" fillId="37" borderId="31" xfId="24" applyBorder="1" applyAlignment="1">
      <alignment horizontal="center" vertical="center"/>
    </xf>
    <xf numFmtId="0" fontId="58" fillId="37" borderId="39" xfId="24" applyBorder="1" applyAlignment="1">
      <alignment horizontal="center" vertical="center" wrapText="1"/>
    </xf>
    <xf numFmtId="0" fontId="58" fillId="37" borderId="37" xfId="24" applyBorder="1" applyAlignment="1">
      <alignment horizontal="center" vertical="center" wrapText="1"/>
    </xf>
    <xf numFmtId="0" fontId="0" fillId="9" borderId="57" xfId="0" applyFill="1" applyBorder="1" applyAlignment="1">
      <alignment horizontal="center"/>
    </xf>
    <xf numFmtId="0" fontId="0" fillId="9" borderId="58" xfId="0" applyFill="1" applyBorder="1" applyAlignment="1">
      <alignment horizontal="center"/>
    </xf>
    <xf numFmtId="0" fontId="0" fillId="9" borderId="46" xfId="0" applyFill="1" applyBorder="1" applyAlignment="1">
      <alignment horizontal="center"/>
    </xf>
    <xf numFmtId="0" fontId="58" fillId="37" borderId="40" xfId="24" applyBorder="1" applyAlignment="1">
      <alignment horizontal="center"/>
    </xf>
    <xf numFmtId="0" fontId="86" fillId="17" borderId="73" xfId="0" applyFont="1" applyFill="1" applyBorder="1" applyAlignment="1">
      <alignment horizontal="center" vertical="center"/>
    </xf>
    <xf numFmtId="0" fontId="86" fillId="17" borderId="0" xfId="0" applyFont="1" applyFill="1" applyBorder="1" applyAlignment="1">
      <alignment horizontal="center" vertical="center"/>
    </xf>
    <xf numFmtId="0" fontId="86" fillId="17" borderId="4" xfId="0" applyFont="1" applyFill="1" applyBorder="1" applyAlignment="1">
      <alignment horizontal="center" vertical="center"/>
    </xf>
    <xf numFmtId="0" fontId="58" fillId="20" borderId="60" xfId="27">
      <alignment horizontal="center" vertical="center"/>
    </xf>
    <xf numFmtId="0" fontId="58" fillId="20" borderId="27" xfId="27" applyBorder="1" applyAlignment="1">
      <alignment horizontal="center" vertical="center"/>
    </xf>
    <xf numFmtId="0" fontId="58" fillId="20" borderId="28" xfId="27" applyBorder="1" applyAlignment="1">
      <alignment horizontal="center" vertical="center"/>
    </xf>
    <xf numFmtId="0" fontId="0" fillId="7" borderId="0" xfId="0" applyFill="1" applyBorder="1" applyAlignment="1">
      <alignment horizontal="right" vertical="center"/>
    </xf>
    <xf numFmtId="0" fontId="50" fillId="14" borderId="0" xfId="2" applyFont="1" applyFill="1" applyBorder="1" applyAlignment="1">
      <alignment horizontal="center"/>
    </xf>
    <xf numFmtId="0" fontId="50" fillId="14" borderId="0" xfId="2" applyFont="1" applyFill="1" applyBorder="1" applyAlignment="1">
      <alignment horizontal="center" vertical="center"/>
    </xf>
    <xf numFmtId="0" fontId="50" fillId="21" borderId="0" xfId="2" applyFont="1" applyFill="1" applyBorder="1" applyAlignment="1">
      <alignment horizontal="center"/>
    </xf>
    <xf numFmtId="0" fontId="50" fillId="14" borderId="44" xfId="2" applyFont="1" applyFill="1" applyBorder="1" applyAlignment="1">
      <alignment horizontal="center"/>
    </xf>
    <xf numFmtId="0" fontId="50" fillId="14" borderId="36" xfId="2" applyFont="1" applyFill="1" applyBorder="1" applyAlignment="1">
      <alignment horizontal="center"/>
    </xf>
    <xf numFmtId="0" fontId="50" fillId="14" borderId="45" xfId="2" applyFont="1" applyFill="1" applyBorder="1" applyAlignment="1">
      <alignment horizontal="center"/>
    </xf>
    <xf numFmtId="0" fontId="50" fillId="20" borderId="34" xfId="2" applyFont="1" applyFill="1" applyBorder="1" applyAlignment="1">
      <alignment horizontal="center"/>
    </xf>
    <xf numFmtId="0" fontId="50" fillId="20" borderId="33" xfId="2" applyFont="1" applyFill="1" applyBorder="1" applyAlignment="1">
      <alignment horizontal="center"/>
    </xf>
    <xf numFmtId="0" fontId="50" fillId="20" borderId="32" xfId="2" applyFont="1" applyFill="1" applyBorder="1" applyAlignment="1">
      <alignment horizontal="center"/>
    </xf>
    <xf numFmtId="0" fontId="50" fillId="20" borderId="42" xfId="2" applyFont="1" applyFill="1" applyBorder="1" applyAlignment="1">
      <alignment horizontal="center"/>
    </xf>
    <xf numFmtId="0" fontId="50" fillId="20" borderId="0" xfId="2" applyFont="1" applyFill="1" applyBorder="1" applyAlignment="1">
      <alignment horizontal="center"/>
    </xf>
    <xf numFmtId="0" fontId="50" fillId="20" borderId="43" xfId="2" applyFont="1" applyFill="1" applyBorder="1" applyAlignment="1">
      <alignment horizontal="center"/>
    </xf>
    <xf numFmtId="0" fontId="0" fillId="0" borderId="0" xfId="0" applyAlignment="1">
      <alignment horizontal="center" vertical="center"/>
    </xf>
    <xf numFmtId="0" fontId="0" fillId="10" borderId="31" xfId="0" applyFill="1" applyBorder="1" applyAlignment="1">
      <alignment horizontal="right" vertical="center"/>
    </xf>
    <xf numFmtId="0" fontId="0" fillId="0" borderId="0" xfId="0" applyAlignment="1">
      <alignment horizontal="left" vertical="center"/>
    </xf>
    <xf numFmtId="0" fontId="50" fillId="14" borderId="34" xfId="2" applyFont="1" applyFill="1" applyBorder="1" applyAlignment="1">
      <alignment horizontal="center"/>
    </xf>
    <xf numFmtId="0" fontId="50" fillId="14" borderId="33" xfId="2" applyFont="1" applyFill="1" applyBorder="1" applyAlignment="1">
      <alignment horizontal="center"/>
    </xf>
    <xf numFmtId="0" fontId="50" fillId="14" borderId="32" xfId="2" applyFont="1" applyFill="1" applyBorder="1" applyAlignment="1">
      <alignment horizontal="center"/>
    </xf>
    <xf numFmtId="0" fontId="0" fillId="7" borderId="0" xfId="0" applyFill="1" applyAlignment="1">
      <alignment horizontal="left"/>
    </xf>
    <xf numFmtId="14" fontId="0" fillId="7" borderId="0" xfId="0" applyNumberFormat="1" applyFill="1" applyAlignment="1">
      <alignment horizontal="left"/>
    </xf>
    <xf numFmtId="0" fontId="8" fillId="13" borderId="34" xfId="0" applyFont="1" applyFill="1" applyBorder="1" applyAlignment="1">
      <alignment horizontal="center" vertical="center"/>
    </xf>
    <xf numFmtId="0" fontId="8" fillId="13" borderId="33" xfId="0" applyFont="1" applyFill="1" applyBorder="1" applyAlignment="1">
      <alignment horizontal="center" vertical="center"/>
    </xf>
    <xf numFmtId="0" fontId="8" fillId="13" borderId="32" xfId="0" applyFont="1" applyFill="1" applyBorder="1" applyAlignment="1">
      <alignment horizontal="center" vertical="center"/>
    </xf>
    <xf numFmtId="0" fontId="0" fillId="13" borderId="32" xfId="0" applyFill="1" applyBorder="1" applyAlignment="1">
      <alignment horizontal="center"/>
    </xf>
    <xf numFmtId="0" fontId="7" fillId="0" borderId="31" xfId="0" applyFont="1" applyBorder="1" applyAlignment="1">
      <alignment horizontal="right"/>
    </xf>
    <xf numFmtId="0" fontId="8" fillId="13" borderId="31" xfId="0" applyFont="1" applyFill="1" applyBorder="1" applyAlignment="1">
      <alignment horizontal="center" vertical="center"/>
    </xf>
    <xf numFmtId="0" fontId="0" fillId="13" borderId="31" xfId="0" applyFill="1" applyBorder="1" applyAlignment="1">
      <alignment horizontal="center"/>
    </xf>
    <xf numFmtId="0" fontId="10" fillId="9" borderId="31" xfId="0" applyFont="1" applyFill="1" applyBorder="1" applyAlignment="1">
      <alignment horizontal="center" vertical="center"/>
    </xf>
    <xf numFmtId="0" fontId="71" fillId="2" borderId="11" xfId="0" applyFont="1" applyFill="1" applyBorder="1" applyAlignment="1">
      <alignment horizontal="center"/>
    </xf>
    <xf numFmtId="0" fontId="71" fillId="2" borderId="0" xfId="0" applyFont="1" applyFill="1" applyBorder="1" applyAlignment="1">
      <alignment horizontal="center"/>
    </xf>
    <xf numFmtId="0" fontId="71" fillId="2" borderId="12" xfId="0" applyFont="1" applyFill="1" applyBorder="1" applyAlignment="1">
      <alignment horizontal="center"/>
    </xf>
    <xf numFmtId="0" fontId="56" fillId="7" borderId="104" xfId="18" applyNumberFormat="1" applyBorder="1">
      <alignment horizontal="center" vertical="center"/>
    </xf>
    <xf numFmtId="0" fontId="56" fillId="7" borderId="59" xfId="18" applyNumberFormat="1" applyBorder="1" applyAlignment="1">
      <alignment horizontal="right" vertical="center"/>
    </xf>
    <xf numFmtId="0" fontId="56" fillId="7" borderId="115" xfId="18" applyNumberFormat="1" applyBorder="1" applyAlignment="1">
      <alignment horizontal="right" vertical="center"/>
    </xf>
    <xf numFmtId="0" fontId="7" fillId="9" borderId="34" xfId="0" applyFont="1" applyFill="1" applyBorder="1" applyAlignment="1">
      <alignment horizontal="center" vertical="center" wrapText="1"/>
    </xf>
    <xf numFmtId="0" fontId="7" fillId="9" borderId="32" xfId="0" applyFont="1" applyFill="1" applyBorder="1" applyAlignment="1">
      <alignment horizontal="center" vertical="center" wrapText="1"/>
    </xf>
    <xf numFmtId="0" fontId="7" fillId="0" borderId="42" xfId="0" applyFont="1" applyBorder="1" applyAlignment="1">
      <alignment horizontal="left"/>
    </xf>
    <xf numFmtId="0" fontId="7" fillId="0" borderId="0" xfId="0" applyFont="1" applyBorder="1" applyAlignment="1">
      <alignment horizontal="left"/>
    </xf>
    <xf numFmtId="0" fontId="7" fillId="0" borderId="34" xfId="0" applyFont="1" applyBorder="1" applyAlignment="1">
      <alignment horizontal="left"/>
    </xf>
    <xf numFmtId="0" fontId="7" fillId="0" borderId="32" xfId="0" applyFont="1" applyBorder="1" applyAlignment="1">
      <alignment horizontal="left"/>
    </xf>
    <xf numFmtId="0" fontId="10" fillId="9" borderId="34" xfId="0" applyFont="1" applyFill="1" applyBorder="1" applyAlignment="1">
      <alignment horizontal="center" vertical="center"/>
    </xf>
    <xf numFmtId="0" fontId="10" fillId="9" borderId="33" xfId="0" applyFont="1" applyFill="1" applyBorder="1" applyAlignment="1">
      <alignment horizontal="center" vertical="center"/>
    </xf>
    <xf numFmtId="0" fontId="10" fillId="9" borderId="32" xfId="0" applyFont="1" applyFill="1" applyBorder="1" applyAlignment="1">
      <alignment horizontal="center" vertical="center"/>
    </xf>
    <xf numFmtId="0" fontId="7" fillId="0" borderId="43" xfId="0" applyFont="1" applyBorder="1" applyAlignment="1">
      <alignment horizontal="left"/>
    </xf>
    <xf numFmtId="0" fontId="19" fillId="7" borderId="0" xfId="0" applyFont="1" applyFill="1" applyAlignment="1">
      <alignment horizontal="left" vertical="center" wrapText="1"/>
    </xf>
    <xf numFmtId="167" fontId="37" fillId="15" borderId="0" xfId="0" applyNumberFormat="1" applyFont="1" applyFill="1" applyBorder="1" applyAlignment="1">
      <alignment horizontal="center"/>
    </xf>
    <xf numFmtId="0" fontId="37" fillId="20" borderId="34" xfId="0" applyFont="1" applyFill="1" applyBorder="1" applyAlignment="1">
      <alignment horizontal="center"/>
    </xf>
    <xf numFmtId="0" fontId="37" fillId="20" borderId="32" xfId="0" applyFont="1" applyFill="1" applyBorder="1" applyAlignment="1">
      <alignment horizontal="center"/>
    </xf>
    <xf numFmtId="0" fontId="7" fillId="0" borderId="0" xfId="0" applyFont="1" applyBorder="1" applyAlignment="1">
      <alignment horizontal="center"/>
    </xf>
    <xf numFmtId="0" fontId="9" fillId="0" borderId="0" xfId="0" applyFont="1" applyBorder="1" applyAlignment="1">
      <alignment horizontal="left"/>
    </xf>
    <xf numFmtId="167" fontId="37" fillId="20" borderId="34" xfId="0" applyNumberFormat="1" applyFont="1" applyFill="1" applyBorder="1" applyAlignment="1">
      <alignment horizontal="center"/>
    </xf>
    <xf numFmtId="167" fontId="37" fillId="20" borderId="32" xfId="0" applyNumberFormat="1" applyFont="1" applyFill="1" applyBorder="1" applyAlignment="1">
      <alignment horizontal="center"/>
    </xf>
    <xf numFmtId="168" fontId="37" fillId="20" borderId="34" xfId="0" applyNumberFormat="1" applyFont="1" applyFill="1" applyBorder="1" applyAlignment="1">
      <alignment horizontal="center"/>
    </xf>
    <xf numFmtId="168" fontId="37" fillId="20" borderId="32" xfId="0" applyNumberFormat="1" applyFont="1" applyFill="1" applyBorder="1" applyAlignment="1">
      <alignment horizontal="center"/>
    </xf>
    <xf numFmtId="168" fontId="37" fillId="15" borderId="0" xfId="0" applyNumberFormat="1" applyFont="1"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17" fillId="0" borderId="16" xfId="0" applyFont="1" applyBorder="1" applyAlignment="1">
      <alignment horizontal="center" vertical="center"/>
    </xf>
    <xf numFmtId="0" fontId="17" fillId="0" borderId="17" xfId="0" applyFont="1" applyBorder="1" applyAlignment="1">
      <alignment horizontal="center" vertical="center"/>
    </xf>
    <xf numFmtId="0" fontId="17" fillId="0" borderId="18" xfId="0" applyFont="1" applyBorder="1" applyAlignment="1">
      <alignment horizontal="center" vertical="center"/>
    </xf>
    <xf numFmtId="0" fontId="17" fillId="0" borderId="19" xfId="0" applyFont="1" applyBorder="1" applyAlignment="1">
      <alignment horizontal="center" vertical="center"/>
    </xf>
    <xf numFmtId="0" fontId="17" fillId="0" borderId="0" xfId="0" applyFont="1" applyBorder="1" applyAlignment="1">
      <alignment horizontal="center" vertical="center"/>
    </xf>
    <xf numFmtId="0" fontId="17" fillId="0" borderId="20"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37" fillId="20" borderId="29" xfId="0" applyFont="1" applyFill="1" applyBorder="1" applyAlignment="1">
      <alignment horizontal="center" vertical="center"/>
    </xf>
    <xf numFmtId="0" fontId="37" fillId="20" borderId="25" xfId="0" applyFont="1" applyFill="1" applyBorder="1" applyAlignment="1">
      <alignment horizontal="center" vertical="center"/>
    </xf>
    <xf numFmtId="0" fontId="21" fillId="0" borderId="16" xfId="0" applyFont="1" applyBorder="1" applyAlignment="1">
      <alignment horizontal="center" vertical="center"/>
    </xf>
    <xf numFmtId="0" fontId="21" fillId="0" borderId="17" xfId="0" applyFont="1" applyBorder="1" applyAlignment="1">
      <alignment horizontal="center" vertical="center"/>
    </xf>
    <xf numFmtId="0" fontId="21" fillId="0" borderId="18" xfId="0" applyFont="1" applyBorder="1" applyAlignment="1">
      <alignment horizontal="center" vertical="center"/>
    </xf>
    <xf numFmtId="0" fontId="21" fillId="0" borderId="19" xfId="0" applyFont="1" applyBorder="1" applyAlignment="1">
      <alignment horizontal="center" vertical="center"/>
    </xf>
    <xf numFmtId="0" fontId="21" fillId="0" borderId="0" xfId="0" applyFont="1" applyBorder="1" applyAlignment="1">
      <alignment horizontal="center" vertical="center"/>
    </xf>
    <xf numFmtId="0" fontId="21" fillId="0" borderId="20" xfId="0" applyFont="1" applyBorder="1" applyAlignment="1">
      <alignment horizontal="center" vertical="center"/>
    </xf>
    <xf numFmtId="0" fontId="21" fillId="0" borderId="21" xfId="0" applyFont="1" applyBorder="1" applyAlignment="1">
      <alignment horizontal="center" vertical="center"/>
    </xf>
    <xf numFmtId="0" fontId="21" fillId="0" borderId="22" xfId="0" applyFont="1" applyBorder="1" applyAlignment="1">
      <alignment horizontal="center" vertical="center"/>
    </xf>
    <xf numFmtId="0" fontId="21" fillId="0" borderId="23" xfId="0" applyFont="1" applyBorder="1" applyAlignment="1">
      <alignment horizontal="center" vertical="center"/>
    </xf>
    <xf numFmtId="0" fontId="0" fillId="0" borderId="0" xfId="0" applyAlignment="1">
      <alignment horizontal="center"/>
    </xf>
    <xf numFmtId="0" fontId="8" fillId="13" borderId="0" xfId="0" applyFont="1" applyFill="1" applyBorder="1" applyAlignment="1">
      <alignment horizontal="center" vertical="center"/>
    </xf>
    <xf numFmtId="0" fontId="88" fillId="17" borderId="77" xfId="17" applyFont="1" applyBorder="1" applyAlignment="1" applyProtection="1">
      <alignment horizontal="center" vertical="center"/>
    </xf>
    <xf numFmtId="1" fontId="56" fillId="0" borderId="0" xfId="0" applyNumberFormat="1" applyFont="1" applyAlignment="1">
      <alignment horizontal="center" vertical="center"/>
    </xf>
    <xf numFmtId="0" fontId="0" fillId="0" borderId="28" xfId="0" applyBorder="1" applyAlignment="1">
      <alignment horizontal="center"/>
    </xf>
    <xf numFmtId="1" fontId="0" fillId="0" borderId="26" xfId="0" applyNumberFormat="1" applyBorder="1" applyAlignment="1">
      <alignment horizontal="center"/>
    </xf>
    <xf numFmtId="176" fontId="0" fillId="0" borderId="27" xfId="0" applyNumberFormat="1" applyBorder="1" applyAlignment="1">
      <alignment horizontal="center"/>
    </xf>
    <xf numFmtId="164" fontId="0" fillId="0" borderId="27" xfId="3" applyFont="1" applyBorder="1"/>
    <xf numFmtId="0" fontId="32" fillId="0" borderId="4" xfId="0" applyFont="1" applyBorder="1" applyAlignment="1">
      <alignment horizontal="center"/>
    </xf>
    <xf numFmtId="0" fontId="32" fillId="0" borderId="129" xfId="0" applyFont="1" applyBorder="1" applyAlignment="1">
      <alignment horizontal="center"/>
    </xf>
    <xf numFmtId="0" fontId="32" fillId="0" borderId="73" xfId="0" applyFont="1" applyBorder="1" applyAlignment="1">
      <alignment horizontal="center"/>
    </xf>
    <xf numFmtId="0" fontId="32" fillId="0" borderId="130" xfId="0" applyFont="1" applyBorder="1" applyAlignment="1">
      <alignment horizontal="center" vertical="center"/>
    </xf>
    <xf numFmtId="0" fontId="32" fillId="0" borderId="131" xfId="0" applyFont="1" applyBorder="1" applyAlignment="1">
      <alignment horizontal="center" vertical="center"/>
    </xf>
    <xf numFmtId="0" fontId="32" fillId="0" borderId="132" xfId="0" applyFont="1" applyBorder="1" applyAlignment="1">
      <alignment horizontal="center" vertical="center"/>
    </xf>
    <xf numFmtId="0" fontId="89" fillId="39" borderId="4" xfId="0" applyFont="1" applyFill="1" applyBorder="1" applyAlignment="1">
      <alignment horizontal="center" vertical="center"/>
    </xf>
    <xf numFmtId="1" fontId="89" fillId="39" borderId="129" xfId="0" applyNumberFormat="1" applyFont="1" applyFill="1" applyBorder="1" applyAlignment="1">
      <alignment horizontal="center" vertical="center"/>
    </xf>
    <xf numFmtId="176" fontId="89" fillId="39" borderId="73" xfId="0" applyNumberFormat="1" applyFont="1" applyFill="1" applyBorder="1" applyAlignment="1">
      <alignment vertical="center"/>
    </xf>
    <xf numFmtId="0" fontId="56" fillId="0" borderId="133" xfId="0" applyFont="1" applyBorder="1" applyAlignment="1">
      <alignment horizontal="center" vertical="center"/>
    </xf>
    <xf numFmtId="1" fontId="56" fillId="0" borderId="134" xfId="0" applyNumberFormat="1" applyFont="1" applyBorder="1" applyAlignment="1">
      <alignment horizontal="center" vertical="center"/>
    </xf>
    <xf numFmtId="164" fontId="0" fillId="0" borderId="135" xfId="3" applyFont="1" applyBorder="1"/>
    <xf numFmtId="0" fontId="90" fillId="0" borderId="5" xfId="0" applyFont="1" applyBorder="1" applyAlignment="1">
      <alignment horizontal="left" vertical="center" wrapText="1"/>
    </xf>
    <xf numFmtId="0" fontId="90" fillId="0" borderId="2" xfId="0" applyFont="1" applyBorder="1" applyAlignment="1">
      <alignment horizontal="left" vertical="center" wrapText="1"/>
    </xf>
    <xf numFmtId="0" fontId="90" fillId="0" borderId="3" xfId="0" applyFont="1" applyBorder="1" applyAlignment="1">
      <alignment horizontal="left" vertical="center" wrapText="1"/>
    </xf>
    <xf numFmtId="0" fontId="90" fillId="0" borderId="73" xfId="0" applyFont="1" applyBorder="1" applyAlignment="1">
      <alignment horizontal="left" vertical="center" wrapText="1"/>
    </xf>
    <xf numFmtId="0" fontId="90" fillId="0" borderId="0" xfId="0" applyFont="1" applyBorder="1" applyAlignment="1">
      <alignment horizontal="left" vertical="center" wrapText="1"/>
    </xf>
    <xf numFmtId="0" fontId="90" fillId="0" borderId="4" xfId="0" applyFont="1" applyBorder="1" applyAlignment="1">
      <alignment horizontal="left" vertical="center" wrapText="1"/>
    </xf>
    <xf numFmtId="0" fontId="90" fillId="0" borderId="1" xfId="0" applyFont="1" applyBorder="1" applyAlignment="1">
      <alignment horizontal="left" vertical="center" wrapText="1"/>
    </xf>
    <xf numFmtId="0" fontId="90" fillId="0" borderId="6" xfId="0" applyFont="1" applyBorder="1" applyAlignment="1">
      <alignment horizontal="left" vertical="center" wrapText="1"/>
    </xf>
    <xf numFmtId="0" fontId="90" fillId="0" borderId="7" xfId="0" applyFont="1" applyBorder="1" applyAlignment="1">
      <alignment horizontal="left" vertical="center" wrapText="1"/>
    </xf>
    <xf numFmtId="0" fontId="56" fillId="39" borderId="76" xfId="17" applyFill="1" applyBorder="1" applyAlignment="1" applyProtection="1">
      <alignment horizontal="center" vertical="center"/>
    </xf>
    <xf numFmtId="0" fontId="56" fillId="39" borderId="77" xfId="17" applyFill="1" applyBorder="1" applyAlignment="1" applyProtection="1">
      <alignment horizontal="center" vertical="center"/>
    </xf>
    <xf numFmtId="2" fontId="56" fillId="39" borderId="59" xfId="17" applyNumberFormat="1" applyFill="1" applyAlignment="1" applyProtection="1">
      <alignment horizontal="center" vertical="center"/>
    </xf>
    <xf numFmtId="1" fontId="56" fillId="39" borderId="76" xfId="17" applyNumberFormat="1" applyFill="1" applyBorder="1" applyAlignment="1" applyProtection="1">
      <alignment horizontal="center" vertical="center"/>
    </xf>
    <xf numFmtId="168" fontId="56" fillId="39" borderId="76" xfId="17" applyNumberFormat="1" applyFill="1" applyBorder="1" applyAlignment="1" applyProtection="1">
      <alignment horizontal="right" vertical="center"/>
    </xf>
    <xf numFmtId="0" fontId="56" fillId="16" borderId="76" xfId="17" applyFill="1" applyBorder="1" applyAlignment="1" applyProtection="1">
      <alignment horizontal="center" vertical="center"/>
    </xf>
    <xf numFmtId="0" fontId="56" fillId="16" borderId="77" xfId="17" applyFill="1" applyBorder="1" applyAlignment="1" applyProtection="1">
      <alignment horizontal="center" vertical="center"/>
    </xf>
    <xf numFmtId="2" fontId="56" fillId="16" borderId="59" xfId="17" applyNumberFormat="1" applyFill="1" applyAlignment="1" applyProtection="1">
      <alignment horizontal="center" vertical="center"/>
    </xf>
    <xf numFmtId="1" fontId="56" fillId="16" borderId="76" xfId="17" applyNumberFormat="1" applyFill="1" applyBorder="1" applyAlignment="1" applyProtection="1">
      <alignment horizontal="center" vertical="center"/>
    </xf>
    <xf numFmtId="168" fontId="56" fillId="16" borderId="76" xfId="17" applyNumberFormat="1" applyFill="1" applyBorder="1" applyAlignment="1" applyProtection="1">
      <alignment horizontal="right" vertical="center"/>
    </xf>
  </cellXfs>
  <cellStyles count="29">
    <cellStyle name="20% - Ênfase1" xfId="1" builtinId="30" customBuiltin="1"/>
    <cellStyle name="20% - Ênfase2" xfId="7" builtinId="34" customBuiltin="1"/>
    <cellStyle name="20% - Ênfase3" xfId="9" builtinId="38" customBuiltin="1"/>
    <cellStyle name="20% - Ênfase4" xfId="11" builtinId="42" customBuiltin="1"/>
    <cellStyle name="20% - Ênfase5" xfId="13" builtinId="46" customBuiltin="1"/>
    <cellStyle name="20% - Ênfase6" xfId="15" builtinId="50" customBuiltin="1"/>
    <cellStyle name="40% - Ênfase1" xfId="6" builtinId="31" customBuiltin="1"/>
    <cellStyle name="40% - Ênfase2" xfId="8" builtinId="35" customBuiltin="1"/>
    <cellStyle name="40% - Ênfase3" xfId="10" builtinId="39" customBuiltin="1"/>
    <cellStyle name="40% - Ênfase4" xfId="12" builtinId="43" customBuiltin="1"/>
    <cellStyle name="40% - Ênfase5" xfId="14" builtinId="47" customBuiltin="1"/>
    <cellStyle name="40% - Ênfase6" xfId="16" builtinId="51" customBuiltin="1"/>
    <cellStyle name="Dados Chave" xfId="26"/>
    <cellStyle name="Dados Editáveis" xfId="17"/>
    <cellStyle name="Dados Fixos" xfId="18"/>
    <cellStyle name="Dados Obrigatórios com validação DDs" xfId="23"/>
    <cellStyle name="Dados Opcionais" xfId="19"/>
    <cellStyle name="Ênfase1" xfId="2" builtinId="29" customBuiltin="1"/>
    <cellStyle name="Estilo 1" xfId="25"/>
    <cellStyle name="Fixos" xfId="27"/>
    <cellStyle name="Fórmulas" xfId="20"/>
    <cellStyle name="Hiperlink" xfId="28" builtinId="8"/>
    <cellStyle name="Moeda" xfId="3" builtinId="4" customBuiltin="1"/>
    <cellStyle name="Normal" xfId="0" builtinId="0" customBuiltin="1"/>
    <cellStyle name="Porcentagem" xfId="4" builtinId="5"/>
    <cellStyle name="Saída" xfId="5" builtinId="21" customBuiltin="1"/>
    <cellStyle name="Script" xfId="21"/>
    <cellStyle name="Subtítulos" xfId="24"/>
    <cellStyle name="Títulos" xfId="22"/>
  </cellStyles>
  <dxfs count="207">
    <dxf>
      <font>
        <color rgb="FFC00000"/>
      </font>
    </dxf>
    <dxf>
      <font>
        <color theme="0" tint="-0.14996795556505021"/>
      </font>
    </dxf>
    <dxf>
      <font>
        <color theme="0" tint="-0.14996795556505021"/>
      </font>
    </dxf>
    <dxf>
      <font>
        <color theme="0" tint="-0.14996795556505021"/>
      </font>
    </dxf>
    <dxf>
      <font>
        <color theme="0"/>
      </font>
    </dxf>
    <dxf>
      <font>
        <color theme="0"/>
      </font>
    </dxf>
    <dxf>
      <fill>
        <patternFill>
          <bgColor theme="0" tint="-0.14996795556505021"/>
        </patternFill>
      </fill>
      <border>
        <left style="thin">
          <color indexed="64"/>
        </left>
        <right style="thin">
          <color indexed="64"/>
        </right>
        <top style="thin">
          <color indexed="64"/>
        </top>
        <bottom style="thin">
          <color indexed="64"/>
        </bottom>
      </border>
    </dxf>
    <dxf>
      <fill>
        <patternFill>
          <bgColor theme="0" tint="-0.14996795556505021"/>
        </patternFill>
      </fill>
      <border>
        <left style="thin">
          <color indexed="64"/>
        </left>
        <right style="thin">
          <color indexed="64"/>
        </right>
        <top style="thin">
          <color indexed="64"/>
        </top>
        <bottom style="thin">
          <color indexed="64"/>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14996795556505021"/>
      </font>
    </dxf>
    <dxf>
      <font>
        <color theme="0" tint="-0.14996795556505021"/>
      </font>
    </dxf>
    <dxf>
      <font>
        <color theme="0"/>
      </font>
    </dxf>
    <dxf>
      <font>
        <color theme="0"/>
      </font>
    </dxf>
    <dxf>
      <font>
        <color theme="0"/>
      </font>
    </dxf>
    <dxf>
      <font>
        <color theme="0"/>
      </font>
    </dxf>
    <dxf>
      <font>
        <color theme="0"/>
      </font>
    </dxf>
    <dxf>
      <font>
        <color theme="0"/>
      </font>
    </dxf>
    <dxf>
      <font>
        <color theme="0"/>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b/>
        <i val="0"/>
        <color theme="0"/>
      </font>
      <fill>
        <patternFill>
          <bgColor rgb="FFFF0000"/>
        </patternFill>
      </fill>
    </dxf>
    <dxf>
      <font>
        <color theme="0" tint="-0.24994659260841701"/>
      </font>
    </dxf>
    <dxf>
      <font>
        <b/>
        <i val="0"/>
        <color theme="0"/>
      </font>
      <fill>
        <patternFill>
          <bgColor rgb="FFFF0000"/>
        </patternFill>
      </fill>
    </dxf>
    <dxf>
      <font>
        <color theme="0" tint="-0.24994659260841701"/>
      </font>
    </dxf>
    <dxf>
      <font>
        <color theme="0" tint="-0.14996795556505021"/>
      </font>
    </dxf>
    <dxf>
      <font>
        <color theme="0" tint="-0.14996795556505021"/>
      </font>
    </dxf>
    <dxf>
      <font>
        <color theme="0" tint="-0.14996795556505021"/>
      </font>
    </dxf>
    <dxf>
      <font>
        <color theme="9" tint="-0.24994659260841701"/>
      </font>
      <fill>
        <patternFill>
          <bgColor rgb="FFFFFF00"/>
        </patternFill>
      </fill>
    </dxf>
    <dxf>
      <font>
        <color theme="0" tint="-0.14996795556505021"/>
      </font>
    </dxf>
    <dxf>
      <font>
        <color theme="0" tint="-0.14996795556505021"/>
      </font>
    </dxf>
    <dxf>
      <font>
        <color theme="9" tint="-0.24994659260841701"/>
      </font>
      <fill>
        <patternFill>
          <bgColor rgb="FFFFFF00"/>
        </patternFill>
      </fill>
    </dxf>
    <dxf>
      <font>
        <color theme="9" tint="-0.24994659260841701"/>
      </font>
      <fill>
        <patternFill>
          <bgColor rgb="FFFFFF00"/>
        </patternFill>
      </fill>
    </dxf>
    <dxf>
      <font>
        <color theme="0" tint="-0.24994659260841701"/>
      </font>
    </dxf>
    <dxf>
      <font>
        <color theme="0" tint="-0.24994659260841701"/>
      </font>
    </dxf>
    <dxf>
      <font>
        <color theme="0" tint="-0.24994659260841701"/>
      </font>
    </dxf>
    <dxf>
      <font>
        <b/>
        <i val="0"/>
        <color theme="0"/>
      </font>
      <fill>
        <patternFill>
          <bgColor rgb="FFFF0000"/>
        </patternFill>
      </fill>
    </dxf>
    <dxf>
      <font>
        <color theme="0" tint="-0.14996795556505021"/>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dxf>
    <dxf>
      <font>
        <color theme="7" tint="0.39994506668294322"/>
      </font>
      <fill>
        <patternFill>
          <bgColor theme="7" tint="0.39994506668294322"/>
        </patternFill>
      </fill>
    </dxf>
    <dxf>
      <font>
        <color theme="0"/>
      </font>
      <fill>
        <patternFill>
          <bgColor theme="0"/>
        </patternFill>
      </fill>
      <border>
        <left/>
        <right/>
        <top/>
        <bottom/>
      </border>
    </dxf>
    <dxf>
      <font>
        <color theme="0"/>
      </font>
    </dxf>
    <dxf>
      <font>
        <color theme="0"/>
      </font>
    </dxf>
    <dxf>
      <font>
        <color theme="0"/>
      </font>
    </dxf>
    <dxf>
      <font>
        <color theme="0"/>
      </font>
    </dxf>
    <dxf>
      <font>
        <color theme="0"/>
      </font>
    </dxf>
    <dxf>
      <font>
        <color theme="0"/>
      </font>
      <fill>
        <patternFill>
          <bgColor theme="0"/>
        </patternFill>
      </fill>
      <border>
        <left/>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colors>
    <mruColors>
      <color rgb="FFA9A9A9"/>
      <color rgb="FF464646"/>
      <color rgb="FFFFFFFF"/>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90462372980209"/>
          <c:y val="7.5914664513089758E-2"/>
          <c:w val="0.79671464454040053"/>
          <c:h val="0.86813212362295511"/>
        </c:manualLayout>
      </c:layout>
      <c:barChart>
        <c:barDir val="col"/>
        <c:grouping val="percentStacked"/>
        <c:varyColors val="0"/>
        <c:ser>
          <c:idx val="0"/>
          <c:order val="0"/>
          <c:tx>
            <c:strRef>
              <c:f>'Pre Punching-PF03'!$C$29</c:f>
              <c:strCache>
                <c:ptCount val="1"/>
                <c:pt idx="0">
                  <c:v>Tempo de Corte</c:v>
                </c:pt>
              </c:strCache>
            </c:strRef>
          </c:tx>
          <c:spPr>
            <a:solidFill>
              <a:srgbClr val="FF0000"/>
            </a:solidFill>
          </c:spPr>
          <c:invertIfNegative val="0"/>
          <c:dLbls>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'Pre Punching-PF03'!$E$27</c:f>
              <c:strCache>
                <c:ptCount val="1"/>
                <c:pt idx="0">
                  <c:v>%</c:v>
                </c:pt>
              </c:strCache>
            </c:strRef>
          </c:cat>
          <c:val>
            <c:numRef>
              <c:f>'Pre Punching-PF03'!$E$29</c:f>
              <c:numCache>
                <c:formatCode>0%</c:formatCode>
                <c:ptCount val="1"/>
                <c:pt idx="0">
                  <c:v>0.18</c:v>
                </c:pt>
              </c:numCache>
            </c:numRef>
          </c:val>
          <c:extLst>
            <c:ext xmlns:c16="http://schemas.microsoft.com/office/drawing/2014/chart" uri="{C3380CC4-5D6E-409C-BE32-E72D297353CC}">
              <c16:uniqueId val="{00000000-80A0-4FBD-99D5-2FDFD53E55D2}"/>
            </c:ext>
          </c:extLst>
        </c:ser>
        <c:ser>
          <c:idx val="1"/>
          <c:order val="1"/>
          <c:tx>
            <c:strRef>
              <c:f>'Pre Punching-PF03'!$C$28</c:f>
              <c:strCache>
                <c:ptCount val="1"/>
                <c:pt idx="0">
                  <c:v>Tempo Livre para Avanço</c:v>
                </c:pt>
              </c:strCache>
            </c:strRef>
          </c:tx>
          <c:spPr>
            <a:solidFill>
              <a:srgbClr val="00B050"/>
            </a:solidFill>
          </c:spPr>
          <c:invertIfNegative val="0"/>
          <c:dLbls>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'Pre Punching-PF03'!$E$27</c:f>
              <c:strCache>
                <c:ptCount val="1"/>
                <c:pt idx="0">
                  <c:v>%</c:v>
                </c:pt>
              </c:strCache>
            </c:strRef>
          </c:cat>
          <c:val>
            <c:numRef>
              <c:f>'Pre Punching-PF03'!$E$28</c:f>
              <c:numCache>
                <c:formatCode>0%</c:formatCode>
                <c:ptCount val="1"/>
                <c:pt idx="0">
                  <c:v>0.82000000000000006</c:v>
                </c:pt>
              </c:numCache>
            </c:numRef>
          </c:val>
          <c:extLst>
            <c:ext xmlns:c16="http://schemas.microsoft.com/office/drawing/2014/chart" uri="{C3380CC4-5D6E-409C-BE32-E72D297353CC}">
              <c16:uniqueId val="{00000001-80A0-4FBD-99D5-2FDFD53E55D2}"/>
            </c:ext>
          </c:extLst>
        </c:ser>
        <c:dLbls>
          <c:showLegendKey val="0"/>
          <c:showVal val="0"/>
          <c:showCatName val="0"/>
          <c:showSerName val="0"/>
          <c:showPercent val="0"/>
          <c:showBubbleSize val="0"/>
        </c:dLbls>
        <c:gapWidth val="376"/>
        <c:overlap val="100"/>
        <c:axId val="674949864"/>
        <c:axId val="1"/>
      </c:barChart>
      <c:catAx>
        <c:axId val="674949864"/>
        <c:scaling>
          <c:orientation val="minMax"/>
        </c:scaling>
        <c:delete val="1"/>
        <c:axPos val="b"/>
        <c:numFmt formatCode="General" sourceLinked="1"/>
        <c:majorTickMark val="out"/>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9864"/>
        <c:crosses val="autoZero"/>
        <c:crossBetween val="between"/>
      </c:valAx>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04443676981781"/>
          <c:y val="0"/>
          <c:w val="0.70884004602051376"/>
          <c:h val="1"/>
        </c:manualLayout>
      </c:layout>
      <c:pieChart>
        <c:varyColors val="1"/>
        <c:ser>
          <c:idx val="0"/>
          <c:order val="0"/>
          <c:tx>
            <c:strRef>
              <c:f>'Pre Punching-PF03'!$C$31:$C$32</c:f>
              <c:strCache>
                <c:ptCount val="1"/>
                <c:pt idx="0">
                  <c:v>Ângulo de Alimentação</c:v>
                </c:pt>
              </c:strCache>
            </c:strRef>
          </c:tx>
          <c:spPr>
            <a:solidFill>
              <a:srgbClr val="00B050"/>
            </a:solidFill>
            <a:ln>
              <a:noFill/>
            </a:ln>
          </c:spPr>
          <c:dPt>
            <c:idx val="0"/>
            <c:bubble3D val="0"/>
            <c:extLst>
              <c:ext xmlns:c16="http://schemas.microsoft.com/office/drawing/2014/chart" uri="{C3380CC4-5D6E-409C-BE32-E72D297353CC}">
                <c16:uniqueId val="{00000000-1121-462B-AF24-547D66342D0D}"/>
              </c:ext>
            </c:extLst>
          </c:dPt>
          <c:dPt>
            <c:idx val="1"/>
            <c:bubble3D val="0"/>
            <c:spPr>
              <a:solidFill>
                <a:srgbClr val="FF0000"/>
              </a:solidFill>
              <a:ln>
                <a:noFill/>
              </a:ln>
            </c:spPr>
            <c:extLst>
              <c:ext xmlns:c16="http://schemas.microsoft.com/office/drawing/2014/chart" uri="{C3380CC4-5D6E-409C-BE32-E72D297353CC}">
                <c16:uniqueId val="{00000001-1121-462B-AF24-547D66342D0D}"/>
              </c:ext>
            </c:extLst>
          </c:dPt>
          <c:dPt>
            <c:idx val="2"/>
            <c:bubble3D val="0"/>
            <c:extLst>
              <c:ext xmlns:c16="http://schemas.microsoft.com/office/drawing/2014/chart" uri="{C3380CC4-5D6E-409C-BE32-E72D297353CC}">
                <c16:uniqueId val="{00000002-1121-462B-AF24-547D66342D0D}"/>
              </c:ext>
            </c:extLst>
          </c:dPt>
          <c:cat>
            <c:multiLvlStrRef>
              <c:f>('Pre Punching-PF03'!$C$37:$E$38,'Pre Punching-PF03'!$G$37:$G$38)</c:f>
              <c:multiLvlStrCache>
                <c:ptCount val="4"/>
                <c:lvl>
                  <c:pt idx="3">
                    <c:v>40</c:v>
                  </c:pt>
                </c:lvl>
                <c:lvl>
                  <c:pt idx="2">
                    <c:v>148°</c:v>
                  </c:pt>
                  <c:pt idx="3">
                    <c:v>148°</c:v>
                  </c:pt>
                </c:lvl>
              </c:multiLvlStrCache>
            </c:multiLvlStrRef>
          </c:cat>
          <c:val>
            <c:numRef>
              <c:f>'Pre Punching-PF03'!$E$37:$G$37</c:f>
              <c:numCache>
                <c:formatCode>0\°</c:formatCode>
                <c:ptCount val="3"/>
                <c:pt idx="0">
                  <c:v>147.60000000000002</c:v>
                </c:pt>
                <c:pt idx="1">
                  <c:v>64.8</c:v>
                </c:pt>
                <c:pt idx="2">
                  <c:v>147.60000000000002</c:v>
                </c:pt>
              </c:numCache>
            </c:numRef>
          </c:val>
          <c:extLst>
            <c:ext xmlns:c16="http://schemas.microsoft.com/office/drawing/2014/chart" uri="{C3380CC4-5D6E-409C-BE32-E72D297353CC}">
              <c16:uniqueId val="{00000003-1121-462B-AF24-547D66342D0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zero"/>
    <c:showDLblsOverMax val="0"/>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'Pre Punching-PF03'!$F$51:$F$54</c:f>
              <c:numCache>
                <c:formatCode>0.0</c:formatCode>
                <c:ptCount val="4"/>
                <c:pt idx="0" formatCode="General">
                  <c:v>0</c:v>
                </c:pt>
                <c:pt idx="1">
                  <c:v>22.222222222222218</c:v>
                </c:pt>
                <c:pt idx="2">
                  <c:v>129.77777777777777</c:v>
                </c:pt>
                <c:pt idx="3">
                  <c:v>152</c:v>
                </c:pt>
              </c:numCache>
            </c:numRef>
          </c:xVal>
          <c:yVal>
            <c:numRef>
              <c:f>'Pre Punching-PF03'!$H$51:$H$54</c:f>
              <c:numCache>
                <c:formatCode>General</c:formatCode>
                <c:ptCount val="4"/>
                <c:pt idx="0">
                  <c:v>0</c:v>
                </c:pt>
                <c:pt idx="1">
                  <c:v>40</c:v>
                </c:pt>
                <c:pt idx="2">
                  <c:v>40</c:v>
                </c:pt>
                <c:pt idx="3">
                  <c:v>0</c:v>
                </c:pt>
              </c:numCache>
            </c:numRef>
          </c:yVal>
          <c:smooth val="0"/>
          <c:extLst>
            <c:ext xmlns:c16="http://schemas.microsoft.com/office/drawing/2014/chart" uri="{C3380CC4-5D6E-409C-BE32-E72D297353CC}">
              <c16:uniqueId val="{00000000-A408-4FC4-AAFB-B61C79AA924F}"/>
            </c:ext>
          </c:extLst>
        </c:ser>
        <c:dLbls>
          <c:showLegendKey val="0"/>
          <c:showVal val="0"/>
          <c:showCatName val="0"/>
          <c:showSerName val="0"/>
          <c:showPercent val="0"/>
          <c:showBubbleSize val="0"/>
        </c:dLbls>
        <c:axId val="674944616"/>
        <c:axId val="1"/>
      </c:scatterChart>
      <c:valAx>
        <c:axId val="674944616"/>
        <c:scaling>
          <c:orientation val="minMax"/>
        </c:scaling>
        <c:delete val="0"/>
        <c:axPos val="b"/>
        <c:numFmt formatCode="General" sourceLinked="1"/>
        <c:majorTickMark val="cross"/>
        <c:minorTickMark val="in"/>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numFmt formatCode="General" sourceLinked="1"/>
        <c:majorTickMark val="out"/>
        <c:minorTickMark val="in"/>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4616"/>
        <c:crosses val="autoZero"/>
        <c:crossBetween val="midCat"/>
      </c:valAx>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'Pre Punching-PF01'!$L$11:$L$14</c:f>
              <c:numCache>
                <c:formatCode>0.0</c:formatCode>
                <c:ptCount val="4"/>
                <c:pt idx="0" formatCode="General">
                  <c:v>0</c:v>
                </c:pt>
                <c:pt idx="1">
                  <c:v>2.7777777777777772</c:v>
                </c:pt>
                <c:pt idx="2">
                  <c:v>47.222222222222221</c:v>
                </c:pt>
                <c:pt idx="3">
                  <c:v>50</c:v>
                </c:pt>
              </c:numCache>
            </c:numRef>
          </c:xVal>
          <c:yVal>
            <c:numRef>
              <c:f>'Pre Punching-PF01'!$N$11:$N$14</c:f>
              <c:numCache>
                <c:formatCode>0.0</c:formatCode>
                <c:ptCount val="4"/>
                <c:pt idx="0" formatCode="General">
                  <c:v>0</c:v>
                </c:pt>
                <c:pt idx="1">
                  <c:v>10</c:v>
                </c:pt>
                <c:pt idx="2">
                  <c:v>10</c:v>
                </c:pt>
                <c:pt idx="3" formatCode="General">
                  <c:v>0</c:v>
                </c:pt>
              </c:numCache>
            </c:numRef>
          </c:yVal>
          <c:smooth val="0"/>
          <c:extLst>
            <c:ext xmlns:c16="http://schemas.microsoft.com/office/drawing/2014/chart" uri="{C3380CC4-5D6E-409C-BE32-E72D297353CC}">
              <c16:uniqueId val="{00000000-A414-4FA4-8B68-F6FC2A37F111}"/>
            </c:ext>
          </c:extLst>
        </c:ser>
        <c:dLbls>
          <c:showLegendKey val="0"/>
          <c:showVal val="0"/>
          <c:showCatName val="0"/>
          <c:showSerName val="0"/>
          <c:showPercent val="0"/>
          <c:showBubbleSize val="0"/>
        </c:dLbls>
        <c:axId val="674941336"/>
        <c:axId val="1"/>
      </c:scatterChart>
      <c:valAx>
        <c:axId val="674941336"/>
        <c:scaling>
          <c:orientation val="minMax"/>
        </c:scaling>
        <c:delete val="0"/>
        <c:axPos val="b"/>
        <c:majorGridlines>
          <c:spPr>
            <a:ln w="6350">
              <a:prstDash val="lgDash"/>
            </a:ln>
          </c:spPr>
        </c:majorGridlines>
        <c:minorGridlines>
          <c:spPr>
            <a:ln w="6350">
              <a:prstDash val="lgDash"/>
            </a:ln>
          </c:spPr>
        </c:minorGridlines>
        <c:title>
          <c:tx>
            <c:rich>
              <a:bodyPr/>
              <a:lstStyle/>
              <a:p>
                <a:pPr>
                  <a:defRPr/>
                </a:pPr>
                <a:r>
                  <a:rPr lang="pt-BR"/>
                  <a:t>Avanço(m)</a:t>
                </a:r>
              </a:p>
            </c:rich>
          </c:tx>
          <c:overlay val="0"/>
        </c:title>
        <c:numFmt formatCode="General" sourceLinked="1"/>
        <c:majorTickMark val="none"/>
        <c:minorTickMark val="none"/>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title>
          <c:tx>
            <c:rich>
              <a:bodyPr/>
              <a:lstStyle/>
              <a:p>
                <a:pPr>
                  <a:defRPr/>
                </a:pPr>
                <a:r>
                  <a:rPr lang="pt-BR"/>
                  <a:t>Velocidade (m/s)</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41336"/>
        <c:crosses val="autoZero"/>
        <c:crossBetween val="midCat"/>
      </c:valAx>
    </c:plotArea>
    <c:plotVisOnly val="0"/>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Contínuo</a:t>
            </a:r>
          </a:p>
        </c:rich>
      </c:tx>
      <c:overlay val="0"/>
    </c:title>
    <c:autoTitleDeleted val="0"/>
    <c:plotArea>
      <c:layout/>
      <c:barChart>
        <c:barDir val="col"/>
        <c:grouping val="percentStacked"/>
        <c:varyColors val="0"/>
        <c:ser>
          <c:idx val="0"/>
          <c:order val="0"/>
          <c:tx>
            <c:v>Hidráulico (Av+Re)</c:v>
          </c:tx>
          <c:spPr>
            <a:solidFill>
              <a:srgbClr val="FF000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Punching-PF01'!$C$60</c:f>
              <c:numCache>
                <c:formatCode>0.00</c:formatCode>
                <c:ptCount val="1"/>
                <c:pt idx="0">
                  <c:v>1</c:v>
                </c:pt>
              </c:numCache>
            </c:numRef>
          </c:val>
          <c:extLst>
            <c:ext xmlns:c16="http://schemas.microsoft.com/office/drawing/2014/chart" uri="{C3380CC4-5D6E-409C-BE32-E72D297353CC}">
              <c16:uniqueId val="{00000000-2DB8-468E-9647-196707CE4BF0}"/>
            </c:ext>
          </c:extLst>
        </c:ser>
        <c:ser>
          <c:idx val="1"/>
          <c:order val="1"/>
          <c:tx>
            <c:v>MP (Avanço)</c:v>
          </c:tx>
          <c:spPr>
            <a:solidFill>
              <a:srgbClr val="00B05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Punching-PF01'!$C$61</c:f>
              <c:numCache>
                <c:formatCode>0.000</c:formatCode>
                <c:ptCount val="1"/>
                <c:pt idx="0">
                  <c:v>0.33333333333333337</c:v>
                </c:pt>
              </c:numCache>
            </c:numRef>
          </c:val>
          <c:extLst>
            <c:ext xmlns:c16="http://schemas.microsoft.com/office/drawing/2014/chart" uri="{C3380CC4-5D6E-409C-BE32-E72D297353CC}">
              <c16:uniqueId val="{00000001-2DB8-468E-9647-196707CE4BF0}"/>
            </c:ext>
          </c:extLst>
        </c:ser>
        <c:ser>
          <c:idx val="2"/>
          <c:order val="2"/>
          <c:tx>
            <c:v>Fator de Correção</c:v>
          </c:tx>
          <c:spPr>
            <a:solidFill>
              <a:srgbClr val="00B0F0"/>
            </a:solidFill>
          </c:spPr>
          <c:invertIfNegative val="0"/>
          <c:dLbls>
            <c:dLbl>
              <c:idx val="0"/>
              <c:spPr/>
              <c:txPr>
                <a:bodyPr/>
                <a:lstStyle/>
                <a:p>
                  <a:pPr>
                    <a:defRPr/>
                  </a:pPr>
                  <a:endParaRPr lang="pt-B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B8-468E-9647-196707CE4BF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cat>
            <c:strLit>
              <c:ptCount val="1"/>
              <c:pt idx="0">
                <c:v>Tempo (s)</c:v>
              </c:pt>
            </c:strLit>
          </c:cat>
          <c:val>
            <c:numRef>
              <c:f>'Pre Punching-PF01'!$C$64</c:f>
              <c:numCache>
                <c:formatCode>0.000</c:formatCode>
                <c:ptCount val="1"/>
                <c:pt idx="0">
                  <c:v>0.125</c:v>
                </c:pt>
              </c:numCache>
            </c:numRef>
          </c:val>
          <c:extLst>
            <c:ext xmlns:c16="http://schemas.microsoft.com/office/drawing/2014/chart" uri="{C3380CC4-5D6E-409C-BE32-E72D297353CC}">
              <c16:uniqueId val="{00000003-2DB8-468E-9647-196707CE4BF0}"/>
            </c:ext>
          </c:extLst>
        </c:ser>
        <c:dLbls>
          <c:showLegendKey val="0"/>
          <c:showVal val="0"/>
          <c:showCatName val="0"/>
          <c:showSerName val="0"/>
          <c:showPercent val="0"/>
          <c:showBubbleSize val="0"/>
        </c:dLbls>
        <c:gapWidth val="75"/>
        <c:overlap val="100"/>
        <c:axId val="674943304"/>
        <c:axId val="1"/>
      </c:barChart>
      <c:catAx>
        <c:axId val="674943304"/>
        <c:scaling>
          <c:orientation val="minMax"/>
        </c:scaling>
        <c:delete val="0"/>
        <c:axPos val="b"/>
        <c:numFmt formatCode="General" sourceLinked="1"/>
        <c:majorTickMark val="none"/>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none"/>
        <c:minorTickMark val="none"/>
        <c:tickLblPos val="nextTo"/>
        <c:spPr>
          <a:ln w="9525">
            <a:noFill/>
          </a:ln>
        </c:spPr>
        <c:txPr>
          <a:bodyPr rot="0" vert="horz"/>
          <a:lstStyle/>
          <a:p>
            <a:pPr>
              <a:defRPr/>
            </a:pPr>
            <a:endParaRPr lang="pt-BR"/>
          </a:p>
        </c:txPr>
        <c:crossAx val="674943304"/>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Programação</a:t>
            </a:r>
          </a:p>
        </c:rich>
      </c:tx>
      <c:overlay val="0"/>
    </c:title>
    <c:autoTitleDeleted val="0"/>
    <c:plotArea>
      <c:layout/>
      <c:scatterChart>
        <c:scatterStyle val="lineMarker"/>
        <c:varyColors val="0"/>
        <c:ser>
          <c:idx val="0"/>
          <c:order val="0"/>
          <c:tx>
            <c:v>Linha 1</c:v>
          </c:tx>
          <c:marker>
            <c:symbol val="none"/>
          </c:marker>
          <c:xVal>
            <c:numRef>
              <c:f>'[3]PRE PUNCHING PF01'!$M$29:$M$32</c:f>
              <c:numCache>
                <c:formatCode>General</c:formatCode>
                <c:ptCount val="4"/>
                <c:pt idx="0">
                  <c:v>0</c:v>
                </c:pt>
                <c:pt idx="1">
                  <c:v>6.25</c:v>
                </c:pt>
                <c:pt idx="2">
                  <c:v>93.750000000000014</c:v>
                </c:pt>
                <c:pt idx="3">
                  <c:v>100.00000000000001</c:v>
                </c:pt>
              </c:numCache>
            </c:numRef>
          </c:xVal>
          <c:yVal>
            <c:numRef>
              <c:f>'[3]PRE PUNCHING PF01'!$O$29:$O$32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0-E6F6-4321-83EB-44EEE55C70E4}"/>
            </c:ext>
          </c:extLst>
        </c:ser>
        <c:ser>
          <c:idx val="1"/>
          <c:order val="1"/>
          <c:tx>
            <c:v>Linha 2</c:v>
          </c:tx>
          <c:marker>
            <c:symbol val="none"/>
          </c:marker>
          <c:xVal>
            <c:numRef>
              <c:f>'[3]PRE PUNCHING PF01'!$P$29:$P$32</c:f>
              <c:numCache>
                <c:formatCode>General</c:formatCode>
                <c:ptCount val="4"/>
                <c:pt idx="0">
                  <c:v>0</c:v>
                </c:pt>
                <c:pt idx="1">
                  <c:v>6.25</c:v>
                </c:pt>
                <c:pt idx="2">
                  <c:v>6.25</c:v>
                </c:pt>
                <c:pt idx="3">
                  <c:v>12.5</c:v>
                </c:pt>
              </c:numCache>
            </c:numRef>
          </c:xVal>
          <c:yVal>
            <c:numRef>
              <c:f>'[3]PRE PUNCHING PF01'!$R$29:$R$32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1-E6F6-4321-83EB-44EEE55C70E4}"/>
            </c:ext>
          </c:extLst>
        </c:ser>
        <c:ser>
          <c:idx val="2"/>
          <c:order val="2"/>
          <c:tx>
            <c:v>Linha 3</c:v>
          </c:tx>
          <c:marker>
            <c:symbol val="none"/>
          </c:marker>
          <c:xVal>
            <c:numRef>
              <c:f>'[3]PRE PUNCHING PF01'!$S$29:$S$32</c:f>
              <c:numCache>
                <c:formatCode>General</c:formatCode>
                <c:ptCount val="4"/>
                <c:pt idx="0">
                  <c:v>0</c:v>
                </c:pt>
                <c:pt idx="1">
                  <c:v>6.25</c:v>
                </c:pt>
                <c:pt idx="2">
                  <c:v>1293.7500000000002</c:v>
                </c:pt>
                <c:pt idx="3">
                  <c:v>1300.0000000000002</c:v>
                </c:pt>
              </c:numCache>
            </c:numRef>
          </c:xVal>
          <c:yVal>
            <c:numRef>
              <c:f>'[3]PRE PUNCHING PF01'!$U$29:$U$32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2-E6F6-4321-83EB-44EEE55C70E4}"/>
            </c:ext>
          </c:extLst>
        </c:ser>
        <c:ser>
          <c:idx val="3"/>
          <c:order val="3"/>
          <c:tx>
            <c:v>Linha 4</c:v>
          </c:tx>
          <c:marker>
            <c:symbol val="none"/>
          </c:marker>
          <c:xVal>
            <c:numRef>
              <c:f>'[3]PRE PUNCHING PF01'!$V$29:$V$32</c:f>
              <c:numCache>
                <c:formatCode>General</c:formatCode>
                <c:ptCount val="4"/>
                <c:pt idx="0">
                  <c:v>0</c:v>
                </c:pt>
                <c:pt idx="1">
                  <c:v>6.25</c:v>
                </c:pt>
                <c:pt idx="2">
                  <c:v>654.75</c:v>
                </c:pt>
                <c:pt idx="3">
                  <c:v>661</c:v>
                </c:pt>
              </c:numCache>
            </c:numRef>
          </c:xVal>
          <c:yVal>
            <c:numRef>
              <c:f>'[3]PRE PUNCHING PF01'!$X$29:$X$32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3-E6F6-4321-83EB-44EEE55C70E4}"/>
            </c:ext>
          </c:extLst>
        </c:ser>
        <c:ser>
          <c:idx val="4"/>
          <c:order val="4"/>
          <c:tx>
            <c:v>Linha 5</c:v>
          </c:tx>
          <c:marker>
            <c:symbol val="none"/>
          </c:marker>
          <c:xVal>
            <c:numRef>
              <c:f>'[3]PRE PUNCHING PF01'!$Y$29:$Y$32</c:f>
              <c:numCache>
                <c:formatCode>General</c:formatCode>
                <c:ptCount val="4"/>
                <c:pt idx="0">
                  <c:v>0</c:v>
                </c:pt>
                <c:pt idx="1">
                  <c:v>6.25</c:v>
                </c:pt>
                <c:pt idx="2">
                  <c:v>1024.75</c:v>
                </c:pt>
                <c:pt idx="3">
                  <c:v>1031</c:v>
                </c:pt>
              </c:numCache>
            </c:numRef>
          </c:xVal>
          <c:yVal>
            <c:numRef>
              <c:f>'[3]PRE PUNCHING PF01'!$AA$29:$AA$32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4-E6F6-4321-83EB-44EEE55C70E4}"/>
            </c:ext>
          </c:extLst>
        </c:ser>
        <c:ser>
          <c:idx val="5"/>
          <c:order val="5"/>
          <c:tx>
            <c:v>Linha 6</c:v>
          </c:tx>
          <c:marker>
            <c:symbol val="none"/>
          </c:marker>
          <c:xVal>
            <c:numRef>
              <c:f>'[3]PRE PUNCHING PF01'!$AB$29:$AB$32</c:f>
              <c:numCache>
                <c:formatCode>General</c:formatCode>
                <c:ptCount val="4"/>
                <c:pt idx="0">
                  <c:v>0</c:v>
                </c:pt>
                <c:pt idx="1">
                  <c:v>6.25</c:v>
                </c:pt>
                <c:pt idx="2">
                  <c:v>262.75</c:v>
                </c:pt>
                <c:pt idx="3">
                  <c:v>269</c:v>
                </c:pt>
              </c:numCache>
            </c:numRef>
          </c:xVal>
          <c:yVal>
            <c:numRef>
              <c:f>'[3]PRE PUNCHING PF01'!$AD$29:$AD$32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5-E6F6-4321-83EB-44EEE55C70E4}"/>
            </c:ext>
          </c:extLst>
        </c:ser>
        <c:ser>
          <c:idx val="6"/>
          <c:order val="6"/>
          <c:tx>
            <c:v>Linha 7</c:v>
          </c:tx>
          <c:marker>
            <c:symbol val="none"/>
          </c:marker>
          <c:xVal>
            <c:numRef>
              <c:f>'[3]PRE PUNCHING PF01'!$AE$29:$AE$32</c:f>
              <c:numCache>
                <c:formatCode>General</c:formatCode>
                <c:ptCount val="4"/>
                <c:pt idx="0">
                  <c:v>0</c:v>
                </c:pt>
                <c:pt idx="1">
                  <c:v>6.25</c:v>
                </c:pt>
                <c:pt idx="2">
                  <c:v>654.75</c:v>
                </c:pt>
                <c:pt idx="3">
                  <c:v>661</c:v>
                </c:pt>
              </c:numCache>
            </c:numRef>
          </c:xVal>
          <c:yVal>
            <c:numRef>
              <c:f>'[3]PRE PUNCHING PF01'!$AG$29:$AG$32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6-E6F6-4321-83EB-44EEE55C70E4}"/>
            </c:ext>
          </c:extLst>
        </c:ser>
        <c:ser>
          <c:idx val="7"/>
          <c:order val="7"/>
          <c:tx>
            <c:v>Linha 8</c:v>
          </c:tx>
          <c:marker>
            <c:symbol val="none"/>
          </c:marker>
          <c:xVal>
            <c:numRef>
              <c:f>'[3]PRE PUNCHING PF01'!$AH$29:$AH$32</c:f>
              <c:numCache>
                <c:formatCode>General</c:formatCode>
                <c:ptCount val="4"/>
                <c:pt idx="0">
                  <c:v>0</c:v>
                </c:pt>
                <c:pt idx="1">
                  <c:v>6.25</c:v>
                </c:pt>
                <c:pt idx="2">
                  <c:v>1293.7500000000002</c:v>
                </c:pt>
                <c:pt idx="3">
                  <c:v>1300.0000000000002</c:v>
                </c:pt>
              </c:numCache>
            </c:numRef>
          </c:xVal>
          <c:yVal>
            <c:numRef>
              <c:f>'[3]PRE PUNCHING PF01'!$AJ$29:$AJ$32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7-E6F6-4321-83EB-44EEE55C70E4}"/>
            </c:ext>
          </c:extLst>
        </c:ser>
        <c:ser>
          <c:idx val="8"/>
          <c:order val="8"/>
          <c:tx>
            <c:v>Linha 9</c:v>
          </c:tx>
          <c:marker>
            <c:symbol val="none"/>
          </c:marker>
          <c:xVal>
            <c:numRef>
              <c:f>'[3]PRE PUNCHING PF01'!$AK$29:$AK$32</c:f>
              <c:numCache>
                <c:formatCode>General</c:formatCode>
                <c:ptCount val="4"/>
                <c:pt idx="0">
                  <c:v>0</c:v>
                </c:pt>
                <c:pt idx="1">
                  <c:v>6.25</c:v>
                </c:pt>
                <c:pt idx="2">
                  <c:v>654.75</c:v>
                </c:pt>
                <c:pt idx="3">
                  <c:v>661</c:v>
                </c:pt>
              </c:numCache>
            </c:numRef>
          </c:xVal>
          <c:yVal>
            <c:numRef>
              <c:f>'[3]PRE PUNCHING PF01'!$AM$29:$AM$32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8-E6F6-4321-83EB-44EEE55C70E4}"/>
            </c:ext>
          </c:extLst>
        </c:ser>
        <c:ser>
          <c:idx val="9"/>
          <c:order val="9"/>
          <c:tx>
            <c:v>Linha 10</c:v>
          </c:tx>
          <c:marker>
            <c:symbol val="none"/>
          </c:marker>
          <c:xVal>
            <c:numRef>
              <c:f>'[3]PRE PUNCHING PF01'!$AN$29:$AN$32</c:f>
              <c:numCache>
                <c:formatCode>General</c:formatCode>
                <c:ptCount val="4"/>
                <c:pt idx="0">
                  <c:v>0</c:v>
                </c:pt>
                <c:pt idx="1">
                  <c:v>6.25</c:v>
                </c:pt>
                <c:pt idx="2">
                  <c:v>727.75</c:v>
                </c:pt>
                <c:pt idx="3">
                  <c:v>734</c:v>
                </c:pt>
              </c:numCache>
            </c:numRef>
          </c:xVal>
          <c:yVal>
            <c:numRef>
              <c:f>'[3]PRE PUNCHING PF01'!$AP$29:$AP$32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9-E6F6-4321-83EB-44EEE55C70E4}"/>
            </c:ext>
          </c:extLst>
        </c:ser>
        <c:ser>
          <c:idx val="10"/>
          <c:order val="10"/>
          <c:tx>
            <c:v>Linha 11</c:v>
          </c:tx>
          <c:marker>
            <c:symbol val="none"/>
          </c:marker>
          <c:xVal>
            <c:numRef>
              <c:f>'[3]PRE PUNCHING PF01'!$AQ$29:$AQ$32</c:f>
              <c:numCache>
                <c:formatCode>General</c:formatCode>
                <c:ptCount val="4"/>
                <c:pt idx="0">
                  <c:v>0</c:v>
                </c:pt>
                <c:pt idx="1">
                  <c:v>6.25</c:v>
                </c:pt>
                <c:pt idx="2">
                  <c:v>559.75</c:v>
                </c:pt>
                <c:pt idx="3">
                  <c:v>566</c:v>
                </c:pt>
              </c:numCache>
            </c:numRef>
          </c:xVal>
          <c:yVal>
            <c:numRef>
              <c:f>'[3]PRE PUNCHING PF01'!$AS$29:$AS$32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A-E6F6-4321-83EB-44EEE55C70E4}"/>
            </c:ext>
          </c:extLst>
        </c:ser>
        <c:ser>
          <c:idx val="11"/>
          <c:order val="11"/>
          <c:tx>
            <c:v>Linha 12</c:v>
          </c:tx>
          <c:marker>
            <c:symbol val="none"/>
          </c:marker>
          <c:xVal>
            <c:numRef>
              <c:f>'[3]PRE PUNCHING PF01'!$AT$29:$AT$32</c:f>
              <c:numCache>
                <c:formatCode>General</c:formatCode>
                <c:ptCount val="4"/>
                <c:pt idx="0">
                  <c:v>0</c:v>
                </c:pt>
                <c:pt idx="1">
                  <c:v>6.25</c:v>
                </c:pt>
                <c:pt idx="2">
                  <c:v>654.75</c:v>
                </c:pt>
                <c:pt idx="3">
                  <c:v>661</c:v>
                </c:pt>
              </c:numCache>
            </c:numRef>
          </c:xVal>
          <c:yVal>
            <c:numRef>
              <c:f>'[3]PRE PUNCHING PF01'!$AV$29:$AV$32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B-E6F6-4321-83EB-44EEE55C70E4}"/>
            </c:ext>
          </c:extLst>
        </c:ser>
        <c:ser>
          <c:idx val="12"/>
          <c:order val="12"/>
          <c:tx>
            <c:v>Linha 13</c:v>
          </c:tx>
          <c:marker>
            <c:symbol val="none"/>
          </c:marker>
          <c:xVal>
            <c:numRef>
              <c:f>'[3]PRE PUNCHING PF01'!$AW$29:$AW$32</c:f>
              <c:numCache>
                <c:formatCode>General</c:formatCode>
                <c:ptCount val="4"/>
                <c:pt idx="0">
                  <c:v>0</c:v>
                </c:pt>
                <c:pt idx="1">
                  <c:v>6.25</c:v>
                </c:pt>
                <c:pt idx="2">
                  <c:v>1293.7500000000002</c:v>
                </c:pt>
                <c:pt idx="3">
                  <c:v>1300.0000000000002</c:v>
                </c:pt>
              </c:numCache>
            </c:numRef>
          </c:xVal>
          <c:yVal>
            <c:numRef>
              <c:f>'[3]PRE PUNCHING PF01'!$AY$29:$AY$32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C-E6F6-4321-83EB-44EEE55C70E4}"/>
            </c:ext>
          </c:extLst>
        </c:ser>
        <c:ser>
          <c:idx val="13"/>
          <c:order val="13"/>
          <c:tx>
            <c:v>Linha 14</c:v>
          </c:tx>
          <c:marker>
            <c:symbol val="none"/>
          </c:marker>
          <c:xVal>
            <c:numRef>
              <c:f>'[3]PRE PUNCHING PF01'!$AZ$29:$AZ$32</c:f>
              <c:numCache>
                <c:formatCode>General</c:formatCode>
                <c:ptCount val="4"/>
                <c:pt idx="0">
                  <c:v>0</c:v>
                </c:pt>
                <c:pt idx="1">
                  <c:v>6.25</c:v>
                </c:pt>
                <c:pt idx="2">
                  <c:v>1303.2500000000002</c:v>
                </c:pt>
                <c:pt idx="3">
                  <c:v>1309.5000000000002</c:v>
                </c:pt>
              </c:numCache>
            </c:numRef>
          </c:xVal>
          <c:yVal>
            <c:numRef>
              <c:f>'[3]PRE PUNCHING PF01'!$BB$29:$BB$32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D-E6F6-4321-83EB-44EEE55C70E4}"/>
            </c:ext>
          </c:extLst>
        </c:ser>
        <c:ser>
          <c:idx val="14"/>
          <c:order val="14"/>
          <c:tx>
            <c:v>Linha 15</c:v>
          </c:tx>
          <c:marker>
            <c:symbol val="none"/>
          </c:marker>
          <c:xVal>
            <c:numRef>
              <c:f>'[3]PRE PUNCHING PF01'!$BC$29:$BC$32</c:f>
              <c:numCache>
                <c:formatCode>General</c:formatCode>
                <c:ptCount val="4"/>
                <c:pt idx="0">
                  <c:v>0</c:v>
                </c:pt>
                <c:pt idx="1">
                  <c:v>6.25</c:v>
                </c:pt>
                <c:pt idx="2">
                  <c:v>-6.25</c:v>
                </c:pt>
                <c:pt idx="3">
                  <c:v>0</c:v>
                </c:pt>
              </c:numCache>
            </c:numRef>
          </c:xVal>
          <c:yVal>
            <c:numRef>
              <c:f>'[3]PRE PUNCHING PF01'!$BE$29:$BE$32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E-E6F6-4321-83EB-44EEE55C70E4}"/>
            </c:ext>
          </c:extLst>
        </c:ser>
        <c:ser>
          <c:idx val="15"/>
          <c:order val="15"/>
          <c:tx>
            <c:v>Linha 16</c:v>
          </c:tx>
          <c:marker>
            <c:symbol val="none"/>
          </c:marker>
          <c:xVal>
            <c:numRef>
              <c:f>'[3]PRE PUNCHING PF01'!$BF$29:$BF$32</c:f>
              <c:numCache>
                <c:formatCode>General</c:formatCode>
                <c:ptCount val="4"/>
                <c:pt idx="0">
                  <c:v>0</c:v>
                </c:pt>
                <c:pt idx="1">
                  <c:v>6.25</c:v>
                </c:pt>
                <c:pt idx="2">
                  <c:v>-6.25</c:v>
                </c:pt>
                <c:pt idx="3">
                  <c:v>0</c:v>
                </c:pt>
              </c:numCache>
            </c:numRef>
          </c:xVal>
          <c:yVal>
            <c:numRef>
              <c:f>'[3]PRE PUNCHING PF01'!$BH$29:$BH$32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0F-E6F6-4321-83EB-44EEE55C70E4}"/>
            </c:ext>
          </c:extLst>
        </c:ser>
        <c:ser>
          <c:idx val="16"/>
          <c:order val="16"/>
          <c:tx>
            <c:v>Linha 17</c:v>
          </c:tx>
          <c:marker>
            <c:symbol val="none"/>
          </c:marker>
          <c:xVal>
            <c:numRef>
              <c:f>'[3]PRE PUNCHING PF01'!$BI$29:$BI$32</c:f>
              <c:numCache>
                <c:formatCode>General</c:formatCode>
                <c:ptCount val="4"/>
                <c:pt idx="0">
                  <c:v>0</c:v>
                </c:pt>
                <c:pt idx="1">
                  <c:v>6.25</c:v>
                </c:pt>
                <c:pt idx="2">
                  <c:v>-6.25</c:v>
                </c:pt>
                <c:pt idx="3">
                  <c:v>0</c:v>
                </c:pt>
              </c:numCache>
            </c:numRef>
          </c:xVal>
          <c:yVal>
            <c:numRef>
              <c:f>'[3]PRE PUNCHING PF01'!$BK$29:$BK$32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0-E6F6-4321-83EB-44EEE55C70E4}"/>
            </c:ext>
          </c:extLst>
        </c:ser>
        <c:ser>
          <c:idx val="17"/>
          <c:order val="17"/>
          <c:tx>
            <c:v>Linha 18</c:v>
          </c:tx>
          <c:marker>
            <c:symbol val="none"/>
          </c:marker>
          <c:xVal>
            <c:numRef>
              <c:f>'[3]PRE PUNCHING PF01'!$BL$29:$BL$32</c:f>
              <c:numCache>
                <c:formatCode>General</c:formatCode>
                <c:ptCount val="4"/>
                <c:pt idx="0">
                  <c:v>0</c:v>
                </c:pt>
                <c:pt idx="1">
                  <c:v>6.25</c:v>
                </c:pt>
                <c:pt idx="2">
                  <c:v>-6.25</c:v>
                </c:pt>
                <c:pt idx="3">
                  <c:v>0</c:v>
                </c:pt>
              </c:numCache>
            </c:numRef>
          </c:xVal>
          <c:yVal>
            <c:numRef>
              <c:f>'[3]PRE PUNCHING PF01'!$BN$29:$BN$32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1-E6F6-4321-83EB-44EEE55C70E4}"/>
            </c:ext>
          </c:extLst>
        </c:ser>
        <c:ser>
          <c:idx val="18"/>
          <c:order val="18"/>
          <c:tx>
            <c:v>Linha 19</c:v>
          </c:tx>
          <c:marker>
            <c:symbol val="none"/>
          </c:marker>
          <c:xVal>
            <c:numRef>
              <c:f>'[3]PRE PUNCHING PF01'!$BO$29:$BO$32</c:f>
              <c:numCache>
                <c:formatCode>General</c:formatCode>
                <c:ptCount val="4"/>
                <c:pt idx="0">
                  <c:v>0</c:v>
                </c:pt>
                <c:pt idx="1">
                  <c:v>6.25</c:v>
                </c:pt>
                <c:pt idx="2">
                  <c:v>-6.25</c:v>
                </c:pt>
                <c:pt idx="3">
                  <c:v>0</c:v>
                </c:pt>
              </c:numCache>
            </c:numRef>
          </c:xVal>
          <c:yVal>
            <c:numRef>
              <c:f>'[3]PRE PUNCHING PF01'!$BQ$29:$BQ$32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2-E6F6-4321-83EB-44EEE55C70E4}"/>
            </c:ext>
          </c:extLst>
        </c:ser>
        <c:ser>
          <c:idx val="19"/>
          <c:order val="19"/>
          <c:tx>
            <c:v>Linha 20</c:v>
          </c:tx>
          <c:marker>
            <c:symbol val="none"/>
          </c:marker>
          <c:xVal>
            <c:numRef>
              <c:f>'[3]PRE PUNCHING PF01'!$BR$29:$BR$32</c:f>
              <c:numCache>
                <c:formatCode>General</c:formatCode>
                <c:ptCount val="4"/>
                <c:pt idx="0">
                  <c:v>0</c:v>
                </c:pt>
                <c:pt idx="1">
                  <c:v>6.25</c:v>
                </c:pt>
                <c:pt idx="2">
                  <c:v>-6.25</c:v>
                </c:pt>
                <c:pt idx="3">
                  <c:v>0</c:v>
                </c:pt>
              </c:numCache>
            </c:numRef>
          </c:xVal>
          <c:yVal>
            <c:numRef>
              <c:f>'[3]PRE PUNCHING PF01'!$BT$29:$BT$32</c:f>
              <c:numCache>
                <c:formatCode>General</c:formatCode>
                <c:ptCount val="4"/>
                <c:pt idx="0">
                  <c:v>0</c:v>
                </c:pt>
                <c:pt idx="1">
                  <c:v>15</c:v>
                </c:pt>
                <c:pt idx="2">
                  <c:v>15</c:v>
                </c:pt>
                <c:pt idx="3">
                  <c:v>0</c:v>
                </c:pt>
              </c:numCache>
            </c:numRef>
          </c:yVal>
          <c:smooth val="0"/>
          <c:extLst>
            <c:ext xmlns:c16="http://schemas.microsoft.com/office/drawing/2014/chart" uri="{C3380CC4-5D6E-409C-BE32-E72D297353CC}">
              <c16:uniqueId val="{00000013-E6F6-4321-83EB-44EEE55C70E4}"/>
            </c:ext>
          </c:extLst>
        </c:ser>
        <c:dLbls>
          <c:showLegendKey val="0"/>
          <c:showVal val="0"/>
          <c:showCatName val="0"/>
          <c:showSerName val="0"/>
          <c:showPercent val="0"/>
          <c:showBubbleSize val="0"/>
        </c:dLbls>
        <c:axId val="674936416"/>
        <c:axId val="1"/>
      </c:scatterChart>
      <c:valAx>
        <c:axId val="674936416"/>
        <c:scaling>
          <c:orientation val="minMax"/>
        </c:scaling>
        <c:delete val="0"/>
        <c:axPos val="b"/>
        <c:title>
          <c:tx>
            <c:rich>
              <a:bodyPr/>
              <a:lstStyle/>
              <a:p>
                <a:pPr>
                  <a:defRPr/>
                </a:pPr>
                <a:r>
                  <a:rPr lang="pt-BR"/>
                  <a:t>Avanço (m)</a:t>
                </a:r>
              </a:p>
            </c:rich>
          </c:tx>
          <c:overlay val="0"/>
        </c:title>
        <c:numFmt formatCode="General" sourceLinked="1"/>
        <c:majorTickMark val="none"/>
        <c:minorTickMark val="none"/>
        <c:tickLblPos val="low"/>
        <c:txPr>
          <a:bodyPr rot="0" vert="horz"/>
          <a:lstStyle/>
          <a:p>
            <a:pPr>
              <a:defRPr sz="1000" b="0" i="0" u="none" strike="noStrike" baseline="0">
                <a:solidFill>
                  <a:srgbClr val="000000"/>
                </a:solidFill>
                <a:latin typeface="Calibri"/>
                <a:ea typeface="Calibri"/>
                <a:cs typeface="Calibri"/>
              </a:defRPr>
            </a:pPr>
            <a:endParaRPr lang="pt-BR"/>
          </a:p>
        </c:txPr>
        <c:crossAx val="1"/>
        <c:crosses val="autoZero"/>
        <c:crossBetween val="midCat"/>
      </c:valAx>
      <c:valAx>
        <c:axId val="1"/>
        <c:scaling>
          <c:orientation val="minMax"/>
        </c:scaling>
        <c:delete val="0"/>
        <c:axPos val="l"/>
        <c:majorGridlines/>
        <c:title>
          <c:tx>
            <c:rich>
              <a:bodyPr/>
              <a:lstStyle/>
              <a:p>
                <a:pPr>
                  <a:defRPr/>
                </a:pPr>
                <a:r>
                  <a:rPr lang="pt-BR"/>
                  <a:t>Tempo (s)</a:t>
                </a:r>
              </a:p>
            </c:rich>
          </c:tx>
          <c:overlay val="0"/>
        </c:title>
        <c:numFmt formatCode="General" sourceLinked="1"/>
        <c:majorTickMark val="none"/>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674936416"/>
        <c:crosses val="autoZero"/>
        <c:crossBetween val="midCat"/>
      </c:valAx>
    </c:plotArea>
    <c:legend>
      <c:legendPos val="r"/>
      <c:overlay val="0"/>
    </c:legend>
    <c:plotVisOnly val="0"/>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25" footer="0.3149606200000002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Não Contínuo</a:t>
            </a:r>
          </a:p>
        </c:rich>
      </c:tx>
      <c:overlay val="0"/>
    </c:title>
    <c:autoTitleDeleted val="0"/>
    <c:plotArea>
      <c:layout/>
      <c:barChart>
        <c:barDir val="col"/>
        <c:grouping val="percentStacked"/>
        <c:varyColors val="0"/>
        <c:ser>
          <c:idx val="0"/>
          <c:order val="0"/>
          <c:tx>
            <c:v>Hidráulico (Av+Re)</c:v>
          </c:tx>
          <c:spPr>
            <a:solidFill>
              <a:srgbClr val="FF000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Punching-PF01'!$C$71</c:f>
              <c:numCache>
                <c:formatCode>0.00</c:formatCode>
                <c:ptCount val="1"/>
                <c:pt idx="0">
                  <c:v>1</c:v>
                </c:pt>
              </c:numCache>
            </c:numRef>
          </c:val>
          <c:extLst>
            <c:ext xmlns:c16="http://schemas.microsoft.com/office/drawing/2014/chart" uri="{C3380CC4-5D6E-409C-BE32-E72D297353CC}">
              <c16:uniqueId val="{00000000-2678-46E1-A85C-B38456C058F5}"/>
            </c:ext>
          </c:extLst>
        </c:ser>
        <c:ser>
          <c:idx val="1"/>
          <c:order val="1"/>
          <c:tx>
            <c:v>MP (Avanço)</c:v>
          </c:tx>
          <c:spPr>
            <a:solidFill>
              <a:srgbClr val="00B05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Punching-PF01'!$C$72</c:f>
              <c:numCache>
                <c:formatCode>0.000</c:formatCode>
                <c:ptCount val="1"/>
                <c:pt idx="0">
                  <c:v>65.839666666666673</c:v>
                </c:pt>
              </c:numCache>
            </c:numRef>
          </c:val>
          <c:extLst>
            <c:ext xmlns:c16="http://schemas.microsoft.com/office/drawing/2014/chart" uri="{C3380CC4-5D6E-409C-BE32-E72D297353CC}">
              <c16:uniqueId val="{00000001-2678-46E1-A85C-B38456C058F5}"/>
            </c:ext>
          </c:extLst>
        </c:ser>
        <c:ser>
          <c:idx val="2"/>
          <c:order val="2"/>
          <c:tx>
            <c:v>Fator de Correção</c:v>
          </c:tx>
          <c:spPr>
            <a:solidFill>
              <a:srgbClr val="00B0F0"/>
            </a:solidFill>
          </c:spPr>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
              <c:pt idx="0">
                <c:v>Tempo (s)</c:v>
              </c:pt>
            </c:strLit>
          </c:cat>
          <c:val>
            <c:numRef>
              <c:f>'Pre Punching-PF01'!$C$75</c:f>
              <c:numCache>
                <c:formatCode>0.000</c:formatCode>
                <c:ptCount val="1"/>
                <c:pt idx="0">
                  <c:v>13.125</c:v>
                </c:pt>
              </c:numCache>
            </c:numRef>
          </c:val>
          <c:extLst>
            <c:ext xmlns:c16="http://schemas.microsoft.com/office/drawing/2014/chart" uri="{C3380CC4-5D6E-409C-BE32-E72D297353CC}">
              <c16:uniqueId val="{00000002-2678-46E1-A85C-B38456C058F5}"/>
            </c:ext>
          </c:extLst>
        </c:ser>
        <c:dLbls>
          <c:showLegendKey val="0"/>
          <c:showVal val="0"/>
          <c:showCatName val="0"/>
          <c:showSerName val="0"/>
          <c:showPercent val="0"/>
          <c:showBubbleSize val="0"/>
        </c:dLbls>
        <c:gapWidth val="75"/>
        <c:overlap val="100"/>
        <c:axId val="674939040"/>
        <c:axId val="1"/>
      </c:barChart>
      <c:catAx>
        <c:axId val="674939040"/>
        <c:scaling>
          <c:orientation val="minMax"/>
        </c:scaling>
        <c:delete val="0"/>
        <c:axPos val="b"/>
        <c:numFmt formatCode="General" sourceLinked="1"/>
        <c:majorTickMark val="none"/>
        <c:minorTickMark val="none"/>
        <c:tickLblPos val="nextTo"/>
        <c:crossAx val="1"/>
        <c:crosses val="autoZero"/>
        <c:auto val="1"/>
        <c:lblAlgn val="ctr"/>
        <c:lblOffset val="100"/>
        <c:noMultiLvlLbl val="0"/>
      </c:catAx>
      <c:valAx>
        <c:axId val="1"/>
        <c:scaling>
          <c:orientation val="minMax"/>
        </c:scaling>
        <c:delete val="0"/>
        <c:axPos val="l"/>
        <c:majorGridlines/>
        <c:numFmt formatCode="0%" sourceLinked="1"/>
        <c:majorTickMark val="none"/>
        <c:minorTickMark val="none"/>
        <c:tickLblPos val="nextTo"/>
        <c:spPr>
          <a:ln w="9525">
            <a:noFill/>
          </a:ln>
        </c:spPr>
        <c:txPr>
          <a:bodyPr rot="0" vert="horz"/>
          <a:lstStyle/>
          <a:p>
            <a:pPr>
              <a:defRPr/>
            </a:pPr>
            <a:endParaRPr lang="pt-BR"/>
          </a:p>
        </c:txPr>
        <c:crossAx val="674939040"/>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'Pre Punching-PF01'!$E$14</c:f>
              <c:strCache>
                <c:ptCount val="1"/>
                <c:pt idx="0">
                  <c:v>Desempenho</c:v>
                </c:pt>
              </c:strCache>
            </c:strRef>
          </c:tx>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Punching-PF01'!$F$14</c:f>
              <c:numCache>
                <c:formatCode>0%</c:formatCode>
                <c:ptCount val="1"/>
                <c:pt idx="0">
                  <c:v>0.8999999999999998</c:v>
                </c:pt>
              </c:numCache>
            </c:numRef>
          </c:val>
          <c:extLst>
            <c:ext xmlns:c16="http://schemas.microsoft.com/office/drawing/2014/chart" uri="{C3380CC4-5D6E-409C-BE32-E72D297353CC}">
              <c16:uniqueId val="{00000000-93EB-4BB1-9AAC-263D58A7623E}"/>
            </c:ext>
          </c:extLst>
        </c:ser>
        <c:ser>
          <c:idx val="1"/>
          <c:order val="1"/>
          <c:tx>
            <c:strRef>
              <c:f>'Pre Punching-PF01'!$E$15</c:f>
              <c:strCache>
                <c:ptCount val="1"/>
                <c:pt idx="0">
                  <c:v>Inificiência</c:v>
                </c:pt>
              </c:strCache>
            </c:strRef>
          </c:tx>
          <c:invertIfNegative val="0"/>
          <c:dPt>
            <c:idx val="0"/>
            <c:invertIfNegative val="0"/>
            <c:bubble3D val="0"/>
            <c:spPr>
              <a:ln cap="sq">
                <a:bevel/>
              </a:ln>
            </c:spPr>
            <c:extLst>
              <c:ext xmlns:c16="http://schemas.microsoft.com/office/drawing/2014/chart" uri="{C3380CC4-5D6E-409C-BE32-E72D297353CC}">
                <c16:uniqueId val="{00000001-93EB-4BB1-9AAC-263D58A7623E}"/>
              </c:ext>
            </c:extLst>
          </c:dPt>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Punching-PF01'!$F$15</c:f>
              <c:numCache>
                <c:formatCode>0%</c:formatCode>
                <c:ptCount val="1"/>
                <c:pt idx="0">
                  <c:v>0.1000000000000002</c:v>
                </c:pt>
              </c:numCache>
            </c:numRef>
          </c:val>
          <c:extLst>
            <c:ext xmlns:c16="http://schemas.microsoft.com/office/drawing/2014/chart" uri="{C3380CC4-5D6E-409C-BE32-E72D297353CC}">
              <c16:uniqueId val="{00000002-93EB-4BB1-9AAC-263D58A7623E}"/>
            </c:ext>
          </c:extLst>
        </c:ser>
        <c:dLbls>
          <c:showLegendKey val="0"/>
          <c:showVal val="0"/>
          <c:showCatName val="0"/>
          <c:showSerName val="0"/>
          <c:showPercent val="0"/>
          <c:showBubbleSize val="0"/>
        </c:dLbls>
        <c:gapWidth val="56"/>
        <c:overlap val="100"/>
        <c:axId val="674946584"/>
        <c:axId val="1"/>
      </c:barChart>
      <c:catAx>
        <c:axId val="674946584"/>
        <c:scaling>
          <c:orientation val="minMax"/>
        </c:scaling>
        <c:delete val="1"/>
        <c:axPos val="b"/>
        <c:majorTickMark val="out"/>
        <c:minorTickMark val="none"/>
        <c:tickLblPos val="nextTo"/>
        <c:crossAx val="1"/>
        <c:crosses val="autoZero"/>
        <c:auto val="1"/>
        <c:lblAlgn val="ctr"/>
        <c:lblOffset val="100"/>
        <c:noMultiLvlLbl val="0"/>
      </c:catAx>
      <c:valAx>
        <c:axId val="1"/>
        <c:scaling>
          <c:orientation val="minMax"/>
        </c:scaling>
        <c:delete val="1"/>
        <c:axPos val="l"/>
        <c:numFmt formatCode="0%" sourceLinked="1"/>
        <c:majorTickMark val="out"/>
        <c:minorTickMark val="none"/>
        <c:tickLblPos val="nextTo"/>
        <c:crossAx val="674946584"/>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'Pre Punching-PF01'!$CE$31</c:f>
              <c:strCache>
                <c:ptCount val="1"/>
                <c:pt idx="0">
                  <c:v>Desempenho</c:v>
                </c:pt>
              </c:strCache>
            </c:strRef>
          </c:tx>
          <c:invertIfNegative val="0"/>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Punching-PF01'!$CF$31</c:f>
              <c:numCache>
                <c:formatCode>0%</c:formatCode>
                <c:ptCount val="1"/>
                <c:pt idx="0">
                  <c:v>0.99291207428146133</c:v>
                </c:pt>
              </c:numCache>
            </c:numRef>
          </c:val>
          <c:extLst>
            <c:ext xmlns:c16="http://schemas.microsoft.com/office/drawing/2014/chart" uri="{C3380CC4-5D6E-409C-BE32-E72D297353CC}">
              <c16:uniqueId val="{00000000-7CBE-4F4C-BD55-710160102D89}"/>
            </c:ext>
          </c:extLst>
        </c:ser>
        <c:ser>
          <c:idx val="1"/>
          <c:order val="1"/>
          <c:tx>
            <c:strRef>
              <c:f>'Pre Punching-PF01'!$CE$32</c:f>
              <c:strCache>
                <c:ptCount val="1"/>
                <c:pt idx="0">
                  <c:v>Ineficiência</c:v>
                </c:pt>
              </c:strCache>
            </c:strRef>
          </c:tx>
          <c:invertIfNegative val="0"/>
          <c:dPt>
            <c:idx val="0"/>
            <c:invertIfNegative val="0"/>
            <c:bubble3D val="0"/>
            <c:spPr>
              <a:ln cap="sq">
                <a:bevel/>
              </a:ln>
            </c:spPr>
            <c:extLst>
              <c:ext xmlns:c16="http://schemas.microsoft.com/office/drawing/2014/chart" uri="{C3380CC4-5D6E-409C-BE32-E72D297353CC}">
                <c16:uniqueId val="{00000001-7CBE-4F4C-BD55-710160102D89}"/>
              </c:ext>
            </c:extLst>
          </c:dPt>
          <c:dLbls>
            <c:spPr>
              <a:noFill/>
              <a:ln w="25400">
                <a:noFill/>
              </a:ln>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'Pre Punching-PF01'!$CF$32</c:f>
              <c:numCache>
                <c:formatCode>0%</c:formatCode>
                <c:ptCount val="1"/>
                <c:pt idx="0">
                  <c:v>7.0879257185386679E-3</c:v>
                </c:pt>
              </c:numCache>
            </c:numRef>
          </c:val>
          <c:extLst>
            <c:ext xmlns:c16="http://schemas.microsoft.com/office/drawing/2014/chart" uri="{C3380CC4-5D6E-409C-BE32-E72D297353CC}">
              <c16:uniqueId val="{00000002-7CBE-4F4C-BD55-710160102D89}"/>
            </c:ext>
          </c:extLst>
        </c:ser>
        <c:dLbls>
          <c:showLegendKey val="0"/>
          <c:showVal val="0"/>
          <c:showCatName val="0"/>
          <c:showSerName val="0"/>
          <c:showPercent val="0"/>
          <c:showBubbleSize val="0"/>
        </c:dLbls>
        <c:gapWidth val="56"/>
        <c:overlap val="100"/>
        <c:axId val="674953472"/>
        <c:axId val="1"/>
      </c:barChart>
      <c:catAx>
        <c:axId val="674953472"/>
        <c:scaling>
          <c:orientation val="minMax"/>
        </c:scaling>
        <c:delete val="1"/>
        <c:axPos val="b"/>
        <c:majorTickMark val="out"/>
        <c:minorTickMark val="none"/>
        <c:tickLblPos val="nextTo"/>
        <c:crossAx val="1"/>
        <c:crosses val="autoZero"/>
        <c:auto val="1"/>
        <c:lblAlgn val="ctr"/>
        <c:lblOffset val="100"/>
        <c:noMultiLvlLbl val="0"/>
      </c:catAx>
      <c:valAx>
        <c:axId val="1"/>
        <c:scaling>
          <c:orientation val="minMax"/>
        </c:scaling>
        <c:delete val="1"/>
        <c:axPos val="l"/>
        <c:numFmt formatCode="0%" sourceLinked="1"/>
        <c:majorTickMark val="out"/>
        <c:minorTickMark val="none"/>
        <c:tickLblPos val="nextTo"/>
        <c:crossAx val="674953472"/>
        <c:crosses val="autoZero"/>
        <c:crossBetween val="between"/>
      </c:valAx>
    </c:plotArea>
    <c:legend>
      <c:legendPos val="b"/>
      <c:overlay val="0"/>
    </c:legend>
    <c:plotVisOnly val="1"/>
    <c:dispBlanksAs val="gap"/>
    <c:showDLblsOverMax val="0"/>
  </c:chart>
  <c:spPr>
    <a:ln>
      <a:noFill/>
    </a:ln>
  </c:spPr>
  <c:printSettings>
    <c:headerFooter/>
    <c:pageMargins b="0.78740157499999996" l="0.511811024" r="0.511811024" t="0.78740157499999996" header="0.31496062000000025" footer="0.31496062000000025"/>
    <c:pageSetup/>
  </c:printSettings>
</c:chartSpace>
</file>

<file path=xl/ctrlProps/ctrlProp1.xml><?xml version="1.0" encoding="utf-8"?>
<formControlPr xmlns="http://schemas.microsoft.com/office/spreadsheetml/2009/9/main" objectType="CheckBox" fmlaLink="$E$20" lockText="1"/>
</file>

<file path=xl/ctrlProps/ctrlProp2.xml><?xml version="1.0" encoding="utf-8"?>
<formControlPr xmlns="http://schemas.microsoft.com/office/spreadsheetml/2009/9/main" objectType="Radio" checked="Checked" firstButton="1" fmlaLink="$F$17" lockText="1" noThreeD="1"/>
</file>

<file path=xl/ctrlProps/ctrlProp3.xml><?xml version="1.0" encoding="utf-8"?>
<formControlPr xmlns="http://schemas.microsoft.com/office/spreadsheetml/2009/9/main" objectType="CheckBox" fmlaLink="$E$21" lockText="1"/>
</file>

<file path=xl/ctrlProps/ctrlProp4.xml><?xml version="1.0" encoding="utf-8"?>
<formControlPr xmlns="http://schemas.microsoft.com/office/spreadsheetml/2009/9/main" objectType="CheckBox" fmlaLink="$E$20" lockText="1"/>
</file>

<file path=xl/ctrlProps/ctrlProp5.xml><?xml version="1.0" encoding="utf-8"?>
<formControlPr xmlns="http://schemas.microsoft.com/office/spreadsheetml/2009/9/main" objectType="Radio" checked="Checked" firstButton="1" fmlaLink="$F$17" lockText="1" noThreeD="1"/>
</file>

<file path=xl/ctrlProps/ctrlProp6.xml><?xml version="1.0" encoding="utf-8"?>
<formControlPr xmlns="http://schemas.microsoft.com/office/spreadsheetml/2009/9/main" objectType="CheckBox" fmlaLink="$E$21" lockText="1"/>
</file>

<file path=xl/ctrlProps/ctrlProp7.xml><?xml version="1.0" encoding="utf-8"?>
<formControlPr xmlns="http://schemas.microsoft.com/office/spreadsheetml/2009/9/main" objectType="CheckBox" fmlaLink="$E$20" lockText="1"/>
</file>

<file path=xl/ctrlProps/ctrlProp8.xml><?xml version="1.0" encoding="utf-8"?>
<formControlPr xmlns="http://schemas.microsoft.com/office/spreadsheetml/2009/9/main" objectType="Radio" checked="Checked" firstButton="1" fmlaLink="$F$17" lockText="1" noThreeD="1"/>
</file>

<file path=xl/ctrlProps/ctrlProp9.xml><?xml version="1.0" encoding="utf-8"?>
<formControlPr xmlns="http://schemas.microsoft.com/office/spreadsheetml/2009/9/main" objectType="CheckBox" fmlaLink="$E$21" lockText="1"/>
</file>

<file path=xl/ctrlProps/ctrlProp10.xml><?xml version="1.0" encoding="utf-8"?>
<formControlPr xmlns="http://schemas.microsoft.com/office/spreadsheetml/2009/9/main" objectType="CheckBox" fmlaLink="$E$20" lockText="1"/>
</file>

<file path=xl/ctrlProps/ctrlProp11.xml><?xml version="1.0" encoding="utf-8"?>
<formControlPr xmlns="http://schemas.microsoft.com/office/spreadsheetml/2009/9/main" objectType="Radio" checked="Checked" firstButton="1" fmlaLink="$F$17" lockText="1" noThreeD="1"/>
</file>

<file path=xl/ctrlProps/ctrlProp12.xml><?xml version="1.0" encoding="utf-8"?>
<formControlPr xmlns="http://schemas.microsoft.com/office/spreadsheetml/2009/9/main" objectType="CheckBox" fmlaLink="$E$21" lockText="1"/>
</file>

<file path=xl/ctrlProps/ctrlProp13.xml><?xml version="1.0" encoding="utf-8"?>
<formControlPr xmlns="http://schemas.microsoft.com/office/spreadsheetml/2009/9/main" objectType="CheckBox" fmlaLink="$E$20" lockText="1"/>
</file>

<file path=xl/ctrlProps/ctrlProp14.xml><?xml version="1.0" encoding="utf-8"?>
<formControlPr xmlns="http://schemas.microsoft.com/office/spreadsheetml/2009/9/main" objectType="Radio" checked="Checked" firstButton="1" fmlaLink="$F$17" lockText="1" noThreeD="1"/>
</file>

<file path=xl/ctrlProps/ctrlProp15.xml><?xml version="1.0" encoding="utf-8"?>
<formControlPr xmlns="http://schemas.microsoft.com/office/spreadsheetml/2009/9/main" objectType="CheckBox" fmlaLink="$E$21" lockText="1"/>
</file>

<file path=xl/ctrlProps/ctrlProp16.xml><?xml version="1.0" encoding="utf-8"?>
<formControlPr xmlns="http://schemas.microsoft.com/office/spreadsheetml/2009/9/main" objectType="CheckBox" fmlaLink="$E$20" lockText="1"/>
</file>

<file path=xl/ctrlProps/ctrlProp17.xml><?xml version="1.0" encoding="utf-8"?>
<formControlPr xmlns="http://schemas.microsoft.com/office/spreadsheetml/2009/9/main" objectType="Radio" checked="Checked" firstButton="1" fmlaLink="$F$17" lockText="1" noThreeD="1"/>
</file>

<file path=xl/ctrlProps/ctrlProp18.xml><?xml version="1.0" encoding="utf-8"?>
<formControlPr xmlns="http://schemas.microsoft.com/office/spreadsheetml/2009/9/main" objectType="CheckBox" fmlaLink="$E$21" lockText="1"/>
</file>

<file path=xl/ctrlProps/ctrlProp19.xml><?xml version="1.0" encoding="utf-8"?>
<formControlPr xmlns="http://schemas.microsoft.com/office/spreadsheetml/2009/9/main" objectType="CheckBox" fmlaLink="$E$20" lockText="1"/>
</file>

<file path=xl/ctrlProps/ctrlProp20.xml><?xml version="1.0" encoding="utf-8"?>
<formControlPr xmlns="http://schemas.microsoft.com/office/spreadsheetml/2009/9/main" objectType="Radio" checked="Checked" firstButton="1" fmlaLink="$F$17" lockText="1" noThreeD="1"/>
</file>

<file path=xl/ctrlProps/ctrlProp21.xml><?xml version="1.0" encoding="utf-8"?>
<formControlPr xmlns="http://schemas.microsoft.com/office/spreadsheetml/2009/9/main" objectType="CheckBox" fmlaLink="$E$21" lockText="1"/>
</file>

<file path=xl/ctrlProps/ctrlProp22.xml><?xml version="1.0" encoding="utf-8"?>
<formControlPr xmlns="http://schemas.microsoft.com/office/spreadsheetml/2009/9/main" objectType="CheckBox" fmlaLink="$E$20" lockText="1"/>
</file>

<file path=xl/ctrlProps/ctrlProp23.xml><?xml version="1.0" encoding="utf-8"?>
<formControlPr xmlns="http://schemas.microsoft.com/office/spreadsheetml/2009/9/main" objectType="Radio" checked="Checked" firstButton="1" fmlaLink="$F$17" lockText="1" noThreeD="1"/>
</file>

<file path=xl/ctrlProps/ctrlProp24.xml><?xml version="1.0" encoding="utf-8"?>
<formControlPr xmlns="http://schemas.microsoft.com/office/spreadsheetml/2009/9/main" objectType="CheckBox" fmlaLink="$E$21" lockText="1"/>
</file>

<file path=xl/ctrlProps/ctrlProp25.xml><?xml version="1.0" encoding="utf-8"?>
<formControlPr xmlns="http://schemas.microsoft.com/office/spreadsheetml/2009/9/main" objectType="CheckBox" fmlaLink="$G$27" lockText="1"/>
</file>

<file path=xl/ctrlProps/ctrlProp26.xml><?xml version="1.0" encoding="utf-8"?>
<formControlPr xmlns="http://schemas.microsoft.com/office/spreadsheetml/2009/9/main" objectType="CheckBox" fmlaLink="$I$27" lockText="1"/>
</file>

<file path=xl/ctrlProps/ctrlProp27.xml><?xml version="1.0" encoding="utf-8"?>
<formControlPr xmlns="http://schemas.microsoft.com/office/spreadsheetml/2009/9/main" objectType="CheckBox" fmlaLink="$C$27" lockText="1"/>
</file>

<file path=xl/ctrlProps/ctrlProp28.xml><?xml version="1.0" encoding="utf-8"?>
<formControlPr xmlns="http://schemas.microsoft.com/office/spreadsheetml/2009/9/main" objectType="CheckBox" fmlaLink="$E$27" lockText="1"/>
</file>

<file path=xl/ctrlProps/ctrlProp29.xml><?xml version="1.0" encoding="utf-8"?>
<formControlPr xmlns="http://schemas.microsoft.com/office/spreadsheetml/2009/9/main" objectType="GBox" noThreeD="1"/>
</file>

<file path=xl/ctrlProps/ctrlProp30.xml><?xml version="1.0" encoding="utf-8"?>
<formControlPr xmlns="http://schemas.microsoft.com/office/spreadsheetml/2009/9/main" objectType="CheckBox" fmlaLink="$E$34" lockText="1" noThreeD="1"/>
</file>

<file path=xl/ctrlProps/ctrlProp31.xml><?xml version="1.0" encoding="utf-8"?>
<formControlPr xmlns="http://schemas.microsoft.com/office/spreadsheetml/2009/9/main" objectType="Radio" checked="Checked" firstButton="1" fmlaLink="$F$17"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CheckBox" fmlaLink="$E$20" lockText="1"/>
</file>

<file path=xl/ctrlProps/ctrlProp35.xml><?xml version="1.0" encoding="utf-8"?>
<formControlPr xmlns="http://schemas.microsoft.com/office/spreadsheetml/2009/9/main" objectType="Radio" checked="Checked" firstButton="1" fmlaLink="$F$17" lockText="1" noThreeD="1"/>
</file>

<file path=xl/ctrlProps/ctrlProp36.xml><?xml version="1.0" encoding="utf-8"?>
<formControlPr xmlns="http://schemas.microsoft.com/office/spreadsheetml/2009/9/main" objectType="CheckBox" fmlaLink="$E$21" lockText="1"/>
</file>

<file path=xl/ctrlProps/ctrlProp37.xml><?xml version="1.0" encoding="utf-8"?>
<formControlPr xmlns="http://schemas.microsoft.com/office/spreadsheetml/2009/9/main" objectType="Spin" dx="15" fmlaLink="$D$17" inc="5" max="120" min="10" page="10" val="120"/>
</file>

<file path=xl/ctrlProps/ctrlProp38.xml><?xml version="1.0" encoding="utf-8"?>
<formControlPr xmlns="http://schemas.microsoft.com/office/spreadsheetml/2009/9/main" objectType="Spin" dx="15" fmlaLink="$D$20" max="25" min="1" page="10" val="10"/>
</file>

<file path=xl/ctrlProps/ctrlProp39.xml><?xml version="1.0" encoding="utf-8"?>
<formControlPr xmlns="http://schemas.microsoft.com/office/spreadsheetml/2009/9/main" objectType="Scroll" dx="15" fmlaLink="$D$23" horiz="1" max="6000" min="1" page="100" val="152"/>
</file>

<file path=xl/ctrlProps/ctrlProp40.xml><?xml version="1.0" encoding="utf-8"?>
<formControlPr xmlns="http://schemas.microsoft.com/office/spreadsheetml/2009/9/main" objectType="Spin" dx="15" fmlaLink="$D$19" max="40" min="1" page="10" val="40"/>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3" Type="http://schemas.openxmlformats.org/officeDocument/2006/relationships/hyperlink" Target="#Investimentos!A1"/><Relationship Id="rId2" Type="http://schemas.openxmlformats.org/officeDocument/2006/relationships/hyperlink" Target="#'Perfil Padr&#227;o'!A1"/><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hyperlink" Target="#Investimentos!A1"/><Relationship Id="rId1" Type="http://schemas.openxmlformats.org/officeDocument/2006/relationships/hyperlink" Target="#HOME!A1"/></Relationships>
</file>

<file path=xl/drawings/_rels/drawing1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hyperlink" Target="#'Hora-M&#225;quina'!A1"/><Relationship Id="rId7" Type="http://schemas.openxmlformats.org/officeDocument/2006/relationships/hyperlink" Target="#'Carbono Equivalente'!A1"/><Relationship Id="rId2" Type="http://schemas.openxmlformats.org/officeDocument/2006/relationships/hyperlink" Target="#'Largura de Tira - Tubo'!A1"/><Relationship Id="rId1" Type="http://schemas.openxmlformats.org/officeDocument/2006/relationships/hyperlink" Target="#Embalagem!A1"/><Relationship Id="rId6" Type="http://schemas.openxmlformats.org/officeDocument/2006/relationships/hyperlink" Target="#'Peso de Tira'!A1"/><Relationship Id="rId5" Type="http://schemas.openxmlformats.org/officeDocument/2006/relationships/hyperlink" Target="#Simuladores!A1"/><Relationship Id="rId10" Type="http://schemas.openxmlformats.org/officeDocument/2006/relationships/image" Target="../media/image20.png"/><Relationship Id="rId4" Type="http://schemas.openxmlformats.org/officeDocument/2006/relationships/hyperlink" Target="#'Bobina x tira'!A1"/><Relationship Id="rId9" Type="http://schemas.openxmlformats.org/officeDocument/2006/relationships/image" Target="../media/image19.jpeg"/></Relationships>
</file>

<file path=xl/drawings/_rels/drawing1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19.xml.rels><?xml version="1.0" encoding="UTF-8" standalone="yes"?>
<Relationships xmlns="http://schemas.openxmlformats.org/package/2006/relationships"><Relationship Id="rId1" Type="http://schemas.openxmlformats.org/officeDocument/2006/relationships/hyperlink" Target="#HOME!A1"/></Relationships>
</file>

<file path=xl/drawings/_rels/drawing2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3.emf"/><Relationship Id="rId1" Type="http://schemas.openxmlformats.org/officeDocument/2006/relationships/image" Target="../media/image22.emf"/></Relationships>
</file>

<file path=xl/drawings/_rels/drawing22.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vmlDrawing9.v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9681" name="Check Box 1" hidden="1">
              <a:extLst>
                <a:ext uri="{63B3BB69-23CF-44E3-9099-C40C66FF867C}">
                  <a14:compatExt spid="_x0000_s1996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30h.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Investimento maquina solda pino ja previsto no PJT 2444.8</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Rebitadeira pneumatica rebites tubulares, investimento já previsto no PJT 2444.7;</a:t>
          </a:r>
          <a:endParaRPr lang="pt-BR">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pt-BR">
            <a:effectLst/>
          </a:endParaRPr>
        </a:p>
        <a:p>
          <a:r>
            <a:rPr lang="pt-BR" sz="1100" baseline="0">
              <a:solidFill>
                <a:schemeClr val="dk1"/>
              </a:solidFill>
              <a:effectLst/>
              <a:latin typeface="+mn-lt"/>
              <a:ea typeface="+mn-ea"/>
              <a:cs typeface="+mn-cs"/>
            </a:rPr>
            <a:t>Investimento:  R$ 62K</a:t>
          </a:r>
          <a:endParaRPr lang="pt-BR" sz="900">
            <a:effectLst/>
          </a:endParaRPr>
        </a:p>
        <a:p>
          <a:r>
            <a:rPr lang="pt-BR" sz="1100" baseline="0">
              <a:solidFill>
                <a:schemeClr val="dk1"/>
              </a:solidFill>
              <a:effectLst/>
              <a:latin typeface="+mn-lt"/>
              <a:ea typeface="+mn-ea"/>
              <a:cs typeface="+mn-cs"/>
            </a:rPr>
            <a:t>- Gabarito de Solda 30k;</a:t>
          </a:r>
          <a:endParaRPr lang="pt-BR" sz="900">
            <a:effectLst/>
          </a:endParaRPr>
        </a:p>
        <a:p>
          <a:r>
            <a:rPr lang="pt-BR" sz="1100" baseline="0">
              <a:solidFill>
                <a:schemeClr val="dk1"/>
              </a:solidFill>
              <a:effectLst/>
              <a:latin typeface="+mn-lt"/>
              <a:ea typeface="+mn-ea"/>
              <a:cs typeface="+mn-cs"/>
            </a:rPr>
            <a:t>- Gabarito dimensional 32k</a:t>
          </a:r>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9682" name="Option Button 2" hidden="1">
              <a:extLst>
                <a:ext uri="{63B3BB69-23CF-44E3-9099-C40C66FF867C}">
                  <a14:compatExt spid="_x0000_s1996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9683" name="Check Box 3" hidden="1">
              <a:extLst>
                <a:ext uri="{63B3BB69-23CF-44E3-9099-C40C66FF867C}">
                  <a14:compatExt spid="_x0000_s1996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552449</xdr:colOff>
      <xdr:row>66</xdr:row>
      <xdr:rowOff>97939</xdr:rowOff>
    </xdr:from>
    <xdr:to>
      <xdr:col>9</xdr:col>
      <xdr:colOff>391028</xdr:colOff>
      <xdr:row>80</xdr:row>
      <xdr:rowOff>29000</xdr:rowOff>
    </xdr:to>
    <xdr:pic>
      <xdr:nvPicPr>
        <xdr:cNvPr id="2" name="Imagem 1"/>
        <xdr:cNvPicPr>
          <a:picLocks noChangeAspect="1"/>
        </xdr:cNvPicPr>
      </xdr:nvPicPr>
      <xdr:blipFill>
        <a:blip xmlns:r="http://schemas.openxmlformats.org/officeDocument/2006/relationships" r:embed="rId2"/>
        <a:stretch>
          <a:fillRect/>
        </a:stretch>
      </xdr:blipFill>
      <xdr:spPr>
        <a:xfrm>
          <a:off x="5610224" y="12213739"/>
          <a:ext cx="3077079" cy="25980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8657" name="Check Box 1" hidden="1">
              <a:extLst>
                <a:ext uri="{63B3BB69-23CF-44E3-9099-C40C66FF867C}">
                  <a14:compatExt spid="_x0000_s198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solidFill>
              <a:schemeClr val="dk1"/>
            </a:solidFill>
            <a:effectLst/>
            <a:latin typeface="+mn-lt"/>
            <a:ea typeface="+mn-ea"/>
            <a:cs typeface="+mn-cs"/>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57h.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endParaRPr lang="pt-BR" sz="900">
            <a:effectLst/>
          </a:endParaRPr>
        </a:p>
        <a:p>
          <a:endParaRPr lang="pt-BR" sz="900">
            <a:effectLst/>
          </a:endParaRPr>
        </a:p>
        <a:p>
          <a:r>
            <a:rPr lang="pt-BR" sz="1100" baseline="0">
              <a:solidFill>
                <a:schemeClr val="dk1"/>
              </a:solidFill>
              <a:effectLst/>
              <a:latin typeface="+mn-lt"/>
              <a:ea typeface="+mn-ea"/>
              <a:cs typeface="+mn-cs"/>
            </a:rPr>
            <a:t>Investimento:  R$ 105K</a:t>
          </a:r>
          <a:endParaRPr lang="pt-BR" sz="900">
            <a:effectLst/>
          </a:endParaRPr>
        </a:p>
        <a:p>
          <a:r>
            <a:rPr lang="pt-BR" sz="1100" baseline="0">
              <a:solidFill>
                <a:schemeClr val="dk1"/>
              </a:solidFill>
              <a:effectLst/>
              <a:latin typeface="+mn-lt"/>
              <a:ea typeface="+mn-ea"/>
              <a:cs typeface="+mn-cs"/>
            </a:rPr>
            <a:t>- Gabarito de Solda 60k;</a:t>
          </a:r>
          <a:endParaRPr lang="pt-BR" sz="900">
            <a:effectLst/>
          </a:endParaRPr>
        </a:p>
        <a:p>
          <a:r>
            <a:rPr lang="pt-BR" sz="1100" baseline="0">
              <a:solidFill>
                <a:schemeClr val="dk1"/>
              </a:solidFill>
              <a:effectLst/>
              <a:latin typeface="+mn-lt"/>
              <a:ea typeface="+mn-ea"/>
              <a:cs typeface="+mn-cs"/>
            </a:rPr>
            <a:t>- Gabarito dimensional 45k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8658" name="Option Button 2" hidden="1">
              <a:extLst>
                <a:ext uri="{63B3BB69-23CF-44E3-9099-C40C66FF867C}">
                  <a14:compatExt spid="_x0000_s198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8659" name="Check Box 3" hidden="1">
              <a:extLst>
                <a:ext uri="{63B3BB69-23CF-44E3-9099-C40C66FF867C}">
                  <a14:compatExt spid="_x0000_s1986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514350</xdr:colOff>
      <xdr:row>63</xdr:row>
      <xdr:rowOff>138079</xdr:rowOff>
    </xdr:from>
    <xdr:to>
      <xdr:col>9</xdr:col>
      <xdr:colOff>381577</xdr:colOff>
      <xdr:row>80</xdr:row>
      <xdr:rowOff>29178</xdr:rowOff>
    </xdr:to>
    <xdr:pic>
      <xdr:nvPicPr>
        <xdr:cNvPr id="2" name="Imagem 1"/>
        <xdr:cNvPicPr>
          <a:picLocks noChangeAspect="1"/>
        </xdr:cNvPicPr>
      </xdr:nvPicPr>
      <xdr:blipFill>
        <a:blip xmlns:r="http://schemas.openxmlformats.org/officeDocument/2006/relationships" r:embed="rId2"/>
        <a:stretch>
          <a:fillRect/>
        </a:stretch>
      </xdr:blipFill>
      <xdr:spPr>
        <a:xfrm>
          <a:off x="5572125" y="11682379"/>
          <a:ext cx="3105727" cy="31295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7633" name="Check Box 1" hidden="1">
              <a:extLst>
                <a:ext uri="{63B3BB69-23CF-44E3-9099-C40C66FF867C}">
                  <a14:compatExt spid="_x0000_s1976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28h.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r>
            <a:rPr lang="pt-BR" sz="1100" baseline="0">
              <a:solidFill>
                <a:schemeClr val="dk1"/>
              </a:solidFill>
              <a:effectLst/>
              <a:latin typeface="+mn-lt"/>
              <a:ea typeface="+mn-ea"/>
              <a:cs typeface="+mn-cs"/>
            </a:rPr>
            <a:t>- Investimento maquina solda pino ja previsto no PJT 2444.8</a:t>
          </a:r>
        </a:p>
        <a:p>
          <a:endParaRPr lang="pt-BR" sz="900">
            <a:effectLst/>
          </a:endParaRPr>
        </a:p>
        <a:p>
          <a:r>
            <a:rPr lang="pt-BR" sz="1100" baseline="0">
              <a:solidFill>
                <a:schemeClr val="dk1"/>
              </a:solidFill>
              <a:effectLst/>
              <a:latin typeface="+mn-lt"/>
              <a:ea typeface="+mn-ea"/>
              <a:cs typeface="+mn-cs"/>
            </a:rPr>
            <a:t>Investimento:  R$ 62K</a:t>
          </a:r>
          <a:endParaRPr lang="pt-BR" sz="900">
            <a:effectLst/>
          </a:endParaRPr>
        </a:p>
        <a:p>
          <a:r>
            <a:rPr lang="pt-BR" sz="1100" baseline="0">
              <a:solidFill>
                <a:schemeClr val="dk1"/>
              </a:solidFill>
              <a:effectLst/>
              <a:latin typeface="+mn-lt"/>
              <a:ea typeface="+mn-ea"/>
              <a:cs typeface="+mn-cs"/>
            </a:rPr>
            <a:t>- Gabarito de Solda 30k;</a:t>
          </a:r>
        </a:p>
        <a:p>
          <a:r>
            <a:rPr lang="pt-BR" sz="1100" baseline="0">
              <a:solidFill>
                <a:schemeClr val="dk1"/>
              </a:solidFill>
              <a:effectLst/>
              <a:latin typeface="+mn-lt"/>
              <a:ea typeface="+mn-ea"/>
              <a:cs typeface="+mn-cs"/>
            </a:rPr>
            <a:t>- Gabarito dimensional 32k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7634" name="Option Button 2" hidden="1">
              <a:extLst>
                <a:ext uri="{63B3BB69-23CF-44E3-9099-C40C66FF867C}">
                  <a14:compatExt spid="_x0000_s1976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7635" name="Check Box 3" hidden="1">
              <a:extLst>
                <a:ext uri="{63B3BB69-23CF-44E3-9099-C40C66FF867C}">
                  <a14:compatExt spid="_x0000_s1976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28575</xdr:colOff>
      <xdr:row>68</xdr:row>
      <xdr:rowOff>9524</xdr:rowOff>
    </xdr:from>
    <xdr:to>
      <xdr:col>9</xdr:col>
      <xdr:colOff>419100</xdr:colOff>
      <xdr:row>80</xdr:row>
      <xdr:rowOff>28575</xdr:rowOff>
    </xdr:to>
    <xdr:pic>
      <xdr:nvPicPr>
        <xdr:cNvPr id="2" name="Imagem 1"/>
        <xdr:cNvPicPr>
          <a:picLocks noChangeAspect="1"/>
        </xdr:cNvPicPr>
      </xdr:nvPicPr>
      <xdr:blipFill rotWithShape="1">
        <a:blip xmlns:r="http://schemas.openxmlformats.org/officeDocument/2006/relationships" r:embed="rId2"/>
        <a:srcRect b="6139"/>
        <a:stretch/>
      </xdr:blipFill>
      <xdr:spPr>
        <a:xfrm>
          <a:off x="5086350" y="12506324"/>
          <a:ext cx="3629025" cy="23050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6609" name="Check Box 1" hidden="1">
              <a:extLst>
                <a:ext uri="{63B3BB69-23CF-44E3-9099-C40C66FF867C}">
                  <a14:compatExt spid="_x0000_s196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16h.</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endParaRPr lang="pt-BR" sz="900">
            <a:effectLst/>
          </a:endParaRPr>
        </a:p>
        <a:p>
          <a:r>
            <a:rPr lang="pt-BR" sz="1100" baseline="0">
              <a:solidFill>
                <a:schemeClr val="dk1"/>
              </a:solidFill>
              <a:effectLst/>
              <a:latin typeface="+mn-lt"/>
              <a:ea typeface="+mn-ea"/>
              <a:cs typeface="+mn-cs"/>
            </a:rPr>
            <a:t>Investimento:  R$ 15K</a:t>
          </a:r>
          <a:endParaRPr lang="pt-BR" sz="900">
            <a:effectLst/>
          </a:endParaRPr>
        </a:p>
        <a:p>
          <a:r>
            <a:rPr lang="pt-BR" sz="1100" baseline="0">
              <a:solidFill>
                <a:schemeClr val="dk1"/>
              </a:solidFill>
              <a:effectLst/>
              <a:latin typeface="+mn-lt"/>
              <a:ea typeface="+mn-ea"/>
              <a:cs typeface="+mn-cs"/>
            </a:rPr>
            <a:t>- Gabarito de Solda 15k;</a:t>
          </a:r>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6610" name="Option Button 2" hidden="1">
              <a:extLst>
                <a:ext uri="{63B3BB69-23CF-44E3-9099-C40C66FF867C}">
                  <a14:compatExt spid="_x0000_s1966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6611" name="Check Box 3" hidden="1">
              <a:extLst>
                <a:ext uri="{63B3BB69-23CF-44E3-9099-C40C66FF867C}">
                  <a14:compatExt spid="_x0000_s1966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282907</xdr:colOff>
      <xdr:row>65</xdr:row>
      <xdr:rowOff>57151</xdr:rowOff>
    </xdr:from>
    <xdr:to>
      <xdr:col>9</xdr:col>
      <xdr:colOff>429087</xdr:colOff>
      <xdr:row>80</xdr:row>
      <xdr:rowOff>38101</xdr:rowOff>
    </xdr:to>
    <xdr:pic>
      <xdr:nvPicPr>
        <xdr:cNvPr id="2" name="Imagem 1"/>
        <xdr:cNvPicPr>
          <a:picLocks noChangeAspect="1"/>
        </xdr:cNvPicPr>
      </xdr:nvPicPr>
      <xdr:blipFill>
        <a:blip xmlns:r="http://schemas.openxmlformats.org/officeDocument/2006/relationships" r:embed="rId2"/>
        <a:stretch>
          <a:fillRect/>
        </a:stretch>
      </xdr:blipFill>
      <xdr:spPr>
        <a:xfrm>
          <a:off x="5340682" y="11982451"/>
          <a:ext cx="3384680" cy="2838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5585" name="Check Box 1" hidden="1">
              <a:extLst>
                <a:ext uri="{63B3BB69-23CF-44E3-9099-C40C66FF867C}">
                  <a14:compatExt spid="_x0000_s1955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endParaRPr lang="pt-BR" sz="900">
            <a:effectLst/>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Volume informado de 700 peças ano. Isso corresponde aproximadamente 0,5 ton (60 peças)/ mes. Foi considerado lote de ??????</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endParaRPr lang="pt-BR" sz="900">
            <a:effectLst/>
          </a:endParaRPr>
        </a:p>
        <a:p>
          <a:r>
            <a:rPr lang="pt-BR" sz="1100" baseline="0">
              <a:solidFill>
                <a:schemeClr val="dk1"/>
              </a:solidFill>
              <a:effectLst/>
              <a:latin typeface="+mn-lt"/>
              <a:ea typeface="+mn-ea"/>
              <a:cs typeface="+mn-cs"/>
            </a:rPr>
            <a:t>Investimento:  R$ 30K</a:t>
          </a:r>
          <a:endParaRPr lang="pt-BR" sz="900">
            <a:effectLst/>
          </a:endParaRPr>
        </a:p>
        <a:p>
          <a:r>
            <a:rPr lang="pt-BR" sz="1100" baseline="0">
              <a:solidFill>
                <a:schemeClr val="dk1"/>
              </a:solidFill>
              <a:effectLst/>
              <a:latin typeface="+mn-lt"/>
              <a:ea typeface="+mn-ea"/>
              <a:cs typeface="+mn-cs"/>
            </a:rPr>
            <a:t>- Gabarito de Solda 30k;</a:t>
          </a:r>
          <a:endParaRPr lang="pt-BR" sz="900">
            <a:effectLst/>
          </a:endParaRPr>
        </a:p>
        <a:p>
          <a:r>
            <a:rPr lang="pt-BR" sz="1100" baseline="0">
              <a:solidFill>
                <a:schemeClr val="dk1"/>
              </a:solidFill>
              <a:effectLst/>
              <a:latin typeface="+mn-lt"/>
              <a:ea typeface="+mn-ea"/>
              <a:cs typeface="+mn-cs"/>
            </a:rPr>
            <a:t>- Rebitadeira pneumatica rebites tubulares, investimento já previsto no PJT 2444.7;</a:t>
          </a:r>
        </a:p>
        <a:p>
          <a:r>
            <a:rPr lang="pt-BR" sz="1100" baseline="0">
              <a:solidFill>
                <a:schemeClr val="dk1"/>
              </a:solidFill>
              <a:effectLst/>
              <a:latin typeface="+mn-lt"/>
              <a:ea typeface="+mn-ea"/>
              <a:cs typeface="+mn-cs"/>
            </a:rPr>
            <a:t>- Maquina processo solda stud (solda pino)+ perifericos </a:t>
          </a:r>
          <a:r>
            <a:rPr lang="pt-BR" sz="1100" baseline="0">
              <a:solidFill>
                <a:srgbClr val="FF0000"/>
              </a:solidFill>
              <a:effectLst/>
              <a:latin typeface="+mn-lt"/>
              <a:ea typeface="+mn-ea"/>
              <a:cs typeface="+mn-cs"/>
            </a:rPr>
            <a:t>????</a:t>
          </a:r>
          <a:endParaRPr lang="pt-BR" sz="900">
            <a:solidFill>
              <a:srgbClr val="FF0000"/>
            </a:solidFill>
            <a:effectLst/>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5586" name="Option Button 2" hidden="1">
              <a:extLst>
                <a:ext uri="{63B3BB69-23CF-44E3-9099-C40C66FF867C}">
                  <a14:compatExt spid="_x0000_s195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5587" name="Check Box 3" hidden="1">
              <a:extLst>
                <a:ext uri="{63B3BB69-23CF-44E3-9099-C40C66FF867C}">
                  <a14:compatExt spid="_x0000_s1955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438150</xdr:colOff>
      <xdr:row>68</xdr:row>
      <xdr:rowOff>95251</xdr:rowOff>
    </xdr:from>
    <xdr:to>
      <xdr:col>9</xdr:col>
      <xdr:colOff>180975</xdr:colOff>
      <xdr:row>80</xdr:row>
      <xdr:rowOff>26487</xdr:rowOff>
    </xdr:to>
    <xdr:pic>
      <xdr:nvPicPr>
        <xdr:cNvPr id="2" name="Imagem 1"/>
        <xdr:cNvPicPr>
          <a:picLocks noChangeAspect="1"/>
        </xdr:cNvPicPr>
      </xdr:nvPicPr>
      <xdr:blipFill>
        <a:blip xmlns:r="http://schemas.openxmlformats.org/officeDocument/2006/relationships" r:embed="rId2"/>
        <a:stretch>
          <a:fillRect/>
        </a:stretch>
      </xdr:blipFill>
      <xdr:spPr>
        <a:xfrm>
          <a:off x="4200525" y="12592051"/>
          <a:ext cx="4276725" cy="2217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4561" name="Check Box 1" hidden="1">
              <a:extLst>
                <a:ext uri="{63B3BB69-23CF-44E3-9099-C40C66FF867C}">
                  <a14:compatExt spid="_x0000_s1945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Volume informado de 700 peças ano. Isso corresponde aproximadamente 0,5 ton (60 peças)/ mes. Foi considerado lote de 180 PEÇAS (3meses). Para isso estima-se aproximadamente 21h.</a:t>
          </a:r>
          <a:endParaRPr lang="pt-BR">
            <a:effectLst/>
          </a:endParaRPr>
        </a:p>
        <a:p>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endParaRPr lang="pt-BR" sz="900">
            <a:effectLst/>
          </a:endParaRPr>
        </a:p>
        <a:p>
          <a:endParaRPr lang="pt-BR" sz="900">
            <a:latin typeface="voestalpine" panose="020B0500030000000000" pitchFamily="34" charset="0"/>
          </a:endParaRPr>
        </a:p>
        <a:p>
          <a:r>
            <a:rPr lang="pt-BR" sz="1100" baseline="0">
              <a:solidFill>
                <a:schemeClr val="dk1"/>
              </a:solidFill>
              <a:effectLst/>
              <a:latin typeface="+mn-lt"/>
              <a:ea typeface="+mn-ea"/>
              <a:cs typeface="+mn-cs"/>
            </a:rPr>
            <a:t>Investimento:  R$ 26,5K</a:t>
          </a:r>
        </a:p>
        <a:p>
          <a:endParaRPr lang="pt-BR" sz="900">
            <a:effectLst/>
          </a:endParaRPr>
        </a:p>
        <a:p>
          <a:r>
            <a:rPr lang="pt-BR" sz="1100" baseline="0">
              <a:solidFill>
                <a:schemeClr val="dk1"/>
              </a:solidFill>
              <a:effectLst/>
              <a:latin typeface="+mn-lt"/>
              <a:ea typeface="+mn-ea"/>
              <a:cs typeface="+mn-cs"/>
            </a:rPr>
            <a:t>- Gabarito de Solda 25k;</a:t>
          </a:r>
        </a:p>
        <a:p>
          <a:r>
            <a:rPr lang="pt-BR" sz="1100" baseline="0">
              <a:solidFill>
                <a:schemeClr val="dk1"/>
              </a:solidFill>
              <a:effectLst/>
              <a:latin typeface="+mn-lt"/>
              <a:ea typeface="+mn-ea"/>
              <a:cs typeface="+mn-cs"/>
            </a:rPr>
            <a:t>- Rebitadeira pneumatica rebites tubulares R$1,5k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4562" name="Option Button 2" hidden="1">
              <a:extLst>
                <a:ext uri="{63B3BB69-23CF-44E3-9099-C40C66FF867C}">
                  <a14:compatExt spid="_x0000_s194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4563" name="Check Box 3" hidden="1">
              <a:extLst>
                <a:ext uri="{63B3BB69-23CF-44E3-9099-C40C66FF867C}">
                  <a14:compatExt spid="_x0000_s1945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276224</xdr:colOff>
      <xdr:row>69</xdr:row>
      <xdr:rowOff>19050</xdr:rowOff>
    </xdr:from>
    <xdr:to>
      <xdr:col>9</xdr:col>
      <xdr:colOff>20053</xdr:colOff>
      <xdr:row>79</xdr:row>
      <xdr:rowOff>66926</xdr:rowOff>
    </xdr:to>
    <xdr:pic>
      <xdr:nvPicPr>
        <xdr:cNvPr id="2" name="Imagem 1"/>
        <xdr:cNvPicPr>
          <a:picLocks noChangeAspect="1"/>
        </xdr:cNvPicPr>
      </xdr:nvPicPr>
      <xdr:blipFill>
        <a:blip xmlns:r="http://schemas.openxmlformats.org/officeDocument/2006/relationships" r:embed="rId2"/>
        <a:stretch>
          <a:fillRect/>
        </a:stretch>
      </xdr:blipFill>
      <xdr:spPr>
        <a:xfrm>
          <a:off x="4038599" y="12706350"/>
          <a:ext cx="4277729" cy="19528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93537" name="Check Box 1" hidden="1">
              <a:extLst>
                <a:ext uri="{63B3BB69-23CF-44E3-9099-C40C66FF867C}">
                  <a14:compatExt spid="_x0000_s1935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1100">
            <a:solidFill>
              <a:schemeClr val="dk1"/>
            </a:solidFill>
            <a:effectLst/>
            <a:latin typeface="+mn-lt"/>
            <a:ea typeface="+mn-ea"/>
            <a:cs typeface="+mn-cs"/>
          </a:endParaRPr>
        </a:p>
        <a:p>
          <a:r>
            <a:rPr lang="pt-BR" sz="1100">
              <a:solidFill>
                <a:schemeClr val="dk1"/>
              </a:solidFill>
              <a:effectLst/>
              <a:latin typeface="+mn-lt"/>
              <a:ea typeface="+mn-ea"/>
              <a:cs typeface="+mn-cs"/>
            </a:rPr>
            <a:t>- Viabilidade</a:t>
          </a:r>
          <a:r>
            <a:rPr lang="pt-BR" sz="1100" baseline="0">
              <a:solidFill>
                <a:schemeClr val="dk1"/>
              </a:solidFill>
              <a:effectLst/>
              <a:latin typeface="+mn-lt"/>
              <a:ea typeface="+mn-ea"/>
              <a:cs typeface="+mn-cs"/>
            </a:rPr>
            <a:t> estudada para simular custos. Falta informações (</a:t>
          </a:r>
          <a:r>
            <a:rPr lang="pt-BR" sz="1100" b="1" baseline="0">
              <a:solidFill>
                <a:srgbClr val="FF0000"/>
              </a:solidFill>
              <a:effectLst/>
              <a:latin typeface="+mn-lt"/>
              <a:ea typeface="+mn-ea"/>
              <a:cs typeface="+mn-cs"/>
            </a:rPr>
            <a:t>Desenho 2D com maiores especificações</a:t>
          </a:r>
          <a:r>
            <a:rPr lang="pt-BR" sz="1100" baseline="0">
              <a:solidFill>
                <a:schemeClr val="dk1"/>
              </a:solidFill>
              <a:effectLst/>
              <a:latin typeface="+mn-lt"/>
              <a:ea typeface="+mn-ea"/>
              <a:cs typeface="+mn-cs"/>
            </a:rPr>
            <a:t>);</a:t>
          </a:r>
          <a:endParaRPr lang="pt-BR" sz="900">
            <a:effectLst/>
          </a:endParaRPr>
        </a:p>
        <a:p>
          <a:r>
            <a:rPr lang="pt-BR" sz="1100" baseline="0">
              <a:solidFill>
                <a:schemeClr val="dk1"/>
              </a:solidFill>
              <a:effectLst/>
              <a:latin typeface="+mn-lt"/>
              <a:ea typeface="+mn-ea"/>
              <a:cs typeface="+mn-cs"/>
            </a:rPr>
            <a:t>- Volume informado de 700 peças ano. Isso corresponde aproximadamente 0,5 ton (60 peças)/ mes. Foi considerado lote de ??????????</a:t>
          </a:r>
          <a:endParaRPr lang="pt-BR" sz="900">
            <a:effectLst/>
          </a:endParaRPr>
        </a:p>
        <a:p>
          <a:r>
            <a:rPr lang="pt-BR" sz="1100" baseline="0">
              <a:solidFill>
                <a:schemeClr val="dk1"/>
              </a:solidFill>
              <a:effectLst/>
              <a:latin typeface="+mn-lt"/>
              <a:ea typeface="+mn-ea"/>
              <a:cs typeface="+mn-cs"/>
            </a:rPr>
            <a:t>-Falta informação sobre embalagem, ou seja, não foi considerado nenhum custo nesta viabilidade, caso seja necessario desenvolver, será necessario revisão.</a:t>
          </a:r>
        </a:p>
        <a:p>
          <a:r>
            <a:rPr lang="pt-BR" sz="1100" baseline="0">
              <a:solidFill>
                <a:schemeClr val="dk1"/>
              </a:solidFill>
              <a:effectLst/>
              <a:latin typeface="+mn-lt"/>
              <a:ea typeface="+mn-ea"/>
              <a:cs typeface="+mn-cs"/>
            </a:rPr>
            <a:t>Investimento:  R$ 100K</a:t>
          </a:r>
        </a:p>
        <a:p>
          <a:r>
            <a:rPr lang="pt-BR" sz="1100" baseline="0">
              <a:solidFill>
                <a:schemeClr val="dk1"/>
              </a:solidFill>
              <a:effectLst/>
              <a:latin typeface="+mn-lt"/>
              <a:ea typeface="+mn-ea"/>
              <a:cs typeface="+mn-cs"/>
            </a:rPr>
            <a:t>- Gabarito de Solda 55k;</a:t>
          </a:r>
        </a:p>
        <a:p>
          <a:pPr marL="0" marR="0" lvl="0" indent="0"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 Gabarito de dimensional 45k;</a:t>
          </a:r>
          <a:endParaRPr lang="pt-BR" sz="900">
            <a:effectLst/>
          </a:endParaRPr>
        </a:p>
        <a:p>
          <a:endParaRPr lang="pt-BR" sz="900">
            <a:effectLst/>
          </a:endParaRPr>
        </a:p>
        <a:p>
          <a:endParaRPr lang="pt-BR" sz="900">
            <a:latin typeface="voestalpine" panose="020B0500030000000000" pitchFamily="34" charset="0"/>
          </a:endParaRPr>
        </a:p>
        <a:p>
          <a:endParaRPr lang="pt-BR" sz="900">
            <a:latin typeface="voestalpine" panose="020B0500030000000000" pitchFamily="34" charset="0"/>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93538" name="Option Button 2" hidden="1">
              <a:extLst>
                <a:ext uri="{63B3BB69-23CF-44E3-9099-C40C66FF867C}">
                  <a14:compatExt spid="_x0000_s1935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93539" name="Check Box 3" hidden="1">
              <a:extLst>
                <a:ext uri="{63B3BB69-23CF-44E3-9099-C40C66FF867C}">
                  <a14:compatExt spid="_x0000_s1935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4</xdr:col>
      <xdr:colOff>285749</xdr:colOff>
      <xdr:row>66</xdr:row>
      <xdr:rowOff>28575</xdr:rowOff>
    </xdr:from>
    <xdr:to>
      <xdr:col>9</xdr:col>
      <xdr:colOff>333375</xdr:colOff>
      <xdr:row>80</xdr:row>
      <xdr:rowOff>19049</xdr:rowOff>
    </xdr:to>
    <xdr:grpSp>
      <xdr:nvGrpSpPr>
        <xdr:cNvPr id="7" name="Agrupar 6"/>
        <xdr:cNvGrpSpPr/>
      </xdr:nvGrpSpPr>
      <xdr:grpSpPr>
        <a:xfrm>
          <a:off x="5343524" y="12144375"/>
          <a:ext cx="3286126" cy="2657474"/>
          <a:chOff x="2975113" y="1090484"/>
          <a:chExt cx="2630144" cy="2358060"/>
        </a:xfrm>
      </xdr:grpSpPr>
      <xdr:pic>
        <xdr:nvPicPr>
          <xdr:cNvPr id="8" name="Imagem 7"/>
          <xdr:cNvPicPr>
            <a:picLocks noChangeAspect="1"/>
          </xdr:cNvPicPr>
        </xdr:nvPicPr>
        <xdr:blipFill>
          <a:blip xmlns:r="http://schemas.openxmlformats.org/officeDocument/2006/relationships" r:embed="rId2"/>
          <a:stretch>
            <a:fillRect/>
          </a:stretch>
        </xdr:blipFill>
        <xdr:spPr>
          <a:xfrm>
            <a:off x="2975113" y="1090484"/>
            <a:ext cx="2630144" cy="2358060"/>
          </a:xfrm>
          <a:prstGeom prst="rect">
            <a:avLst/>
          </a:prstGeom>
        </xdr:spPr>
      </xdr:pic>
      <xdr:sp macro="" textlink="">
        <xdr:nvSpPr>
          <xdr:cNvPr id="9" name="Retângulo 8"/>
          <xdr:cNvSpPr/>
        </xdr:nvSpPr>
        <xdr:spPr>
          <a:xfrm>
            <a:off x="3076391" y="1179857"/>
            <a:ext cx="1213794" cy="246221"/>
          </a:xfrm>
          <a:prstGeom prst="rect">
            <a:avLst/>
          </a:prstGeom>
        </xdr:spPr>
        <xdr:txBody>
          <a:bodyPr wrap="square">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pt-BR" sz="1000"/>
              <a:t>BM02-A-Post_RH</a:t>
            </a:r>
          </a:p>
        </xdr:txBody>
      </xdr:sp>
    </xdr:grp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87393" name="Check Box 1" hidden="1">
              <a:extLst>
                <a:ext uri="{63B3BB69-23CF-44E3-9099-C40C66FF867C}">
                  <a14:compatExt spid="_x0000_s1873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3" name="Imagem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4" name="CaixaDeTexto 3"/>
        <xdr:cNvSpPr txBox="1"/>
      </xdr:nvSpPr>
      <xdr:spPr>
        <a:xfrm>
          <a:off x="3762375" y="10220325"/>
          <a:ext cx="4962524" cy="46072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a:p>
          <a:r>
            <a:rPr lang="pt-BR" sz="900">
              <a:latin typeface="voestalpine" panose="020B0500030000000000" pitchFamily="34" charset="0"/>
            </a:rPr>
            <a:t>- Viabilidade</a:t>
          </a:r>
          <a:r>
            <a:rPr lang="pt-BR" sz="900" baseline="0">
              <a:latin typeface="voestalpine" panose="020B0500030000000000" pitchFamily="34" charset="0"/>
            </a:rPr>
            <a:t> estudada para simular custos. Falta informações (</a:t>
          </a:r>
          <a:r>
            <a:rPr lang="pt-BR" sz="900" b="1" baseline="0">
              <a:solidFill>
                <a:srgbClr val="FF0000"/>
              </a:solidFill>
              <a:latin typeface="voestalpine" panose="020B0500030000000000" pitchFamily="34" charset="0"/>
            </a:rPr>
            <a:t>Desenho 2D com maiores especificações</a:t>
          </a:r>
          <a:r>
            <a:rPr lang="pt-BR" sz="900" baseline="0">
              <a:latin typeface="voestalpine" panose="020B0500030000000000" pitchFamily="34" charset="0"/>
            </a:rPr>
            <a:t>);</a:t>
          </a:r>
        </a:p>
        <a:p>
          <a:r>
            <a:rPr lang="pt-BR" sz="900" baseline="0">
              <a:latin typeface="voestalpine" panose="020B0500030000000000" pitchFamily="34" charset="0"/>
            </a:rPr>
            <a:t>- Volume informado de 700 peças ano. Isso corresponde aproximadamente 0,5 ton (60 peças)/ mes. Foi considerado lote de ??????????</a:t>
          </a:r>
        </a:p>
        <a:p>
          <a:r>
            <a:rPr lang="pt-BR" sz="900" baseline="0">
              <a:latin typeface="voestalpine" panose="020B0500030000000000" pitchFamily="34" charset="0"/>
            </a:rPr>
            <a:t>- fornecedores declinaram do fornecimento de sub conjuntos soldados. V</a:t>
          </a:r>
          <a:r>
            <a:rPr lang="pt-BR" sz="1100">
              <a:solidFill>
                <a:schemeClr val="dk1"/>
              </a:solidFill>
              <a:effectLst/>
              <a:latin typeface="+mn-lt"/>
              <a:ea typeface="+mn-ea"/>
              <a:cs typeface="+mn-cs"/>
            </a:rPr>
            <a:t>iabilidades </a:t>
          </a:r>
          <a:r>
            <a:rPr lang="pt-BR" sz="1100">
              <a:solidFill>
                <a:srgbClr val="FF0000"/>
              </a:solidFill>
              <a:effectLst/>
              <a:latin typeface="+mn-lt"/>
              <a:ea typeface="+mn-ea"/>
              <a:cs typeface="+mn-cs"/>
            </a:rPr>
            <a:t>SERÁ</a:t>
          </a:r>
          <a:r>
            <a:rPr lang="pt-BR" sz="1100" baseline="0">
              <a:solidFill>
                <a:srgbClr val="FF0000"/>
              </a:solidFill>
              <a:effectLst/>
              <a:latin typeface="+mn-lt"/>
              <a:ea typeface="+mn-ea"/>
              <a:cs typeface="+mn-cs"/>
            </a:rPr>
            <a:t> LIBERADA </a:t>
          </a:r>
          <a:r>
            <a:rPr lang="pt-BR" sz="1100">
              <a:solidFill>
                <a:srgbClr val="FF0000"/>
              </a:solidFill>
              <a:effectLst/>
              <a:latin typeface="+mn-lt"/>
              <a:ea typeface="+mn-ea"/>
              <a:cs typeface="+mn-cs"/>
            </a:rPr>
            <a:t>PARA SIMULAR CUSTO</a:t>
          </a:r>
          <a:r>
            <a:rPr lang="pt-BR" sz="1100">
              <a:solidFill>
                <a:schemeClr val="dk1"/>
              </a:solidFill>
              <a:effectLst/>
              <a:latin typeface="+mn-lt"/>
              <a:ea typeface="+mn-ea"/>
              <a:cs typeface="+mn-cs"/>
            </a:rPr>
            <a:t>. Para o fornecimento em série, caso projeto seja aprovado comercialmente, seria receber os subconjuntos soldados de terceiros, </a:t>
          </a:r>
          <a:r>
            <a:rPr lang="pt-BR" sz="1100">
              <a:solidFill>
                <a:srgbClr val="FF0000"/>
              </a:solidFill>
              <a:effectLst/>
              <a:latin typeface="+mn-lt"/>
              <a:ea typeface="+mn-ea"/>
              <a:cs typeface="+mn-cs"/>
            </a:rPr>
            <a:t>ASSIM</a:t>
          </a:r>
          <a:r>
            <a:rPr lang="pt-BR" sz="1100" baseline="0">
              <a:solidFill>
                <a:srgbClr val="FF0000"/>
              </a:solidFill>
              <a:effectLst/>
              <a:latin typeface="+mn-lt"/>
              <a:ea typeface="+mn-ea"/>
              <a:cs typeface="+mn-cs"/>
            </a:rPr>
            <a:t> COMO, REVISAR PREÇOS DE COMPONENTES</a:t>
          </a:r>
          <a:r>
            <a:rPr lang="pt-BR" sz="1100">
              <a:solidFill>
                <a:schemeClr val="dk1"/>
              </a:solidFill>
              <a:effectLst/>
              <a:latin typeface="+mn-lt"/>
              <a:ea typeface="+mn-ea"/>
              <a:cs typeface="+mn-cs"/>
            </a:rPr>
            <a:t>.</a:t>
          </a:r>
        </a:p>
        <a:p>
          <a:endParaRPr lang="pt-BR" sz="900" baseline="0">
            <a:latin typeface="voestalpine" panose="020B0500030000000000" pitchFamily="34" charset="0"/>
          </a:endParaRPr>
        </a:p>
        <a:p>
          <a:r>
            <a:rPr lang="pt-BR" sz="900" baseline="0">
              <a:latin typeface="voestalpine" panose="020B0500030000000000" pitchFamily="34" charset="0"/>
            </a:rPr>
            <a:t>-Falta informação sobre embalagem, ou seja, não foi considerado nenhum custo nesta viabilidade, caso seja necessario desenvolver, será necessario revisão.</a:t>
          </a:r>
        </a:p>
        <a:p>
          <a:endParaRPr lang="pt-BR" sz="900" baseline="0">
            <a:latin typeface="voestalpine" panose="020B0500030000000000" pitchFamily="34" charset="0"/>
          </a:endParaRPr>
        </a:p>
        <a:p>
          <a:r>
            <a:rPr lang="pt-BR" sz="1100" baseline="0">
              <a:solidFill>
                <a:schemeClr val="dk1"/>
              </a:solidFill>
              <a:effectLst/>
              <a:latin typeface="+mn-lt"/>
              <a:ea typeface="+mn-ea"/>
              <a:cs typeface="+mn-cs"/>
            </a:rPr>
            <a:t>Investimento:  R$ 100K</a:t>
          </a:r>
          <a:endParaRPr lang="pt-BR" sz="900">
            <a:effectLst/>
          </a:endParaRPr>
        </a:p>
        <a:p>
          <a:r>
            <a:rPr lang="pt-BR" sz="1100" baseline="0">
              <a:solidFill>
                <a:schemeClr val="dk1"/>
              </a:solidFill>
              <a:effectLst/>
              <a:latin typeface="+mn-lt"/>
              <a:ea typeface="+mn-ea"/>
              <a:cs typeface="+mn-cs"/>
            </a:rPr>
            <a:t>- Gabarito de Solda 55k;</a:t>
          </a:r>
          <a:endParaRPr lang="pt-BR" sz="900">
            <a:effectLst/>
          </a:endParaRPr>
        </a:p>
        <a:p>
          <a:pPr eaLnBrk="1" fontAlgn="auto" latinLnBrk="0" hangingPunct="1"/>
          <a:r>
            <a:rPr lang="pt-BR" sz="1100" baseline="0">
              <a:solidFill>
                <a:schemeClr val="dk1"/>
              </a:solidFill>
              <a:effectLst/>
              <a:latin typeface="+mn-lt"/>
              <a:ea typeface="+mn-ea"/>
              <a:cs typeface="+mn-cs"/>
            </a:rPr>
            <a:t>- Gabarito de dimensional 45k;</a:t>
          </a:r>
          <a:endParaRPr lang="pt-BR" sz="900">
            <a:effectLst/>
          </a:endParaRPr>
        </a:p>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87394" name="Option Button 2" hidden="1">
              <a:extLst>
                <a:ext uri="{63B3BB69-23CF-44E3-9099-C40C66FF867C}">
                  <a14:compatExt spid="_x0000_s1873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87395" name="Check Box 3" hidden="1">
              <a:extLst>
                <a:ext uri="{63B3BB69-23CF-44E3-9099-C40C66FF867C}">
                  <a14:compatExt spid="_x0000_s1873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4</xdr:col>
      <xdr:colOff>619125</xdr:colOff>
      <xdr:row>69</xdr:row>
      <xdr:rowOff>58529</xdr:rowOff>
    </xdr:from>
    <xdr:to>
      <xdr:col>9</xdr:col>
      <xdr:colOff>381000</xdr:colOff>
      <xdr:row>80</xdr:row>
      <xdr:rowOff>30313</xdr:rowOff>
    </xdr:to>
    <xdr:pic>
      <xdr:nvPicPr>
        <xdr:cNvPr id="7" name="Imagem 6"/>
        <xdr:cNvPicPr>
          <a:picLocks noChangeAspect="1"/>
        </xdr:cNvPicPr>
      </xdr:nvPicPr>
      <xdr:blipFill rotWithShape="1">
        <a:blip xmlns:r="http://schemas.openxmlformats.org/officeDocument/2006/relationships" r:embed="rId2"/>
        <a:srcRect t="6446"/>
        <a:stretch/>
      </xdr:blipFill>
      <xdr:spPr>
        <a:xfrm>
          <a:off x="5676900" y="12745829"/>
          <a:ext cx="3000375" cy="206728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514350</xdr:colOff>
          <xdr:row>26</xdr:row>
          <xdr:rowOff>9525</xdr:rowOff>
        </xdr:from>
        <xdr:to>
          <xdr:col>7</xdr:col>
          <xdr:colOff>152400</xdr:colOff>
          <xdr:row>27</xdr:row>
          <xdr:rowOff>0</xdr:rowOff>
        </xdr:to>
        <xdr:sp macro="" textlink="">
          <xdr:nvSpPr>
            <xdr:cNvPr id="134151" name="Check Box 7" hidden="1">
              <a:extLst>
                <a:ext uri="{63B3BB69-23CF-44E3-9099-C40C66FF867C}">
                  <a14:compatExt spid="_x0000_s1341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514350</xdr:colOff>
          <xdr:row>26</xdr:row>
          <xdr:rowOff>9525</xdr:rowOff>
        </xdr:from>
        <xdr:to>
          <xdr:col>9</xdr:col>
          <xdr:colOff>142875</xdr:colOff>
          <xdr:row>27</xdr:row>
          <xdr:rowOff>0</xdr:rowOff>
        </xdr:to>
        <xdr:sp macro="" textlink="">
          <xdr:nvSpPr>
            <xdr:cNvPr id="134152" name="Check Box 8" hidden="1">
              <a:extLst>
                <a:ext uri="{63B3BB69-23CF-44E3-9099-C40C66FF867C}">
                  <a14:compatExt spid="_x0000_s1341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514350</xdr:colOff>
          <xdr:row>26</xdr:row>
          <xdr:rowOff>9525</xdr:rowOff>
        </xdr:from>
        <xdr:to>
          <xdr:col>3</xdr:col>
          <xdr:colOff>152400</xdr:colOff>
          <xdr:row>27</xdr:row>
          <xdr:rowOff>0</xdr:rowOff>
        </xdr:to>
        <xdr:sp macro="" textlink="">
          <xdr:nvSpPr>
            <xdr:cNvPr id="134153" name="Check Box 9" hidden="1">
              <a:extLst>
                <a:ext uri="{63B3BB69-23CF-44E3-9099-C40C66FF867C}">
                  <a14:compatExt spid="_x0000_s1341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514350</xdr:colOff>
          <xdr:row>26</xdr:row>
          <xdr:rowOff>9525</xdr:rowOff>
        </xdr:from>
        <xdr:to>
          <xdr:col>4</xdr:col>
          <xdr:colOff>762000</xdr:colOff>
          <xdr:row>27</xdr:row>
          <xdr:rowOff>0</xdr:rowOff>
        </xdr:to>
        <xdr:sp macro="" textlink="">
          <xdr:nvSpPr>
            <xdr:cNvPr id="134154" name="Check Box 10" hidden="1">
              <a:extLst>
                <a:ext uri="{63B3BB69-23CF-44E3-9099-C40C66FF867C}">
                  <a14:compatExt spid="_x0000_s1341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211230</xdr:colOff>
      <xdr:row>4</xdr:row>
      <xdr:rowOff>134093</xdr:rowOff>
    </xdr:to>
    <xdr:pic>
      <xdr:nvPicPr>
        <xdr:cNvPr id="5" name="Imagem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48125" y="409575"/>
          <a:ext cx="2047875" cy="44841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180975</xdr:colOff>
          <xdr:row>16</xdr:row>
          <xdr:rowOff>0</xdr:rowOff>
        </xdr:from>
        <xdr:to>
          <xdr:col>6</xdr:col>
          <xdr:colOff>0</xdr:colOff>
          <xdr:row>19</xdr:row>
          <xdr:rowOff>0</xdr:rowOff>
        </xdr:to>
        <xdr:sp macro="" textlink="">
          <xdr:nvSpPr>
            <xdr:cNvPr id="134172" name="Group Box 28" hidden="1">
              <a:extLst>
                <a:ext uri="{63B3BB69-23CF-44E3-9099-C40C66FF867C}">
                  <a14:compatExt spid="_x0000_s1341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0</xdr:colOff>
          <xdr:row>33</xdr:row>
          <xdr:rowOff>0</xdr:rowOff>
        </xdr:from>
        <xdr:to>
          <xdr:col>5</xdr:col>
          <xdr:colOff>0</xdr:colOff>
          <xdr:row>34</xdr:row>
          <xdr:rowOff>0</xdr:rowOff>
        </xdr:to>
        <xdr:sp macro="" textlink="">
          <xdr:nvSpPr>
            <xdr:cNvPr id="134270" name="Check Box 126" hidden="1">
              <a:extLst>
                <a:ext uri="{63B3BB69-23CF-44E3-9099-C40C66FF867C}">
                  <a14:compatExt spid="_x0000_s134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0</xdr:colOff>
      <xdr:row>36</xdr:row>
      <xdr:rowOff>19049</xdr:rowOff>
    </xdr:from>
    <xdr:to>
      <xdr:col>9</xdr:col>
      <xdr:colOff>428624</xdr:colOff>
      <xdr:row>80</xdr:row>
      <xdr:rowOff>44823</xdr:rowOff>
    </xdr:to>
    <xdr:sp macro="" textlink="">
      <xdr:nvSpPr>
        <xdr:cNvPr id="2" name="CaixaDeTexto 1"/>
        <xdr:cNvSpPr txBox="1"/>
      </xdr:nvSpPr>
      <xdr:spPr>
        <a:xfrm>
          <a:off x="3877235" y="6406402"/>
          <a:ext cx="4955801" cy="4407274"/>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xdr:txBody>
    </xdr:sp>
    <xdr:clientData/>
  </xdr:twoCellAnchor>
  <xdr:twoCellAnchor>
    <xdr:from>
      <xdr:col>1</xdr:col>
      <xdr:colOff>66675</xdr:colOff>
      <xdr:row>148</xdr:row>
      <xdr:rowOff>28575</xdr:rowOff>
    </xdr:from>
    <xdr:to>
      <xdr:col>16</xdr:col>
      <xdr:colOff>104775</xdr:colOff>
      <xdr:row>158</xdr:row>
      <xdr:rowOff>85724</xdr:rowOff>
    </xdr:to>
    <xdr:sp macro="" textlink="">
      <xdr:nvSpPr>
        <xdr:cNvPr id="15" name="CaixaDeTexto 14"/>
        <xdr:cNvSpPr txBox="1"/>
      </xdr:nvSpPr>
      <xdr:spPr>
        <a:xfrm>
          <a:off x="3762375" y="18278475"/>
          <a:ext cx="9324975" cy="1952624"/>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900">
              <a:latin typeface="voestalpine" panose="020B0500030000000000" pitchFamily="34" charset="0"/>
            </a:rPr>
            <a:t>Notas:</a:t>
          </a: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6</xdr:col>
          <xdr:colOff>0</xdr:colOff>
          <xdr:row>17</xdr:row>
          <xdr:rowOff>0</xdr:rowOff>
        </xdr:to>
        <xdr:sp macro="" textlink="">
          <xdr:nvSpPr>
            <xdr:cNvPr id="134385" name="Option Button 241" hidden="1">
              <a:extLst>
                <a:ext uri="{63B3BB69-23CF-44E3-9099-C40C66FF867C}">
                  <a14:compatExt spid="_x0000_s1343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xdr:row>
          <xdr:rowOff>0</xdr:rowOff>
        </xdr:from>
        <xdr:to>
          <xdr:col>6</xdr:col>
          <xdr:colOff>0</xdr:colOff>
          <xdr:row>18</xdr:row>
          <xdr:rowOff>0</xdr:rowOff>
        </xdr:to>
        <xdr:sp macro="" textlink="">
          <xdr:nvSpPr>
            <xdr:cNvPr id="134386" name="Option Button 242" hidden="1">
              <a:extLst>
                <a:ext uri="{63B3BB69-23CF-44E3-9099-C40C66FF867C}">
                  <a14:compatExt spid="_x0000_s134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xdr:row>
          <xdr:rowOff>0</xdr:rowOff>
        </xdr:from>
        <xdr:to>
          <xdr:col>6</xdr:col>
          <xdr:colOff>0</xdr:colOff>
          <xdr:row>19</xdr:row>
          <xdr:rowOff>0</xdr:rowOff>
        </xdr:to>
        <xdr:sp macro="" textlink="">
          <xdr:nvSpPr>
            <xdr:cNvPr id="134387" name="Option Button 243" hidden="1">
              <a:extLst>
                <a:ext uri="{63B3BB69-23CF-44E3-9099-C40C66FF867C}">
                  <a14:compatExt spid="_x0000_s1343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1</xdr:colOff>
      <xdr:row>0</xdr:row>
      <xdr:rowOff>9524</xdr:rowOff>
    </xdr:from>
    <xdr:to>
      <xdr:col>2</xdr:col>
      <xdr:colOff>95251</xdr:colOff>
      <xdr:row>0</xdr:row>
      <xdr:rowOff>247650</xdr:rowOff>
    </xdr:to>
    <xdr:sp macro="" textlink="">
      <xdr:nvSpPr>
        <xdr:cNvPr id="5" name="Retângulo de cantos arredondados 4">
          <a:hlinkClick xmlns:r="http://schemas.openxmlformats.org/officeDocument/2006/relationships" r:id="rId1"/>
        </xdr:cNvPr>
        <xdr:cNvSpPr/>
      </xdr:nvSpPr>
      <xdr:spPr>
        <a:xfrm>
          <a:off x="95251" y="9524"/>
          <a:ext cx="657225" cy="23812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2</xdr:col>
      <xdr:colOff>95250</xdr:colOff>
      <xdr:row>0</xdr:row>
      <xdr:rowOff>0</xdr:rowOff>
    </xdr:from>
    <xdr:to>
      <xdr:col>2</xdr:col>
      <xdr:colOff>1419225</xdr:colOff>
      <xdr:row>0</xdr:row>
      <xdr:rowOff>246945</xdr:rowOff>
    </xdr:to>
    <xdr:sp macro="" textlink="">
      <xdr:nvSpPr>
        <xdr:cNvPr id="4" name="Retângulo de cantos arredondados 3">
          <a:hlinkClick xmlns:r="http://schemas.openxmlformats.org/officeDocument/2006/relationships" r:id="rId2"/>
        </xdr:cNvPr>
        <xdr:cNvSpPr/>
      </xdr:nvSpPr>
      <xdr:spPr>
        <a:xfrm>
          <a:off x="752475" y="0"/>
          <a:ext cx="1323975" cy="24694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twoCellAnchor>
    <xdr:from>
      <xdr:col>0</xdr:col>
      <xdr:colOff>0</xdr:colOff>
      <xdr:row>16</xdr:row>
      <xdr:rowOff>161925</xdr:rowOff>
    </xdr:from>
    <xdr:to>
      <xdr:col>2</xdr:col>
      <xdr:colOff>3495675</xdr:colOff>
      <xdr:row>43</xdr:row>
      <xdr:rowOff>66675</xdr:rowOff>
    </xdr:to>
    <xdr:sp macro="" textlink="">
      <xdr:nvSpPr>
        <xdr:cNvPr id="8" name="CaixaDeTexto 7"/>
        <xdr:cNvSpPr txBox="1"/>
      </xdr:nvSpPr>
      <xdr:spPr>
        <a:xfrm>
          <a:off x="0" y="3162300"/>
          <a:ext cx="4152900" cy="4533900"/>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 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 </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0</xdr:row>
      <xdr:rowOff>0</xdr:rowOff>
    </xdr:from>
    <xdr:to>
      <xdr:col>2</xdr:col>
      <xdr:colOff>9525</xdr:colOff>
      <xdr:row>1</xdr:row>
      <xdr:rowOff>9524</xdr:rowOff>
    </xdr:to>
    <xdr:sp macro="" textlink="">
      <xdr:nvSpPr>
        <xdr:cNvPr id="2" name="Retângulo de cantos arredondados 1">
          <a:hlinkClick xmlns:r="http://schemas.openxmlformats.org/officeDocument/2006/relationships" r:id="rId1"/>
        </xdr:cNvPr>
        <xdr:cNvSpPr/>
      </xdr:nvSpPr>
      <xdr:spPr>
        <a:xfrm>
          <a:off x="152400" y="0"/>
          <a:ext cx="609600" cy="2762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1</xdr:col>
      <xdr:colOff>9525</xdr:colOff>
      <xdr:row>10</xdr:row>
      <xdr:rowOff>0</xdr:rowOff>
    </xdr:from>
    <xdr:to>
      <xdr:col>2</xdr:col>
      <xdr:colOff>3600450</xdr:colOff>
      <xdr:row>39</xdr:row>
      <xdr:rowOff>57149</xdr:rowOff>
    </xdr:to>
    <xdr:sp macro="" textlink="">
      <xdr:nvSpPr>
        <xdr:cNvPr id="4" name="CaixaDeTexto 3"/>
        <xdr:cNvSpPr txBox="1"/>
      </xdr:nvSpPr>
      <xdr:spPr>
        <a:xfrm>
          <a:off x="152400" y="2219325"/>
          <a:ext cx="4200525" cy="4781549"/>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 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 </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twoCellAnchor>
    <xdr:from>
      <xdr:col>2</xdr:col>
      <xdr:colOff>76200</xdr:colOff>
      <xdr:row>0</xdr:row>
      <xdr:rowOff>0</xdr:rowOff>
    </xdr:from>
    <xdr:to>
      <xdr:col>2</xdr:col>
      <xdr:colOff>1314450</xdr:colOff>
      <xdr:row>1</xdr:row>
      <xdr:rowOff>9524</xdr:rowOff>
    </xdr:to>
    <xdr:sp macro="" textlink="">
      <xdr:nvSpPr>
        <xdr:cNvPr id="5" name="Retângulo de cantos arredondados 4">
          <a:hlinkClick xmlns:r="http://schemas.openxmlformats.org/officeDocument/2006/relationships" r:id="rId2"/>
        </xdr:cNvPr>
        <xdr:cNvSpPr/>
      </xdr:nvSpPr>
      <xdr:spPr>
        <a:xfrm>
          <a:off x="828675" y="0"/>
          <a:ext cx="1238250" cy="27622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9525</xdr:colOff>
      <xdr:row>0</xdr:row>
      <xdr:rowOff>76200</xdr:rowOff>
    </xdr:from>
    <xdr:to>
      <xdr:col>2</xdr:col>
      <xdr:colOff>9525</xdr:colOff>
      <xdr:row>1</xdr:row>
      <xdr:rowOff>152400</xdr:rowOff>
    </xdr:to>
    <xdr:sp macro="" textlink="">
      <xdr:nvSpPr>
        <xdr:cNvPr id="2" name="Retângulo de cantos arredondados 1">
          <a:hlinkClick xmlns:r="http://schemas.openxmlformats.org/officeDocument/2006/relationships" r:id="rId1"/>
        </xdr:cNvPr>
        <xdr:cNvSpPr/>
      </xdr:nvSpPr>
      <xdr:spPr>
        <a:xfrm>
          <a:off x="152400" y="76200"/>
          <a:ext cx="609600"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2</xdr:col>
      <xdr:colOff>66676</xdr:colOff>
      <xdr:row>0</xdr:row>
      <xdr:rowOff>76200</xdr:rowOff>
    </xdr:from>
    <xdr:to>
      <xdr:col>2</xdr:col>
      <xdr:colOff>1981200</xdr:colOff>
      <xdr:row>1</xdr:row>
      <xdr:rowOff>152400</xdr:rowOff>
    </xdr:to>
    <xdr:sp macro="" textlink="">
      <xdr:nvSpPr>
        <xdr:cNvPr id="4" name="Retângulo de cantos arredondados 3">
          <a:hlinkClick xmlns:r="http://schemas.openxmlformats.org/officeDocument/2006/relationships" r:id="rId2"/>
        </xdr:cNvPr>
        <xdr:cNvSpPr/>
      </xdr:nvSpPr>
      <xdr:spPr>
        <a:xfrm>
          <a:off x="819151" y="76200"/>
          <a:ext cx="1914524"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CONSULTAR PERFIL PADRÃO</a:t>
          </a:r>
        </a:p>
      </xdr:txBody>
    </xdr:sp>
    <xdr:clientData/>
  </xdr:twoCellAnchor>
  <xdr:twoCellAnchor>
    <xdr:from>
      <xdr:col>3</xdr:col>
      <xdr:colOff>161925</xdr:colOff>
      <xdr:row>31</xdr:row>
      <xdr:rowOff>38100</xdr:rowOff>
    </xdr:from>
    <xdr:to>
      <xdr:col>7</xdr:col>
      <xdr:colOff>542925</xdr:colOff>
      <xdr:row>55</xdr:row>
      <xdr:rowOff>85725</xdr:rowOff>
    </xdr:to>
    <xdr:sp macro="" textlink="">
      <xdr:nvSpPr>
        <xdr:cNvPr id="5" name="CaixaDeTexto 4"/>
        <xdr:cNvSpPr txBox="1"/>
      </xdr:nvSpPr>
      <xdr:spPr>
        <a:xfrm>
          <a:off x="4524375" y="6181725"/>
          <a:ext cx="4200525" cy="4648200"/>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b="1">
              <a:solidFill>
                <a:schemeClr val="dk1"/>
              </a:solidFill>
              <a:latin typeface="+mn-lt"/>
              <a:ea typeface="+mn-ea"/>
              <a:cs typeface="+mn-cs"/>
            </a:rPr>
            <a:t>PJT XXX</a:t>
          </a:r>
        </a:p>
        <a:p>
          <a:endParaRPr lang="pt-BR" sz="1100" b="1">
            <a:solidFill>
              <a:schemeClr val="dk1"/>
            </a:solidFill>
            <a:latin typeface="+mn-lt"/>
            <a:ea typeface="+mn-ea"/>
            <a:cs typeface="+mn-cs"/>
          </a:endParaRPr>
        </a:p>
        <a:p>
          <a:r>
            <a:rPr lang="pt-BR" sz="1100" b="1">
              <a:solidFill>
                <a:schemeClr val="dk1"/>
              </a:solidFill>
              <a:latin typeface="+mn-lt"/>
              <a:ea typeface="+mn-ea"/>
              <a:cs typeface="+mn-cs"/>
            </a:rPr>
            <a:t>Considerações:</a:t>
          </a:r>
          <a:endParaRPr lang="pt-BR"/>
        </a:p>
        <a:p>
          <a:pPr fontAlgn="base"/>
          <a:r>
            <a:rPr lang="pt-BR" sz="1100" b="0">
              <a:solidFill>
                <a:schemeClr val="dk1"/>
              </a:solidFill>
              <a:latin typeface="+mn-lt"/>
              <a:ea typeface="+mn-ea"/>
              <a:cs typeface="+mn-cs"/>
            </a:rPr>
            <a:t>-</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Desenho (Tolerâncias e Forma de Medição):</a:t>
          </a:r>
        </a:p>
        <a:p>
          <a:pPr fontAlgn="base"/>
          <a:r>
            <a:rPr lang="pt-BR" sz="1100" b="0">
              <a:solidFill>
                <a:schemeClr val="dk1"/>
              </a:solidFill>
              <a:latin typeface="+mn-lt"/>
              <a:ea typeface="+mn-ea"/>
              <a:cs typeface="+mn-cs"/>
            </a:rPr>
            <a:t>No</a:t>
          </a:r>
          <a:r>
            <a:rPr lang="pt-BR" sz="1100" b="0" baseline="0">
              <a:solidFill>
                <a:schemeClr val="dk1"/>
              </a:solidFill>
              <a:latin typeface="+mn-lt"/>
              <a:ea typeface="+mn-ea"/>
              <a:cs typeface="+mn-cs"/>
            </a:rPr>
            <a:t> caso do projeto ser aprovado comercialmente, a Engenharia irá elaborar um desenho proposta com tolerâncias de acordo com a aplicabilidade do produto e limitações de processo.</a:t>
          </a:r>
        </a:p>
        <a:p>
          <a:pPr fontAlgn="base"/>
          <a:endParaRPr lang="pt-BR" sz="1100" b="0">
            <a:solidFill>
              <a:schemeClr val="dk1"/>
            </a:solidFill>
            <a:latin typeface="+mn-lt"/>
            <a:ea typeface="+mn-ea"/>
            <a:cs typeface="+mn-cs"/>
          </a:endParaRPr>
        </a:p>
        <a:p>
          <a:pPr fontAlgn="base"/>
          <a:r>
            <a:rPr lang="pt-BR" sz="1100" b="1">
              <a:solidFill>
                <a:schemeClr val="dk1"/>
              </a:solidFill>
              <a:latin typeface="+mn-lt"/>
              <a:ea typeface="+mn-ea"/>
              <a:cs typeface="+mn-cs"/>
            </a:rPr>
            <a:t>Produtividade e Perdas</a:t>
          </a:r>
          <a:r>
            <a:rPr lang="pt-BR" sz="1100" b="1" baseline="0">
              <a:solidFill>
                <a:schemeClr val="dk1"/>
              </a:solidFill>
              <a:latin typeface="+mn-lt"/>
              <a:ea typeface="+mn-ea"/>
              <a:cs typeface="+mn-cs"/>
            </a:rPr>
            <a:t>: </a:t>
          </a: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eaLnBrk="1" fontAlgn="base" latinLnBrk="0" hangingPunct="1"/>
          <a:r>
            <a:rPr lang="pt-BR" sz="1100" b="1" baseline="0">
              <a:solidFill>
                <a:schemeClr val="dk1"/>
              </a:solidFill>
              <a:latin typeface="+mn-lt"/>
              <a:ea typeface="+mn-ea"/>
              <a:cs typeface="+mn-cs"/>
            </a:rPr>
            <a:t>Carga Máquina:</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a:p>
        <a:p>
          <a:pPr eaLnBrk="1" fontAlgn="auto" latinLnBrk="0" hangingPunct="1"/>
          <a:r>
            <a:rPr lang="pt-BR" sz="1100" b="1">
              <a:solidFill>
                <a:schemeClr val="dk1"/>
              </a:solidFill>
              <a:latin typeface="+mn-lt"/>
              <a:ea typeface="+mn-ea"/>
              <a:cs typeface="+mn-cs"/>
            </a:rPr>
            <a:t>Investimento :</a:t>
          </a:r>
          <a:endParaRPr lang="pt-BR" sz="1100">
            <a:solidFill>
              <a:schemeClr val="dk1"/>
            </a:solidFill>
            <a:latin typeface="+mn-lt"/>
            <a:ea typeface="+mn-ea"/>
            <a:cs typeface="+mn-cs"/>
          </a:endParaRP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r>
            <a:rPr lang="pt-BR" sz="1100" b="1" baseline="0">
              <a:solidFill>
                <a:schemeClr val="dk1"/>
              </a:solidFill>
              <a:latin typeface="+mn-lt"/>
              <a:ea typeface="+mn-ea"/>
              <a:cs typeface="+mn-cs"/>
            </a:rPr>
            <a:t>Pendências:</a:t>
          </a:r>
          <a:endParaRPr lang="pt-BR"/>
        </a:p>
        <a:p>
          <a:pPr fontAlgn="base"/>
          <a:r>
            <a:rPr lang="pt-BR" sz="1100" baseline="0">
              <a:solidFill>
                <a:schemeClr val="dk1"/>
              </a:solidFill>
              <a:latin typeface="+mn-lt"/>
              <a:ea typeface="+mn-ea"/>
              <a:cs typeface="+mn-cs"/>
            </a:rPr>
            <a:t>-</a:t>
          </a:r>
        </a:p>
        <a:p>
          <a:pPr fontAlgn="base"/>
          <a:endParaRPr lang="pt-BR" sz="1100" baseline="0">
            <a:solidFill>
              <a:schemeClr val="dk1"/>
            </a:solidFill>
            <a:latin typeface="+mn-lt"/>
            <a:ea typeface="+mn-ea"/>
            <a:cs typeface="+mn-cs"/>
          </a:endParaRPr>
        </a:p>
        <a:p>
          <a:pPr fontAlgn="base"/>
          <a:endParaRPr lang="pt-BR" sz="1100" baseline="0">
            <a:solidFill>
              <a:schemeClr val="dk1"/>
            </a:solidFill>
            <a:latin typeface="+mn-lt"/>
            <a:ea typeface="+mn-ea"/>
            <a:cs typeface="+mn-cs"/>
          </a:endParaRPr>
        </a:p>
        <a:p>
          <a:r>
            <a:rPr lang="pt-BR" sz="1100" i="1" baseline="0">
              <a:solidFill>
                <a:schemeClr val="dk1"/>
              </a:solidFill>
              <a:latin typeface="+mn-lt"/>
              <a:ea typeface="+mn-ea"/>
              <a:cs typeface="+mn-cs"/>
            </a:rPr>
            <a:t>Elaborado por:</a:t>
          </a:r>
          <a:endParaRPr lang="pt-BR"/>
        </a:p>
        <a:p>
          <a:r>
            <a:rPr lang="pt-BR" sz="1100" i="1" baseline="0">
              <a:solidFill>
                <a:schemeClr val="dk1"/>
              </a:solidFill>
              <a:latin typeface="+mn-lt"/>
              <a:ea typeface="+mn-ea"/>
              <a:cs typeface="+mn-cs"/>
            </a:rPr>
            <a:t>Revisado por:  </a:t>
          </a:r>
          <a:endParaRPr lang="pt-BR" sz="1100">
            <a:solidFill>
              <a:schemeClr val="dk1"/>
            </a:solidFill>
            <a:latin typeface="+mn-lt"/>
            <a:ea typeface="+mn-ea"/>
            <a:cs typeface="+mn-cs"/>
          </a:endParaRPr>
        </a:p>
        <a:p>
          <a:r>
            <a:rPr lang="pt-BR" sz="1100" i="1" baseline="0">
              <a:solidFill>
                <a:schemeClr val="dk1"/>
              </a:solidFill>
              <a:latin typeface="+mn-lt"/>
              <a:ea typeface="+mn-ea"/>
              <a:cs typeface="+mn-cs"/>
            </a:rPr>
            <a:t>Data:  </a:t>
          </a:r>
          <a:endParaRPr lang="pt-BR" sz="1100">
            <a:solidFill>
              <a:schemeClr val="dk1"/>
            </a:solidFill>
            <a:latin typeface="+mn-lt"/>
            <a:ea typeface="+mn-ea"/>
            <a:cs typeface="+mn-cs"/>
          </a:endParaRPr>
        </a:p>
      </xdr:txBody>
    </xdr:sp>
    <xdr:clientData/>
  </xdr:twoCellAnchor>
  <xdr:twoCellAnchor>
    <xdr:from>
      <xdr:col>2</xdr:col>
      <xdr:colOff>2047875</xdr:colOff>
      <xdr:row>0</xdr:row>
      <xdr:rowOff>76200</xdr:rowOff>
    </xdr:from>
    <xdr:to>
      <xdr:col>2</xdr:col>
      <xdr:colOff>3305175</xdr:colOff>
      <xdr:row>1</xdr:row>
      <xdr:rowOff>161925</xdr:rowOff>
    </xdr:to>
    <xdr:sp macro="" textlink="">
      <xdr:nvSpPr>
        <xdr:cNvPr id="6" name="Retângulo de cantos arredondados 5">
          <a:hlinkClick xmlns:r="http://schemas.openxmlformats.org/officeDocument/2006/relationships" r:id="rId3"/>
        </xdr:cNvPr>
        <xdr:cNvSpPr/>
      </xdr:nvSpPr>
      <xdr:spPr>
        <a:xfrm>
          <a:off x="2800350" y="76200"/>
          <a:ext cx="1257300" cy="2762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219075</xdr:colOff>
          <xdr:row>19</xdr:row>
          <xdr:rowOff>9525</xdr:rowOff>
        </xdr:from>
        <xdr:to>
          <xdr:col>4</xdr:col>
          <xdr:colOff>466725</xdr:colOff>
          <xdr:row>20</xdr:row>
          <xdr:rowOff>0</xdr:rowOff>
        </xdr:to>
        <xdr:sp macro="" textlink="">
          <xdr:nvSpPr>
            <xdr:cNvPr id="163841" name="Check Box 1" hidden="1">
              <a:extLst>
                <a:ext uri="{63B3BB69-23CF-44E3-9099-C40C66FF867C}">
                  <a14:compatExt spid="_x0000_s1638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171450</xdr:colOff>
      <xdr:row>2</xdr:row>
      <xdr:rowOff>66675</xdr:rowOff>
    </xdr:from>
    <xdr:to>
      <xdr:col>5</xdr:col>
      <xdr:colOff>268380</xdr:colOff>
      <xdr:row>4</xdr:row>
      <xdr:rowOff>134093</xdr:rowOff>
    </xdr:to>
    <xdr:pic>
      <xdr:nvPicPr>
        <xdr:cNvPr id="6" name="Imagem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33825" y="409575"/>
          <a:ext cx="2040030" cy="448418"/>
        </a:xfrm>
        <a:prstGeom prst="rect">
          <a:avLst/>
        </a:prstGeom>
      </xdr:spPr>
    </xdr:pic>
    <xdr:clientData/>
  </xdr:twoCellAnchor>
  <xdr:twoCellAnchor>
    <xdr:from>
      <xdr:col>2</xdr:col>
      <xdr:colOff>0</xdr:colOff>
      <xdr:row>56</xdr:row>
      <xdr:rowOff>9525</xdr:rowOff>
    </xdr:from>
    <xdr:to>
      <xdr:col>9</xdr:col>
      <xdr:colOff>428624</xdr:colOff>
      <xdr:row>80</xdr:row>
      <xdr:rowOff>44823</xdr:rowOff>
    </xdr:to>
    <xdr:sp macro="" textlink="">
      <xdr:nvSpPr>
        <xdr:cNvPr id="9" name="CaixaDeTexto 8"/>
        <xdr:cNvSpPr txBox="1"/>
      </xdr:nvSpPr>
      <xdr:spPr>
        <a:xfrm>
          <a:off x="3762375" y="10220325"/>
          <a:ext cx="4962524" cy="4416798"/>
        </a:xfrm>
        <a:prstGeom prst="rect">
          <a:avLst/>
        </a:prstGeom>
        <a:solidFill>
          <a:schemeClr val="bg2"/>
        </a:solidFill>
        <a:ln w="9525" cmpd="sng">
          <a:solidFill>
            <a:schemeClr val="bg2">
              <a:lumMod val="50000"/>
            </a:schemeClr>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900">
            <a:latin typeface="voestalpine" panose="020B0500030000000000"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16</xdr:row>
          <xdr:rowOff>0</xdr:rowOff>
        </xdr:from>
        <xdr:to>
          <xdr:col>5</xdr:col>
          <xdr:colOff>619125</xdr:colOff>
          <xdr:row>17</xdr:row>
          <xdr:rowOff>0</xdr:rowOff>
        </xdr:to>
        <xdr:sp macro="" textlink="">
          <xdr:nvSpPr>
            <xdr:cNvPr id="163847" name="Option Button 7" hidden="1">
              <a:extLst>
                <a:ext uri="{63B3BB69-23CF-44E3-9099-C40C66FF867C}">
                  <a14:compatExt spid="_x0000_s1638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20</xdr:row>
          <xdr:rowOff>9525</xdr:rowOff>
        </xdr:from>
        <xdr:to>
          <xdr:col>4</xdr:col>
          <xdr:colOff>466725</xdr:colOff>
          <xdr:row>21</xdr:row>
          <xdr:rowOff>0</xdr:rowOff>
        </xdr:to>
        <xdr:sp macro="" textlink="">
          <xdr:nvSpPr>
            <xdr:cNvPr id="163869" name="Check Box 29" hidden="1">
              <a:extLst>
                <a:ext uri="{63B3BB69-23CF-44E3-9099-C40C66FF867C}">
                  <a14:compatExt spid="_x0000_s1638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1</xdr:col>
      <xdr:colOff>9525</xdr:colOff>
      <xdr:row>0</xdr:row>
      <xdr:rowOff>38100</xdr:rowOff>
    </xdr:from>
    <xdr:to>
      <xdr:col>2</xdr:col>
      <xdr:colOff>9525</xdr:colOff>
      <xdr:row>1</xdr:row>
      <xdr:rowOff>114300</xdr:rowOff>
    </xdr:to>
    <xdr:sp macro="" textlink="">
      <xdr:nvSpPr>
        <xdr:cNvPr id="2" name="Retângulo de cantos arredondados 1">
          <a:hlinkClick xmlns:r="http://schemas.openxmlformats.org/officeDocument/2006/relationships" r:id="rId1"/>
        </xdr:cNvPr>
        <xdr:cNvSpPr/>
      </xdr:nvSpPr>
      <xdr:spPr>
        <a:xfrm>
          <a:off x="152400" y="38100"/>
          <a:ext cx="876300" cy="238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twoCellAnchor>
    <xdr:from>
      <xdr:col>0</xdr:col>
      <xdr:colOff>0</xdr:colOff>
      <xdr:row>27</xdr:row>
      <xdr:rowOff>0</xdr:rowOff>
    </xdr:from>
    <xdr:to>
      <xdr:col>2</xdr:col>
      <xdr:colOff>3457576</xdr:colOff>
      <xdr:row>49</xdr:row>
      <xdr:rowOff>85725</xdr:rowOff>
    </xdr:to>
    <xdr:sp macro="" textlink="">
      <xdr:nvSpPr>
        <xdr:cNvPr id="3" name="CaixaDeTexto 2"/>
        <xdr:cNvSpPr txBox="1"/>
      </xdr:nvSpPr>
      <xdr:spPr>
        <a:xfrm>
          <a:off x="0" y="5753100"/>
          <a:ext cx="4476751" cy="4276725"/>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pt-BR" sz="1100">
              <a:solidFill>
                <a:schemeClr val="dk1"/>
              </a:solidFill>
              <a:latin typeface="+mn-lt"/>
              <a:ea typeface="+mn-ea"/>
              <a:cs typeface="+mn-cs"/>
            </a:rPr>
            <a:t>Considerações:</a:t>
          </a:r>
        </a:p>
        <a:p>
          <a:endParaRPr lang="pt-BR" sz="1100">
            <a:solidFill>
              <a:schemeClr val="dk1"/>
            </a:solidFill>
            <a:latin typeface="+mn-lt"/>
            <a:ea typeface="+mn-ea"/>
            <a:cs typeface="+mn-cs"/>
          </a:endParaRPr>
        </a:p>
      </xdr:txBody>
    </xdr:sp>
    <xdr:clientData/>
  </xdr:twoCellAnchor>
  <xdr:twoCellAnchor>
    <xdr:from>
      <xdr:col>2</xdr:col>
      <xdr:colOff>76200</xdr:colOff>
      <xdr:row>0</xdr:row>
      <xdr:rowOff>38100</xdr:rowOff>
    </xdr:from>
    <xdr:to>
      <xdr:col>2</xdr:col>
      <xdr:colOff>1314450</xdr:colOff>
      <xdr:row>1</xdr:row>
      <xdr:rowOff>114300</xdr:rowOff>
    </xdr:to>
    <xdr:sp macro="" textlink="">
      <xdr:nvSpPr>
        <xdr:cNvPr id="4" name="Retângulo de cantos arredondados 3">
          <a:hlinkClick xmlns:r="http://schemas.openxmlformats.org/officeDocument/2006/relationships" r:id="rId2"/>
        </xdr:cNvPr>
        <xdr:cNvSpPr/>
      </xdr:nvSpPr>
      <xdr:spPr>
        <a:xfrm>
          <a:off x="1095375" y="38100"/>
          <a:ext cx="1238250" cy="2381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INVESTIMENTOS</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190500</xdr:colOff>
      <xdr:row>16</xdr:row>
      <xdr:rowOff>19050</xdr:rowOff>
    </xdr:from>
    <xdr:to>
      <xdr:col>13</xdr:col>
      <xdr:colOff>0</xdr:colOff>
      <xdr:row>18</xdr:row>
      <xdr:rowOff>19050</xdr:rowOff>
    </xdr:to>
    <xdr:sp macro="" textlink="">
      <xdr:nvSpPr>
        <xdr:cNvPr id="10" name="Retângulo de cantos arredondados 9">
          <a:hlinkClick xmlns:r="http://schemas.openxmlformats.org/officeDocument/2006/relationships" r:id="rId1"/>
        </xdr:cNvPr>
        <xdr:cNvSpPr/>
      </xdr:nvSpPr>
      <xdr:spPr>
        <a:xfrm>
          <a:off x="7286625" y="2609850"/>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Embalagem</a:t>
          </a:r>
        </a:p>
      </xdr:txBody>
    </xdr:sp>
    <xdr:clientData/>
  </xdr:twoCellAnchor>
  <xdr:twoCellAnchor editAs="oneCell">
    <xdr:from>
      <xdr:col>8</xdr:col>
      <xdr:colOff>0</xdr:colOff>
      <xdr:row>4</xdr:row>
      <xdr:rowOff>9525</xdr:rowOff>
    </xdr:from>
    <xdr:to>
      <xdr:col>10</xdr:col>
      <xdr:colOff>0</xdr:colOff>
      <xdr:row>6</xdr:row>
      <xdr:rowOff>9525</xdr:rowOff>
    </xdr:to>
    <xdr:sp macro="" textlink="">
      <xdr:nvSpPr>
        <xdr:cNvPr id="11" name="Retângulo de cantos arredondados 10">
          <a:hlinkClick xmlns:r="http://schemas.openxmlformats.org/officeDocument/2006/relationships" r:id="rId2"/>
        </xdr:cNvPr>
        <xdr:cNvSpPr/>
      </xdr:nvSpPr>
      <xdr:spPr>
        <a:xfrm>
          <a:off x="5610225" y="657225"/>
          <a:ext cx="14859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latin typeface="+mn-lt"/>
            </a:rPr>
            <a:t>Tira → Tubo</a:t>
          </a:r>
          <a:endParaRPr lang="pt-BR" sz="1200" b="0">
            <a:solidFill>
              <a:srgbClr val="464646"/>
            </a:solidFill>
            <a:latin typeface="+mn-lt"/>
          </a:endParaRPr>
        </a:p>
      </xdr:txBody>
    </xdr:sp>
    <xdr:clientData/>
  </xdr:twoCellAnchor>
  <xdr:twoCellAnchor editAs="oneCell">
    <xdr:from>
      <xdr:col>10</xdr:col>
      <xdr:colOff>190500</xdr:colOff>
      <xdr:row>13</xdr:row>
      <xdr:rowOff>19050</xdr:rowOff>
    </xdr:from>
    <xdr:to>
      <xdr:col>13</xdr:col>
      <xdr:colOff>0</xdr:colOff>
      <xdr:row>15</xdr:row>
      <xdr:rowOff>19050</xdr:rowOff>
    </xdr:to>
    <xdr:sp macro="" textlink="">
      <xdr:nvSpPr>
        <xdr:cNvPr id="12" name="Retângulo de cantos arredondados 11">
          <a:hlinkClick xmlns:r="http://schemas.openxmlformats.org/officeDocument/2006/relationships" r:id="rId3"/>
        </xdr:cNvPr>
        <xdr:cNvSpPr/>
      </xdr:nvSpPr>
      <xdr:spPr>
        <a:xfrm>
          <a:off x="7286625" y="2124075"/>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Hora-Máquina</a:t>
          </a:r>
        </a:p>
      </xdr:txBody>
    </xdr:sp>
    <xdr:clientData/>
  </xdr:twoCellAnchor>
  <xdr:twoCellAnchor editAs="oneCell">
    <xdr:from>
      <xdr:col>10</xdr:col>
      <xdr:colOff>190500</xdr:colOff>
      <xdr:row>7</xdr:row>
      <xdr:rowOff>0</xdr:rowOff>
    </xdr:from>
    <xdr:to>
      <xdr:col>13</xdr:col>
      <xdr:colOff>0</xdr:colOff>
      <xdr:row>9</xdr:row>
      <xdr:rowOff>0</xdr:rowOff>
    </xdr:to>
    <xdr:sp macro="" textlink="">
      <xdr:nvSpPr>
        <xdr:cNvPr id="17" name="Retângulo de cantos arredondados 16">
          <a:hlinkClick xmlns:r="http://schemas.openxmlformats.org/officeDocument/2006/relationships" r:id="rId4"/>
        </xdr:cNvPr>
        <xdr:cNvSpPr/>
      </xdr:nvSpPr>
      <xdr:spPr>
        <a:xfrm>
          <a:off x="6877050" y="1133475"/>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latin typeface="+mn-lt"/>
            </a:rPr>
            <a:t>Bobinas</a:t>
          </a:r>
          <a:endParaRPr lang="pt-BR" sz="1200" b="0">
            <a:solidFill>
              <a:srgbClr val="464646"/>
            </a:solidFill>
            <a:latin typeface="+mn-lt"/>
          </a:endParaRPr>
        </a:p>
      </xdr:txBody>
    </xdr:sp>
    <xdr:clientData/>
  </xdr:twoCellAnchor>
  <xdr:twoCellAnchor editAs="oneCell">
    <xdr:from>
      <xdr:col>8</xdr:col>
      <xdr:colOff>0</xdr:colOff>
      <xdr:row>7</xdr:row>
      <xdr:rowOff>0</xdr:rowOff>
    </xdr:from>
    <xdr:to>
      <xdr:col>10</xdr:col>
      <xdr:colOff>0</xdr:colOff>
      <xdr:row>9</xdr:row>
      <xdr:rowOff>0</xdr:rowOff>
    </xdr:to>
    <xdr:sp macro="" textlink="">
      <xdr:nvSpPr>
        <xdr:cNvPr id="18" name="Retângulo de cantos arredondados 17">
          <a:hlinkClick xmlns:r="http://schemas.openxmlformats.org/officeDocument/2006/relationships" r:id="rId5"/>
        </xdr:cNvPr>
        <xdr:cNvSpPr/>
      </xdr:nvSpPr>
      <xdr:spPr>
        <a:xfrm>
          <a:off x="5610225" y="1133475"/>
          <a:ext cx="14859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Simuladores</a:t>
          </a:r>
        </a:p>
      </xdr:txBody>
    </xdr:sp>
    <xdr:clientData/>
  </xdr:twoCellAnchor>
  <xdr:twoCellAnchor editAs="oneCell">
    <xdr:from>
      <xdr:col>10</xdr:col>
      <xdr:colOff>190500</xdr:colOff>
      <xdr:row>4</xdr:row>
      <xdr:rowOff>1</xdr:rowOff>
    </xdr:from>
    <xdr:to>
      <xdr:col>13</xdr:col>
      <xdr:colOff>0</xdr:colOff>
      <xdr:row>6</xdr:row>
      <xdr:rowOff>1</xdr:rowOff>
    </xdr:to>
    <xdr:sp macro="" textlink="">
      <xdr:nvSpPr>
        <xdr:cNvPr id="24" name="Retângulo de cantos arredondados 23">
          <a:hlinkClick xmlns:r="http://schemas.openxmlformats.org/officeDocument/2006/relationships" r:id="rId6"/>
        </xdr:cNvPr>
        <xdr:cNvSpPr/>
      </xdr:nvSpPr>
      <xdr:spPr>
        <a:xfrm>
          <a:off x="6877050" y="647701"/>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Peso da Tira</a:t>
          </a:r>
        </a:p>
      </xdr:txBody>
    </xdr:sp>
    <xdr:clientData/>
  </xdr:twoCellAnchor>
  <xdr:twoCellAnchor editAs="oneCell">
    <xdr:from>
      <xdr:col>8</xdr:col>
      <xdr:colOff>0</xdr:colOff>
      <xdr:row>10</xdr:row>
      <xdr:rowOff>0</xdr:rowOff>
    </xdr:from>
    <xdr:to>
      <xdr:col>10</xdr:col>
      <xdr:colOff>1</xdr:colOff>
      <xdr:row>12</xdr:row>
      <xdr:rowOff>0</xdr:rowOff>
    </xdr:to>
    <xdr:sp macro="" textlink="">
      <xdr:nvSpPr>
        <xdr:cNvPr id="26" name="Retângulo de cantos arredondados 25">
          <a:hlinkClick xmlns:r="http://schemas.openxmlformats.org/officeDocument/2006/relationships" r:id="rId7"/>
        </xdr:cNvPr>
        <xdr:cNvSpPr/>
      </xdr:nvSpPr>
      <xdr:spPr>
        <a:xfrm>
          <a:off x="5610225" y="1619250"/>
          <a:ext cx="1485901"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a:solidFill>
                <a:srgbClr val="464646"/>
              </a:solidFill>
              <a:latin typeface="+mn-lt"/>
            </a:rPr>
            <a:t>Carbono Equiv.</a:t>
          </a:r>
        </a:p>
      </xdr:txBody>
    </xdr:sp>
    <xdr:clientData/>
  </xdr:twoCellAnchor>
  <xdr:twoCellAnchor editAs="oneCell">
    <xdr:from>
      <xdr:col>10</xdr:col>
      <xdr:colOff>190500</xdr:colOff>
      <xdr:row>10</xdr:row>
      <xdr:rowOff>0</xdr:rowOff>
    </xdr:from>
    <xdr:to>
      <xdr:col>13</xdr:col>
      <xdr:colOff>0</xdr:colOff>
      <xdr:row>12</xdr:row>
      <xdr:rowOff>0</xdr:rowOff>
    </xdr:to>
    <xdr:sp macro="" textlink="">
      <xdr:nvSpPr>
        <xdr:cNvPr id="31" name="Retângulo de cantos arredondados 17">
          <a:hlinkClick xmlns:r="http://schemas.openxmlformats.org/officeDocument/2006/relationships" r:id="rId5"/>
        </xdr:cNvPr>
        <xdr:cNvSpPr/>
      </xdr:nvSpPr>
      <xdr:spPr>
        <a:xfrm>
          <a:off x="6877050" y="1619250"/>
          <a:ext cx="1676400" cy="323850"/>
        </a:xfrm>
        <a:prstGeom prst="snip2DiagRect">
          <a:avLst/>
        </a:prstGeom>
        <a:solidFill>
          <a:srgbClr val="FFFFFF"/>
        </a:solidFill>
        <a:ln w="12700">
          <a:solidFill>
            <a:srgbClr val="A9A9A9"/>
          </a:solidFill>
        </a:ln>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pt-BR" sz="1200" b="0" baseline="0">
              <a:solidFill>
                <a:srgbClr val="464646"/>
              </a:solidFill>
              <a:effectLst/>
              <a:latin typeface="+mn-lt"/>
              <a:ea typeface="+mn-ea"/>
              <a:cs typeface="+mn-cs"/>
            </a:rPr>
            <a:t>Força de Dobra</a:t>
          </a:r>
          <a:endParaRPr lang="pt-BR" sz="1200" b="0">
            <a:solidFill>
              <a:srgbClr val="464646"/>
            </a:solidFill>
            <a:effectLst/>
            <a:latin typeface="+mn-lt"/>
          </a:endParaRPr>
        </a:p>
      </xdr:txBody>
    </xdr:sp>
    <xdr:clientData/>
  </xdr:twoCellAnchor>
  <xdr:twoCellAnchor editAs="absolute">
    <xdr:from>
      <xdr:col>0</xdr:col>
      <xdr:colOff>38097</xdr:colOff>
      <xdr:row>0</xdr:row>
      <xdr:rowOff>133348</xdr:rowOff>
    </xdr:from>
    <xdr:to>
      <xdr:col>2</xdr:col>
      <xdr:colOff>866775</xdr:colOff>
      <xdr:row>19</xdr:row>
      <xdr:rowOff>44918</xdr:rowOff>
    </xdr:to>
    <xdr:grpSp>
      <xdr:nvGrpSpPr>
        <xdr:cNvPr id="3" name="Agrupar 2"/>
        <xdr:cNvGrpSpPr/>
      </xdr:nvGrpSpPr>
      <xdr:grpSpPr>
        <a:xfrm>
          <a:off x="38097" y="133348"/>
          <a:ext cx="2676528" cy="2988145"/>
          <a:chOff x="38097" y="133348"/>
          <a:chExt cx="2676528" cy="2988145"/>
        </a:xfrm>
      </xdr:grpSpPr>
      <xdr:grpSp>
        <xdr:nvGrpSpPr>
          <xdr:cNvPr id="45" name="Agrupar 44"/>
          <xdr:cNvGrpSpPr/>
        </xdr:nvGrpSpPr>
        <xdr:grpSpPr>
          <a:xfrm>
            <a:off x="38097" y="133348"/>
            <a:ext cx="2676528" cy="2988145"/>
            <a:chOff x="257539" y="142875"/>
            <a:chExt cx="1484912" cy="1657795"/>
          </a:xfrm>
        </xdr:grpSpPr>
        <xdr:grpSp>
          <xdr:nvGrpSpPr>
            <xdr:cNvPr id="43" name="Agrupar 42"/>
            <xdr:cNvGrpSpPr/>
          </xdr:nvGrpSpPr>
          <xdr:grpSpPr>
            <a:xfrm>
              <a:off x="257539" y="142875"/>
              <a:ext cx="1484912" cy="1657350"/>
              <a:chOff x="4618785" y="4953000"/>
              <a:chExt cx="1639140" cy="1829488"/>
            </a:xfrm>
          </xdr:grpSpPr>
          <xdr:sp macro="" textlink="">
            <xdr:nvSpPr>
              <xdr:cNvPr id="42" name="Retângulo Arredondado 41"/>
              <xdr:cNvSpPr/>
            </xdr:nvSpPr>
            <xdr:spPr>
              <a:xfrm>
                <a:off x="4618785" y="4953000"/>
                <a:ext cx="1172414" cy="1828801"/>
              </a:xfrm>
              <a:prstGeom prst="roundRect">
                <a:avLst>
                  <a:gd name="adj" fmla="val 4779"/>
                </a:avLst>
              </a:prstGeom>
              <a:solidFill>
                <a:schemeClr val="tx2"/>
              </a:solidFill>
              <a:ln w="12700">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b="1">
                  <a:solidFill>
                    <a:schemeClr val="tx1"/>
                  </a:solidFill>
                  <a:latin typeface="voestalpine" panose="020B0500030000000000" pitchFamily="34" charset="0"/>
                </a:endParaRPr>
              </a:p>
            </xdr:txBody>
          </xdr:sp>
          <xdr:pic>
            <xdr:nvPicPr>
              <xdr:cNvPr id="7" name="Imagem 6"/>
              <xdr:cNvPicPr>
                <a:picLocks noChangeAspect="1"/>
              </xdr:cNvPicPr>
            </xdr:nvPicPr>
            <xdr:blipFill>
              <a:blip xmlns:r="http://schemas.openxmlformats.org/officeDocument/2006/relationships" r:embed="rId8"/>
              <a:stretch>
                <a:fillRect/>
              </a:stretch>
            </xdr:blipFill>
            <xdr:spPr>
              <a:xfrm rot="5400000">
                <a:off x="4390868" y="5291483"/>
                <a:ext cx="1810435" cy="1171575"/>
              </a:xfrm>
              <a:prstGeom prst="rect">
                <a:avLst/>
              </a:prstGeom>
            </xdr:spPr>
          </xdr:pic>
          <xdr:sp macro="" textlink="">
            <xdr:nvSpPr>
              <xdr:cNvPr id="6" name="Retângulo Arredondado 5"/>
              <xdr:cNvSpPr/>
            </xdr:nvSpPr>
            <xdr:spPr>
              <a:xfrm>
                <a:off x="4895850" y="4953000"/>
                <a:ext cx="1362075" cy="1828800"/>
              </a:xfrm>
              <a:prstGeom prst="roundRect">
                <a:avLst>
                  <a:gd name="adj" fmla="val 4779"/>
                </a:avLst>
              </a:prstGeom>
              <a:solidFill>
                <a:schemeClr val="bg2"/>
              </a:solidFill>
              <a:ln w="12700">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800" b="0">
                    <a:solidFill>
                      <a:srgbClr val="464646"/>
                    </a:solidFill>
                    <a:latin typeface="voestalpine" panose="020B0500030000000000" pitchFamily="34" charset="0"/>
                  </a:rPr>
                  <a:t>Estudos de Viabilidades</a:t>
                </a:r>
              </a:p>
            </xdr:txBody>
          </xdr:sp>
        </xdr:grpSp>
        <xdr:pic>
          <xdr:nvPicPr>
            <xdr:cNvPr id="44" name="Imagem 43"/>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11595" y="1430728"/>
              <a:ext cx="1058543" cy="369942"/>
            </a:xfrm>
            <a:prstGeom prst="rect">
              <a:avLst/>
            </a:prstGeom>
          </xdr:spPr>
        </xdr:pic>
      </xdr:grpSp>
      <xdr:pic>
        <xdr:nvPicPr>
          <xdr:cNvPr id="2" name="Imagem 1"/>
          <xdr:cNvPicPr>
            <a:picLocks noChangeAspect="1"/>
          </xdr:cNvPicPr>
        </xdr:nvPicPr>
        <xdr:blipFill>
          <a:blip xmlns:r="http://schemas.openxmlformats.org/officeDocument/2006/relationships" r:embed="rId10" cstate="print">
            <a:grayscl/>
            <a:extLst>
              <a:ext uri="{28A0092B-C50C-407E-A947-70E740481C1C}">
                <a14:useLocalDpi xmlns:a14="http://schemas.microsoft.com/office/drawing/2010/main" val="0"/>
              </a:ext>
            </a:extLst>
          </a:blip>
          <a:stretch>
            <a:fillRect/>
          </a:stretch>
        </xdr:blipFill>
        <xdr:spPr>
          <a:xfrm rot="20090413">
            <a:off x="884210" y="935064"/>
            <a:ext cx="1419225" cy="1419225"/>
          </a:xfrm>
          <a:prstGeom prst="rect">
            <a:avLst/>
          </a:prstGeom>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276225</xdr:colOff>
      <xdr:row>35</xdr:row>
      <xdr:rowOff>66675</xdr:rowOff>
    </xdr:from>
    <xdr:to>
      <xdr:col>8</xdr:col>
      <xdr:colOff>66675</xdr:colOff>
      <xdr:row>36</xdr:row>
      <xdr:rowOff>104775</xdr:rowOff>
    </xdr:to>
    <xdr:sp macro="" textlink="">
      <xdr:nvSpPr>
        <xdr:cNvPr id="9" name="CaixaDeTexto 8"/>
        <xdr:cNvSpPr txBox="1"/>
      </xdr:nvSpPr>
      <xdr:spPr>
        <a:xfrm>
          <a:off x="4495800" y="5238750"/>
          <a:ext cx="6477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TIRA</a:t>
          </a:r>
        </a:p>
      </xdr:txBody>
    </xdr:sp>
    <xdr:clientData/>
  </xdr:twoCellAnchor>
  <xdr:twoCellAnchor>
    <xdr:from>
      <xdr:col>2</xdr:col>
      <xdr:colOff>781050</xdr:colOff>
      <xdr:row>31</xdr:row>
      <xdr:rowOff>161925</xdr:rowOff>
    </xdr:from>
    <xdr:to>
      <xdr:col>3</xdr:col>
      <xdr:colOff>28575</xdr:colOff>
      <xdr:row>38</xdr:row>
      <xdr:rowOff>9525</xdr:rowOff>
    </xdr:to>
    <xdr:graphicFrame macro="">
      <xdr:nvGraphicFramePr>
        <xdr:cNvPr id="2168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266700</xdr:colOff>
      <xdr:row>32</xdr:row>
      <xdr:rowOff>28575</xdr:rowOff>
    </xdr:from>
    <xdr:to>
      <xdr:col>6</xdr:col>
      <xdr:colOff>333375</xdr:colOff>
      <xdr:row>37</xdr:row>
      <xdr:rowOff>123825</xdr:rowOff>
    </xdr:to>
    <xdr:graphicFrame macro="">
      <xdr:nvGraphicFramePr>
        <xdr:cNvPr id="21687"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36</xdr:row>
      <xdr:rowOff>133350</xdr:rowOff>
    </xdr:from>
    <xdr:to>
      <xdr:col>8</xdr:col>
      <xdr:colOff>57150</xdr:colOff>
      <xdr:row>36</xdr:row>
      <xdr:rowOff>133350</xdr:rowOff>
    </xdr:to>
    <xdr:cxnSp macro="">
      <xdr:nvCxnSpPr>
        <xdr:cNvPr id="5" name="Conector de seta reta 4"/>
        <xdr:cNvCxnSpPr/>
      </xdr:nvCxnSpPr>
      <xdr:spPr>
        <a:xfrm flipH="1">
          <a:off x="4371975" y="5495925"/>
          <a:ext cx="762000" cy="0"/>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171450</xdr:colOff>
      <xdr:row>30</xdr:row>
      <xdr:rowOff>180975</xdr:rowOff>
    </xdr:from>
    <xdr:to>
      <xdr:col>5</xdr:col>
      <xdr:colOff>819150</xdr:colOff>
      <xdr:row>32</xdr:row>
      <xdr:rowOff>28575</xdr:rowOff>
    </xdr:to>
    <xdr:sp macro="" textlink="">
      <xdr:nvSpPr>
        <xdr:cNvPr id="12" name="CaixaDeTexto 11"/>
        <xdr:cNvSpPr txBox="1"/>
      </xdr:nvSpPr>
      <xdr:spPr>
        <a:xfrm>
          <a:off x="4124325" y="4591050"/>
          <a:ext cx="6477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0°</a:t>
          </a:r>
        </a:p>
      </xdr:txBody>
    </xdr:sp>
    <xdr:clientData/>
  </xdr:twoCellAnchor>
  <xdr:twoCellAnchor>
    <xdr:from>
      <xdr:col>5</xdr:col>
      <xdr:colOff>123826</xdr:colOff>
      <xdr:row>33</xdr:row>
      <xdr:rowOff>5195</xdr:rowOff>
    </xdr:from>
    <xdr:to>
      <xdr:col>5</xdr:col>
      <xdr:colOff>809625</xdr:colOff>
      <xdr:row>36</xdr:row>
      <xdr:rowOff>142874</xdr:rowOff>
    </xdr:to>
    <xdr:sp macro="" textlink="">
      <xdr:nvSpPr>
        <xdr:cNvPr id="10" name="Arco 9"/>
        <xdr:cNvSpPr/>
      </xdr:nvSpPr>
      <xdr:spPr>
        <a:xfrm>
          <a:off x="4076701" y="4986770"/>
          <a:ext cx="685799" cy="709179"/>
        </a:xfrm>
        <a:prstGeom prst="arc">
          <a:avLst>
            <a:gd name="adj1" fmla="val 16200000"/>
            <a:gd name="adj2" fmla="val 21472734"/>
          </a:avLst>
        </a:prstGeom>
        <a:ln w="38100">
          <a:solidFill>
            <a:srgbClr val="FFFF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endParaRPr lang="pt-BR"/>
        </a:p>
      </xdr:txBody>
    </xdr:sp>
    <xdr:clientData/>
  </xdr:twoCellAnchor>
  <xdr:twoCellAnchor>
    <xdr:from>
      <xdr:col>6</xdr:col>
      <xdr:colOff>171450</xdr:colOff>
      <xdr:row>31</xdr:row>
      <xdr:rowOff>28575</xdr:rowOff>
    </xdr:from>
    <xdr:to>
      <xdr:col>7</xdr:col>
      <xdr:colOff>342900</xdr:colOff>
      <xdr:row>32</xdr:row>
      <xdr:rowOff>66675</xdr:rowOff>
    </xdr:to>
    <xdr:sp macro="" textlink="">
      <xdr:nvSpPr>
        <xdr:cNvPr id="15" name="CaixaDeTexto 14"/>
        <xdr:cNvSpPr txBox="1"/>
      </xdr:nvSpPr>
      <xdr:spPr>
        <a:xfrm>
          <a:off x="4391025" y="4438650"/>
          <a:ext cx="6477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PRENSA</a:t>
          </a:r>
        </a:p>
      </xdr:txBody>
    </xdr:sp>
    <xdr:clientData/>
  </xdr:twoCellAnchor>
  <xdr:twoCellAnchor>
    <xdr:from>
      <xdr:col>2</xdr:col>
      <xdr:colOff>161925</xdr:colOff>
      <xdr:row>49</xdr:row>
      <xdr:rowOff>47625</xdr:rowOff>
    </xdr:from>
    <xdr:to>
      <xdr:col>4</xdr:col>
      <xdr:colOff>200025</xdr:colOff>
      <xdr:row>55</xdr:row>
      <xdr:rowOff>104775</xdr:rowOff>
    </xdr:to>
    <xdr:graphicFrame macro="">
      <xdr:nvGraphicFramePr>
        <xdr:cNvPr id="21692"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209550</xdr:colOff>
      <xdr:row>18</xdr:row>
      <xdr:rowOff>104775</xdr:rowOff>
    </xdr:from>
    <xdr:to>
      <xdr:col>5</xdr:col>
      <xdr:colOff>409575</xdr:colOff>
      <xdr:row>18</xdr:row>
      <xdr:rowOff>104775</xdr:rowOff>
    </xdr:to>
    <xdr:cxnSp macro="">
      <xdr:nvCxnSpPr>
        <xdr:cNvPr id="17" name="Conector de seta reta 16"/>
        <xdr:cNvCxnSpPr/>
      </xdr:nvCxnSpPr>
      <xdr:spPr>
        <a:xfrm>
          <a:off x="4162425" y="2714625"/>
          <a:ext cx="2000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133350</xdr:colOff>
      <xdr:row>56</xdr:row>
      <xdr:rowOff>104775</xdr:rowOff>
    </xdr:from>
    <xdr:to>
      <xdr:col>4</xdr:col>
      <xdr:colOff>600075</xdr:colOff>
      <xdr:row>56</xdr:row>
      <xdr:rowOff>104775</xdr:rowOff>
    </xdr:to>
    <xdr:cxnSp macro="">
      <xdr:nvCxnSpPr>
        <xdr:cNvPr id="19" name="Conector de seta reta 18"/>
        <xdr:cNvCxnSpPr/>
      </xdr:nvCxnSpPr>
      <xdr:spPr>
        <a:xfrm>
          <a:off x="2990850" y="9429750"/>
          <a:ext cx="4667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133350</xdr:colOff>
      <xdr:row>45</xdr:row>
      <xdr:rowOff>114300</xdr:rowOff>
    </xdr:from>
    <xdr:to>
      <xdr:col>4</xdr:col>
      <xdr:colOff>600075</xdr:colOff>
      <xdr:row>45</xdr:row>
      <xdr:rowOff>114300</xdr:rowOff>
    </xdr:to>
    <xdr:cxnSp macro="">
      <xdr:nvCxnSpPr>
        <xdr:cNvPr id="20" name="Conector de seta reta 19"/>
        <xdr:cNvCxnSpPr/>
      </xdr:nvCxnSpPr>
      <xdr:spPr>
        <a:xfrm>
          <a:off x="2990850" y="7381875"/>
          <a:ext cx="46672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4</xdr:col>
          <xdr:colOff>552450</xdr:colOff>
          <xdr:row>16</xdr:row>
          <xdr:rowOff>38100</xdr:rowOff>
        </xdr:from>
        <xdr:to>
          <xdr:col>5</xdr:col>
          <xdr:colOff>47625</xdr:colOff>
          <xdr:row>17</xdr:row>
          <xdr:rowOff>0</xdr:rowOff>
        </xdr:to>
        <xdr:sp macro="" textlink="">
          <xdr:nvSpPr>
            <xdr:cNvPr id="21666" name="Spinner 162" descr="Comando utilizado para controlar a velocidade da prensa." hidden="1">
              <a:extLst>
                <a:ext uri="{63B3BB69-23CF-44E3-9099-C40C66FF867C}">
                  <a14:compatExt spid="_x0000_s2166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552450</xdr:colOff>
          <xdr:row>19</xdr:row>
          <xdr:rowOff>28575</xdr:rowOff>
        </xdr:from>
        <xdr:to>
          <xdr:col>5</xdr:col>
          <xdr:colOff>47625</xdr:colOff>
          <xdr:row>19</xdr:row>
          <xdr:rowOff>180975</xdr:rowOff>
        </xdr:to>
        <xdr:sp macro="" textlink="">
          <xdr:nvSpPr>
            <xdr:cNvPr id="21667" name="Spinner 163" descr="Comando utilizado para controlar a velocidade da prensa." hidden="1">
              <a:extLst>
                <a:ext uri="{63B3BB69-23CF-44E3-9099-C40C66FF867C}">
                  <a14:compatExt spid="_x0000_s2166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552450</xdr:colOff>
          <xdr:row>22</xdr:row>
          <xdr:rowOff>9525</xdr:rowOff>
        </xdr:from>
        <xdr:to>
          <xdr:col>7</xdr:col>
          <xdr:colOff>361950</xdr:colOff>
          <xdr:row>22</xdr:row>
          <xdr:rowOff>161925</xdr:rowOff>
        </xdr:to>
        <xdr:sp macro="" textlink="">
          <xdr:nvSpPr>
            <xdr:cNvPr id="21668" name="Scroll Bar 164" hidden="1">
              <a:extLst>
                <a:ext uri="{63B3BB69-23CF-44E3-9099-C40C66FF867C}">
                  <a14:compatExt spid="_x0000_s2166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552450</xdr:colOff>
          <xdr:row>18</xdr:row>
          <xdr:rowOff>19050</xdr:rowOff>
        </xdr:from>
        <xdr:to>
          <xdr:col>5</xdr:col>
          <xdr:colOff>47625</xdr:colOff>
          <xdr:row>18</xdr:row>
          <xdr:rowOff>171450</xdr:rowOff>
        </xdr:to>
        <xdr:sp macro="" textlink="">
          <xdr:nvSpPr>
            <xdr:cNvPr id="21669" name="Spinner 165" descr="Comando utilizado para controlar a velocidade da prensa." hidden="1">
              <a:extLst>
                <a:ext uri="{63B3BB69-23CF-44E3-9099-C40C66FF867C}">
                  <a14:compatExt spid="_x0000_s2166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xdr:twoCellAnchor>
    <xdr:from>
      <xdr:col>1</xdr:col>
      <xdr:colOff>95250</xdr:colOff>
      <xdr:row>12</xdr:row>
      <xdr:rowOff>209550</xdr:rowOff>
    </xdr:from>
    <xdr:to>
      <xdr:col>3</xdr:col>
      <xdr:colOff>657225</xdr:colOff>
      <xdr:row>22</xdr:row>
      <xdr:rowOff>38100</xdr:rowOff>
    </xdr:to>
    <xdr:graphicFrame macro="">
      <xdr:nvGraphicFramePr>
        <xdr:cNvPr id="102434"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72</xdr:col>
      <xdr:colOff>247650</xdr:colOff>
      <xdr:row>53</xdr:row>
      <xdr:rowOff>152400</xdr:rowOff>
    </xdr:from>
    <xdr:to>
      <xdr:col>76</xdr:col>
      <xdr:colOff>333375</xdr:colOff>
      <xdr:row>75</xdr:row>
      <xdr:rowOff>66675</xdr:rowOff>
    </xdr:to>
    <xdr:graphicFrame macro="">
      <xdr:nvGraphicFramePr>
        <xdr:cNvPr id="102435"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72</xdr:col>
      <xdr:colOff>133350</xdr:colOff>
      <xdr:row>25</xdr:row>
      <xdr:rowOff>161925</xdr:rowOff>
    </xdr:from>
    <xdr:to>
      <xdr:col>81</xdr:col>
      <xdr:colOff>66675</xdr:colOff>
      <xdr:row>51</xdr:row>
      <xdr:rowOff>57150</xdr:rowOff>
    </xdr:to>
    <xdr:graphicFrame macro="">
      <xdr:nvGraphicFramePr>
        <xdr:cNvPr id="10243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76</xdr:col>
      <xdr:colOff>542925</xdr:colOff>
      <xdr:row>53</xdr:row>
      <xdr:rowOff>180975</xdr:rowOff>
    </xdr:from>
    <xdr:to>
      <xdr:col>81</xdr:col>
      <xdr:colOff>19050</xdr:colOff>
      <xdr:row>75</xdr:row>
      <xdr:rowOff>95250</xdr:rowOff>
    </xdr:to>
    <xdr:graphicFrame macro="">
      <xdr:nvGraphicFramePr>
        <xdr:cNvPr id="102437"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57150</xdr:colOff>
      <xdr:row>8</xdr:row>
      <xdr:rowOff>180975</xdr:rowOff>
    </xdr:from>
    <xdr:to>
      <xdr:col>5</xdr:col>
      <xdr:colOff>542925</xdr:colOff>
      <xdr:row>22</xdr:row>
      <xdr:rowOff>9525</xdr:rowOff>
    </xdr:to>
    <xdr:graphicFrame macro="">
      <xdr:nvGraphicFramePr>
        <xdr:cNvPr id="102438"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81</xdr:col>
      <xdr:colOff>495300</xdr:colOff>
      <xdr:row>25</xdr:row>
      <xdr:rowOff>161925</xdr:rowOff>
    </xdr:from>
    <xdr:to>
      <xdr:col>85</xdr:col>
      <xdr:colOff>466725</xdr:colOff>
      <xdr:row>51</xdr:row>
      <xdr:rowOff>57150</xdr:rowOff>
    </xdr:to>
    <xdr:graphicFrame macro="">
      <xdr:nvGraphicFramePr>
        <xdr:cNvPr id="102439" name="Gráfico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609599</xdr:colOff>
      <xdr:row>4</xdr:row>
      <xdr:rowOff>104775</xdr:rowOff>
    </xdr:from>
    <xdr:to>
      <xdr:col>11</xdr:col>
      <xdr:colOff>285749</xdr:colOff>
      <xdr:row>14</xdr:row>
      <xdr:rowOff>161924</xdr:rowOff>
    </xdr:to>
    <xdr:sp macro="" textlink="">
      <xdr:nvSpPr>
        <xdr:cNvPr id="4" name="CaixaDeTexto 3"/>
        <xdr:cNvSpPr txBox="1"/>
      </xdr:nvSpPr>
      <xdr:spPr>
        <a:xfrm>
          <a:off x="609599" y="914400"/>
          <a:ext cx="6677025" cy="1676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u="sng"/>
            <a:t>Tempos de Setup:</a:t>
          </a:r>
        </a:p>
        <a:p>
          <a:r>
            <a:rPr lang="pt-BR" sz="1100"/>
            <a:t>Passagem</a:t>
          </a:r>
          <a:r>
            <a:rPr lang="pt-BR" sz="1100" baseline="0"/>
            <a:t> de Bobina = 20 minutos</a:t>
          </a:r>
        </a:p>
        <a:p>
          <a:r>
            <a:rPr lang="pt-BR" sz="1100" baseline="0"/>
            <a:t>Troca de Ferramental = 30 minutos</a:t>
          </a:r>
        </a:p>
        <a:p>
          <a:endParaRPr lang="pt-BR" sz="1100" baseline="0"/>
        </a:p>
        <a:p>
          <a:r>
            <a:rPr lang="pt-BR" sz="1100" b="1" u="sng" baseline="0"/>
            <a:t>OBS: </a:t>
          </a:r>
          <a:r>
            <a:rPr lang="pt-BR" sz="1100" baseline="0"/>
            <a:t>Para materiais especiais, as perdas devem ser avaliadas de acordo com o aproveitamento da bobina.</a:t>
          </a:r>
          <a:endParaRPr lang="pt-BR"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9525</xdr:colOff>
      <xdr:row>0</xdr:row>
      <xdr:rowOff>123825</xdr:rowOff>
    </xdr:from>
    <xdr:to>
      <xdr:col>1</xdr:col>
      <xdr:colOff>619125</xdr:colOff>
      <xdr:row>2</xdr:row>
      <xdr:rowOff>66675</xdr:rowOff>
    </xdr:to>
    <xdr:sp macro="" textlink="">
      <xdr:nvSpPr>
        <xdr:cNvPr id="2" name="Retângulo de cantos arredondados 1">
          <a:hlinkClick xmlns:r="http://schemas.openxmlformats.org/officeDocument/2006/relationships" r:id="rId1"/>
        </xdr:cNvPr>
        <xdr:cNvSpPr/>
      </xdr:nvSpPr>
      <xdr:spPr>
        <a:xfrm>
          <a:off x="200025" y="123825"/>
          <a:ext cx="609600"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rtlCol="0" anchor="ctr"/>
        <a:lstStyle/>
        <a:p>
          <a:pPr algn="ctr"/>
          <a:r>
            <a:rPr lang="pt-BR" sz="1100" b="1">
              <a:solidFill>
                <a:schemeClr val="accent1">
                  <a:lumMod val="75000"/>
                </a:schemeClr>
              </a:solidFill>
            </a:rPr>
            <a:t>HOME</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115956</xdr:colOff>
      <xdr:row>10</xdr:row>
      <xdr:rowOff>1</xdr:rowOff>
    </xdr:from>
    <xdr:to>
      <xdr:col>12</xdr:col>
      <xdr:colOff>74543</xdr:colOff>
      <xdr:row>12</xdr:row>
      <xdr:rowOff>157370</xdr:rowOff>
    </xdr:to>
    <xdr:sp macro="" textlink="">
      <xdr:nvSpPr>
        <xdr:cNvPr id="3" name="Chave direita 2"/>
        <xdr:cNvSpPr/>
      </xdr:nvSpPr>
      <xdr:spPr>
        <a:xfrm>
          <a:off x="2478156" y="1657351"/>
          <a:ext cx="177662" cy="500269"/>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xdr:from>
      <xdr:col>14</xdr:col>
      <xdr:colOff>149085</xdr:colOff>
      <xdr:row>16</xdr:row>
      <xdr:rowOff>8283</xdr:rowOff>
    </xdr:from>
    <xdr:to>
      <xdr:col>15</xdr:col>
      <xdr:colOff>107672</xdr:colOff>
      <xdr:row>18</xdr:row>
      <xdr:rowOff>165653</xdr:rowOff>
    </xdr:to>
    <xdr:sp macro="" textlink="">
      <xdr:nvSpPr>
        <xdr:cNvPr id="4" name="Chave direita 3"/>
        <xdr:cNvSpPr/>
      </xdr:nvSpPr>
      <xdr:spPr>
        <a:xfrm>
          <a:off x="3178035" y="2675283"/>
          <a:ext cx="177662" cy="500270"/>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xdr:from>
      <xdr:col>14</xdr:col>
      <xdr:colOff>149085</xdr:colOff>
      <xdr:row>20</xdr:row>
      <xdr:rowOff>8285</xdr:rowOff>
    </xdr:from>
    <xdr:to>
      <xdr:col>15</xdr:col>
      <xdr:colOff>107672</xdr:colOff>
      <xdr:row>22</xdr:row>
      <xdr:rowOff>165655</xdr:rowOff>
    </xdr:to>
    <xdr:sp macro="" textlink="">
      <xdr:nvSpPr>
        <xdr:cNvPr id="5" name="Chave direita 4"/>
        <xdr:cNvSpPr/>
      </xdr:nvSpPr>
      <xdr:spPr>
        <a:xfrm>
          <a:off x="3178035" y="3361085"/>
          <a:ext cx="177662" cy="500270"/>
        </a:xfrm>
        <a:prstGeom prst="rightBrace">
          <a:avLst/>
        </a:prstGeom>
      </xdr:spPr>
      <xdr:style>
        <a:lnRef idx="2">
          <a:schemeClr val="dk1"/>
        </a:lnRef>
        <a:fillRef idx="0">
          <a:schemeClr val="dk1"/>
        </a:fillRef>
        <a:effectRef idx="1">
          <a:schemeClr val="dk1"/>
        </a:effectRef>
        <a:fontRef idx="minor">
          <a:schemeClr val="tx1"/>
        </a:fontRef>
      </xdr:style>
      <xdr:txBody>
        <a:bodyPr vertOverflow="clip" rtlCol="0" anchor="ctr"/>
        <a:lstStyle/>
        <a:p>
          <a:endParaRPr lang="pt-BR"/>
        </a:p>
      </xdr:txBody>
    </xdr:sp>
    <xdr:clientData/>
  </xdr:twoCellAnchor>
  <xdr:twoCellAnchor editAs="oneCell">
    <xdr:from>
      <xdr:col>2</xdr:col>
      <xdr:colOff>74544</xdr:colOff>
      <xdr:row>2</xdr:row>
      <xdr:rowOff>74543</xdr:rowOff>
    </xdr:from>
    <xdr:to>
      <xdr:col>10</xdr:col>
      <xdr:colOff>238204</xdr:colOff>
      <xdr:row>6</xdr:row>
      <xdr:rowOff>59635</xdr:rowOff>
    </xdr:to>
    <xdr:pic>
      <xdr:nvPicPr>
        <xdr:cNvPr id="8" name="Imagem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3827" y="422413"/>
          <a:ext cx="1853312" cy="6477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47625</xdr:colOff>
      <xdr:row>16</xdr:row>
      <xdr:rowOff>47625</xdr:rowOff>
    </xdr:from>
    <xdr:to>
      <xdr:col>22</xdr:col>
      <xdr:colOff>161925</xdr:colOff>
      <xdr:row>31</xdr:row>
      <xdr:rowOff>0</xdr:rowOff>
    </xdr:to>
    <xdr:pic>
      <xdr:nvPicPr>
        <xdr:cNvPr id="131077"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8150" y="2790825"/>
          <a:ext cx="4476750" cy="240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104775</xdr:colOff>
      <xdr:row>19</xdr:row>
      <xdr:rowOff>0</xdr:rowOff>
    </xdr:from>
    <xdr:to>
      <xdr:col>47</xdr:col>
      <xdr:colOff>28575</xdr:colOff>
      <xdr:row>29</xdr:row>
      <xdr:rowOff>85725</xdr:rowOff>
    </xdr:to>
    <xdr:pic>
      <xdr:nvPicPr>
        <xdr:cNvPr id="131078" name="Picture 2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4950" y="3257550"/>
          <a:ext cx="49625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33130</xdr:colOff>
      <xdr:row>2</xdr:row>
      <xdr:rowOff>107674</xdr:rowOff>
    </xdr:from>
    <xdr:to>
      <xdr:col>10</xdr:col>
      <xdr:colOff>196790</xdr:colOff>
      <xdr:row>6</xdr:row>
      <xdr:rowOff>92766</xdr:rowOff>
    </xdr:to>
    <xdr:pic>
      <xdr:nvPicPr>
        <xdr:cNvPr id="7" name="Imagem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2413" y="455544"/>
          <a:ext cx="1853312" cy="6477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14</xdr:col>
      <xdr:colOff>66675</xdr:colOff>
      <xdr:row>2</xdr:row>
      <xdr:rowOff>59856</xdr:rowOff>
    </xdr:from>
    <xdr:to>
      <xdr:col>25</xdr:col>
      <xdr:colOff>151487</xdr:colOff>
      <xdr:row>36</xdr:row>
      <xdr:rowOff>65925</xdr:rowOff>
    </xdr:to>
    <xdr:pic>
      <xdr:nvPicPr>
        <xdr:cNvPr id="2" name="Imagem 1"/>
        <xdr:cNvPicPr>
          <a:picLocks noChangeAspect="1"/>
        </xdr:cNvPicPr>
      </xdr:nvPicPr>
      <xdr:blipFill>
        <a:blip xmlns:r="http://schemas.openxmlformats.org/officeDocument/2006/relationships" r:embed="rId1"/>
        <a:stretch>
          <a:fillRect/>
        </a:stretch>
      </xdr:blipFill>
      <xdr:spPr>
        <a:xfrm>
          <a:off x="7829550" y="440856"/>
          <a:ext cx="6790412" cy="5568669"/>
        </a:xfrm>
        <a:prstGeom prst="rect">
          <a:avLst/>
        </a:prstGeom>
      </xdr:spPr>
    </xdr:pic>
    <xdr:clientData/>
  </xdr:twoCellAnchor>
  <xdr:twoCellAnchor editAs="oneCell">
    <xdr:from>
      <xdr:col>12</xdr:col>
      <xdr:colOff>342899</xdr:colOff>
      <xdr:row>36</xdr:row>
      <xdr:rowOff>55310</xdr:rowOff>
    </xdr:from>
    <xdr:to>
      <xdr:col>28</xdr:col>
      <xdr:colOff>141648</xdr:colOff>
      <xdr:row>70</xdr:row>
      <xdr:rowOff>142157</xdr:rowOff>
    </xdr:to>
    <xdr:pic>
      <xdr:nvPicPr>
        <xdr:cNvPr id="3" name="Imagem 2"/>
        <xdr:cNvPicPr>
          <a:picLocks noChangeAspect="1"/>
        </xdr:cNvPicPr>
      </xdr:nvPicPr>
      <xdr:blipFill>
        <a:blip xmlns:r="http://schemas.openxmlformats.org/officeDocument/2006/relationships" r:embed="rId2"/>
        <a:stretch>
          <a:fillRect/>
        </a:stretch>
      </xdr:blipFill>
      <xdr:spPr>
        <a:xfrm>
          <a:off x="6886574" y="6799010"/>
          <a:ext cx="9552349" cy="559229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ristian.garcia\AppData\Local\Microsoft\Windows\Temporary%20Internet%20Files\Content.Outlook\Z8589KPQ\TABELA%20DE%20DAD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Q:\Trabalhos%20em%20Andamento\Cristian%20Garcia\ESTUDOS%20CPV\SIMULADOR%20DE%20MARGEM%20PARA%20ITEM%20PADR&#195;O%20(Vers&#227;o%20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cristian.garcia\Desktop\Parametros%20Prensa-PF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lan2"/>
      <sheetName val="Plan3"/>
      <sheetName val="TABELA DE DADOS"/>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ulador"/>
      <sheetName val="Resumo do Item"/>
      <sheetName val="Banco de Processos"/>
      <sheetName val="Custo Hora-Máquina"/>
      <sheetName val="Banco de Itens"/>
      <sheetName val="Lista Mestre"/>
      <sheetName val="Preço MP"/>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1"/>
      <sheetName val="PRE PUNCHING PF01"/>
    </sheetNames>
    <sheetDataSet>
      <sheetData sheetId="0" refreshError="1"/>
      <sheetData sheetId="1">
        <row r="11">
          <cell r="L11">
            <v>0</v>
          </cell>
        </row>
        <row r="29">
          <cell r="M29">
            <v>0</v>
          </cell>
          <cell r="O29">
            <v>0</v>
          </cell>
          <cell r="P29">
            <v>0</v>
          </cell>
          <cell r="R29">
            <v>0</v>
          </cell>
          <cell r="S29">
            <v>0</v>
          </cell>
          <cell r="U29">
            <v>0</v>
          </cell>
          <cell r="V29">
            <v>0</v>
          </cell>
          <cell r="X29">
            <v>0</v>
          </cell>
          <cell r="Y29">
            <v>0</v>
          </cell>
          <cell r="AA29">
            <v>0</v>
          </cell>
          <cell r="AB29">
            <v>0</v>
          </cell>
          <cell r="AD29">
            <v>0</v>
          </cell>
          <cell r="AE29">
            <v>0</v>
          </cell>
          <cell r="AG29">
            <v>0</v>
          </cell>
          <cell r="AH29">
            <v>0</v>
          </cell>
          <cell r="AJ29">
            <v>0</v>
          </cell>
          <cell r="AK29">
            <v>0</v>
          </cell>
          <cell r="AM29">
            <v>0</v>
          </cell>
          <cell r="AN29">
            <v>0</v>
          </cell>
          <cell r="AP29">
            <v>0</v>
          </cell>
          <cell r="AQ29">
            <v>0</v>
          </cell>
          <cell r="AS29">
            <v>0</v>
          </cell>
          <cell r="AT29">
            <v>0</v>
          </cell>
          <cell r="AV29">
            <v>0</v>
          </cell>
          <cell r="AW29">
            <v>0</v>
          </cell>
          <cell r="AY29">
            <v>0</v>
          </cell>
          <cell r="AZ29">
            <v>0</v>
          </cell>
          <cell r="BB29">
            <v>0</v>
          </cell>
          <cell r="BC29">
            <v>0</v>
          </cell>
          <cell r="BE29">
            <v>0</v>
          </cell>
          <cell r="BF29">
            <v>0</v>
          </cell>
          <cell r="BH29">
            <v>0</v>
          </cell>
          <cell r="BI29">
            <v>0</v>
          </cell>
          <cell r="BK29">
            <v>0</v>
          </cell>
          <cell r="BL29">
            <v>0</v>
          </cell>
          <cell r="BN29">
            <v>0</v>
          </cell>
          <cell r="BO29">
            <v>0</v>
          </cell>
          <cell r="BQ29">
            <v>0</v>
          </cell>
          <cell r="BR29">
            <v>0</v>
          </cell>
          <cell r="BT29">
            <v>0</v>
          </cell>
        </row>
        <row r="30">
          <cell r="M30">
            <v>6.25</v>
          </cell>
          <cell r="O30">
            <v>15</v>
          </cell>
          <cell r="P30">
            <v>6.25</v>
          </cell>
          <cell r="R30">
            <v>15</v>
          </cell>
          <cell r="S30">
            <v>6.25</v>
          </cell>
          <cell r="U30">
            <v>15</v>
          </cell>
          <cell r="V30">
            <v>6.25</v>
          </cell>
          <cell r="X30">
            <v>15</v>
          </cell>
          <cell r="Y30">
            <v>6.25</v>
          </cell>
          <cell r="AA30">
            <v>15</v>
          </cell>
          <cell r="AB30">
            <v>6.25</v>
          </cell>
          <cell r="AD30">
            <v>15</v>
          </cell>
          <cell r="AE30">
            <v>6.25</v>
          </cell>
          <cell r="AG30">
            <v>15</v>
          </cell>
          <cell r="AH30">
            <v>6.25</v>
          </cell>
          <cell r="AJ30">
            <v>15</v>
          </cell>
          <cell r="AK30">
            <v>6.25</v>
          </cell>
          <cell r="AM30">
            <v>15</v>
          </cell>
          <cell r="AN30">
            <v>6.25</v>
          </cell>
          <cell r="AP30">
            <v>15</v>
          </cell>
          <cell r="AQ30">
            <v>6.25</v>
          </cell>
          <cell r="AS30">
            <v>15</v>
          </cell>
          <cell r="AT30">
            <v>6.25</v>
          </cell>
          <cell r="AV30">
            <v>15</v>
          </cell>
          <cell r="AW30">
            <v>6.25</v>
          </cell>
          <cell r="AY30">
            <v>15</v>
          </cell>
          <cell r="AZ30">
            <v>6.25</v>
          </cell>
          <cell r="BB30">
            <v>15</v>
          </cell>
          <cell r="BC30">
            <v>6.25</v>
          </cell>
          <cell r="BE30">
            <v>15</v>
          </cell>
          <cell r="BF30">
            <v>6.25</v>
          </cell>
          <cell r="BH30">
            <v>15</v>
          </cell>
          <cell r="BI30">
            <v>6.25</v>
          </cell>
          <cell r="BK30">
            <v>15</v>
          </cell>
          <cell r="BL30">
            <v>6.25</v>
          </cell>
          <cell r="BN30">
            <v>15</v>
          </cell>
          <cell r="BO30">
            <v>6.25</v>
          </cell>
          <cell r="BQ30">
            <v>15</v>
          </cell>
          <cell r="BR30">
            <v>6.25</v>
          </cell>
          <cell r="BT30">
            <v>15</v>
          </cell>
        </row>
        <row r="31">
          <cell r="M31">
            <v>93.750000000000014</v>
          </cell>
          <cell r="O31">
            <v>15</v>
          </cell>
          <cell r="P31">
            <v>6.25</v>
          </cell>
          <cell r="R31">
            <v>15</v>
          </cell>
          <cell r="S31">
            <v>1293.7500000000002</v>
          </cell>
          <cell r="U31">
            <v>15</v>
          </cell>
          <cell r="V31">
            <v>654.75</v>
          </cell>
          <cell r="X31">
            <v>15</v>
          </cell>
          <cell r="Y31">
            <v>1024.75</v>
          </cell>
          <cell r="AA31">
            <v>15</v>
          </cell>
          <cell r="AB31">
            <v>262.75</v>
          </cell>
          <cell r="AD31">
            <v>15</v>
          </cell>
          <cell r="AE31">
            <v>654.75</v>
          </cell>
          <cell r="AG31">
            <v>15</v>
          </cell>
          <cell r="AH31">
            <v>1293.7500000000002</v>
          </cell>
          <cell r="AJ31">
            <v>15</v>
          </cell>
          <cell r="AK31">
            <v>654.75</v>
          </cell>
          <cell r="AM31">
            <v>15</v>
          </cell>
          <cell r="AN31">
            <v>727.75</v>
          </cell>
          <cell r="AP31">
            <v>15</v>
          </cell>
          <cell r="AQ31">
            <v>559.75</v>
          </cell>
          <cell r="AS31">
            <v>15</v>
          </cell>
          <cell r="AT31">
            <v>654.75</v>
          </cell>
          <cell r="AV31">
            <v>15</v>
          </cell>
          <cell r="AW31">
            <v>1293.7500000000002</v>
          </cell>
          <cell r="AY31">
            <v>15</v>
          </cell>
          <cell r="AZ31">
            <v>1303.2500000000002</v>
          </cell>
          <cell r="BB31">
            <v>15</v>
          </cell>
          <cell r="BC31">
            <v>-6.25</v>
          </cell>
          <cell r="BE31">
            <v>15</v>
          </cell>
          <cell r="BF31">
            <v>-6.25</v>
          </cell>
          <cell r="BH31">
            <v>15</v>
          </cell>
          <cell r="BI31">
            <v>-6.25</v>
          </cell>
          <cell r="BK31">
            <v>15</v>
          </cell>
          <cell r="BL31">
            <v>-6.25</v>
          </cell>
          <cell r="BN31">
            <v>15</v>
          </cell>
          <cell r="BO31">
            <v>-6.25</v>
          </cell>
          <cell r="BQ31">
            <v>15</v>
          </cell>
          <cell r="BR31">
            <v>-6.25</v>
          </cell>
          <cell r="BT31">
            <v>15</v>
          </cell>
        </row>
        <row r="32">
          <cell r="M32">
            <v>100.00000000000001</v>
          </cell>
          <cell r="O32">
            <v>0</v>
          </cell>
          <cell r="P32">
            <v>12.5</v>
          </cell>
          <cell r="R32">
            <v>0</v>
          </cell>
          <cell r="S32">
            <v>1300.0000000000002</v>
          </cell>
          <cell r="U32">
            <v>0</v>
          </cell>
          <cell r="V32">
            <v>661</v>
          </cell>
          <cell r="X32">
            <v>0</v>
          </cell>
          <cell r="Y32">
            <v>1031</v>
          </cell>
          <cell r="AA32">
            <v>0</v>
          </cell>
          <cell r="AB32">
            <v>269</v>
          </cell>
          <cell r="AD32">
            <v>0</v>
          </cell>
          <cell r="AE32">
            <v>661</v>
          </cell>
          <cell r="AG32">
            <v>0</v>
          </cell>
          <cell r="AH32">
            <v>1300.0000000000002</v>
          </cell>
          <cell r="AJ32">
            <v>0</v>
          </cell>
          <cell r="AK32">
            <v>661</v>
          </cell>
          <cell r="AM32">
            <v>0</v>
          </cell>
          <cell r="AN32">
            <v>734</v>
          </cell>
          <cell r="AP32">
            <v>0</v>
          </cell>
          <cell r="AQ32">
            <v>566</v>
          </cell>
          <cell r="AS32">
            <v>0</v>
          </cell>
          <cell r="AT32">
            <v>661</v>
          </cell>
          <cell r="AV32">
            <v>0</v>
          </cell>
          <cell r="AW32">
            <v>1300.0000000000002</v>
          </cell>
          <cell r="AY32">
            <v>0</v>
          </cell>
          <cell r="AZ32">
            <v>1309.5000000000002</v>
          </cell>
          <cell r="BB32">
            <v>0</v>
          </cell>
          <cell r="BC32">
            <v>0</v>
          </cell>
          <cell r="BE32">
            <v>0</v>
          </cell>
          <cell r="BF32">
            <v>0</v>
          </cell>
          <cell r="BH32">
            <v>0</v>
          </cell>
          <cell r="BI32">
            <v>0</v>
          </cell>
          <cell r="BK32">
            <v>0</v>
          </cell>
          <cell r="BL32">
            <v>0</v>
          </cell>
          <cell r="BN32">
            <v>0</v>
          </cell>
          <cell r="BO32">
            <v>0</v>
          </cell>
          <cell r="BQ32">
            <v>0</v>
          </cell>
          <cell r="BR32">
            <v>0</v>
          </cell>
          <cell r="BT32">
            <v>0</v>
          </cell>
        </row>
      </sheetData>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6.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15.xml"/><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8.xml"/><Relationship Id="rId5" Type="http://schemas.openxmlformats.org/officeDocument/2006/relationships/ctrlProp" Target="../ctrlProps/ctrlProp17.xml"/><Relationship Id="rId4" Type="http://schemas.openxmlformats.org/officeDocument/2006/relationships/ctrlProp" Target="../ctrlProps/ctrlProp1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ctrlProp" Target="../ctrlProps/ctrlProp22.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omments" Target="../comments1.xml"/><Relationship Id="rId3" Type="http://schemas.openxmlformats.org/officeDocument/2006/relationships/vmlDrawing" Target="../drawings/vmlDrawing9.v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6" Type="http://schemas.openxmlformats.org/officeDocument/2006/relationships/ctrlProp" Target="../ctrlProps/ctrlProp36.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ctrlProp" Target="../ctrlProps/ctrlProp40.xml"/><Relationship Id="rId2" Type="http://schemas.openxmlformats.org/officeDocument/2006/relationships/drawing" Target="../drawings/drawing16.xml"/><Relationship Id="rId1" Type="http://schemas.openxmlformats.org/officeDocument/2006/relationships/printerSettings" Target="../printerSettings/printerSettings18.bin"/><Relationship Id="rId6" Type="http://schemas.openxmlformats.org/officeDocument/2006/relationships/ctrlProp" Target="../ctrlProps/ctrlProp39.xml"/><Relationship Id="rId5" Type="http://schemas.openxmlformats.org/officeDocument/2006/relationships/ctrlProp" Target="../ctrlProps/ctrlProp38.xml"/><Relationship Id="rId4" Type="http://schemas.openxmlformats.org/officeDocument/2006/relationships/ctrlProp" Target="../ctrlProps/ctrlProp3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9.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9.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8">
    <tabColor theme="1"/>
    <pageSetUpPr fitToPage="1"/>
  </sheetPr>
  <dimension ref="B1:Y96"/>
  <sheetViews>
    <sheetView showGridLines="0" showRowColHeaders="0" topLeftCell="A50" zoomScaleNormal="100" zoomScaleSheetLayoutView="85" workbookViewId="0">
      <selection activeCell="T55" sqref="T55"/>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1" width="9.7109375" style="384" customWidth="1"/>
    <col min="22" max="22" width="15.140625" style="384" bestFit="1" customWidth="1"/>
    <col min="23"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2444.12</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0.96</v>
      </c>
      <c r="P17" s="669" t="s">
        <v>717</v>
      </c>
      <c r="Q17" s="398"/>
      <c r="R17" s="407"/>
      <c r="U17" s="407"/>
    </row>
    <row r="18" spans="2:21" ht="15" customHeight="1" x14ac:dyDescent="0.2">
      <c r="B18" s="397"/>
      <c r="C18" s="407"/>
      <c r="D18" s="407"/>
      <c r="E18" s="407"/>
      <c r="F18" s="407"/>
      <c r="G18" s="451"/>
      <c r="K18" s="390">
        <f t="array" ref="K18">SUM(F25:F49*E25:E49)</f>
        <v>5.41</v>
      </c>
      <c r="L18" s="391" t="s">
        <v>731</v>
      </c>
      <c r="M18" s="383"/>
      <c r="N18" s="383"/>
      <c r="O18" s="401">
        <f>IFERROR(ROUNDUP((O17*1000)/K18,0),"")</f>
        <v>178</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23858.915573333335</v>
      </c>
      <c r="L21" s="391" t="s">
        <v>781</v>
      </c>
      <c r="M21" s="383"/>
      <c r="O21" s="564">
        <f>IF(P21="Ton/mês",ROUND(O20*K18/1000,3),ROUNDUP(O20*1000/K18,0))</f>
        <v>0.97399999999999998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907</v>
      </c>
      <c r="D25" s="781"/>
      <c r="E25" s="431">
        <v>5.28</v>
      </c>
      <c r="F25" s="562">
        <v>1</v>
      </c>
      <c r="G25" s="563"/>
      <c r="H25" s="668" t="s">
        <v>774</v>
      </c>
      <c r="I25" s="435">
        <f t="shared" ref="I25:I49" si="0">IFERROR(G25*(1000/E25),0)</f>
        <v>0</v>
      </c>
      <c r="J25" s="668" t="s">
        <v>781</v>
      </c>
      <c r="K25" s="543">
        <v>23335.74</v>
      </c>
      <c r="L25" s="668" t="s">
        <v>781</v>
      </c>
      <c r="M25" s="390">
        <f>IF(I25&gt;0,PRODUCT(I25,O25),PRODUCT(K25,O25))</f>
        <v>22775.682240000002</v>
      </c>
      <c r="N25" s="668" t="s">
        <v>781</v>
      </c>
      <c r="O25" s="790">
        <f t="shared" ref="O25:O49" si="1">IFERROR(ROUND(F25*E25/$K$18,4),0)</f>
        <v>0.97599999999999998</v>
      </c>
      <c r="P25" s="790"/>
      <c r="Q25" s="398"/>
    </row>
    <row r="26" spans="2:21" ht="15" customHeight="1" x14ac:dyDescent="0.2">
      <c r="B26" s="397"/>
      <c r="C26" s="780" t="s">
        <v>899</v>
      </c>
      <c r="D26" s="781"/>
      <c r="E26" s="431">
        <v>0.03</v>
      </c>
      <c r="F26" s="562">
        <v>3</v>
      </c>
      <c r="G26" s="563">
        <v>1.63</v>
      </c>
      <c r="H26" s="668" t="s">
        <v>774</v>
      </c>
      <c r="I26" s="435">
        <f t="shared" si="0"/>
        <v>54333.333333333336</v>
      </c>
      <c r="J26" s="668" t="s">
        <v>781</v>
      </c>
      <c r="K26" s="543"/>
      <c r="L26" s="668" t="s">
        <v>781</v>
      </c>
      <c r="M26" s="390">
        <f t="shared" ref="M26:M49" si="2">IF(I26&gt;0,PRODUCT(I26,O26),PRODUCT(K26,O26))</f>
        <v>901.93333333333339</v>
      </c>
      <c r="N26" s="668" t="s">
        <v>781</v>
      </c>
      <c r="O26" s="790">
        <f t="shared" si="1"/>
        <v>1.66E-2</v>
      </c>
      <c r="P26" s="790"/>
      <c r="Q26" s="398"/>
      <c r="R26" s="407"/>
    </row>
    <row r="27" spans="2:21" ht="15" customHeight="1" x14ac:dyDescent="0.2">
      <c r="B27" s="397"/>
      <c r="C27" s="780" t="s">
        <v>908</v>
      </c>
      <c r="D27" s="781"/>
      <c r="E27" s="431">
        <v>0.02</v>
      </c>
      <c r="F27" s="562">
        <v>2</v>
      </c>
      <c r="G27" s="563">
        <v>0.49</v>
      </c>
      <c r="H27" s="668" t="s">
        <v>774</v>
      </c>
      <c r="I27" s="435">
        <f t="shared" si="0"/>
        <v>24500</v>
      </c>
      <c r="J27" s="668" t="s">
        <v>781</v>
      </c>
      <c r="K27" s="543"/>
      <c r="L27" s="668" t="s">
        <v>781</v>
      </c>
      <c r="M27" s="390">
        <f t="shared" si="2"/>
        <v>181.3</v>
      </c>
      <c r="N27" s="668" t="s">
        <v>781</v>
      </c>
      <c r="O27" s="790">
        <f t="shared" si="1"/>
        <v>7.4000000000000003E-3</v>
      </c>
      <c r="P27" s="790"/>
      <c r="Q27" s="398"/>
      <c r="R27" s="407"/>
    </row>
    <row r="28" spans="2:21" ht="15" customHeight="1" x14ac:dyDescent="0.2">
      <c r="B28" s="397"/>
      <c r="C28" s="780"/>
      <c r="D28" s="781"/>
      <c r="E28" s="431"/>
      <c r="F28" s="562"/>
      <c r="G28" s="563"/>
      <c r="H28" s="668" t="s">
        <v>774</v>
      </c>
      <c r="I28" s="435">
        <f t="shared" si="0"/>
        <v>0</v>
      </c>
      <c r="J28" s="668" t="s">
        <v>781</v>
      </c>
      <c r="K28" s="543"/>
      <c r="L28" s="668" t="s">
        <v>781</v>
      </c>
      <c r="M28" s="390">
        <f t="shared" si="2"/>
        <v>0</v>
      </c>
      <c r="N28" s="668" t="s">
        <v>781</v>
      </c>
      <c r="O28" s="790">
        <f t="shared" si="1"/>
        <v>0</v>
      </c>
      <c r="P28" s="790"/>
      <c r="Q28" s="398"/>
      <c r="R28" s="407"/>
    </row>
    <row r="29" spans="2:21" ht="15" customHeight="1" x14ac:dyDescent="0.2">
      <c r="B29" s="397"/>
      <c r="C29" s="780"/>
      <c r="D29" s="781"/>
      <c r="E29" s="431"/>
      <c r="F29" s="562"/>
      <c r="G29" s="563"/>
      <c r="H29" s="668" t="s">
        <v>774</v>
      </c>
      <c r="I29" s="435">
        <f t="shared" si="0"/>
        <v>0</v>
      </c>
      <c r="J29" s="668" t="s">
        <v>781</v>
      </c>
      <c r="K29" s="543"/>
      <c r="L29" s="668" t="s">
        <v>781</v>
      </c>
      <c r="M29" s="390">
        <f t="shared" si="2"/>
        <v>0</v>
      </c>
      <c r="N29" s="668" t="s">
        <v>781</v>
      </c>
      <c r="O29" s="790">
        <f t="shared" si="1"/>
        <v>0</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130</v>
      </c>
      <c r="J54" s="668" t="s">
        <v>785</v>
      </c>
      <c r="K54" s="782">
        <v>440</v>
      </c>
      <c r="L54" s="783"/>
      <c r="M54" s="556" t="s">
        <v>785</v>
      </c>
      <c r="N54" s="565">
        <v>105</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1.5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90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2</v>
      </c>
      <c r="N60" s="687"/>
      <c r="Q60" s="398"/>
      <c r="W60" s="407"/>
      <c r="X60" s="407"/>
      <c r="Y60" s="407"/>
    </row>
    <row r="61" spans="2:25" ht="15" customHeight="1" thickBot="1" x14ac:dyDescent="0.25">
      <c r="B61" s="397"/>
      <c r="C61" s="383"/>
      <c r="D61" s="383"/>
      <c r="E61" s="383"/>
      <c r="F61" s="383"/>
      <c r="G61" s="383"/>
      <c r="H61" s="383"/>
      <c r="I61" s="383"/>
      <c r="J61" s="552"/>
      <c r="K61" s="554"/>
      <c r="L61" s="554"/>
      <c r="M61" s="554"/>
      <c r="N61" s="554"/>
      <c r="O61" s="554"/>
      <c r="P61" s="554"/>
      <c r="Q61" s="398"/>
      <c r="S61" s="407"/>
      <c r="T61" s="922" t="s">
        <v>909</v>
      </c>
      <c r="U61" s="923"/>
      <c r="V61" s="924"/>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925" t="s">
        <v>1</v>
      </c>
      <c r="U62" s="926" t="s">
        <v>919</v>
      </c>
      <c r="V62" s="927" t="s">
        <v>910</v>
      </c>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601.5</v>
      </c>
      <c r="N63" s="556" t="s">
        <v>785</v>
      </c>
      <c r="O63" s="558">
        <f>M63/60</f>
        <v>10.025</v>
      </c>
      <c r="P63" s="556" t="s">
        <v>788</v>
      </c>
      <c r="Q63" s="398"/>
      <c r="S63" s="407"/>
      <c r="T63" s="918" t="s">
        <v>911</v>
      </c>
      <c r="U63" s="919">
        <f>K75</f>
        <v>29.648798521256932</v>
      </c>
      <c r="V63" s="920">
        <v>62000</v>
      </c>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918" t="s">
        <v>912</v>
      </c>
      <c r="U64" s="919">
        <f>'C.S. PJT 2444.11'!K75</f>
        <v>56.687288494077833</v>
      </c>
      <c r="V64" s="921">
        <v>105000</v>
      </c>
      <c r="W64" s="407"/>
      <c r="X64" s="407"/>
      <c r="Y64" s="407"/>
    </row>
    <row r="65" spans="2:25" ht="15" customHeight="1" x14ac:dyDescent="0.2">
      <c r="B65" s="397"/>
      <c r="C65" s="383"/>
      <c r="D65" s="383"/>
      <c r="E65" s="383"/>
      <c r="F65" s="383"/>
      <c r="G65" s="383"/>
      <c r="H65" s="383"/>
      <c r="I65" s="379"/>
      <c r="J65" s="555"/>
      <c r="K65" s="784" t="s">
        <v>697</v>
      </c>
      <c r="L65" s="784"/>
      <c r="Q65" s="398"/>
      <c r="S65" s="407"/>
      <c r="T65" s="918" t="s">
        <v>913</v>
      </c>
      <c r="U65" s="919">
        <f>'C.S. PJT 2444.10'!K75</f>
        <v>27.493016759776538</v>
      </c>
      <c r="V65" s="921">
        <v>62000</v>
      </c>
      <c r="W65" s="407"/>
      <c r="X65" s="407"/>
      <c r="Y65" s="407"/>
    </row>
    <row r="66" spans="2:25" ht="15" customHeight="1" x14ac:dyDescent="0.2">
      <c r="B66" s="397"/>
      <c r="C66" s="383"/>
      <c r="D66" s="383"/>
      <c r="E66" s="383"/>
      <c r="F66" s="383"/>
      <c r="G66" s="383"/>
      <c r="H66" s="383"/>
      <c r="I66" s="379"/>
      <c r="J66" s="555"/>
      <c r="K66" s="558">
        <f>M57+O58/60</f>
        <v>3</v>
      </c>
      <c r="L66" s="556" t="s">
        <v>653</v>
      </c>
      <c r="Q66" s="398"/>
      <c r="S66" s="407"/>
      <c r="T66" s="918" t="s">
        <v>914</v>
      </c>
      <c r="U66" s="919">
        <v>16</v>
      </c>
      <c r="V66" s="921">
        <v>15000</v>
      </c>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918" t="s">
        <v>915</v>
      </c>
      <c r="U67" s="919">
        <f>'C.S. PJT 2444.8'!K75</f>
        <v>22.690655209452206</v>
      </c>
      <c r="V67" s="921">
        <v>30000</v>
      </c>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918" t="s">
        <v>916</v>
      </c>
      <c r="U68" s="919">
        <v>21</v>
      </c>
      <c r="V68" s="921">
        <v>26500</v>
      </c>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918" t="s">
        <v>917</v>
      </c>
      <c r="U69" s="919">
        <f>'C.S. PJT 2444.6'!K75</f>
        <v>41.836933255497179</v>
      </c>
      <c r="V69" s="921">
        <v>100000</v>
      </c>
      <c r="W69" s="407"/>
      <c r="X69" s="407"/>
      <c r="Y69" s="407"/>
    </row>
    <row r="70" spans="2:25" ht="15" customHeight="1" thickBot="1" x14ac:dyDescent="0.25">
      <c r="B70" s="397"/>
      <c r="C70" s="383"/>
      <c r="D70" s="383"/>
      <c r="E70" s="383"/>
      <c r="F70" s="383"/>
      <c r="G70" s="383"/>
      <c r="H70" s="383"/>
      <c r="I70" s="379"/>
      <c r="J70" s="555"/>
      <c r="K70" s="552"/>
      <c r="L70" s="552"/>
      <c r="M70" s="555"/>
      <c r="N70" s="552"/>
      <c r="O70" s="555"/>
      <c r="P70" s="555"/>
      <c r="Q70" s="398"/>
      <c r="T70" s="931" t="s">
        <v>918</v>
      </c>
      <c r="U70" s="932">
        <f>'C.S. PJT 2444.5'!K75</f>
        <v>41.152263374485592</v>
      </c>
      <c r="V70" s="933">
        <v>100000</v>
      </c>
    </row>
    <row r="71" spans="2:25" ht="15" customHeight="1" x14ac:dyDescent="0.2">
      <c r="B71" s="397"/>
      <c r="C71" s="383"/>
      <c r="D71" s="383"/>
      <c r="E71" s="383"/>
      <c r="F71" s="383"/>
      <c r="G71" s="383"/>
      <c r="H71" s="383"/>
      <c r="I71" s="379"/>
      <c r="J71" s="555"/>
      <c r="K71" s="784" t="s">
        <v>655</v>
      </c>
      <c r="L71" s="784"/>
      <c r="M71" s="784" t="s">
        <v>652</v>
      </c>
      <c r="N71" s="784"/>
      <c r="Q71" s="398"/>
      <c r="T71" s="928" t="s">
        <v>175</v>
      </c>
      <c r="U71" s="929">
        <f>SUM(U63:U70)</f>
        <v>256.50895561454632</v>
      </c>
      <c r="V71" s="930">
        <f>SUM(V63:V70)</f>
        <v>500500</v>
      </c>
    </row>
    <row r="72" spans="2:25" ht="15" customHeight="1" x14ac:dyDescent="0.2">
      <c r="B72" s="397"/>
      <c r="C72" s="383"/>
      <c r="D72" s="383"/>
      <c r="E72" s="383"/>
      <c r="F72" s="383"/>
      <c r="G72" s="383"/>
      <c r="H72" s="383"/>
      <c r="I72" s="379"/>
      <c r="J72" s="555"/>
      <c r="K72" s="558">
        <f>IFERROR(K66*60/O17,0)</f>
        <v>187.5</v>
      </c>
      <c r="L72" s="556" t="s">
        <v>654</v>
      </c>
      <c r="M72" s="558">
        <f>IFERROR(M63/(K18)/60*1000*((1+(100-K57)/100)),0)</f>
        <v>1853.0499075785583</v>
      </c>
      <c r="N72" s="556" t="s">
        <v>654</v>
      </c>
      <c r="Q72" s="398"/>
      <c r="T72" s="385"/>
      <c r="U72" s="917"/>
    </row>
    <row r="73" spans="2:25" ht="15" customHeight="1" x14ac:dyDescent="0.2">
      <c r="B73" s="397"/>
      <c r="C73" s="383"/>
      <c r="D73" s="383"/>
      <c r="E73" s="383"/>
      <c r="F73" s="383"/>
      <c r="G73" s="383"/>
      <c r="H73" s="383"/>
      <c r="I73" s="379"/>
      <c r="J73" s="555"/>
      <c r="K73" s="552"/>
      <c r="L73" s="552"/>
      <c r="M73" s="555"/>
      <c r="N73" s="552"/>
      <c r="O73" s="555"/>
      <c r="P73" s="555"/>
      <c r="Q73" s="398"/>
      <c r="T73" s="934" t="s">
        <v>920</v>
      </c>
      <c r="U73" s="935"/>
      <c r="V73" s="936"/>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c r="T74" s="937"/>
      <c r="U74" s="938"/>
      <c r="V74" s="939"/>
    </row>
    <row r="75" spans="2:25" ht="15" customHeight="1" x14ac:dyDescent="0.2">
      <c r="B75" s="397"/>
      <c r="C75" s="383"/>
      <c r="D75" s="383"/>
      <c r="E75" s="379"/>
      <c r="F75" s="383"/>
      <c r="G75" s="379"/>
      <c r="H75" s="379"/>
      <c r="I75" s="379"/>
      <c r="J75" s="555"/>
      <c r="K75" s="558">
        <f>IFERROR(M72*O17/60,0)</f>
        <v>29.648798521256932</v>
      </c>
      <c r="L75" s="556" t="s">
        <v>653</v>
      </c>
      <c r="M75" s="558">
        <f>IFERROR(K75/(K60*M60),0)</f>
        <v>1.7481602901684512</v>
      </c>
      <c r="N75" s="556" t="s">
        <v>657</v>
      </c>
      <c r="O75" s="558">
        <f>IFERROR(((M72*O17/60)+K66)/(K60*M60),0)</f>
        <v>1.9250470826212815</v>
      </c>
      <c r="P75" s="556" t="s">
        <v>657</v>
      </c>
      <c r="Q75" s="398"/>
      <c r="T75" s="937"/>
      <c r="U75" s="938"/>
      <c r="V75" s="939"/>
    </row>
    <row r="76" spans="2:25" ht="15" customHeight="1" x14ac:dyDescent="0.2">
      <c r="B76" s="397"/>
      <c r="C76" s="383"/>
      <c r="D76" s="383"/>
      <c r="E76" s="379"/>
      <c r="F76" s="383"/>
      <c r="G76" s="379"/>
      <c r="H76" s="379"/>
      <c r="I76" s="379"/>
      <c r="J76" s="555"/>
      <c r="Q76" s="398"/>
      <c r="T76" s="937"/>
      <c r="U76" s="938"/>
      <c r="V76" s="939"/>
    </row>
    <row r="77" spans="2:25" ht="15" customHeight="1" x14ac:dyDescent="0.2">
      <c r="B77" s="397"/>
      <c r="C77" s="383"/>
      <c r="D77" s="383"/>
      <c r="E77" s="379"/>
      <c r="F77" s="383"/>
      <c r="G77" s="379"/>
      <c r="H77" s="379"/>
      <c r="I77" s="379"/>
      <c r="J77" s="555"/>
      <c r="K77" s="713"/>
      <c r="L77" s="713"/>
      <c r="M77" s="713"/>
      <c r="N77" s="713"/>
      <c r="O77" s="713"/>
      <c r="P77" s="713"/>
      <c r="Q77" s="398"/>
      <c r="T77" s="940"/>
      <c r="U77" s="941"/>
      <c r="V77" s="942"/>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6">
    <mergeCell ref="B86:C86"/>
    <mergeCell ref="D86:L86"/>
    <mergeCell ref="M86:O86"/>
    <mergeCell ref="P86:Q86"/>
    <mergeCell ref="T61:V61"/>
    <mergeCell ref="T73:V77"/>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206" priority="7" stopIfTrue="1" operator="containsText" text="FALSO">
      <formula>NOT(ISERROR(SEARCH("FALSO",O18)))</formula>
    </cfRule>
  </conditionalFormatting>
  <conditionalFormatting sqref="P20">
    <cfRule type="containsText" dxfId="205" priority="6" stopIfTrue="1" operator="containsText" text="FALSO">
      <formula>NOT(ISERROR(SEARCH("FALSO",P20)))</formula>
    </cfRule>
  </conditionalFormatting>
  <conditionalFormatting sqref="K18:L18">
    <cfRule type="containsText" dxfId="204" priority="5" stopIfTrue="1" operator="containsText" text="FALSO">
      <formula>NOT(ISERROR(SEARCH("FALSO",K18)))</formula>
    </cfRule>
  </conditionalFormatting>
  <conditionalFormatting sqref="P21">
    <cfRule type="containsText" dxfId="203" priority="4" stopIfTrue="1" operator="containsText" text="FALSO">
      <formula>NOT(ISERROR(SEARCH("FALSO",P21)))</formula>
    </cfRule>
  </conditionalFormatting>
  <conditionalFormatting sqref="K21:L21">
    <cfRule type="containsText" dxfId="202" priority="3" stopIfTrue="1" operator="containsText" text="FALSO">
      <formula>NOT(ISERROR(SEARCH("FALSO",K21)))</formula>
    </cfRule>
  </conditionalFormatting>
  <conditionalFormatting sqref="I19">
    <cfRule type="containsText" dxfId="201" priority="2" stopIfTrue="1" operator="containsText" text="FALSO">
      <formula>NOT(ISERROR(SEARCH("FALSO",I19)))</formula>
    </cfRule>
  </conditionalFormatting>
  <conditionalFormatting sqref="I20">
    <cfRule type="containsText" dxfId="200"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968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9682"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9683"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7">
    <tabColor theme="1"/>
    <pageSetUpPr fitToPage="1"/>
  </sheetPr>
  <dimension ref="B1:Y96"/>
  <sheetViews>
    <sheetView showGridLines="0" showRowColHeaders="0" topLeftCell="A44" zoomScaleNormal="100" zoomScaleSheetLayoutView="85" workbookViewId="0">
      <selection activeCell="O63" sqref="O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2444.11</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1.41</v>
      </c>
      <c r="P17" s="669" t="s">
        <v>717</v>
      </c>
      <c r="Q17" s="398"/>
      <c r="R17" s="407"/>
      <c r="U17" s="407"/>
    </row>
    <row r="18" spans="2:21" ht="15" customHeight="1" x14ac:dyDescent="0.2">
      <c r="B18" s="397"/>
      <c r="C18" s="407"/>
      <c r="D18" s="407"/>
      <c r="E18" s="407"/>
      <c r="F18" s="407"/>
      <c r="G18" s="451"/>
      <c r="K18" s="390">
        <f t="array" ref="K18">SUM(F25:F49*E25:E49)</f>
        <v>7.88</v>
      </c>
      <c r="L18" s="391" t="s">
        <v>731</v>
      </c>
      <c r="M18" s="383"/>
      <c r="N18" s="383"/>
      <c r="O18" s="401">
        <f>IFERROR(ROUNDUP((O17*1000)/K18,0),"")</f>
        <v>179</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21854.539969000001</v>
      </c>
      <c r="L21" s="391" t="s">
        <v>781</v>
      </c>
      <c r="M21" s="383"/>
      <c r="O21" s="564">
        <f>IF(P21="Ton/mês",ROUND(O20*K18/1000,3),ROUNDUP(O20*1000/K18,0))</f>
        <v>1.4179999999999999</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901</v>
      </c>
      <c r="D25" s="781"/>
      <c r="E25" s="431">
        <v>6.53</v>
      </c>
      <c r="F25" s="562">
        <v>1</v>
      </c>
      <c r="G25" s="563"/>
      <c r="H25" s="668" t="s">
        <v>774</v>
      </c>
      <c r="I25" s="435">
        <f t="shared" ref="I25:I49" si="0">IFERROR(G25*(1000/E25),0)</f>
        <v>0</v>
      </c>
      <c r="J25" s="668" t="s">
        <v>781</v>
      </c>
      <c r="K25" s="543">
        <v>26371.87</v>
      </c>
      <c r="L25" s="668" t="s">
        <v>781</v>
      </c>
      <c r="M25" s="390">
        <f>IF(I25&gt;0,PRODUCT(I25,O25),PRODUCT(K25,O25))</f>
        <v>21854.368668999999</v>
      </c>
      <c r="N25" s="668" t="s">
        <v>781</v>
      </c>
      <c r="O25" s="790">
        <f t="shared" ref="O25:O49" si="1">IFERROR(ROUND(F25*E25/$K$18,4),0)</f>
        <v>0.82869999999999999</v>
      </c>
      <c r="P25" s="790"/>
      <c r="Q25" s="398"/>
    </row>
    <row r="26" spans="2:21" ht="15" customHeight="1" x14ac:dyDescent="0.2">
      <c r="B26" s="397"/>
      <c r="C26" s="780" t="s">
        <v>902</v>
      </c>
      <c r="D26" s="781"/>
      <c r="E26" s="431">
        <v>0.14799999999999999</v>
      </c>
      <c r="F26" s="562">
        <v>2</v>
      </c>
      <c r="G26" s="563"/>
      <c r="H26" s="668" t="s">
        <v>774</v>
      </c>
      <c r="I26" s="435">
        <f t="shared" si="0"/>
        <v>0</v>
      </c>
      <c r="J26" s="668" t="s">
        <v>781</v>
      </c>
      <c r="K26" s="543"/>
      <c r="L26" s="668" t="s">
        <v>781</v>
      </c>
      <c r="M26" s="390">
        <f t="shared" ref="M26:M49" si="2">IF(I26&gt;0,PRODUCT(I26,O26),PRODUCT(K26,O26))</f>
        <v>3.7600000000000001E-2</v>
      </c>
      <c r="N26" s="668" t="s">
        <v>781</v>
      </c>
      <c r="O26" s="790">
        <f t="shared" si="1"/>
        <v>3.7600000000000001E-2</v>
      </c>
      <c r="P26" s="790"/>
      <c r="Q26" s="398"/>
      <c r="R26" s="407"/>
    </row>
    <row r="27" spans="2:21" ht="15" customHeight="1" x14ac:dyDescent="0.2">
      <c r="B27" s="397"/>
      <c r="C27" s="783" t="s">
        <v>903</v>
      </c>
      <c r="D27" s="916"/>
      <c r="E27" s="431">
        <v>0.38</v>
      </c>
      <c r="F27" s="562">
        <v>1</v>
      </c>
      <c r="G27" s="563"/>
      <c r="H27" s="668" t="s">
        <v>774</v>
      </c>
      <c r="I27" s="435">
        <f t="shared" si="0"/>
        <v>0</v>
      </c>
      <c r="J27" s="668" t="s">
        <v>781</v>
      </c>
      <c r="K27" s="543"/>
      <c r="L27" s="668" t="s">
        <v>781</v>
      </c>
      <c r="M27" s="390">
        <f t="shared" si="2"/>
        <v>4.82E-2</v>
      </c>
      <c r="N27" s="668" t="s">
        <v>781</v>
      </c>
      <c r="O27" s="790">
        <f t="shared" si="1"/>
        <v>4.82E-2</v>
      </c>
      <c r="P27" s="790"/>
      <c r="Q27" s="398"/>
      <c r="R27" s="407"/>
    </row>
    <row r="28" spans="2:21" ht="15" customHeight="1" x14ac:dyDescent="0.2">
      <c r="B28" s="397"/>
      <c r="C28" s="783" t="s">
        <v>904</v>
      </c>
      <c r="D28" s="916"/>
      <c r="E28" s="431">
        <v>0.38</v>
      </c>
      <c r="F28" s="562">
        <v>1</v>
      </c>
      <c r="G28" s="563"/>
      <c r="H28" s="668" t="s">
        <v>774</v>
      </c>
      <c r="I28" s="435">
        <f t="shared" si="0"/>
        <v>0</v>
      </c>
      <c r="J28" s="668" t="s">
        <v>781</v>
      </c>
      <c r="K28" s="543"/>
      <c r="L28" s="668" t="s">
        <v>781</v>
      </c>
      <c r="M28" s="390">
        <f t="shared" si="2"/>
        <v>4.82E-2</v>
      </c>
      <c r="N28" s="668" t="s">
        <v>781</v>
      </c>
      <c r="O28" s="790">
        <f t="shared" si="1"/>
        <v>4.82E-2</v>
      </c>
      <c r="P28" s="790"/>
      <c r="Q28" s="398"/>
      <c r="R28" s="407"/>
    </row>
    <row r="29" spans="2:21" ht="15" customHeight="1" x14ac:dyDescent="0.2">
      <c r="B29" s="397"/>
      <c r="C29" s="780" t="s">
        <v>905</v>
      </c>
      <c r="D29" s="781"/>
      <c r="E29" s="431">
        <v>0.14699999999999999</v>
      </c>
      <c r="F29" s="562">
        <v>2</v>
      </c>
      <c r="G29" s="563"/>
      <c r="H29" s="668" t="s">
        <v>774</v>
      </c>
      <c r="I29" s="435">
        <f t="shared" si="0"/>
        <v>0</v>
      </c>
      <c r="J29" s="668" t="s">
        <v>781</v>
      </c>
      <c r="K29" s="543"/>
      <c r="L29" s="668" t="s">
        <v>781</v>
      </c>
      <c r="M29" s="390">
        <f t="shared" si="2"/>
        <v>3.73E-2</v>
      </c>
      <c r="N29" s="668" t="s">
        <v>781</v>
      </c>
      <c r="O29" s="790">
        <f t="shared" si="1"/>
        <v>3.73E-2</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360</v>
      </c>
      <c r="J54" s="668" t="s">
        <v>785</v>
      </c>
      <c r="K54" s="782">
        <v>590</v>
      </c>
      <c r="L54" s="783"/>
      <c r="M54" s="556" t="s">
        <v>785</v>
      </c>
      <c r="N54" s="565">
        <v>635</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2.5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150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2</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190.5</v>
      </c>
      <c r="L63" s="556" t="s">
        <v>785</v>
      </c>
      <c r="M63" s="558">
        <f>SUM(K63,K54,I54)</f>
        <v>1140.5</v>
      </c>
      <c r="N63" s="556" t="s">
        <v>785</v>
      </c>
      <c r="O63" s="558">
        <f>M63/60</f>
        <v>19.008333333333333</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5</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212.76595744680853</v>
      </c>
      <c r="L72" s="556" t="s">
        <v>654</v>
      </c>
      <c r="M72" s="558">
        <f>IFERROR(M63/(K18)/60*1000*((1+(100-K57)/100)),0)</f>
        <v>2412.2250423011847</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56.687288494077833</v>
      </c>
      <c r="L75" s="556" t="s">
        <v>653</v>
      </c>
      <c r="M75" s="558">
        <f>IFERROR(K75/(K60*M60),0)</f>
        <v>3.3424108781885513</v>
      </c>
      <c r="N75" s="556" t="s">
        <v>657</v>
      </c>
      <c r="O75" s="558">
        <f>IFERROR(((M72*O17/60)+K66)/(K60*M60),0)</f>
        <v>3.6372221989432685</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99" priority="7" stopIfTrue="1" operator="containsText" text="FALSO">
      <formula>NOT(ISERROR(SEARCH("FALSO",O18)))</formula>
    </cfRule>
  </conditionalFormatting>
  <conditionalFormatting sqref="P20">
    <cfRule type="containsText" dxfId="198" priority="6" stopIfTrue="1" operator="containsText" text="FALSO">
      <formula>NOT(ISERROR(SEARCH("FALSO",P20)))</formula>
    </cfRule>
  </conditionalFormatting>
  <conditionalFormatting sqref="K18:L18">
    <cfRule type="containsText" dxfId="197" priority="5" stopIfTrue="1" operator="containsText" text="FALSO">
      <formula>NOT(ISERROR(SEARCH("FALSO",K18)))</formula>
    </cfRule>
  </conditionalFormatting>
  <conditionalFormatting sqref="P21">
    <cfRule type="containsText" dxfId="196" priority="4" stopIfTrue="1" operator="containsText" text="FALSO">
      <formula>NOT(ISERROR(SEARCH("FALSO",P21)))</formula>
    </cfRule>
  </conditionalFormatting>
  <conditionalFormatting sqref="K21:L21">
    <cfRule type="containsText" dxfId="195" priority="3" stopIfTrue="1" operator="containsText" text="FALSO">
      <formula>NOT(ISERROR(SEARCH("FALSO",K21)))</formula>
    </cfRule>
  </conditionalFormatting>
  <conditionalFormatting sqref="I19">
    <cfRule type="containsText" dxfId="194" priority="2" stopIfTrue="1" operator="containsText" text="FALSO">
      <formula>NOT(ISERROR(SEARCH("FALSO",I19)))</formula>
    </cfRule>
  </conditionalFormatting>
  <conditionalFormatting sqref="I20">
    <cfRule type="containsText" dxfId="193"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8657"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8658"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8659"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6">
    <tabColor theme="1"/>
    <pageSetUpPr fitToPage="1"/>
  </sheetPr>
  <dimension ref="B1:Y96"/>
  <sheetViews>
    <sheetView showGridLines="0" showRowColHeaders="0" topLeftCell="A46" zoomScaleNormal="100" zoomScaleSheetLayoutView="85" workbookViewId="0">
      <selection activeCell="V63" sqref="V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2444.10</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0.93</v>
      </c>
      <c r="P17" s="669" t="s">
        <v>717</v>
      </c>
      <c r="Q17" s="398"/>
      <c r="R17" s="407"/>
      <c r="U17" s="407"/>
    </row>
    <row r="18" spans="2:21" ht="15" customHeight="1" x14ac:dyDescent="0.2">
      <c r="B18" s="397"/>
      <c r="C18" s="407"/>
      <c r="D18" s="407"/>
      <c r="E18" s="407"/>
      <c r="F18" s="407"/>
      <c r="G18" s="451"/>
      <c r="K18" s="390">
        <f t="array" ref="K18">SUM(F25:F49*E25:E49)</f>
        <v>5.37</v>
      </c>
      <c r="L18" s="391" t="s">
        <v>731</v>
      </c>
      <c r="M18" s="383"/>
      <c r="N18" s="383"/>
      <c r="O18" s="401">
        <f>IFERROR(ROUNDUP((O17*1000)/K18,0),"")</f>
        <v>174</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23856.647047999999</v>
      </c>
      <c r="L21" s="391" t="s">
        <v>781</v>
      </c>
      <c r="M21" s="383"/>
      <c r="O21" s="564">
        <f>IF(P21="Ton/mês",ROUND(O20*K18/1000,3),ROUNDUP(O20*1000/K18,0))</f>
        <v>0.96699999999999997</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898</v>
      </c>
      <c r="D25" s="781"/>
      <c r="E25" s="431">
        <v>5.28</v>
      </c>
      <c r="F25" s="562">
        <v>1</v>
      </c>
      <c r="G25" s="563"/>
      <c r="H25" s="668" t="s">
        <v>774</v>
      </c>
      <c r="I25" s="435">
        <f t="shared" ref="I25:I49" si="0">IFERROR(G25*(1000/E25),0)</f>
        <v>0</v>
      </c>
      <c r="J25" s="668" t="s">
        <v>781</v>
      </c>
      <c r="K25" s="543">
        <v>23335.89</v>
      </c>
      <c r="L25" s="668" t="s">
        <v>781</v>
      </c>
      <c r="M25" s="390">
        <f>IF(I25&gt;0,PRODUCT(I25,O25),PRODUCT(K25,O25))</f>
        <v>22943.847048</v>
      </c>
      <c r="N25" s="668" t="s">
        <v>781</v>
      </c>
      <c r="O25" s="790">
        <f t="shared" ref="O25:O49" si="1">IFERROR(ROUND(F25*E25/$K$18,4),0)</f>
        <v>0.98319999999999996</v>
      </c>
      <c r="P25" s="790"/>
      <c r="Q25" s="398"/>
    </row>
    <row r="26" spans="2:21" ht="15" customHeight="1" x14ac:dyDescent="0.2">
      <c r="B26" s="397"/>
      <c r="C26" s="780" t="s">
        <v>899</v>
      </c>
      <c r="D26" s="781"/>
      <c r="E26" s="431">
        <v>0.03</v>
      </c>
      <c r="F26" s="562">
        <v>3</v>
      </c>
      <c r="G26" s="563">
        <v>1.63</v>
      </c>
      <c r="H26" s="668" t="s">
        <v>774</v>
      </c>
      <c r="I26" s="435">
        <f t="shared" si="0"/>
        <v>54333.333333333336</v>
      </c>
      <c r="J26" s="668" t="s">
        <v>781</v>
      </c>
      <c r="K26" s="543"/>
      <c r="L26" s="668" t="s">
        <v>781</v>
      </c>
      <c r="M26" s="390">
        <f t="shared" ref="M26:M49" si="2">IF(I26&gt;0,PRODUCT(I26,O26),PRODUCT(K26,O26))</f>
        <v>912.8</v>
      </c>
      <c r="N26" s="668" t="s">
        <v>781</v>
      </c>
      <c r="O26" s="790">
        <f t="shared" si="1"/>
        <v>1.6799999999999999E-2</v>
      </c>
      <c r="P26" s="790"/>
      <c r="Q26" s="398"/>
      <c r="R26" s="407"/>
    </row>
    <row r="27" spans="2:21" ht="15" customHeight="1" x14ac:dyDescent="0.2">
      <c r="B27" s="397"/>
      <c r="C27" s="780"/>
      <c r="D27" s="781"/>
      <c r="E27" s="431"/>
      <c r="F27" s="562"/>
      <c r="G27" s="563"/>
      <c r="H27" s="668" t="s">
        <v>774</v>
      </c>
      <c r="I27" s="435">
        <f t="shared" si="0"/>
        <v>0</v>
      </c>
      <c r="J27" s="668" t="s">
        <v>781</v>
      </c>
      <c r="K27" s="543"/>
      <c r="L27" s="668" t="s">
        <v>781</v>
      </c>
      <c r="M27" s="390">
        <f t="shared" si="2"/>
        <v>0</v>
      </c>
      <c r="N27" s="668" t="s">
        <v>781</v>
      </c>
      <c r="O27" s="790">
        <f t="shared" si="1"/>
        <v>0</v>
      </c>
      <c r="P27" s="790"/>
      <c r="Q27" s="398"/>
      <c r="R27" s="407"/>
    </row>
    <row r="28" spans="2:21" ht="15" customHeight="1" x14ac:dyDescent="0.2">
      <c r="B28" s="397"/>
      <c r="C28" s="780"/>
      <c r="D28" s="781"/>
      <c r="E28" s="431"/>
      <c r="F28" s="562"/>
      <c r="G28" s="563"/>
      <c r="H28" s="668" t="s">
        <v>774</v>
      </c>
      <c r="I28" s="435">
        <f t="shared" si="0"/>
        <v>0</v>
      </c>
      <c r="J28" s="668" t="s">
        <v>781</v>
      </c>
      <c r="K28" s="543"/>
      <c r="L28" s="668" t="s">
        <v>781</v>
      </c>
      <c r="M28" s="390">
        <f t="shared" si="2"/>
        <v>0</v>
      </c>
      <c r="N28" s="668" t="s">
        <v>781</v>
      </c>
      <c r="O28" s="790">
        <f t="shared" si="1"/>
        <v>0</v>
      </c>
      <c r="P28" s="790"/>
      <c r="Q28" s="398"/>
      <c r="R28" s="407"/>
    </row>
    <row r="29" spans="2:21" ht="15" customHeight="1" x14ac:dyDescent="0.2">
      <c r="B29" s="397"/>
      <c r="C29" s="780"/>
      <c r="D29" s="781"/>
      <c r="E29" s="431"/>
      <c r="F29" s="562"/>
      <c r="G29" s="563"/>
      <c r="H29" s="668" t="s">
        <v>774</v>
      </c>
      <c r="I29" s="435">
        <f t="shared" si="0"/>
        <v>0</v>
      </c>
      <c r="J29" s="668" t="s">
        <v>781</v>
      </c>
      <c r="K29" s="543"/>
      <c r="L29" s="668" t="s">
        <v>781</v>
      </c>
      <c r="M29" s="390">
        <f t="shared" si="2"/>
        <v>0</v>
      </c>
      <c r="N29" s="668" t="s">
        <v>781</v>
      </c>
      <c r="O29" s="790">
        <f t="shared" si="1"/>
        <v>0</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130</v>
      </c>
      <c r="J54" s="668" t="s">
        <v>785</v>
      </c>
      <c r="K54" s="782">
        <v>410</v>
      </c>
      <c r="L54" s="783"/>
      <c r="M54" s="556" t="s">
        <v>785</v>
      </c>
      <c r="N54" s="565">
        <v>105</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1.5</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90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1</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571.5</v>
      </c>
      <c r="N63" s="556" t="s">
        <v>785</v>
      </c>
      <c r="O63" s="558">
        <f>M63/60</f>
        <v>9.5250000000000004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3</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0.57999999999999996</v>
      </c>
      <c r="N69" s="556" t="s">
        <v>292</v>
      </c>
      <c r="O69" s="558">
        <f>SUM(K69,M69)</f>
        <v>0.57999999999999996</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193.54838709677418</v>
      </c>
      <c r="L72" s="556" t="s">
        <v>654</v>
      </c>
      <c r="M72" s="558">
        <f>IFERROR(M63/(K18)/60*1000*((1+(100-K57)/100)),0)</f>
        <v>1773.7430167597765</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27.493016759776538</v>
      </c>
      <c r="L75" s="556" t="s">
        <v>653</v>
      </c>
      <c r="M75" s="558">
        <f>IFERROR(K75/(K60*M60),0)</f>
        <v>3.2421010329925162</v>
      </c>
      <c r="N75" s="556" t="s">
        <v>657</v>
      </c>
      <c r="O75" s="558">
        <f>IFERROR(((M72*O17/60)+K66)/(K60*M60),0)</f>
        <v>3.5958746178981764</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92" priority="7" stopIfTrue="1" operator="containsText" text="FALSO">
      <formula>NOT(ISERROR(SEARCH("FALSO",O18)))</formula>
    </cfRule>
  </conditionalFormatting>
  <conditionalFormatting sqref="P20">
    <cfRule type="containsText" dxfId="191" priority="6" stopIfTrue="1" operator="containsText" text="FALSO">
      <formula>NOT(ISERROR(SEARCH("FALSO",P20)))</formula>
    </cfRule>
  </conditionalFormatting>
  <conditionalFormatting sqref="K18:L18">
    <cfRule type="containsText" dxfId="190" priority="5" stopIfTrue="1" operator="containsText" text="FALSO">
      <formula>NOT(ISERROR(SEARCH("FALSO",K18)))</formula>
    </cfRule>
  </conditionalFormatting>
  <conditionalFormatting sqref="P21">
    <cfRule type="containsText" dxfId="189" priority="4" stopIfTrue="1" operator="containsText" text="FALSO">
      <formula>NOT(ISERROR(SEARCH("FALSO",P21)))</formula>
    </cfRule>
  </conditionalFormatting>
  <conditionalFormatting sqref="K21:L21">
    <cfRule type="containsText" dxfId="188" priority="3" stopIfTrue="1" operator="containsText" text="FALSO">
      <formula>NOT(ISERROR(SEARCH("FALSO",K21)))</formula>
    </cfRule>
  </conditionalFormatting>
  <conditionalFormatting sqref="I19">
    <cfRule type="containsText" dxfId="187" priority="2" stopIfTrue="1" operator="containsText" text="FALSO">
      <formula>NOT(ISERROR(SEARCH("FALSO",I19)))</formula>
    </cfRule>
  </conditionalFormatting>
  <conditionalFormatting sqref="I20">
    <cfRule type="containsText" dxfId="186"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7633"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7634"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7635"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5">
    <tabColor theme="1"/>
    <pageSetUpPr fitToPage="1"/>
  </sheetPr>
  <dimension ref="B1:Y96"/>
  <sheetViews>
    <sheetView showGridLines="0" showRowColHeaders="0" topLeftCell="A28" zoomScaleNormal="100" zoomScaleSheetLayoutView="85" workbookViewId="0">
      <selection activeCell="C27" sqref="C27:D27"/>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2444.9</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0.98</v>
      </c>
      <c r="P17" s="669" t="s">
        <v>717</v>
      </c>
      <c r="Q17" s="398"/>
      <c r="R17" s="407"/>
      <c r="U17" s="407"/>
    </row>
    <row r="18" spans="2:21" ht="15" customHeight="1" x14ac:dyDescent="0.2">
      <c r="B18" s="397"/>
      <c r="C18" s="407"/>
      <c r="D18" s="407"/>
      <c r="E18" s="407"/>
      <c r="F18" s="407"/>
      <c r="G18" s="451"/>
      <c r="K18" s="390">
        <f t="array" ref="K18">SUM(F25:F49*E25:E49)</f>
        <v>5.4450000000000003</v>
      </c>
      <c r="L18" s="391" t="s">
        <v>731</v>
      </c>
      <c r="M18" s="383"/>
      <c r="N18" s="383"/>
      <c r="O18" s="401">
        <f>IFERROR(ROUNDUP((O17*1000)/K18,0),"")</f>
        <v>180</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23400.340530000001</v>
      </c>
      <c r="L21" s="391" t="s">
        <v>781</v>
      </c>
      <c r="M21" s="383"/>
      <c r="O21" s="564">
        <f>IF(P21="Ton/mês",ROUND(O20*K18/1000,3),ROUNDUP(O20*1000/K18,0))</f>
        <v>0.98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895</v>
      </c>
      <c r="D25" s="781"/>
      <c r="E25" s="431">
        <v>5.32</v>
      </c>
      <c r="F25" s="562">
        <v>1</v>
      </c>
      <c r="G25" s="563"/>
      <c r="H25" s="668" t="s">
        <v>774</v>
      </c>
      <c r="I25" s="435">
        <f t="shared" ref="I25:I49" si="0">IFERROR(G25*(1000/E25),0)</f>
        <v>0</v>
      </c>
      <c r="J25" s="668" t="s">
        <v>781</v>
      </c>
      <c r="K25" s="543">
        <v>23423.89</v>
      </c>
      <c r="L25" s="668" t="s">
        <v>781</v>
      </c>
      <c r="M25" s="390">
        <f>IF(I25&gt;0,PRODUCT(I25,O25),PRODUCT(K25,O25))</f>
        <v>22885.140530000001</v>
      </c>
      <c r="N25" s="668" t="s">
        <v>781</v>
      </c>
      <c r="O25" s="790">
        <f t="shared" ref="O25:O49" si="1">IFERROR(ROUND(F25*E25/$K$18,4),0)</f>
        <v>0.97699999999999998</v>
      </c>
      <c r="P25" s="790"/>
      <c r="Q25" s="398"/>
    </row>
    <row r="26" spans="2:21" ht="15" customHeight="1" x14ac:dyDescent="0.2">
      <c r="B26" s="397"/>
      <c r="C26" s="780" t="s">
        <v>896</v>
      </c>
      <c r="D26" s="781"/>
      <c r="E26" s="431">
        <v>0.125</v>
      </c>
      <c r="F26" s="562">
        <v>1</v>
      </c>
      <c r="G26" s="563">
        <v>2.8</v>
      </c>
      <c r="H26" s="668" t="s">
        <v>774</v>
      </c>
      <c r="I26" s="435">
        <f t="shared" si="0"/>
        <v>22400</v>
      </c>
      <c r="J26" s="668" t="s">
        <v>781</v>
      </c>
      <c r="K26" s="543"/>
      <c r="L26" s="668" t="s">
        <v>781</v>
      </c>
      <c r="M26" s="390">
        <f t="shared" ref="M26:M49" si="2">IF(I26&gt;0,PRODUCT(I26,O26),PRODUCT(K26,O26))</f>
        <v>515.20000000000005</v>
      </c>
      <c r="N26" s="668" t="s">
        <v>781</v>
      </c>
      <c r="O26" s="790">
        <f t="shared" si="1"/>
        <v>2.3E-2</v>
      </c>
      <c r="P26" s="790"/>
      <c r="Q26" s="398"/>
      <c r="R26" s="407"/>
    </row>
    <row r="27" spans="2:21" ht="15" customHeight="1" x14ac:dyDescent="0.2">
      <c r="B27" s="397"/>
      <c r="C27" s="780"/>
      <c r="D27" s="781"/>
      <c r="E27" s="431"/>
      <c r="F27" s="562"/>
      <c r="G27" s="563"/>
      <c r="H27" s="668" t="s">
        <v>774</v>
      </c>
      <c r="I27" s="435">
        <f t="shared" si="0"/>
        <v>0</v>
      </c>
      <c r="J27" s="668" t="s">
        <v>781</v>
      </c>
      <c r="K27" s="543"/>
      <c r="L27" s="668" t="s">
        <v>781</v>
      </c>
      <c r="M27" s="390">
        <f t="shared" si="2"/>
        <v>0</v>
      </c>
      <c r="N27" s="668" t="s">
        <v>781</v>
      </c>
      <c r="O27" s="790">
        <f t="shared" si="1"/>
        <v>0</v>
      </c>
      <c r="P27" s="790"/>
      <c r="Q27" s="398"/>
      <c r="R27" s="407"/>
    </row>
    <row r="28" spans="2:21" ht="15" customHeight="1" x14ac:dyDescent="0.2">
      <c r="B28" s="397"/>
      <c r="C28" s="780"/>
      <c r="D28" s="781"/>
      <c r="E28" s="431"/>
      <c r="F28" s="562"/>
      <c r="G28" s="563"/>
      <c r="H28" s="668" t="s">
        <v>774</v>
      </c>
      <c r="I28" s="435">
        <f t="shared" si="0"/>
        <v>0</v>
      </c>
      <c r="J28" s="668" t="s">
        <v>781</v>
      </c>
      <c r="K28" s="543"/>
      <c r="L28" s="668" t="s">
        <v>781</v>
      </c>
      <c r="M28" s="390">
        <f t="shared" si="2"/>
        <v>0</v>
      </c>
      <c r="N28" s="668" t="s">
        <v>781</v>
      </c>
      <c r="O28" s="790">
        <f t="shared" si="1"/>
        <v>0</v>
      </c>
      <c r="P28" s="790"/>
      <c r="Q28" s="398"/>
      <c r="R28" s="407"/>
    </row>
    <row r="29" spans="2:21" ht="15" customHeight="1" x14ac:dyDescent="0.2">
      <c r="B29" s="397"/>
      <c r="C29" s="780"/>
      <c r="D29" s="781"/>
      <c r="E29" s="431"/>
      <c r="F29" s="562"/>
      <c r="G29" s="563"/>
      <c r="H29" s="668" t="s">
        <v>774</v>
      </c>
      <c r="I29" s="435">
        <f t="shared" si="0"/>
        <v>0</v>
      </c>
      <c r="J29" s="668" t="s">
        <v>781</v>
      </c>
      <c r="K29" s="543"/>
      <c r="L29" s="668" t="s">
        <v>781</v>
      </c>
      <c r="M29" s="390">
        <f t="shared" si="2"/>
        <v>0</v>
      </c>
      <c r="N29" s="668" t="s">
        <v>781</v>
      </c>
      <c r="O29" s="790">
        <f t="shared" si="1"/>
        <v>0</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60</v>
      </c>
      <c r="J54" s="668" t="s">
        <v>785</v>
      </c>
      <c r="K54" s="782">
        <v>210</v>
      </c>
      <c r="L54" s="783"/>
      <c r="M54" s="556" t="s">
        <v>785</v>
      </c>
      <c r="N54" s="565">
        <v>105</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2</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31.5</v>
      </c>
      <c r="L63" s="556" t="s">
        <v>785</v>
      </c>
      <c r="M63" s="558">
        <f>SUM(K63,K54,I54)</f>
        <v>301.5</v>
      </c>
      <c r="N63" s="556" t="s">
        <v>785</v>
      </c>
      <c r="O63" s="558">
        <f>M63/60</f>
        <v>5.0250000000000004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122.44897959183673</v>
      </c>
      <c r="L72" s="556" t="s">
        <v>654</v>
      </c>
      <c r="M72" s="558">
        <f>IFERROR(M63/(K18)/60*1000*((1+(100-K57)/100)),0)</f>
        <v>922.86501377410468</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15.07346189164371</v>
      </c>
      <c r="L75" s="556" t="s">
        <v>653</v>
      </c>
      <c r="M75" s="558">
        <f>IFERROR(K75/(K60*M60),0)</f>
        <v>0.8887654417242753</v>
      </c>
      <c r="N75" s="556" t="s">
        <v>657</v>
      </c>
      <c r="O75" s="558">
        <f>IFERROR(((M72*O17/60)+K66)/(K60*M60),0)</f>
        <v>1.006689970026162</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85" priority="7" stopIfTrue="1" operator="containsText" text="FALSO">
      <formula>NOT(ISERROR(SEARCH("FALSO",O18)))</formula>
    </cfRule>
  </conditionalFormatting>
  <conditionalFormatting sqref="P20">
    <cfRule type="containsText" dxfId="184" priority="6" stopIfTrue="1" operator="containsText" text="FALSO">
      <formula>NOT(ISERROR(SEARCH("FALSO",P20)))</formula>
    </cfRule>
  </conditionalFormatting>
  <conditionalFormatting sqref="K18:L18">
    <cfRule type="containsText" dxfId="183" priority="5" stopIfTrue="1" operator="containsText" text="FALSO">
      <formula>NOT(ISERROR(SEARCH("FALSO",K18)))</formula>
    </cfRule>
  </conditionalFormatting>
  <conditionalFormatting sqref="P21">
    <cfRule type="containsText" dxfId="182" priority="4" stopIfTrue="1" operator="containsText" text="FALSO">
      <formula>NOT(ISERROR(SEARCH("FALSO",P21)))</formula>
    </cfRule>
  </conditionalFormatting>
  <conditionalFormatting sqref="K21:L21">
    <cfRule type="containsText" dxfId="181" priority="3" stopIfTrue="1" operator="containsText" text="FALSO">
      <formula>NOT(ISERROR(SEARCH("FALSO",K21)))</formula>
    </cfRule>
  </conditionalFormatting>
  <conditionalFormatting sqref="I19">
    <cfRule type="containsText" dxfId="180" priority="2" stopIfTrue="1" operator="containsText" text="FALSO">
      <formula>NOT(ISERROR(SEARCH("FALSO",I19)))</formula>
    </cfRule>
  </conditionalFormatting>
  <conditionalFormatting sqref="I20">
    <cfRule type="containsText" dxfId="179"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6609"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6610"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6611"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4">
    <tabColor theme="1"/>
    <pageSetUpPr fitToPage="1"/>
  </sheetPr>
  <dimension ref="B1:Y96"/>
  <sheetViews>
    <sheetView showGridLines="0" showRowColHeaders="0" topLeftCell="A52" zoomScaleNormal="100" zoomScaleSheetLayoutView="85" workbookViewId="0">
      <selection activeCell="A21" sqref="A21"/>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2444.8</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1.3</v>
      </c>
      <c r="P17" s="669" t="s">
        <v>717</v>
      </c>
      <c r="Q17" s="398"/>
      <c r="R17" s="407"/>
      <c r="U17" s="407"/>
    </row>
    <row r="18" spans="2:21" ht="15" customHeight="1" x14ac:dyDescent="0.2">
      <c r="B18" s="397"/>
      <c r="C18" s="407"/>
      <c r="D18" s="407"/>
      <c r="E18" s="407"/>
      <c r="F18" s="407"/>
      <c r="G18" s="451"/>
      <c r="K18" s="390">
        <f t="array" ref="K18">SUM(F25:F49*E25:E49)</f>
        <v>7.4480000000000004</v>
      </c>
      <c r="L18" s="391" t="s">
        <v>731</v>
      </c>
      <c r="M18" s="383"/>
      <c r="N18" s="383"/>
      <c r="O18" s="401">
        <f>IFERROR(ROUNDUP((O17*1000)/K18,0),"")</f>
        <v>175</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21796.719523636362</v>
      </c>
      <c r="L21" s="391" t="s">
        <v>781</v>
      </c>
      <c r="M21" s="383"/>
      <c r="O21" s="564">
        <f>IF(P21="Ton/mês",ROUND(O20*K18/1000,3),ROUNDUP(O20*1000/K18,0))</f>
        <v>1.341</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890</v>
      </c>
      <c r="D25" s="781"/>
      <c r="E25" s="431">
        <v>7.2</v>
      </c>
      <c r="F25" s="562">
        <v>1</v>
      </c>
      <c r="G25" s="563"/>
      <c r="H25" s="668" t="s">
        <v>774</v>
      </c>
      <c r="I25" s="435">
        <f t="shared" ref="I25:I49" si="0">IFERROR(G25*(1000/E25),0)</f>
        <v>0</v>
      </c>
      <c r="J25" s="668" t="s">
        <v>781</v>
      </c>
      <c r="K25" s="543">
        <v>22003.8</v>
      </c>
      <c r="L25" s="668" t="s">
        <v>781</v>
      </c>
      <c r="M25" s="390">
        <f>IF(I25&gt;0,PRODUCT(I25,O25),PRODUCT(K25,O25))</f>
        <v>21271.07346</v>
      </c>
      <c r="N25" s="668" t="s">
        <v>781</v>
      </c>
      <c r="O25" s="790">
        <f t="shared" ref="O25:O49" si="1">IFERROR(ROUND(F25*E25/$K$18,4),0)</f>
        <v>0.9667</v>
      </c>
      <c r="P25" s="790"/>
      <c r="Q25" s="398"/>
    </row>
    <row r="26" spans="2:21" ht="15" customHeight="1" x14ac:dyDescent="0.2">
      <c r="B26" s="397"/>
      <c r="C26" s="780" t="s">
        <v>891</v>
      </c>
      <c r="D26" s="781"/>
      <c r="E26" s="431">
        <v>7.1999999999999995E-2</v>
      </c>
      <c r="F26" s="562">
        <v>1</v>
      </c>
      <c r="G26" s="563"/>
      <c r="H26" s="668" t="s">
        <v>774</v>
      </c>
      <c r="I26" s="435">
        <f t="shared" si="0"/>
        <v>0</v>
      </c>
      <c r="J26" s="668" t="s">
        <v>781</v>
      </c>
      <c r="K26" s="543"/>
      <c r="L26" s="668" t="s">
        <v>781</v>
      </c>
      <c r="M26" s="390">
        <f t="shared" ref="M26:M49" si="2">IF(I26&gt;0,PRODUCT(I26,O26),PRODUCT(K26,O26))</f>
        <v>9.7000000000000003E-3</v>
      </c>
      <c r="N26" s="668" t="s">
        <v>781</v>
      </c>
      <c r="O26" s="790">
        <f t="shared" si="1"/>
        <v>9.7000000000000003E-3</v>
      </c>
      <c r="P26" s="790"/>
      <c r="Q26" s="398"/>
      <c r="R26" s="407"/>
    </row>
    <row r="27" spans="2:21" ht="15" customHeight="1" x14ac:dyDescent="0.2">
      <c r="B27" s="397"/>
      <c r="C27" s="780" t="s">
        <v>892</v>
      </c>
      <c r="D27" s="781"/>
      <c r="E27" s="431">
        <v>2.1999999999999999E-2</v>
      </c>
      <c r="F27" s="562">
        <v>8</v>
      </c>
      <c r="G27" s="563">
        <v>0.49</v>
      </c>
      <c r="H27" s="668" t="s">
        <v>774</v>
      </c>
      <c r="I27" s="435">
        <f t="shared" si="0"/>
        <v>22272.727272727272</v>
      </c>
      <c r="J27" s="668" t="s">
        <v>781</v>
      </c>
      <c r="K27" s="543"/>
      <c r="L27" s="668" t="s">
        <v>781</v>
      </c>
      <c r="M27" s="390">
        <f t="shared" si="2"/>
        <v>525.63636363636363</v>
      </c>
      <c r="N27" s="668" t="s">
        <v>781</v>
      </c>
      <c r="O27" s="790">
        <f t="shared" si="1"/>
        <v>2.3599999999999999E-2</v>
      </c>
      <c r="P27" s="790"/>
      <c r="Q27" s="398"/>
      <c r="R27" s="407"/>
    </row>
    <row r="28" spans="2:21" ht="15" customHeight="1" x14ac:dyDescent="0.2">
      <c r="B28" s="397"/>
      <c r="C28" s="780"/>
      <c r="D28" s="781"/>
      <c r="E28" s="431"/>
      <c r="F28" s="562"/>
      <c r="G28" s="563"/>
      <c r="H28" s="668" t="s">
        <v>774</v>
      </c>
      <c r="I28" s="435">
        <f t="shared" si="0"/>
        <v>0</v>
      </c>
      <c r="J28" s="668" t="s">
        <v>781</v>
      </c>
      <c r="K28" s="543"/>
      <c r="L28" s="668" t="s">
        <v>781</v>
      </c>
      <c r="M28" s="390">
        <f t="shared" si="2"/>
        <v>0</v>
      </c>
      <c r="N28" s="668" t="s">
        <v>781</v>
      </c>
      <c r="O28" s="790">
        <f t="shared" si="1"/>
        <v>0</v>
      </c>
      <c r="P28" s="790"/>
      <c r="Q28" s="398"/>
      <c r="R28" s="407"/>
    </row>
    <row r="29" spans="2:21" ht="15" customHeight="1" x14ac:dyDescent="0.2">
      <c r="B29" s="397"/>
      <c r="C29" s="780"/>
      <c r="D29" s="781"/>
      <c r="E29" s="431"/>
      <c r="F29" s="562"/>
      <c r="G29" s="563"/>
      <c r="H29" s="668" t="s">
        <v>774</v>
      </c>
      <c r="I29" s="435">
        <f t="shared" si="0"/>
        <v>0</v>
      </c>
      <c r="J29" s="668" t="s">
        <v>781</v>
      </c>
      <c r="K29" s="543"/>
      <c r="L29" s="668" t="s">
        <v>781</v>
      </c>
      <c r="M29" s="390">
        <f t="shared" si="2"/>
        <v>0</v>
      </c>
      <c r="N29" s="668" t="s">
        <v>781</v>
      </c>
      <c r="O29" s="790">
        <f t="shared" si="1"/>
        <v>0</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t="s">
        <v>680</v>
      </c>
      <c r="D54" s="719"/>
      <c r="E54" s="720"/>
      <c r="F54" s="666"/>
      <c r="I54" s="409">
        <v>90</v>
      </c>
      <c r="J54" s="668" t="s">
        <v>785</v>
      </c>
      <c r="K54" s="782">
        <v>360</v>
      </c>
      <c r="L54" s="783"/>
      <c r="M54" s="556" t="s">
        <v>785</v>
      </c>
      <c r="N54" s="565">
        <v>60</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2</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v>
      </c>
      <c r="L63" s="556" t="s">
        <v>785</v>
      </c>
      <c r="M63" s="558">
        <f>SUM(K63,K54,I54)</f>
        <v>468</v>
      </c>
      <c r="N63" s="556" t="s">
        <v>785</v>
      </c>
      <c r="O63" s="558">
        <f>M63/60</f>
        <v>7.8</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1</v>
      </c>
      <c r="L69" s="556" t="s">
        <v>292</v>
      </c>
      <c r="M69" s="557">
        <f>IFERROR(ROUND(K18*O57/O17/1000*100,2),0)</f>
        <v>0.56999999999999995</v>
      </c>
      <c r="N69" s="556" t="s">
        <v>292</v>
      </c>
      <c r="O69" s="558">
        <f>SUM(K69,M69)</f>
        <v>1.5699999999999998</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92.307692307692307</v>
      </c>
      <c r="L72" s="556" t="s">
        <v>654</v>
      </c>
      <c r="M72" s="558">
        <f>IFERROR(M63/(K18)/60*1000*((1+(100-K57)/100)),0)</f>
        <v>1047.2610096670248</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22.690655209452206</v>
      </c>
      <c r="L75" s="556" t="s">
        <v>653</v>
      </c>
      <c r="M75" s="558">
        <f>IFERROR(K75/(K60*M60),0)</f>
        <v>1.3378924062177007</v>
      </c>
      <c r="N75" s="556" t="s">
        <v>657</v>
      </c>
      <c r="O75" s="558">
        <f>IFERROR(((M72*O17/60)+K66)/(K60*M60),0)</f>
        <v>1.4558169345195875</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78" priority="7" stopIfTrue="1" operator="containsText" text="FALSO">
      <formula>NOT(ISERROR(SEARCH("FALSO",O18)))</formula>
    </cfRule>
  </conditionalFormatting>
  <conditionalFormatting sqref="P20">
    <cfRule type="containsText" dxfId="177" priority="6" stopIfTrue="1" operator="containsText" text="FALSO">
      <formula>NOT(ISERROR(SEARCH("FALSO",P20)))</formula>
    </cfRule>
  </conditionalFormatting>
  <conditionalFormatting sqref="K18:L18">
    <cfRule type="containsText" dxfId="176" priority="5" stopIfTrue="1" operator="containsText" text="FALSO">
      <formula>NOT(ISERROR(SEARCH("FALSO",K18)))</formula>
    </cfRule>
  </conditionalFormatting>
  <conditionalFormatting sqref="P21">
    <cfRule type="containsText" dxfId="175" priority="4" stopIfTrue="1" operator="containsText" text="FALSO">
      <formula>NOT(ISERROR(SEARCH("FALSO",P21)))</formula>
    </cfRule>
  </conditionalFormatting>
  <conditionalFormatting sqref="K21:L21">
    <cfRule type="containsText" dxfId="174" priority="3" stopIfTrue="1" operator="containsText" text="FALSO">
      <formula>NOT(ISERROR(SEARCH("FALSO",K21)))</formula>
    </cfRule>
  </conditionalFormatting>
  <conditionalFormatting sqref="I19">
    <cfRule type="containsText" dxfId="173" priority="2" stopIfTrue="1" operator="containsText" text="FALSO">
      <formula>NOT(ISERROR(SEARCH("FALSO",I19)))</formula>
    </cfRule>
  </conditionalFormatting>
  <conditionalFormatting sqref="I20">
    <cfRule type="containsText" dxfId="172"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5585"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5586"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5587"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3">
    <tabColor theme="1"/>
    <pageSetUpPr fitToPage="1"/>
  </sheetPr>
  <dimension ref="B1:Y96"/>
  <sheetViews>
    <sheetView showGridLines="0" showRowColHeaders="0" topLeftCell="A43" zoomScaleNormal="100" zoomScaleSheetLayoutView="85" workbookViewId="0">
      <selection activeCell="O63" sqref="O6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2444.7</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1.32</v>
      </c>
      <c r="P17" s="669" t="s">
        <v>717</v>
      </c>
      <c r="Q17" s="398"/>
      <c r="R17" s="407"/>
      <c r="U17" s="407"/>
    </row>
    <row r="18" spans="2:21" ht="15" customHeight="1" x14ac:dyDescent="0.2">
      <c r="B18" s="397"/>
      <c r="C18" s="407"/>
      <c r="D18" s="407"/>
      <c r="E18" s="407"/>
      <c r="F18" s="407"/>
      <c r="G18" s="451"/>
      <c r="K18" s="390">
        <f t="array" ref="K18">SUM(F25:F49*E25:E49)</f>
        <v>7.3340000000000005</v>
      </c>
      <c r="L18" s="391" t="s">
        <v>731</v>
      </c>
      <c r="M18" s="383"/>
      <c r="N18" s="383"/>
      <c r="O18" s="401">
        <f>IFERROR(ROUNDUP((O17*1000)/K18,0),"")</f>
        <v>180</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180</v>
      </c>
      <c r="P20" s="453" t="s">
        <v>716</v>
      </c>
      <c r="Q20" s="398"/>
    </row>
    <row r="21" spans="2:21" ht="15" customHeight="1" x14ac:dyDescent="0.2">
      <c r="B21" s="397"/>
      <c r="C21" s="698" t="s">
        <v>769</v>
      </c>
      <c r="D21" s="698"/>
      <c r="E21" s="654" t="b">
        <v>0</v>
      </c>
      <c r="H21" s="656"/>
      <c r="K21" s="390">
        <f>SUM(M25:M49)</f>
        <v>23395.976338136199</v>
      </c>
      <c r="L21" s="391" t="s">
        <v>781</v>
      </c>
      <c r="M21" s="383"/>
      <c r="O21" s="564">
        <f>IF(P21="Ton/mês",ROUND(O20*K18/1000,3),ROUNDUP(O20*1000/K18,0))</f>
        <v>1.32</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890</v>
      </c>
      <c r="D25" s="781"/>
      <c r="E25" s="431">
        <v>7.2</v>
      </c>
      <c r="F25" s="562">
        <v>1</v>
      </c>
      <c r="G25" s="563"/>
      <c r="H25" s="668" t="s">
        <v>774</v>
      </c>
      <c r="I25" s="435">
        <f t="shared" ref="I25:I49" si="0">IFERROR(G25*(1000/E25),0)</f>
        <v>0</v>
      </c>
      <c r="J25" s="668" t="s">
        <v>781</v>
      </c>
      <c r="K25" s="543">
        <v>22003.8</v>
      </c>
      <c r="L25" s="668" t="s">
        <v>781</v>
      </c>
      <c r="M25" s="390">
        <f>IF(I25&gt;0,PRODUCT(I25,O25),PRODUCT(K25,O25))</f>
        <v>21601.13046</v>
      </c>
      <c r="N25" s="668" t="s">
        <v>781</v>
      </c>
      <c r="O25" s="790">
        <f t="shared" ref="O25:O49" si="1">IFERROR(ROUND(F25*E25/$K$18,4),0)</f>
        <v>0.98170000000000002</v>
      </c>
      <c r="P25" s="790"/>
      <c r="Q25" s="398"/>
    </row>
    <row r="26" spans="2:21" ht="15" customHeight="1" x14ac:dyDescent="0.2">
      <c r="B26" s="397"/>
      <c r="C26" s="780" t="s">
        <v>891</v>
      </c>
      <c r="D26" s="781"/>
      <c r="E26" s="431">
        <v>6.2E-2</v>
      </c>
      <c r="F26" s="562">
        <v>1</v>
      </c>
      <c r="G26" s="563">
        <v>9.1999999999999993</v>
      </c>
      <c r="H26" s="668" t="s">
        <v>774</v>
      </c>
      <c r="I26" s="435">
        <f t="shared" si="0"/>
        <v>148387.09677419355</v>
      </c>
      <c r="J26" s="668" t="s">
        <v>781</v>
      </c>
      <c r="K26" s="543"/>
      <c r="L26" s="668" t="s">
        <v>781</v>
      </c>
      <c r="M26" s="390">
        <f t="shared" ref="M26:M49" si="2">IF(I26&gt;0,PRODUCT(I26,O26),PRODUCT(K26,O26))</f>
        <v>1261.2903225806451</v>
      </c>
      <c r="N26" s="668" t="s">
        <v>781</v>
      </c>
      <c r="O26" s="790">
        <f t="shared" si="1"/>
        <v>8.5000000000000006E-3</v>
      </c>
      <c r="P26" s="790"/>
      <c r="Q26" s="398"/>
      <c r="R26" s="407"/>
    </row>
    <row r="27" spans="2:21" ht="15" customHeight="1" x14ac:dyDescent="0.2">
      <c r="B27" s="397"/>
      <c r="C27" s="780" t="s">
        <v>892</v>
      </c>
      <c r="D27" s="781"/>
      <c r="E27" s="431">
        <v>8.9999999999999993E-3</v>
      </c>
      <c r="F27" s="562">
        <v>8</v>
      </c>
      <c r="G27" s="563">
        <v>0.49</v>
      </c>
      <c r="H27" s="668" t="s">
        <v>774</v>
      </c>
      <c r="I27" s="435">
        <f t="shared" si="0"/>
        <v>54444.444444444453</v>
      </c>
      <c r="J27" s="668" t="s">
        <v>781</v>
      </c>
      <c r="K27" s="543"/>
      <c r="L27" s="668" t="s">
        <v>781</v>
      </c>
      <c r="M27" s="390">
        <f t="shared" si="2"/>
        <v>533.55555555555566</v>
      </c>
      <c r="N27" s="668" t="s">
        <v>781</v>
      </c>
      <c r="O27" s="790">
        <f t="shared" si="1"/>
        <v>9.7999999999999997E-3</v>
      </c>
      <c r="P27" s="790"/>
      <c r="Q27" s="398"/>
      <c r="R27" s="407"/>
    </row>
    <row r="28" spans="2:21" ht="15" customHeight="1" x14ac:dyDescent="0.2">
      <c r="B28" s="397"/>
      <c r="C28" s="780"/>
      <c r="D28" s="781"/>
      <c r="E28" s="431"/>
      <c r="F28" s="562"/>
      <c r="G28" s="563"/>
      <c r="H28" s="668" t="s">
        <v>774</v>
      </c>
      <c r="I28" s="435">
        <f t="shared" si="0"/>
        <v>0</v>
      </c>
      <c r="J28" s="668" t="s">
        <v>781</v>
      </c>
      <c r="K28" s="543"/>
      <c r="L28" s="668" t="s">
        <v>781</v>
      </c>
      <c r="M28" s="390">
        <f t="shared" si="2"/>
        <v>0</v>
      </c>
      <c r="N28" s="668" t="s">
        <v>781</v>
      </c>
      <c r="O28" s="790">
        <f t="shared" si="1"/>
        <v>0</v>
      </c>
      <c r="P28" s="790"/>
      <c r="Q28" s="398"/>
      <c r="R28" s="407"/>
    </row>
    <row r="29" spans="2:21" ht="15" customHeight="1" x14ac:dyDescent="0.2">
      <c r="B29" s="397"/>
      <c r="C29" s="780"/>
      <c r="D29" s="781"/>
      <c r="E29" s="431"/>
      <c r="F29" s="562"/>
      <c r="G29" s="563"/>
      <c r="H29" s="668" t="s">
        <v>774</v>
      </c>
      <c r="I29" s="435">
        <f t="shared" si="0"/>
        <v>0</v>
      </c>
      <c r="J29" s="668" t="s">
        <v>781</v>
      </c>
      <c r="K29" s="543"/>
      <c r="L29" s="668" t="s">
        <v>781</v>
      </c>
      <c r="M29" s="390">
        <f t="shared" si="2"/>
        <v>0</v>
      </c>
      <c r="N29" s="668" t="s">
        <v>781</v>
      </c>
      <c r="O29" s="790">
        <f t="shared" si="1"/>
        <v>0</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90</v>
      </c>
      <c r="J54" s="668" t="s">
        <v>785</v>
      </c>
      <c r="K54" s="782">
        <v>300</v>
      </c>
      <c r="L54" s="783"/>
      <c r="M54" s="556" t="s">
        <v>785</v>
      </c>
      <c r="N54" s="565">
        <v>60</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1</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60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2</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v>
      </c>
      <c r="L63" s="556" t="s">
        <v>785</v>
      </c>
      <c r="M63" s="558">
        <f>SUM(K63,K54,I54)</f>
        <v>408</v>
      </c>
      <c r="N63" s="556" t="s">
        <v>785</v>
      </c>
      <c r="O63" s="558">
        <f>M63/60</f>
        <v>6.8</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2</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0.56000000000000005</v>
      </c>
      <c r="N69" s="556" t="s">
        <v>292</v>
      </c>
      <c r="O69" s="558">
        <f>SUM(K69,M69)</f>
        <v>0.56000000000000005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90.909090909090907</v>
      </c>
      <c r="L72" s="556" t="s">
        <v>654</v>
      </c>
      <c r="M72" s="558">
        <f>IFERROR(M63/(K18)/60*1000*((1+(100-K57)/100)),0)</f>
        <v>927.18843741478042</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20.398145623125171</v>
      </c>
      <c r="L75" s="556" t="s">
        <v>653</v>
      </c>
      <c r="M75" s="558">
        <f>IFERROR(K75/(K60*M60),0)</f>
        <v>1.2027208504201161</v>
      </c>
      <c r="N75" s="556" t="s">
        <v>657</v>
      </c>
      <c r="O75" s="558">
        <f>IFERROR(((M72*O17/60)+K66)/(K60*M60),0)</f>
        <v>1.3206453787220029</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71" priority="7" stopIfTrue="1" operator="containsText" text="FALSO">
      <formula>NOT(ISERROR(SEARCH("FALSO",O18)))</formula>
    </cfRule>
  </conditionalFormatting>
  <conditionalFormatting sqref="P20">
    <cfRule type="containsText" dxfId="170" priority="6" stopIfTrue="1" operator="containsText" text="FALSO">
      <formula>NOT(ISERROR(SEARCH("FALSO",P20)))</formula>
    </cfRule>
  </conditionalFormatting>
  <conditionalFormatting sqref="K18:L18">
    <cfRule type="containsText" dxfId="169" priority="5" stopIfTrue="1" operator="containsText" text="FALSO">
      <formula>NOT(ISERROR(SEARCH("FALSO",K18)))</formula>
    </cfRule>
  </conditionalFormatting>
  <conditionalFormatting sqref="P21">
    <cfRule type="containsText" dxfId="168" priority="4" stopIfTrue="1" operator="containsText" text="FALSO">
      <formula>NOT(ISERROR(SEARCH("FALSO",P21)))</formula>
    </cfRule>
  </conditionalFormatting>
  <conditionalFormatting sqref="K21:L21">
    <cfRule type="containsText" dxfId="167" priority="3" stopIfTrue="1" operator="containsText" text="FALSO">
      <formula>NOT(ISERROR(SEARCH("FALSO",K21)))</formula>
    </cfRule>
  </conditionalFormatting>
  <conditionalFormatting sqref="I19">
    <cfRule type="containsText" dxfId="166" priority="2" stopIfTrue="1" operator="containsText" text="FALSO">
      <formula>NOT(ISERROR(SEARCH("FALSO",I19)))</formula>
    </cfRule>
  </conditionalFormatting>
  <conditionalFormatting sqref="I20">
    <cfRule type="containsText" dxfId="165"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6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4562"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4563"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2">
    <tabColor theme="1"/>
    <pageSetUpPr fitToPage="1"/>
  </sheetPr>
  <dimension ref="B1:Y96"/>
  <sheetViews>
    <sheetView showGridLines="0" showRowColHeaders="0" topLeftCell="A46" zoomScaleNormal="100" zoomScaleSheetLayoutView="85" workbookViewId="0">
      <selection activeCell="O59" sqref="O59"/>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2444.6</v>
      </c>
      <c r="F8" s="711"/>
      <c r="G8" s="538"/>
      <c r="H8" s="693" t="s">
        <v>695</v>
      </c>
      <c r="I8" s="693"/>
      <c r="J8" s="712"/>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1.5</v>
      </c>
      <c r="P17" s="669" t="s">
        <v>717</v>
      </c>
      <c r="Q17" s="398"/>
      <c r="R17" s="407"/>
      <c r="U17" s="407"/>
    </row>
    <row r="18" spans="2:21" ht="15" customHeight="1" x14ac:dyDescent="0.2">
      <c r="B18" s="397"/>
      <c r="C18" s="407"/>
      <c r="D18" s="407"/>
      <c r="E18" s="407"/>
      <c r="F18" s="407"/>
      <c r="G18" s="451"/>
      <c r="K18" s="390">
        <f t="array" ref="K18">SUM(F25:F49*E25:E49)</f>
        <v>8.5650000000000013</v>
      </c>
      <c r="L18" s="391" t="s">
        <v>731</v>
      </c>
      <c r="M18" s="383"/>
      <c r="N18" s="383"/>
      <c r="O18" s="401">
        <f>IFERROR(ROUNDUP((O17*1000)/K18,0),"")</f>
        <v>176</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176</v>
      </c>
      <c r="P20" s="453" t="s">
        <v>716</v>
      </c>
      <c r="Q20" s="398"/>
    </row>
    <row r="21" spans="2:21" ht="15" customHeight="1" x14ac:dyDescent="0.2">
      <c r="B21" s="397"/>
      <c r="C21" s="698" t="s">
        <v>769</v>
      </c>
      <c r="D21" s="698"/>
      <c r="E21" s="654" t="b">
        <v>0</v>
      </c>
      <c r="H21" s="656"/>
      <c r="K21" s="390">
        <f>SUM(M25:M49)</f>
        <v>19941.629200000003</v>
      </c>
      <c r="L21" s="391" t="s">
        <v>781</v>
      </c>
      <c r="M21" s="383"/>
      <c r="O21" s="564">
        <f>IF(P21="Ton/mês",ROUND(O20*K18/1000,3),ROUNDUP(O20*1000/K18,0))</f>
        <v>1.5069999999999999</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t="s">
        <v>880</v>
      </c>
      <c r="D25" s="781"/>
      <c r="E25" s="431">
        <v>0.56000000000000005</v>
      </c>
      <c r="F25" s="562">
        <v>1</v>
      </c>
      <c r="G25" s="563"/>
      <c r="H25" s="668" t="s">
        <v>774</v>
      </c>
      <c r="I25" s="435">
        <f t="shared" ref="I25:I49" si="0">IFERROR(G25*(1000/E25),0)</f>
        <v>0</v>
      </c>
      <c r="J25" s="668" t="s">
        <v>781</v>
      </c>
      <c r="K25" s="543"/>
      <c r="L25" s="668" t="s">
        <v>781</v>
      </c>
      <c r="M25" s="390">
        <f>IF(I25&gt;0,PRODUCT(I25,O25),PRODUCT(K25,O25))</f>
        <v>6.54E-2</v>
      </c>
      <c r="N25" s="668" t="s">
        <v>781</v>
      </c>
      <c r="O25" s="790">
        <f t="shared" ref="O25:O49" si="1">IFERROR(ROUND(F25*E25/$K$18,4),0)</f>
        <v>6.54E-2</v>
      </c>
      <c r="P25" s="790"/>
      <c r="Q25" s="398"/>
    </row>
    <row r="26" spans="2:21" ht="15" customHeight="1" x14ac:dyDescent="0.2">
      <c r="B26" s="397"/>
      <c r="C26" s="780" t="s">
        <v>886</v>
      </c>
      <c r="D26" s="781"/>
      <c r="E26" s="431">
        <v>7.0000000000000007E-2</v>
      </c>
      <c r="F26" s="562">
        <v>1</v>
      </c>
      <c r="G26" s="563"/>
      <c r="H26" s="668" t="s">
        <v>774</v>
      </c>
      <c r="I26" s="435">
        <f t="shared" si="0"/>
        <v>0</v>
      </c>
      <c r="J26" s="668" t="s">
        <v>781</v>
      </c>
      <c r="K26" s="543"/>
      <c r="L26" s="668" t="s">
        <v>781</v>
      </c>
      <c r="M26" s="390">
        <f t="shared" ref="M26:M49" si="2">IF(I26&gt;0,PRODUCT(I26,O26),PRODUCT(K26,O26))</f>
        <v>8.2000000000000007E-3</v>
      </c>
      <c r="N26" s="668" t="s">
        <v>781</v>
      </c>
      <c r="O26" s="790">
        <f t="shared" si="1"/>
        <v>8.2000000000000007E-3</v>
      </c>
      <c r="P26" s="790"/>
      <c r="Q26" s="398"/>
      <c r="R26" s="407"/>
    </row>
    <row r="27" spans="2:21" ht="15" customHeight="1" x14ac:dyDescent="0.2">
      <c r="B27" s="397"/>
      <c r="C27" s="780" t="s">
        <v>883</v>
      </c>
      <c r="D27" s="781"/>
      <c r="E27" s="431">
        <v>5.5E-2</v>
      </c>
      <c r="F27" s="562">
        <v>3</v>
      </c>
      <c r="G27" s="563"/>
      <c r="H27" s="668" t="s">
        <v>774</v>
      </c>
      <c r="I27" s="435">
        <f t="shared" si="0"/>
        <v>0</v>
      </c>
      <c r="J27" s="668" t="s">
        <v>781</v>
      </c>
      <c r="K27" s="543"/>
      <c r="L27" s="668" t="s">
        <v>781</v>
      </c>
      <c r="M27" s="390">
        <f t="shared" si="2"/>
        <v>1.9300000000000001E-2</v>
      </c>
      <c r="N27" s="668" t="s">
        <v>781</v>
      </c>
      <c r="O27" s="790">
        <f t="shared" si="1"/>
        <v>1.9300000000000001E-2</v>
      </c>
      <c r="P27" s="790"/>
      <c r="Q27" s="398"/>
      <c r="R27" s="407"/>
    </row>
    <row r="28" spans="2:21" ht="15" customHeight="1" x14ac:dyDescent="0.2">
      <c r="B28" s="397"/>
      <c r="C28" s="780" t="s">
        <v>887</v>
      </c>
      <c r="D28" s="781"/>
      <c r="E28" s="431">
        <v>7.0000000000000007E-2</v>
      </c>
      <c r="F28" s="562">
        <v>1</v>
      </c>
      <c r="G28" s="563"/>
      <c r="H28" s="668" t="s">
        <v>774</v>
      </c>
      <c r="I28" s="435">
        <f t="shared" si="0"/>
        <v>0</v>
      </c>
      <c r="J28" s="668" t="s">
        <v>781</v>
      </c>
      <c r="K28" s="543"/>
      <c r="L28" s="668" t="s">
        <v>781</v>
      </c>
      <c r="M28" s="390">
        <f t="shared" si="2"/>
        <v>8.2000000000000007E-3</v>
      </c>
      <c r="N28" s="668" t="s">
        <v>781</v>
      </c>
      <c r="O28" s="790">
        <f t="shared" si="1"/>
        <v>8.2000000000000007E-3</v>
      </c>
      <c r="P28" s="790"/>
      <c r="Q28" s="398"/>
      <c r="R28" s="407"/>
    </row>
    <row r="29" spans="2:21" ht="15" customHeight="1" x14ac:dyDescent="0.2">
      <c r="B29" s="397"/>
      <c r="C29" s="780" t="s">
        <v>888</v>
      </c>
      <c r="D29" s="781"/>
      <c r="E29" s="431">
        <v>7.7</v>
      </c>
      <c r="F29" s="562">
        <v>1</v>
      </c>
      <c r="G29" s="563"/>
      <c r="H29" s="668" t="s">
        <v>774</v>
      </c>
      <c r="I29" s="435">
        <f t="shared" si="0"/>
        <v>0</v>
      </c>
      <c r="J29" s="668" t="s">
        <v>781</v>
      </c>
      <c r="K29" s="543">
        <v>22181.9</v>
      </c>
      <c r="L29" s="668" t="s">
        <v>781</v>
      </c>
      <c r="M29" s="390">
        <f t="shared" si="2"/>
        <v>19941.528100000003</v>
      </c>
      <c r="N29" s="668" t="s">
        <v>781</v>
      </c>
      <c r="O29" s="790">
        <f t="shared" si="1"/>
        <v>0.89900000000000002</v>
      </c>
      <c r="P29" s="790"/>
      <c r="Q29" s="398"/>
      <c r="R29" s="407"/>
    </row>
    <row r="30" spans="2:21" ht="15" customHeight="1" x14ac:dyDescent="0.2">
      <c r="B30" s="397"/>
      <c r="C30" s="780"/>
      <c r="D30" s="781"/>
      <c r="E30" s="431"/>
      <c r="F30" s="562"/>
      <c r="G30" s="563"/>
      <c r="H30" s="668" t="s">
        <v>774</v>
      </c>
      <c r="I30" s="435">
        <f t="shared" si="0"/>
        <v>0</v>
      </c>
      <c r="J30" s="668" t="s">
        <v>781</v>
      </c>
      <c r="K30" s="543"/>
      <c r="L30" s="668" t="s">
        <v>781</v>
      </c>
      <c r="M30" s="390">
        <f t="shared" si="2"/>
        <v>0</v>
      </c>
      <c r="N30" s="668" t="s">
        <v>781</v>
      </c>
      <c r="O30" s="790">
        <f t="shared" si="1"/>
        <v>0</v>
      </c>
      <c r="P30" s="790"/>
      <c r="Q30" s="398"/>
      <c r="R30" s="407"/>
    </row>
    <row r="31" spans="2:21" ht="15" customHeight="1" x14ac:dyDescent="0.2">
      <c r="B31" s="397"/>
      <c r="C31" s="780"/>
      <c r="D31" s="781"/>
      <c r="E31" s="431"/>
      <c r="F31" s="562"/>
      <c r="G31" s="563"/>
      <c r="H31" s="668" t="s">
        <v>774</v>
      </c>
      <c r="I31" s="435">
        <f t="shared" si="0"/>
        <v>0</v>
      </c>
      <c r="J31" s="668" t="s">
        <v>781</v>
      </c>
      <c r="K31" s="543"/>
      <c r="L31" s="668" t="s">
        <v>781</v>
      </c>
      <c r="M31" s="390">
        <f t="shared" si="2"/>
        <v>0</v>
      </c>
      <c r="N31" s="668" t="s">
        <v>781</v>
      </c>
      <c r="O31" s="790">
        <f t="shared" si="1"/>
        <v>0</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280</v>
      </c>
      <c r="J54" s="668" t="s">
        <v>785</v>
      </c>
      <c r="K54" s="782">
        <v>400</v>
      </c>
      <c r="L54" s="783"/>
      <c r="M54" s="556" t="s">
        <v>785</v>
      </c>
      <c r="N54" s="565">
        <v>600</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2</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120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1</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180</v>
      </c>
      <c r="L63" s="556" t="s">
        <v>785</v>
      </c>
      <c r="M63" s="558">
        <f>SUM(K63,K54,I54)</f>
        <v>860</v>
      </c>
      <c r="N63" s="556" t="s">
        <v>785</v>
      </c>
      <c r="O63" s="558">
        <f>M63/60</f>
        <v>14.333333333333334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f>M57+O58/60</f>
        <v>4</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0.56999999999999995</v>
      </c>
      <c r="N69" s="556" t="s">
        <v>292</v>
      </c>
      <c r="O69" s="558">
        <f>SUM(K69,M69)</f>
        <v>0.56999999999999995</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160</v>
      </c>
      <c r="L72" s="556" t="s">
        <v>654</v>
      </c>
      <c r="M72" s="558">
        <f>IFERROR(M63/(K18)/60*1000*((1+(100-K57)/100)),0)</f>
        <v>1673.4773302198869</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41.836933255497179</v>
      </c>
      <c r="L75" s="556" t="s">
        <v>653</v>
      </c>
      <c r="M75" s="558">
        <f>IFERROR(K75/(K60*M60),0)</f>
        <v>4.9336006197520259</v>
      </c>
      <c r="N75" s="556" t="s">
        <v>657</v>
      </c>
      <c r="O75" s="558">
        <f>IFERROR(((M72*O17/60)+K66)/(K60*M60),0)</f>
        <v>5.4052987329595723</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64" priority="7" stopIfTrue="1" operator="containsText" text="FALSO">
      <formula>NOT(ISERROR(SEARCH("FALSO",O18)))</formula>
    </cfRule>
  </conditionalFormatting>
  <conditionalFormatting sqref="P20">
    <cfRule type="containsText" dxfId="163" priority="6" stopIfTrue="1" operator="containsText" text="FALSO">
      <formula>NOT(ISERROR(SEARCH("FALSO",P20)))</formula>
    </cfRule>
  </conditionalFormatting>
  <conditionalFormatting sqref="K18:L18">
    <cfRule type="containsText" dxfId="162" priority="5" stopIfTrue="1" operator="containsText" text="FALSO">
      <formula>NOT(ISERROR(SEARCH("FALSO",K18)))</formula>
    </cfRule>
  </conditionalFormatting>
  <conditionalFormatting sqref="P21">
    <cfRule type="containsText" dxfId="161" priority="4" stopIfTrue="1" operator="containsText" text="FALSO">
      <formula>NOT(ISERROR(SEARCH("FALSO",P21)))</formula>
    </cfRule>
  </conditionalFormatting>
  <conditionalFormatting sqref="K21:L21">
    <cfRule type="containsText" dxfId="160" priority="3" stopIfTrue="1" operator="containsText" text="FALSO">
      <formula>NOT(ISERROR(SEARCH("FALSO",K21)))</formula>
    </cfRule>
  </conditionalFormatting>
  <conditionalFormatting sqref="I19">
    <cfRule type="containsText" dxfId="159" priority="2" stopIfTrue="1" operator="containsText" text="FALSO">
      <formula>NOT(ISERROR(SEARCH("FALSO",I19)))</formula>
    </cfRule>
  </conditionalFormatting>
  <conditionalFormatting sqref="I20">
    <cfRule type="containsText" dxfId="158"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3537"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93538"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93539"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1">
    <tabColor theme="1"/>
    <pageSetUpPr fitToPage="1"/>
  </sheetPr>
  <dimension ref="B1:Y96"/>
  <sheetViews>
    <sheetView showGridLines="0" tabSelected="1" topLeftCell="A46" zoomScaleNormal="100" zoomScaleSheetLayoutView="85" workbookViewId="0">
      <selection activeCell="A53" sqref="A53"/>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2444.5</v>
      </c>
      <c r="F8" s="711"/>
      <c r="G8" s="538"/>
      <c r="H8" s="693" t="s">
        <v>695</v>
      </c>
      <c r="I8" s="693"/>
      <c r="J8" s="712" t="s">
        <v>879</v>
      </c>
      <c r="K8" s="712"/>
      <c r="L8" s="712"/>
      <c r="M8" s="383"/>
      <c r="N8" s="787" t="s">
        <v>613</v>
      </c>
      <c r="O8" s="788"/>
      <c r="P8" s="789"/>
      <c r="Q8" s="398"/>
    </row>
    <row r="9" spans="2:20" ht="15" customHeight="1" x14ac:dyDescent="0.2">
      <c r="B9" s="397"/>
      <c r="C9" s="383"/>
      <c r="D9" s="383"/>
      <c r="E9" s="711"/>
      <c r="F9" s="711"/>
      <c r="G9" s="538"/>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t="s">
        <v>878</v>
      </c>
      <c r="F11" s="694"/>
      <c r="G11" s="694"/>
      <c r="H11" s="694"/>
      <c r="I11" s="694"/>
      <c r="J11" s="694"/>
      <c r="K11" s="383"/>
      <c r="L11" s="66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67" t="s">
        <v>865</v>
      </c>
      <c r="O17" s="399">
        <v>1.5</v>
      </c>
      <c r="P17" s="669" t="s">
        <v>717</v>
      </c>
      <c r="Q17" s="398"/>
      <c r="R17" s="407"/>
      <c r="U17" s="407"/>
    </row>
    <row r="18" spans="2:21" ht="15" customHeight="1" x14ac:dyDescent="0.2">
      <c r="B18" s="397"/>
      <c r="C18" s="407"/>
      <c r="D18" s="407"/>
      <c r="E18" s="407"/>
      <c r="F18" s="407"/>
      <c r="G18" s="451"/>
      <c r="K18" s="390">
        <f t="array" ref="K18">SUM(F25:F49*E25:E49)</f>
        <v>9.3150000000000013</v>
      </c>
      <c r="L18" s="391" t="s">
        <v>731</v>
      </c>
      <c r="M18" s="383"/>
      <c r="N18" s="383"/>
      <c r="O18" s="401">
        <f>IFERROR(ROUNDUP((O17*1000)/K18,0),"")</f>
        <v>162</v>
      </c>
      <c r="P18" s="669" t="s">
        <v>619</v>
      </c>
      <c r="Q18" s="398"/>
      <c r="R18" s="407"/>
    </row>
    <row r="19" spans="2:21" ht="15" customHeight="1" x14ac:dyDescent="0.2">
      <c r="B19" s="397"/>
      <c r="C19" s="794" t="s">
        <v>864</v>
      </c>
      <c r="D19" s="795"/>
      <c r="E19" s="796"/>
      <c r="G19" s="665" t="s">
        <v>863</v>
      </c>
      <c r="H19" s="657">
        <v>0</v>
      </c>
      <c r="I19" s="655" t="s">
        <v>774</v>
      </c>
      <c r="J19" s="383"/>
      <c r="K19" s="383"/>
      <c r="L19" s="383"/>
      <c r="M19" s="383"/>
      <c r="N19" s="383"/>
      <c r="Q19" s="398"/>
      <c r="R19" s="407"/>
    </row>
    <row r="20" spans="2:21" ht="15" customHeight="1" x14ac:dyDescent="0.2">
      <c r="B20" s="397"/>
      <c r="C20" s="698" t="s">
        <v>768</v>
      </c>
      <c r="D20" s="698"/>
      <c r="E20" s="654" t="b">
        <v>0</v>
      </c>
      <c r="H20" s="658">
        <f>IF(I19="R$/PC",ROUNDUP(1000/K18,0)*H19,ROUND((H19/1000)*K18,2))</f>
        <v>0</v>
      </c>
      <c r="I20" s="653" t="str">
        <f>IF(I19="R$/PC","R$/Ton","R$/PC")</f>
        <v>R$/Ton</v>
      </c>
      <c r="K20" s="685" t="s">
        <v>777</v>
      </c>
      <c r="L20" s="685"/>
      <c r="M20" s="383"/>
      <c r="N20" s="665" t="s">
        <v>636</v>
      </c>
      <c r="O20" s="670">
        <v>164</v>
      </c>
      <c r="P20" s="453" t="s">
        <v>716</v>
      </c>
      <c r="Q20" s="398"/>
    </row>
    <row r="21" spans="2:21" ht="15" customHeight="1" x14ac:dyDescent="0.2">
      <c r="B21" s="397"/>
      <c r="C21" s="698" t="s">
        <v>769</v>
      </c>
      <c r="D21" s="698"/>
      <c r="E21" s="654" t="b">
        <v>0</v>
      </c>
      <c r="H21" s="656"/>
      <c r="K21" s="390">
        <f>SUM(M25:M49)</f>
        <v>25261.365591671736</v>
      </c>
      <c r="L21" s="391" t="s">
        <v>781</v>
      </c>
      <c r="M21" s="383"/>
      <c r="O21" s="564">
        <f>IF(P21="Ton/mês",ROUND(O20*K18/1000,3),ROUNDUP(O20*1000/K18,0))</f>
        <v>1.528</v>
      </c>
      <c r="P21" s="653" t="str">
        <f>IF(P20="Peça/mês","Ton/mês","Peça/mês")</f>
        <v>Ton/mês</v>
      </c>
      <c r="Q21" s="398"/>
    </row>
    <row r="22" spans="2:21" ht="15" customHeight="1" x14ac:dyDescent="0.2">
      <c r="B22" s="397"/>
      <c r="C22" s="407"/>
      <c r="D22" s="407"/>
      <c r="E22" s="407"/>
      <c r="G22" s="407"/>
      <c r="H22" s="407"/>
      <c r="I22" s="407"/>
      <c r="J22" s="407"/>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664"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948" t="s">
        <v>880</v>
      </c>
      <c r="D25" s="949"/>
      <c r="E25" s="950"/>
      <c r="F25" s="951">
        <v>1</v>
      </c>
      <c r="G25" s="952"/>
      <c r="H25" s="668" t="s">
        <v>774</v>
      </c>
      <c r="I25" s="435">
        <f t="shared" ref="I25:I49" si="0">IFERROR(G25*(1000/E25),0)</f>
        <v>0</v>
      </c>
      <c r="J25" s="668" t="s">
        <v>781</v>
      </c>
      <c r="K25" s="543"/>
      <c r="L25" s="668" t="s">
        <v>781</v>
      </c>
      <c r="M25" s="390">
        <f>IF(I25&gt;0,PRODUCT(I25,O25),PRODUCT(K25,O25))</f>
        <v>0</v>
      </c>
      <c r="N25" s="668" t="s">
        <v>781</v>
      </c>
      <c r="O25" s="790">
        <f t="shared" ref="O25:O49" si="1">IFERROR(ROUND(F25*E25/$K$18,4),0)</f>
        <v>0</v>
      </c>
      <c r="P25" s="790"/>
      <c r="Q25" s="398"/>
    </row>
    <row r="26" spans="2:21" ht="15" customHeight="1" x14ac:dyDescent="0.2">
      <c r="B26" s="397"/>
      <c r="C26" s="780" t="s">
        <v>881</v>
      </c>
      <c r="D26" s="781"/>
      <c r="E26" s="431">
        <v>7.0000000000000007E-2</v>
      </c>
      <c r="F26" s="562">
        <v>1</v>
      </c>
      <c r="G26" s="563">
        <v>10.41</v>
      </c>
      <c r="H26" s="668" t="s">
        <v>774</v>
      </c>
      <c r="I26" s="435">
        <f t="shared" si="0"/>
        <v>148714.28571428571</v>
      </c>
      <c r="J26" s="668" t="s">
        <v>781</v>
      </c>
      <c r="K26" s="543"/>
      <c r="L26" s="668" t="s">
        <v>781</v>
      </c>
      <c r="M26" s="390">
        <f t="shared" ref="M26:M49" si="2">IF(I26&gt;0,PRODUCT(I26,O26),PRODUCT(K26,O26))</f>
        <v>1115.3571428571429</v>
      </c>
      <c r="N26" s="668" t="s">
        <v>781</v>
      </c>
      <c r="O26" s="790">
        <f t="shared" si="1"/>
        <v>7.4999999999999997E-3</v>
      </c>
      <c r="P26" s="790"/>
      <c r="Q26" s="398"/>
      <c r="R26" s="407"/>
    </row>
    <row r="27" spans="2:21" ht="15" customHeight="1" x14ac:dyDescent="0.2">
      <c r="B27" s="397"/>
      <c r="C27" s="780" t="s">
        <v>882</v>
      </c>
      <c r="D27" s="781"/>
      <c r="E27" s="431">
        <v>0.38500000000000001</v>
      </c>
      <c r="F27" s="562">
        <v>2</v>
      </c>
      <c r="G27" s="563">
        <v>13.8</v>
      </c>
      <c r="H27" s="668" t="s">
        <v>774</v>
      </c>
      <c r="I27" s="435">
        <f t="shared" si="0"/>
        <v>35844.155844155845</v>
      </c>
      <c r="J27" s="668" t="s">
        <v>781</v>
      </c>
      <c r="K27" s="543"/>
      <c r="L27" s="668" t="s">
        <v>781</v>
      </c>
      <c r="M27" s="390">
        <f t="shared" si="2"/>
        <v>2964.3116883116882</v>
      </c>
      <c r="N27" s="668" t="s">
        <v>781</v>
      </c>
      <c r="O27" s="790">
        <f t="shared" si="1"/>
        <v>8.2699999999999996E-2</v>
      </c>
      <c r="P27" s="790"/>
      <c r="Q27" s="398"/>
      <c r="R27" s="407"/>
    </row>
    <row r="28" spans="2:21" ht="15" customHeight="1" x14ac:dyDescent="0.2">
      <c r="B28" s="397"/>
      <c r="C28" s="780" t="s">
        <v>883</v>
      </c>
      <c r="D28" s="781"/>
      <c r="E28" s="431">
        <v>5.5E-2</v>
      </c>
      <c r="F28" s="562">
        <v>1</v>
      </c>
      <c r="G28" s="563">
        <v>11.24</v>
      </c>
      <c r="H28" s="668" t="s">
        <v>774</v>
      </c>
      <c r="I28" s="435">
        <f t="shared" si="0"/>
        <v>204363.63636363635</v>
      </c>
      <c r="J28" s="668" t="s">
        <v>781</v>
      </c>
      <c r="K28" s="543"/>
      <c r="L28" s="668" t="s">
        <v>781</v>
      </c>
      <c r="M28" s="390">
        <f t="shared" si="2"/>
        <v>1205.7454545454545</v>
      </c>
      <c r="N28" s="668" t="s">
        <v>781</v>
      </c>
      <c r="O28" s="790">
        <f t="shared" si="1"/>
        <v>5.8999999999999999E-3</v>
      </c>
      <c r="P28" s="790"/>
      <c r="Q28" s="398"/>
      <c r="R28" s="407"/>
    </row>
    <row r="29" spans="2:21" ht="15" customHeight="1" x14ac:dyDescent="0.2">
      <c r="B29" s="397"/>
      <c r="C29" s="780" t="s">
        <v>884</v>
      </c>
      <c r="D29" s="781"/>
      <c r="E29" s="431">
        <v>7.7</v>
      </c>
      <c r="F29" s="562">
        <v>1</v>
      </c>
      <c r="G29" s="563"/>
      <c r="H29" s="668" t="s">
        <v>774</v>
      </c>
      <c r="I29" s="435">
        <f t="shared" si="0"/>
        <v>0</v>
      </c>
      <c r="J29" s="668" t="s">
        <v>781</v>
      </c>
      <c r="K29" s="543">
        <v>22181.9</v>
      </c>
      <c r="L29" s="668" t="s">
        <v>781</v>
      </c>
      <c r="M29" s="390">
        <f t="shared" si="2"/>
        <v>18335.558540000002</v>
      </c>
      <c r="N29" s="668" t="s">
        <v>781</v>
      </c>
      <c r="O29" s="790">
        <f t="shared" si="1"/>
        <v>0.8266</v>
      </c>
      <c r="P29" s="790"/>
      <c r="Q29" s="398"/>
      <c r="R29" s="407"/>
    </row>
    <row r="30" spans="2:21" ht="15" customHeight="1" x14ac:dyDescent="0.2">
      <c r="B30" s="397"/>
      <c r="C30" s="943" t="s">
        <v>921</v>
      </c>
      <c r="D30" s="944"/>
      <c r="E30" s="945">
        <v>0.47</v>
      </c>
      <c r="F30" s="946">
        <v>1</v>
      </c>
      <c r="G30" s="947">
        <v>9.6300000000000008</v>
      </c>
      <c r="H30" s="668" t="s">
        <v>774</v>
      </c>
      <c r="I30" s="435">
        <f t="shared" si="0"/>
        <v>20489.361702127662</v>
      </c>
      <c r="J30" s="668" t="s">
        <v>781</v>
      </c>
      <c r="K30" s="543"/>
      <c r="L30" s="668" t="s">
        <v>781</v>
      </c>
      <c r="M30" s="390">
        <f t="shared" si="2"/>
        <v>1034.7127659574471</v>
      </c>
      <c r="N30" s="668" t="s">
        <v>781</v>
      </c>
      <c r="O30" s="790">
        <f t="shared" si="1"/>
        <v>5.0500000000000003E-2</v>
      </c>
      <c r="P30" s="790"/>
      <c r="Q30" s="398"/>
      <c r="R30" s="407"/>
    </row>
    <row r="31" spans="2:21" ht="15" customHeight="1" x14ac:dyDescent="0.2">
      <c r="B31" s="397"/>
      <c r="C31" s="943" t="s">
        <v>922</v>
      </c>
      <c r="D31" s="944"/>
      <c r="E31" s="945">
        <v>0.05</v>
      </c>
      <c r="F31" s="946">
        <v>5</v>
      </c>
      <c r="G31" s="947">
        <v>1.1299999999999999</v>
      </c>
      <c r="H31" s="668" t="s">
        <v>774</v>
      </c>
      <c r="I31" s="435">
        <f t="shared" si="0"/>
        <v>22599.999999999996</v>
      </c>
      <c r="J31" s="668" t="s">
        <v>781</v>
      </c>
      <c r="K31" s="543"/>
      <c r="L31" s="668" t="s">
        <v>781</v>
      </c>
      <c r="M31" s="390">
        <f t="shared" si="2"/>
        <v>605.67999999999995</v>
      </c>
      <c r="N31" s="668" t="s">
        <v>781</v>
      </c>
      <c r="O31" s="790">
        <f t="shared" si="1"/>
        <v>2.6800000000000001E-2</v>
      </c>
      <c r="P31" s="790"/>
      <c r="Q31" s="398"/>
      <c r="R31" s="407"/>
    </row>
    <row r="32" spans="2:21" ht="15" customHeight="1" x14ac:dyDescent="0.2">
      <c r="B32" s="397"/>
      <c r="C32" s="780"/>
      <c r="D32" s="781"/>
      <c r="E32" s="431"/>
      <c r="F32" s="562"/>
      <c r="G32" s="563"/>
      <c r="H32" s="668" t="s">
        <v>774</v>
      </c>
      <c r="I32" s="435">
        <f t="shared" si="0"/>
        <v>0</v>
      </c>
      <c r="J32" s="668" t="s">
        <v>781</v>
      </c>
      <c r="K32" s="543"/>
      <c r="L32" s="668" t="s">
        <v>781</v>
      </c>
      <c r="M32" s="390">
        <f t="shared" si="2"/>
        <v>0</v>
      </c>
      <c r="N32" s="668" t="s">
        <v>781</v>
      </c>
      <c r="O32" s="790">
        <f t="shared" si="1"/>
        <v>0</v>
      </c>
      <c r="P32" s="790"/>
      <c r="Q32" s="398"/>
      <c r="R32" s="407"/>
    </row>
    <row r="33" spans="2:18" ht="15" customHeight="1" x14ac:dyDescent="0.2">
      <c r="B33" s="397"/>
      <c r="C33" s="780"/>
      <c r="D33" s="781"/>
      <c r="E33" s="431"/>
      <c r="F33" s="562"/>
      <c r="G33" s="563"/>
      <c r="H33" s="668" t="s">
        <v>774</v>
      </c>
      <c r="I33" s="435">
        <f t="shared" si="0"/>
        <v>0</v>
      </c>
      <c r="J33" s="668" t="s">
        <v>781</v>
      </c>
      <c r="K33" s="543"/>
      <c r="L33" s="668" t="s">
        <v>781</v>
      </c>
      <c r="M33" s="390">
        <f t="shared" si="2"/>
        <v>0</v>
      </c>
      <c r="N33" s="668" t="s">
        <v>781</v>
      </c>
      <c r="O33" s="790">
        <f t="shared" si="1"/>
        <v>0</v>
      </c>
      <c r="P33" s="790"/>
      <c r="Q33" s="398"/>
      <c r="R33" s="407"/>
    </row>
    <row r="34" spans="2:18" ht="15" customHeight="1" x14ac:dyDescent="0.2">
      <c r="B34" s="397"/>
      <c r="C34" s="780"/>
      <c r="D34" s="781"/>
      <c r="E34" s="431"/>
      <c r="F34" s="562"/>
      <c r="G34" s="563"/>
      <c r="H34" s="668" t="s">
        <v>774</v>
      </c>
      <c r="I34" s="435">
        <f t="shared" si="0"/>
        <v>0</v>
      </c>
      <c r="J34" s="668" t="s">
        <v>781</v>
      </c>
      <c r="K34" s="543"/>
      <c r="L34" s="668" t="s">
        <v>781</v>
      </c>
      <c r="M34" s="390">
        <f t="shared" si="2"/>
        <v>0</v>
      </c>
      <c r="N34" s="668" t="s">
        <v>781</v>
      </c>
      <c r="O34" s="790">
        <f t="shared" si="1"/>
        <v>0</v>
      </c>
      <c r="P34" s="790"/>
      <c r="Q34" s="398"/>
      <c r="R34" s="407"/>
    </row>
    <row r="35" spans="2:18" ht="15" customHeight="1" x14ac:dyDescent="0.2">
      <c r="B35" s="397"/>
      <c r="C35" s="780"/>
      <c r="D35" s="781"/>
      <c r="E35" s="431"/>
      <c r="F35" s="562"/>
      <c r="G35" s="563"/>
      <c r="H35" s="668" t="s">
        <v>774</v>
      </c>
      <c r="I35" s="435">
        <f t="shared" si="0"/>
        <v>0</v>
      </c>
      <c r="J35" s="668" t="s">
        <v>781</v>
      </c>
      <c r="K35" s="543"/>
      <c r="L35" s="668" t="s">
        <v>781</v>
      </c>
      <c r="M35" s="390">
        <f t="shared" si="2"/>
        <v>0</v>
      </c>
      <c r="N35" s="668" t="s">
        <v>781</v>
      </c>
      <c r="O35" s="790">
        <f t="shared" si="1"/>
        <v>0</v>
      </c>
      <c r="P35" s="790"/>
      <c r="Q35" s="398"/>
      <c r="R35" s="407"/>
    </row>
    <row r="36" spans="2:18" ht="15" customHeight="1" x14ac:dyDescent="0.2">
      <c r="B36" s="397"/>
      <c r="C36" s="780"/>
      <c r="D36" s="781"/>
      <c r="E36" s="431"/>
      <c r="F36" s="562"/>
      <c r="G36" s="563"/>
      <c r="H36" s="668" t="s">
        <v>774</v>
      </c>
      <c r="I36" s="435">
        <f t="shared" si="0"/>
        <v>0</v>
      </c>
      <c r="J36" s="668" t="s">
        <v>781</v>
      </c>
      <c r="K36" s="543"/>
      <c r="L36" s="668" t="s">
        <v>781</v>
      </c>
      <c r="M36" s="390">
        <f t="shared" si="2"/>
        <v>0</v>
      </c>
      <c r="N36" s="668" t="s">
        <v>781</v>
      </c>
      <c r="O36" s="790">
        <f t="shared" si="1"/>
        <v>0</v>
      </c>
      <c r="P36" s="790"/>
      <c r="Q36" s="398"/>
      <c r="R36" s="407"/>
    </row>
    <row r="37" spans="2:18" ht="15" customHeight="1" x14ac:dyDescent="0.2">
      <c r="B37" s="397"/>
      <c r="C37" s="780"/>
      <c r="D37" s="781"/>
      <c r="E37" s="431"/>
      <c r="F37" s="562"/>
      <c r="G37" s="563"/>
      <c r="H37" s="668" t="s">
        <v>774</v>
      </c>
      <c r="I37" s="435">
        <f t="shared" si="0"/>
        <v>0</v>
      </c>
      <c r="J37" s="668" t="s">
        <v>781</v>
      </c>
      <c r="K37" s="543"/>
      <c r="L37" s="668" t="s">
        <v>781</v>
      </c>
      <c r="M37" s="390">
        <f t="shared" si="2"/>
        <v>0</v>
      </c>
      <c r="N37" s="668" t="s">
        <v>781</v>
      </c>
      <c r="O37" s="790">
        <f t="shared" si="1"/>
        <v>0</v>
      </c>
      <c r="P37" s="790"/>
      <c r="Q37" s="398"/>
      <c r="R37" s="407"/>
    </row>
    <row r="38" spans="2:18" ht="15" customHeight="1" x14ac:dyDescent="0.2">
      <c r="B38" s="397"/>
      <c r="C38" s="780"/>
      <c r="D38" s="781"/>
      <c r="E38" s="431"/>
      <c r="F38" s="562"/>
      <c r="G38" s="563"/>
      <c r="H38" s="668" t="s">
        <v>774</v>
      </c>
      <c r="I38" s="435">
        <f t="shared" si="0"/>
        <v>0</v>
      </c>
      <c r="J38" s="668" t="s">
        <v>781</v>
      </c>
      <c r="K38" s="543"/>
      <c r="L38" s="668" t="s">
        <v>781</v>
      </c>
      <c r="M38" s="390">
        <f t="shared" si="2"/>
        <v>0</v>
      </c>
      <c r="N38" s="668" t="s">
        <v>781</v>
      </c>
      <c r="O38" s="790">
        <f t="shared" si="1"/>
        <v>0</v>
      </c>
      <c r="P38" s="790"/>
      <c r="Q38" s="398"/>
      <c r="R38" s="407"/>
    </row>
    <row r="39" spans="2:18" ht="15" customHeight="1" x14ac:dyDescent="0.2">
      <c r="B39" s="397"/>
      <c r="C39" s="780"/>
      <c r="D39" s="781"/>
      <c r="E39" s="431"/>
      <c r="F39" s="562"/>
      <c r="G39" s="563"/>
      <c r="H39" s="668" t="s">
        <v>774</v>
      </c>
      <c r="I39" s="435">
        <f t="shared" si="0"/>
        <v>0</v>
      </c>
      <c r="J39" s="668" t="s">
        <v>781</v>
      </c>
      <c r="K39" s="543"/>
      <c r="L39" s="668" t="s">
        <v>781</v>
      </c>
      <c r="M39" s="390">
        <f t="shared" si="2"/>
        <v>0</v>
      </c>
      <c r="N39" s="668" t="s">
        <v>781</v>
      </c>
      <c r="O39" s="790">
        <f t="shared" si="1"/>
        <v>0</v>
      </c>
      <c r="P39" s="790"/>
      <c r="Q39" s="398"/>
      <c r="R39" s="407"/>
    </row>
    <row r="40" spans="2:18" ht="15" customHeight="1" x14ac:dyDescent="0.2">
      <c r="B40" s="397"/>
      <c r="C40" s="780"/>
      <c r="D40" s="781"/>
      <c r="E40" s="431"/>
      <c r="F40" s="562"/>
      <c r="G40" s="563"/>
      <c r="H40" s="668" t="s">
        <v>774</v>
      </c>
      <c r="I40" s="435">
        <f t="shared" si="0"/>
        <v>0</v>
      </c>
      <c r="J40" s="668" t="s">
        <v>781</v>
      </c>
      <c r="K40" s="543"/>
      <c r="L40" s="668" t="s">
        <v>781</v>
      </c>
      <c r="M40" s="390">
        <f t="shared" si="2"/>
        <v>0</v>
      </c>
      <c r="N40" s="668" t="s">
        <v>781</v>
      </c>
      <c r="O40" s="790">
        <f t="shared" si="1"/>
        <v>0</v>
      </c>
      <c r="P40" s="790"/>
      <c r="Q40" s="398"/>
      <c r="R40" s="407"/>
    </row>
    <row r="41" spans="2:18" ht="15" customHeight="1" x14ac:dyDescent="0.2">
      <c r="B41" s="397"/>
      <c r="C41" s="780"/>
      <c r="D41" s="781"/>
      <c r="E41" s="431"/>
      <c r="F41" s="562"/>
      <c r="G41" s="563"/>
      <c r="H41" s="668" t="s">
        <v>774</v>
      </c>
      <c r="I41" s="435">
        <f t="shared" si="0"/>
        <v>0</v>
      </c>
      <c r="J41" s="668" t="s">
        <v>781</v>
      </c>
      <c r="K41" s="543"/>
      <c r="L41" s="668" t="s">
        <v>781</v>
      </c>
      <c r="M41" s="390">
        <f t="shared" si="2"/>
        <v>0</v>
      </c>
      <c r="N41" s="668" t="s">
        <v>781</v>
      </c>
      <c r="O41" s="790">
        <f t="shared" si="1"/>
        <v>0</v>
      </c>
      <c r="P41" s="790"/>
      <c r="Q41" s="398"/>
      <c r="R41" s="407"/>
    </row>
    <row r="42" spans="2:18" ht="15" customHeight="1" x14ac:dyDescent="0.2">
      <c r="B42" s="397"/>
      <c r="C42" s="780"/>
      <c r="D42" s="781"/>
      <c r="E42" s="431"/>
      <c r="F42" s="562"/>
      <c r="G42" s="563"/>
      <c r="H42" s="668" t="s">
        <v>774</v>
      </c>
      <c r="I42" s="435">
        <f t="shared" si="0"/>
        <v>0</v>
      </c>
      <c r="J42" s="668" t="s">
        <v>781</v>
      </c>
      <c r="K42" s="543"/>
      <c r="L42" s="668" t="s">
        <v>781</v>
      </c>
      <c r="M42" s="390">
        <f t="shared" si="2"/>
        <v>0</v>
      </c>
      <c r="N42" s="668" t="s">
        <v>781</v>
      </c>
      <c r="O42" s="790">
        <f t="shared" si="1"/>
        <v>0</v>
      </c>
      <c r="P42" s="790"/>
      <c r="Q42" s="398"/>
      <c r="R42" s="407"/>
    </row>
    <row r="43" spans="2:18" ht="15" customHeight="1" x14ac:dyDescent="0.2">
      <c r="B43" s="397"/>
      <c r="C43" s="780"/>
      <c r="D43" s="781"/>
      <c r="E43" s="431"/>
      <c r="F43" s="562"/>
      <c r="G43" s="563"/>
      <c r="H43" s="668" t="s">
        <v>774</v>
      </c>
      <c r="I43" s="435">
        <f t="shared" si="0"/>
        <v>0</v>
      </c>
      <c r="J43" s="668" t="s">
        <v>781</v>
      </c>
      <c r="K43" s="543"/>
      <c r="L43" s="668" t="s">
        <v>781</v>
      </c>
      <c r="M43" s="390">
        <f t="shared" si="2"/>
        <v>0</v>
      </c>
      <c r="N43" s="668" t="s">
        <v>781</v>
      </c>
      <c r="O43" s="790">
        <f t="shared" si="1"/>
        <v>0</v>
      </c>
      <c r="P43" s="790"/>
      <c r="Q43" s="398"/>
      <c r="R43" s="407"/>
    </row>
    <row r="44" spans="2:18" ht="15" customHeight="1" x14ac:dyDescent="0.2">
      <c r="B44" s="397"/>
      <c r="C44" s="780"/>
      <c r="D44" s="781"/>
      <c r="E44" s="431"/>
      <c r="F44" s="562"/>
      <c r="G44" s="563"/>
      <c r="H44" s="668" t="s">
        <v>774</v>
      </c>
      <c r="I44" s="435">
        <f t="shared" si="0"/>
        <v>0</v>
      </c>
      <c r="J44" s="668" t="s">
        <v>781</v>
      </c>
      <c r="K44" s="543"/>
      <c r="L44" s="668" t="s">
        <v>781</v>
      </c>
      <c r="M44" s="390">
        <f t="shared" si="2"/>
        <v>0</v>
      </c>
      <c r="N44" s="668" t="s">
        <v>781</v>
      </c>
      <c r="O44" s="790">
        <f t="shared" si="1"/>
        <v>0</v>
      </c>
      <c r="P44" s="790"/>
      <c r="Q44" s="398"/>
      <c r="R44" s="407"/>
    </row>
    <row r="45" spans="2:18" ht="15" customHeight="1" x14ac:dyDescent="0.2">
      <c r="B45" s="397"/>
      <c r="C45" s="780"/>
      <c r="D45" s="781"/>
      <c r="E45" s="431"/>
      <c r="F45" s="562"/>
      <c r="G45" s="563"/>
      <c r="H45" s="668" t="s">
        <v>774</v>
      </c>
      <c r="I45" s="435">
        <f t="shared" si="0"/>
        <v>0</v>
      </c>
      <c r="J45" s="668" t="s">
        <v>781</v>
      </c>
      <c r="K45" s="543"/>
      <c r="L45" s="668" t="s">
        <v>781</v>
      </c>
      <c r="M45" s="390">
        <f t="shared" si="2"/>
        <v>0</v>
      </c>
      <c r="N45" s="668" t="s">
        <v>781</v>
      </c>
      <c r="O45" s="790">
        <f t="shared" si="1"/>
        <v>0</v>
      </c>
      <c r="P45" s="790"/>
      <c r="Q45" s="398"/>
      <c r="R45" s="407"/>
    </row>
    <row r="46" spans="2:18" ht="15" customHeight="1" x14ac:dyDescent="0.2">
      <c r="B46" s="397"/>
      <c r="C46" s="780"/>
      <c r="D46" s="781"/>
      <c r="E46" s="431"/>
      <c r="F46" s="562"/>
      <c r="G46" s="563"/>
      <c r="H46" s="668" t="s">
        <v>774</v>
      </c>
      <c r="I46" s="435">
        <f t="shared" si="0"/>
        <v>0</v>
      </c>
      <c r="J46" s="668" t="s">
        <v>781</v>
      </c>
      <c r="K46" s="543"/>
      <c r="L46" s="668" t="s">
        <v>781</v>
      </c>
      <c r="M46" s="390">
        <f t="shared" si="2"/>
        <v>0</v>
      </c>
      <c r="N46" s="668" t="s">
        <v>781</v>
      </c>
      <c r="O46" s="790">
        <f t="shared" si="1"/>
        <v>0</v>
      </c>
      <c r="P46" s="790"/>
      <c r="Q46" s="398"/>
      <c r="R46" s="407"/>
    </row>
    <row r="47" spans="2:18" ht="15" customHeight="1" x14ac:dyDescent="0.2">
      <c r="B47" s="397"/>
      <c r="C47" s="780"/>
      <c r="D47" s="781"/>
      <c r="E47" s="431"/>
      <c r="F47" s="562"/>
      <c r="G47" s="563"/>
      <c r="H47" s="668" t="s">
        <v>774</v>
      </c>
      <c r="I47" s="435">
        <f t="shared" si="0"/>
        <v>0</v>
      </c>
      <c r="J47" s="668" t="s">
        <v>781</v>
      </c>
      <c r="K47" s="543"/>
      <c r="L47" s="668" t="s">
        <v>781</v>
      </c>
      <c r="M47" s="390">
        <f t="shared" si="2"/>
        <v>0</v>
      </c>
      <c r="N47" s="668" t="s">
        <v>781</v>
      </c>
      <c r="O47" s="790">
        <f t="shared" si="1"/>
        <v>0</v>
      </c>
      <c r="P47" s="790"/>
      <c r="Q47" s="398"/>
      <c r="R47" s="407"/>
    </row>
    <row r="48" spans="2:18" ht="15" customHeight="1" x14ac:dyDescent="0.2">
      <c r="B48" s="397"/>
      <c r="C48" s="780"/>
      <c r="D48" s="781"/>
      <c r="E48" s="431"/>
      <c r="F48" s="562"/>
      <c r="G48" s="563"/>
      <c r="H48" s="668" t="s">
        <v>774</v>
      </c>
      <c r="I48" s="435">
        <f t="shared" si="0"/>
        <v>0</v>
      </c>
      <c r="J48" s="668" t="s">
        <v>781</v>
      </c>
      <c r="K48" s="543"/>
      <c r="L48" s="668" t="s">
        <v>781</v>
      </c>
      <c r="M48" s="390">
        <f t="shared" si="2"/>
        <v>0</v>
      </c>
      <c r="N48" s="668" t="s">
        <v>781</v>
      </c>
      <c r="O48" s="790">
        <f t="shared" si="1"/>
        <v>0</v>
      </c>
      <c r="P48" s="790"/>
      <c r="Q48" s="398"/>
      <c r="R48" s="407"/>
    </row>
    <row r="49" spans="2:25" ht="15" customHeight="1" x14ac:dyDescent="0.2">
      <c r="B49" s="397"/>
      <c r="C49" s="780"/>
      <c r="D49" s="781"/>
      <c r="E49" s="431"/>
      <c r="F49" s="562"/>
      <c r="G49" s="563"/>
      <c r="H49" s="668" t="s">
        <v>774</v>
      </c>
      <c r="I49" s="435">
        <f t="shared" si="0"/>
        <v>0</v>
      </c>
      <c r="J49" s="668" t="s">
        <v>781</v>
      </c>
      <c r="K49" s="543"/>
      <c r="L49" s="668" t="s">
        <v>781</v>
      </c>
      <c r="M49" s="390">
        <f t="shared" si="2"/>
        <v>0</v>
      </c>
      <c r="N49" s="668" t="s">
        <v>781</v>
      </c>
      <c r="O49" s="790">
        <f t="shared" si="1"/>
        <v>0</v>
      </c>
      <c r="P49" s="790"/>
      <c r="Q49" s="398"/>
      <c r="R49" s="407"/>
    </row>
    <row r="50" spans="2:25" ht="15" customHeight="1" x14ac:dyDescent="0.2">
      <c r="B50" s="397"/>
      <c r="C50" s="538"/>
      <c r="D50" s="538"/>
      <c r="E50" s="538"/>
      <c r="F50" s="538"/>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666"/>
      <c r="I54" s="409">
        <v>280</v>
      </c>
      <c r="J54" s="668" t="s">
        <v>785</v>
      </c>
      <c r="K54" s="782">
        <v>400</v>
      </c>
      <c r="L54" s="783"/>
      <c r="M54" s="556" t="s">
        <v>785</v>
      </c>
      <c r="N54" s="565">
        <v>800</v>
      </c>
      <c r="O54" s="797" t="s">
        <v>783</v>
      </c>
      <c r="P54" s="798"/>
      <c r="Q54" s="403"/>
    </row>
    <row r="55" spans="2:25" s="385" customFormat="1" ht="15" customHeight="1" x14ac:dyDescent="0.2">
      <c r="B55" s="402"/>
      <c r="C55" s="666"/>
      <c r="D55" s="666"/>
      <c r="E55" s="666"/>
      <c r="F55" s="538"/>
      <c r="K55" s="538"/>
      <c r="L55" s="538"/>
      <c r="M55" s="538"/>
      <c r="N55" s="538"/>
      <c r="O55" s="666"/>
      <c r="P55" s="666"/>
      <c r="Q55" s="403"/>
    </row>
    <row r="56" spans="2:25" ht="15" customHeight="1" x14ac:dyDescent="0.2">
      <c r="B56" s="397"/>
      <c r="C56" s="721" t="s">
        <v>698</v>
      </c>
      <c r="D56" s="722"/>
      <c r="E56" s="407"/>
      <c r="F56" s="538"/>
      <c r="G56" s="538"/>
      <c r="H56" s="383"/>
      <c r="I56" s="383"/>
      <c r="K56" s="784" t="s">
        <v>64</v>
      </c>
      <c r="L56" s="784"/>
      <c r="M56" s="784" t="s">
        <v>789</v>
      </c>
      <c r="N56" s="784"/>
      <c r="O56" s="689" t="s">
        <v>583</v>
      </c>
      <c r="P56" s="689"/>
      <c r="Q56" s="398"/>
      <c r="W56" s="407"/>
      <c r="X56" s="407"/>
      <c r="Y56" s="407"/>
    </row>
    <row r="57" spans="2:25" ht="15" customHeight="1" x14ac:dyDescent="0.2">
      <c r="B57" s="397"/>
      <c r="E57" s="383"/>
      <c r="F57" s="538"/>
      <c r="G57" s="383"/>
      <c r="H57" s="383"/>
      <c r="I57" s="383"/>
      <c r="K57" s="409">
        <v>100</v>
      </c>
      <c r="L57" s="556" t="s">
        <v>292</v>
      </c>
      <c r="M57" s="409">
        <v>2</v>
      </c>
      <c r="N57" s="556" t="s">
        <v>653</v>
      </c>
      <c r="O57" s="409">
        <v>1</v>
      </c>
      <c r="P57" s="668" t="s">
        <v>728</v>
      </c>
      <c r="Q57" s="398"/>
      <c r="W57" s="407"/>
      <c r="X57" s="407"/>
      <c r="Y57" s="407"/>
    </row>
    <row r="58" spans="2:25" ht="15" customHeight="1" x14ac:dyDescent="0.2">
      <c r="B58" s="397"/>
      <c r="E58" s="538"/>
      <c r="F58" s="538"/>
      <c r="G58" s="383"/>
      <c r="H58" s="383"/>
      <c r="I58" s="383"/>
      <c r="J58" s="552"/>
      <c r="K58" s="552"/>
      <c r="L58" s="552"/>
      <c r="M58" s="552"/>
      <c r="N58" s="552"/>
      <c r="O58" s="409">
        <v>120</v>
      </c>
      <c r="P58" s="668" t="s">
        <v>664</v>
      </c>
      <c r="Q58" s="398"/>
      <c r="S58" s="407"/>
      <c r="T58" s="407"/>
      <c r="U58" s="407"/>
      <c r="V58" s="407"/>
      <c r="W58" s="407"/>
      <c r="X58" s="407"/>
      <c r="Y58" s="407"/>
    </row>
    <row r="59" spans="2:25" ht="15" customHeight="1" x14ac:dyDescent="0.2">
      <c r="B59" s="397"/>
      <c r="C59" s="456"/>
      <c r="D59" s="456"/>
      <c r="E59" s="456"/>
      <c r="F59" s="417"/>
      <c r="G59" s="418"/>
      <c r="H59" s="418"/>
      <c r="I59" s="418"/>
      <c r="J59" s="553"/>
      <c r="K59" s="685" t="s">
        <v>814</v>
      </c>
      <c r="L59" s="685"/>
      <c r="M59" s="685" t="s">
        <v>804</v>
      </c>
      <c r="N59" s="685"/>
      <c r="Q59" s="398"/>
      <c r="W59" s="407"/>
      <c r="X59" s="407"/>
      <c r="Y59" s="407"/>
    </row>
    <row r="60" spans="2:25" ht="15" customHeight="1" x14ac:dyDescent="0.2">
      <c r="B60" s="397"/>
      <c r="C60" s="383"/>
      <c r="D60" s="383"/>
      <c r="E60" s="383"/>
      <c r="F60" s="383"/>
      <c r="G60" s="383"/>
      <c r="H60" s="383"/>
      <c r="I60" s="383"/>
      <c r="J60" s="552"/>
      <c r="K60" s="614">
        <v>8.48</v>
      </c>
      <c r="L60" s="556" t="s">
        <v>653</v>
      </c>
      <c r="M60" s="687">
        <v>1</v>
      </c>
      <c r="N60" s="687"/>
      <c r="Q60" s="398"/>
      <c r="W60" s="407"/>
      <c r="X60" s="407"/>
      <c r="Y60" s="407"/>
    </row>
    <row r="61" spans="2:25" ht="15" customHeight="1" x14ac:dyDescent="0.2">
      <c r="B61" s="397"/>
      <c r="C61" s="383"/>
      <c r="D61" s="383"/>
      <c r="E61" s="383"/>
      <c r="F61" s="383"/>
      <c r="G61" s="383"/>
      <c r="H61" s="383"/>
      <c r="I61" s="383"/>
      <c r="J61" s="552"/>
      <c r="K61" s="554"/>
      <c r="L61" s="554"/>
      <c r="M61" s="554"/>
      <c r="N61" s="554"/>
      <c r="O61" s="554"/>
      <c r="P61" s="554"/>
      <c r="Q61" s="398"/>
      <c r="S61" s="407"/>
      <c r="T61" s="407"/>
      <c r="U61" s="407"/>
      <c r="V61" s="407"/>
      <c r="W61" s="407"/>
      <c r="X61" s="407"/>
      <c r="Y61" s="407"/>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s="407"/>
      <c r="T62" s="407"/>
      <c r="U62" s="407"/>
      <c r="V62" s="407"/>
      <c r="W62" s="407"/>
      <c r="X62" s="407"/>
      <c r="Y62" s="407"/>
    </row>
    <row r="63" spans="2:25" ht="15" customHeight="1" x14ac:dyDescent="0.2">
      <c r="B63" s="397"/>
      <c r="C63" s="383"/>
      <c r="D63" s="383"/>
      <c r="E63" s="383"/>
      <c r="F63" s="383"/>
      <c r="G63" s="383"/>
      <c r="H63" s="383"/>
      <c r="I63" s="383"/>
      <c r="J63" s="552"/>
      <c r="K63" s="558">
        <f>(60*N54)/200</f>
        <v>240</v>
      </c>
      <c r="L63" s="556" t="s">
        <v>785</v>
      </c>
      <c r="M63" s="558">
        <f>SUM(K63,K54,I54)</f>
        <v>920</v>
      </c>
      <c r="N63" s="556" t="s">
        <v>785</v>
      </c>
      <c r="O63" s="558">
        <f>M63/60</f>
        <v>15.333333333333334</v>
      </c>
      <c r="P63" s="556" t="s">
        <v>788</v>
      </c>
      <c r="Q63" s="398"/>
      <c r="S63" s="407"/>
      <c r="T63" s="407"/>
      <c r="U63" s="407"/>
      <c r="V63" s="407"/>
      <c r="W63" s="407"/>
      <c r="X63" s="407"/>
      <c r="Y63" s="407"/>
    </row>
    <row r="64" spans="2:25" ht="15" customHeight="1" x14ac:dyDescent="0.2">
      <c r="B64" s="397"/>
      <c r="C64" s="383"/>
      <c r="D64" s="383"/>
      <c r="E64" s="383"/>
      <c r="F64" s="383"/>
      <c r="G64" s="383"/>
      <c r="H64" s="383"/>
      <c r="I64" s="383"/>
      <c r="J64" s="552"/>
      <c r="K64" s="554"/>
      <c r="L64" s="554"/>
      <c r="M64" s="554"/>
      <c r="N64" s="554"/>
      <c r="O64" s="553"/>
      <c r="P64" s="553"/>
      <c r="Q64" s="398"/>
      <c r="S64" s="407"/>
      <c r="T64" s="407"/>
      <c r="U64" s="407"/>
      <c r="V64" s="407"/>
      <c r="W64" s="407"/>
      <c r="X64" s="407"/>
      <c r="Y64" s="407"/>
    </row>
    <row r="65" spans="2:25" ht="15" customHeight="1" x14ac:dyDescent="0.2">
      <c r="B65" s="397"/>
      <c r="C65" s="383"/>
      <c r="D65" s="383"/>
      <c r="E65" s="383"/>
      <c r="F65" s="383"/>
      <c r="G65" s="383"/>
      <c r="H65" s="383"/>
      <c r="I65" s="379"/>
      <c r="J65" s="555"/>
      <c r="K65" s="784" t="s">
        <v>697</v>
      </c>
      <c r="L65" s="784"/>
      <c r="Q65" s="398"/>
      <c r="S65" s="407"/>
      <c r="T65" s="407"/>
      <c r="U65" s="407"/>
      <c r="V65" s="407"/>
      <c r="W65" s="407"/>
      <c r="X65" s="407"/>
      <c r="Y65" s="407"/>
    </row>
    <row r="66" spans="2:25" ht="15" customHeight="1" x14ac:dyDescent="0.2">
      <c r="B66" s="397"/>
      <c r="C66" s="383"/>
      <c r="D66" s="383"/>
      <c r="E66" s="383"/>
      <c r="F66" s="383"/>
      <c r="G66" s="383"/>
      <c r="H66" s="383"/>
      <c r="I66" s="379"/>
      <c r="J66" s="555"/>
      <c r="K66" s="558">
        <v>0.5</v>
      </c>
      <c r="L66" s="556" t="s">
        <v>653</v>
      </c>
      <c r="Q66" s="398"/>
      <c r="S66" s="407"/>
      <c r="T66" s="407"/>
      <c r="U66" s="407"/>
      <c r="V66" s="407"/>
      <c r="W66" s="407"/>
      <c r="X66" s="407"/>
      <c r="Y66" s="407"/>
    </row>
    <row r="67" spans="2:25" ht="15" customHeight="1" x14ac:dyDescent="0.2">
      <c r="B67" s="397"/>
      <c r="C67" s="383"/>
      <c r="D67" s="383"/>
      <c r="E67" s="383"/>
      <c r="F67" s="383"/>
      <c r="G67" s="383"/>
      <c r="H67" s="383"/>
      <c r="I67" s="379"/>
      <c r="J67" s="555"/>
      <c r="K67" s="552"/>
      <c r="L67" s="552"/>
      <c r="M67" s="552"/>
      <c r="N67" s="552"/>
      <c r="O67" s="552"/>
      <c r="P67" s="552"/>
      <c r="Q67" s="398"/>
      <c r="S67" s="407"/>
      <c r="T67" s="407"/>
      <c r="U67" s="407"/>
      <c r="V67" s="407"/>
      <c r="W67" s="407"/>
      <c r="X67" s="407"/>
      <c r="Y67" s="40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s="407"/>
      <c r="T68" s="407"/>
      <c r="U68" s="407"/>
      <c r="V68" s="407"/>
      <c r="W68" s="407"/>
      <c r="X68" s="407"/>
      <c r="Y68" s="407"/>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0.62</v>
      </c>
      <c r="N69" s="556" t="s">
        <v>292</v>
      </c>
      <c r="O69" s="558">
        <f>SUM(K69,M69)</f>
        <v>0.62</v>
      </c>
      <c r="P69" s="556" t="s">
        <v>292</v>
      </c>
      <c r="Q69" s="398"/>
      <c r="S69" s="407"/>
      <c r="T69" s="407"/>
      <c r="U69" s="407"/>
      <c r="V69" s="407"/>
      <c r="W69" s="407"/>
      <c r="X69" s="407"/>
      <c r="Y69" s="407"/>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20</v>
      </c>
      <c r="L72" s="556" t="s">
        <v>654</v>
      </c>
      <c r="M72" s="558">
        <f>IFERROR(M63/(K18)/60*1000*((1+(100-K57)/100)),0)</f>
        <v>1646.0905349794236</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41.152263374485592</v>
      </c>
      <c r="L75" s="556" t="s">
        <v>653</v>
      </c>
      <c r="M75" s="558">
        <f>IFERROR(K75/(K60*M60),0)</f>
        <v>4.8528612469912256</v>
      </c>
      <c r="N75" s="556" t="s">
        <v>657</v>
      </c>
      <c r="O75" s="558">
        <f>IFERROR(((M72*O17/60)+K66)/(K60*M60),0)</f>
        <v>4.9118235111421686</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8"/>
      <c r="D80" s="538"/>
      <c r="E80" s="538"/>
      <c r="F80" s="538"/>
      <c r="G80" s="538"/>
      <c r="H80" s="538"/>
      <c r="I80" s="538"/>
      <c r="J80" s="538"/>
      <c r="K80" s="538"/>
      <c r="L80" s="538"/>
      <c r="M80" s="538"/>
      <c r="N80" s="538"/>
      <c r="O80" s="538"/>
      <c r="P80" s="538"/>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B86:C86"/>
    <mergeCell ref="D86:L86"/>
    <mergeCell ref="M86:O86"/>
    <mergeCell ref="P86:Q86"/>
    <mergeCell ref="K74:L74"/>
    <mergeCell ref="M74:N74"/>
    <mergeCell ref="O74:P74"/>
    <mergeCell ref="K77:P78"/>
    <mergeCell ref="B85:C85"/>
    <mergeCell ref="D85:L85"/>
    <mergeCell ref="M85:O85"/>
    <mergeCell ref="P85:Q85"/>
    <mergeCell ref="K65:L65"/>
    <mergeCell ref="K68:L68"/>
    <mergeCell ref="M68:N68"/>
    <mergeCell ref="O68:P68"/>
    <mergeCell ref="K71:L71"/>
    <mergeCell ref="M71:N71"/>
    <mergeCell ref="K59:L59"/>
    <mergeCell ref="M59:N59"/>
    <mergeCell ref="M60:N60"/>
    <mergeCell ref="K62:L62"/>
    <mergeCell ref="M62:N62"/>
    <mergeCell ref="O62:P62"/>
    <mergeCell ref="C54:E54"/>
    <mergeCell ref="K54:L54"/>
    <mergeCell ref="O54:P54"/>
    <mergeCell ref="C56:D56"/>
    <mergeCell ref="K56:L56"/>
    <mergeCell ref="M56:N56"/>
    <mergeCell ref="O56:P56"/>
    <mergeCell ref="C49:D49"/>
    <mergeCell ref="O49:P49"/>
    <mergeCell ref="C51:P51"/>
    <mergeCell ref="C53:D53"/>
    <mergeCell ref="I53:J53"/>
    <mergeCell ref="K53:M53"/>
    <mergeCell ref="N53:P53"/>
    <mergeCell ref="C46:D46"/>
    <mergeCell ref="O46:P46"/>
    <mergeCell ref="C47:D47"/>
    <mergeCell ref="O47:P47"/>
    <mergeCell ref="C48:D48"/>
    <mergeCell ref="O48:P48"/>
    <mergeCell ref="C43:D43"/>
    <mergeCell ref="O43:P43"/>
    <mergeCell ref="C44:D44"/>
    <mergeCell ref="O44:P44"/>
    <mergeCell ref="C45:D45"/>
    <mergeCell ref="O45:P45"/>
    <mergeCell ref="C40:D40"/>
    <mergeCell ref="O40:P40"/>
    <mergeCell ref="C41:D41"/>
    <mergeCell ref="O41:P41"/>
    <mergeCell ref="C42:D42"/>
    <mergeCell ref="O42:P42"/>
    <mergeCell ref="C37:D37"/>
    <mergeCell ref="O37:P37"/>
    <mergeCell ref="C38:D38"/>
    <mergeCell ref="O38:P38"/>
    <mergeCell ref="C39:D39"/>
    <mergeCell ref="O39:P39"/>
    <mergeCell ref="C34:D34"/>
    <mergeCell ref="O34:P34"/>
    <mergeCell ref="C35:D35"/>
    <mergeCell ref="O35:P35"/>
    <mergeCell ref="C36:D36"/>
    <mergeCell ref="O36:P36"/>
    <mergeCell ref="C31:D31"/>
    <mergeCell ref="O31:P31"/>
    <mergeCell ref="C32:D32"/>
    <mergeCell ref="O32:P32"/>
    <mergeCell ref="C33:D33"/>
    <mergeCell ref="O33:P33"/>
    <mergeCell ref="C28:D28"/>
    <mergeCell ref="O28:P28"/>
    <mergeCell ref="C29:D29"/>
    <mergeCell ref="O29:P29"/>
    <mergeCell ref="C30:D30"/>
    <mergeCell ref="O30:P30"/>
    <mergeCell ref="C25:D25"/>
    <mergeCell ref="O25:P25"/>
    <mergeCell ref="C26:D26"/>
    <mergeCell ref="O26:P26"/>
    <mergeCell ref="C27:D27"/>
    <mergeCell ref="O27:P27"/>
    <mergeCell ref="C21:D21"/>
    <mergeCell ref="C23:P23"/>
    <mergeCell ref="C24:D24"/>
    <mergeCell ref="G24:H24"/>
    <mergeCell ref="I24:J24"/>
    <mergeCell ref="K24:L24"/>
    <mergeCell ref="M24:N24"/>
    <mergeCell ref="O24:P24"/>
    <mergeCell ref="C15:P15"/>
    <mergeCell ref="C17:E17"/>
    <mergeCell ref="K17:L17"/>
    <mergeCell ref="C19:E19"/>
    <mergeCell ref="C20:D20"/>
    <mergeCell ref="K20:L20"/>
    <mergeCell ref="C11:D11"/>
    <mergeCell ref="E11:J11"/>
    <mergeCell ref="C12:D12"/>
    <mergeCell ref="E12:J12"/>
    <mergeCell ref="C13:D13"/>
    <mergeCell ref="E13:J13"/>
    <mergeCell ref="O2:P2"/>
    <mergeCell ref="C3:F5"/>
    <mergeCell ref="G3:P5"/>
    <mergeCell ref="C8:D8"/>
    <mergeCell ref="E8:F9"/>
    <mergeCell ref="H8:I8"/>
    <mergeCell ref="J8:L9"/>
    <mergeCell ref="N8:P8"/>
  </mergeCells>
  <conditionalFormatting sqref="O18:P18">
    <cfRule type="containsText" dxfId="157" priority="7" stopIfTrue="1" operator="containsText" text="FALSO">
      <formula>NOT(ISERROR(SEARCH("FALSO",O18)))</formula>
    </cfRule>
  </conditionalFormatting>
  <conditionalFormatting sqref="P20">
    <cfRule type="containsText" dxfId="156" priority="6" stopIfTrue="1" operator="containsText" text="FALSO">
      <formula>NOT(ISERROR(SEARCH("FALSO",P20)))</formula>
    </cfRule>
  </conditionalFormatting>
  <conditionalFormatting sqref="K18:L18">
    <cfRule type="containsText" dxfId="155" priority="5" stopIfTrue="1" operator="containsText" text="FALSO">
      <formula>NOT(ISERROR(SEARCH("FALSO",K18)))</formula>
    </cfRule>
  </conditionalFormatting>
  <conditionalFormatting sqref="P21">
    <cfRule type="containsText" dxfId="154" priority="4" stopIfTrue="1" operator="containsText" text="FALSO">
      <formula>NOT(ISERROR(SEARCH("FALSO",P21)))</formula>
    </cfRule>
  </conditionalFormatting>
  <conditionalFormatting sqref="K21:L21">
    <cfRule type="containsText" dxfId="153" priority="3" stopIfTrue="1" operator="containsText" text="FALSO">
      <formula>NOT(ISERROR(SEARCH("FALSO",K21)))</formula>
    </cfRule>
  </conditionalFormatting>
  <conditionalFormatting sqref="I19">
    <cfRule type="containsText" dxfId="152" priority="2" stopIfTrue="1" operator="containsText" text="FALSO">
      <formula>NOT(ISERROR(SEARCH("FALSO",I19)))</formula>
    </cfRule>
  </conditionalFormatting>
  <conditionalFormatting sqref="I20">
    <cfRule type="containsText" dxfId="151" priority="1" stopIfTrue="1" operator="containsText" text="FALSO">
      <formula>NOT(ISERROR(SEARCH("FALSO",I20)))</formula>
    </cfRule>
  </conditionalFormatting>
  <dataValidations count="3">
    <dataValidation type="list" allowBlank="1" showInputMessage="1" showErrorMessage="1" sqref="I19">
      <formula1>"R$/PC,R$/Ton"</formula1>
    </dataValidation>
    <dataValidation allowBlank="1" showInputMessage="1" showErrorMessage="1" errorTitle="Erro" sqref="E52:F52 F59 O56 M74 K74 K62 N64 E16:F16 M62 O62"/>
    <dataValidation type="list" allowBlank="1" showInputMessage="1" showErrorMessage="1" sqref="P20">
      <formula1>"Peça/mês,Ton/mês"</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87394" r:id="rId5" name="Option Button 2">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87395" r:id="rId6" name="Check Box 3">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'Listas de Dados'!$AH$17:$AH$21</xm:f>
          </x14:formula1>
          <xm:sqref>C54:E54</xm:sqref>
        </x14:dataValidation>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onf">
    <tabColor theme="1"/>
  </sheetPr>
  <dimension ref="B1:Z186"/>
  <sheetViews>
    <sheetView showGridLines="0" showRowColHeaders="0" zoomScaleNormal="100" zoomScaleSheetLayoutView="85" workbookViewId="0">
      <selection activeCell="G35" sqref="G35"/>
    </sheetView>
  </sheetViews>
  <sheetFormatPr defaultColWidth="9.140625" defaultRowHeight="12.75" outlineLevelRow="2" x14ac:dyDescent="0.2"/>
  <cols>
    <col min="1" max="1" width="8.85546875" style="384" customWidth="1"/>
    <col min="2" max="2" width="2.7109375" style="384" customWidth="1"/>
    <col min="3" max="3" width="9.140625" style="384"/>
    <col min="4" max="4" width="9.28515625" style="384" bestFit="1" customWidth="1"/>
    <col min="5" max="5" width="11.5703125" style="384" bestFit="1" customWidth="1"/>
    <col min="6" max="6" width="9.28515625" style="384" bestFit="1" customWidth="1"/>
    <col min="7" max="7" width="9.140625" style="384"/>
    <col min="8" max="8" width="10.42578125" style="384" bestFit="1" customWidth="1"/>
    <col min="9" max="9" width="9.28515625" style="384" bestFit="1" customWidth="1"/>
    <col min="10" max="11" width="9.140625" style="384" customWidth="1"/>
    <col min="12" max="12" width="10.42578125" style="384" bestFit="1" customWidth="1"/>
    <col min="13" max="13" width="9.28515625" style="384" bestFit="1" customWidth="1"/>
    <col min="14" max="14" width="10.42578125" style="384" bestFit="1" customWidth="1"/>
    <col min="15" max="15" width="9.5703125" style="384" bestFit="1" customWidth="1"/>
    <col min="16" max="16" width="10.42578125" style="384" bestFit="1" customWidth="1"/>
    <col min="17" max="17" width="2.7109375" style="384" customWidth="1"/>
    <col min="18" max="18" width="3.5703125" style="384" customWidth="1"/>
    <col min="19" max="19" width="12.7109375" style="384" customWidth="1"/>
    <col min="20" max="23" width="10.7109375" style="384" customWidth="1"/>
    <col min="24" max="24" width="15.140625" style="384" bestFit="1" customWidth="1"/>
    <col min="25" max="25" width="11.7109375" style="384" customWidth="1"/>
    <col min="26" max="16384" width="9.140625" style="384"/>
  </cols>
  <sheetData>
    <row r="1" spans="2:21" ht="13.5" thickBot="1" x14ac:dyDescent="0.25">
      <c r="B1" s="383"/>
      <c r="C1" s="383"/>
      <c r="D1" s="383"/>
      <c r="E1" s="383"/>
      <c r="F1" s="383"/>
      <c r="G1" s="383"/>
      <c r="H1" s="383"/>
      <c r="I1" s="383"/>
      <c r="J1" s="383"/>
      <c r="K1" s="383"/>
      <c r="L1" s="383"/>
      <c r="M1" s="383"/>
      <c r="N1" s="383"/>
      <c r="O1" s="383"/>
      <c r="P1" s="383"/>
      <c r="Q1" s="383"/>
    </row>
    <row r="2" spans="2:21" ht="13.5" customHeight="1" x14ac:dyDescent="0.2">
      <c r="B2" s="394"/>
      <c r="C2" s="395"/>
      <c r="D2" s="395"/>
      <c r="E2" s="395"/>
      <c r="F2" s="395"/>
      <c r="G2" s="395"/>
      <c r="H2" s="395"/>
      <c r="I2" s="395"/>
      <c r="J2" s="395"/>
      <c r="K2" s="395"/>
      <c r="L2" s="395"/>
      <c r="M2" s="395"/>
      <c r="N2" s="395"/>
      <c r="O2" s="700" t="str">
        <f>LOOKUP(2,1/($B$164:B186&lt;&gt;""),$B$164:B186)&amp;"_"&amp;TEXT(LOOKUP(2,1/(P164:P186&lt;&gt;""),P164:P186),"aaaa")</f>
        <v>Versão 2.0_2022</v>
      </c>
      <c r="P2" s="700"/>
      <c r="Q2" s="396"/>
    </row>
    <row r="3" spans="2:21" ht="15" customHeight="1" x14ac:dyDescent="0.2">
      <c r="B3" s="397"/>
      <c r="C3" s="701"/>
      <c r="D3" s="702"/>
      <c r="E3" s="702"/>
      <c r="F3" s="702"/>
      <c r="G3" s="707" t="s">
        <v>696</v>
      </c>
      <c r="H3" s="707"/>
      <c r="I3" s="707"/>
      <c r="J3" s="707"/>
      <c r="K3" s="707"/>
      <c r="L3" s="707"/>
      <c r="M3" s="707"/>
      <c r="N3" s="707"/>
      <c r="O3" s="707"/>
      <c r="P3" s="707"/>
      <c r="Q3" s="398"/>
    </row>
    <row r="4" spans="2:21" ht="15" customHeight="1" x14ac:dyDescent="0.2">
      <c r="B4" s="397"/>
      <c r="C4" s="703"/>
      <c r="D4" s="704"/>
      <c r="E4" s="704"/>
      <c r="F4" s="704"/>
      <c r="G4" s="707"/>
      <c r="H4" s="707"/>
      <c r="I4" s="707"/>
      <c r="J4" s="707"/>
      <c r="K4" s="707"/>
      <c r="L4" s="707"/>
      <c r="M4" s="707"/>
      <c r="N4" s="707"/>
      <c r="O4" s="707"/>
      <c r="P4" s="707"/>
      <c r="Q4" s="398"/>
    </row>
    <row r="5" spans="2:21" ht="15" customHeight="1" x14ac:dyDescent="0.2">
      <c r="B5" s="397"/>
      <c r="C5" s="705"/>
      <c r="D5" s="706"/>
      <c r="E5" s="706"/>
      <c r="F5" s="706"/>
      <c r="G5" s="707"/>
      <c r="H5" s="707"/>
      <c r="I5" s="707"/>
      <c r="J5" s="707"/>
      <c r="K5" s="707"/>
      <c r="L5" s="707"/>
      <c r="M5" s="707"/>
      <c r="N5" s="707"/>
      <c r="O5" s="707"/>
      <c r="P5" s="707"/>
      <c r="Q5" s="398"/>
    </row>
    <row r="6" spans="2:21" ht="5.0999999999999996" customHeight="1" x14ac:dyDescent="0.2">
      <c r="B6" s="397"/>
      <c r="C6" s="383"/>
      <c r="D6" s="383"/>
      <c r="E6" s="383"/>
      <c r="F6" s="383"/>
      <c r="G6" s="383"/>
      <c r="H6" s="383"/>
      <c r="I6" s="383"/>
      <c r="J6" s="383"/>
      <c r="K6" s="383"/>
      <c r="L6" s="383"/>
      <c r="M6" s="383"/>
      <c r="N6" s="383"/>
      <c r="O6" s="383"/>
      <c r="P6" s="383"/>
      <c r="Q6" s="398"/>
    </row>
    <row r="7" spans="2:21" ht="5.0999999999999996" customHeight="1" x14ac:dyDescent="0.2">
      <c r="B7" s="397"/>
      <c r="C7" s="383"/>
      <c r="D7" s="383"/>
      <c r="E7" s="383"/>
      <c r="F7" s="383"/>
      <c r="G7" s="383"/>
      <c r="H7" s="383"/>
      <c r="I7" s="383"/>
      <c r="J7" s="383"/>
      <c r="K7" s="383"/>
      <c r="L7" s="383"/>
      <c r="M7" s="383"/>
      <c r="N7" s="383"/>
      <c r="O7" s="383"/>
      <c r="P7" s="383"/>
      <c r="Q7" s="398"/>
    </row>
    <row r="8" spans="2:21" ht="15" customHeight="1" x14ac:dyDescent="0.2">
      <c r="B8" s="397"/>
      <c r="C8" s="693" t="s">
        <v>692</v>
      </c>
      <c r="D8" s="693"/>
      <c r="E8" s="711" t="str">
        <f ca="1">IFERROR(MID(CELL("nome.arquivo",A1),FIND("]",CELL("nome.arquivo",A1))+1,LEN(CELL("nome.arquivo",A1) )),"{Salvar Este Arquivo}")</f>
        <v>PJT XXXX</v>
      </c>
      <c r="F8" s="711"/>
      <c r="G8" s="141"/>
      <c r="H8" s="693" t="s">
        <v>695</v>
      </c>
      <c r="I8" s="693"/>
      <c r="J8" s="712"/>
      <c r="K8" s="712"/>
      <c r="L8" s="712"/>
      <c r="M8" s="383"/>
      <c r="N8" s="708" t="s">
        <v>613</v>
      </c>
      <c r="O8" s="709"/>
      <c r="P8" s="710"/>
      <c r="Q8" s="398"/>
    </row>
    <row r="9" spans="2:21" ht="15" customHeight="1" x14ac:dyDescent="0.2">
      <c r="B9" s="397"/>
      <c r="C9" s="383"/>
      <c r="D9" s="383"/>
      <c r="E9" s="711"/>
      <c r="F9" s="711"/>
      <c r="G9" s="141"/>
      <c r="H9" s="383"/>
      <c r="I9" s="383"/>
      <c r="J9" s="712"/>
      <c r="K9" s="712"/>
      <c r="L9" s="712"/>
      <c r="M9" s="383"/>
      <c r="N9" s="410"/>
      <c r="O9" s="419" t="s">
        <v>615</v>
      </c>
      <c r="P9" s="420"/>
      <c r="Q9" s="398"/>
    </row>
    <row r="10" spans="2:21" ht="15" customHeight="1" x14ac:dyDescent="0.2">
      <c r="B10" s="397"/>
      <c r="C10" s="383"/>
      <c r="D10" s="383"/>
      <c r="E10" s="383"/>
      <c r="F10" s="383"/>
      <c r="G10" s="383"/>
      <c r="H10" s="383"/>
      <c r="I10" s="383"/>
      <c r="J10" s="383"/>
      <c r="K10" s="383"/>
      <c r="L10" s="383"/>
      <c r="M10" s="383"/>
      <c r="N10" s="449"/>
      <c r="O10" s="419" t="s">
        <v>693</v>
      </c>
      <c r="P10" s="420"/>
      <c r="Q10" s="398"/>
    </row>
    <row r="11" spans="2:21" ht="15" customHeight="1" x14ac:dyDescent="0.2">
      <c r="B11" s="397"/>
      <c r="C11" s="693" t="s">
        <v>612</v>
      </c>
      <c r="D11" s="693"/>
      <c r="E11" s="694"/>
      <c r="F11" s="694"/>
      <c r="G11" s="694"/>
      <c r="H11" s="694"/>
      <c r="I11" s="694"/>
      <c r="J11" s="694"/>
      <c r="K11" s="383"/>
      <c r="L11" s="534" t="s">
        <v>790</v>
      </c>
      <c r="M11" s="383"/>
      <c r="N11" s="411"/>
      <c r="O11" s="419" t="s">
        <v>694</v>
      </c>
      <c r="P11" s="420"/>
      <c r="Q11" s="398"/>
    </row>
    <row r="12" spans="2:21" ht="15" customHeight="1" x14ac:dyDescent="0.2">
      <c r="B12" s="397"/>
      <c r="C12" s="693" t="s">
        <v>614</v>
      </c>
      <c r="D12" s="693"/>
      <c r="E12" s="694"/>
      <c r="F12" s="694"/>
      <c r="G12" s="694"/>
      <c r="H12" s="694"/>
      <c r="I12" s="694"/>
      <c r="J12" s="694"/>
      <c r="K12" s="383"/>
      <c r="L12" s="430">
        <v>0</v>
      </c>
      <c r="M12" s="383"/>
      <c r="N12" s="412"/>
      <c r="O12" s="383" t="s">
        <v>631</v>
      </c>
      <c r="P12" s="413"/>
      <c r="Q12" s="398"/>
    </row>
    <row r="13" spans="2:21" ht="15" customHeight="1" x14ac:dyDescent="0.2">
      <c r="B13" s="397"/>
      <c r="C13" s="693" t="s">
        <v>616</v>
      </c>
      <c r="D13" s="693"/>
      <c r="E13" s="695"/>
      <c r="F13" s="695"/>
      <c r="G13" s="695"/>
      <c r="H13" s="695"/>
      <c r="I13" s="695"/>
      <c r="J13" s="695"/>
      <c r="K13" s="383"/>
      <c r="L13" s="383"/>
      <c r="M13" s="383"/>
      <c r="N13" s="414"/>
      <c r="O13" s="415" t="s">
        <v>632</v>
      </c>
      <c r="P13" s="408"/>
      <c r="Q13" s="398"/>
    </row>
    <row r="14" spans="2:21" ht="15" customHeight="1" x14ac:dyDescent="0.2">
      <c r="B14" s="397"/>
      <c r="C14" s="383"/>
      <c r="D14" s="383"/>
      <c r="E14" s="383"/>
      <c r="F14" s="383"/>
      <c r="G14" s="383"/>
      <c r="H14" s="383"/>
      <c r="I14" s="383"/>
      <c r="J14" s="383"/>
      <c r="K14" s="383"/>
      <c r="L14" s="383"/>
      <c r="M14" s="383"/>
      <c r="N14" s="383"/>
      <c r="O14" s="383"/>
      <c r="P14" s="383"/>
      <c r="Q14" s="398"/>
    </row>
    <row r="15" spans="2:21" ht="20.100000000000001" customHeight="1" x14ac:dyDescent="0.2">
      <c r="B15" s="397"/>
      <c r="C15" s="697" t="s">
        <v>648</v>
      </c>
      <c r="D15" s="697"/>
      <c r="E15" s="697"/>
      <c r="F15" s="697"/>
      <c r="G15" s="697"/>
      <c r="H15" s="697"/>
      <c r="I15" s="697"/>
      <c r="J15" s="697"/>
      <c r="K15" s="697"/>
      <c r="L15" s="697"/>
      <c r="M15" s="697"/>
      <c r="N15" s="697"/>
      <c r="O15" s="697"/>
      <c r="P15" s="697"/>
      <c r="Q15" s="398"/>
      <c r="R15"/>
      <c r="S15"/>
      <c r="T15"/>
      <c r="U15"/>
    </row>
    <row r="16" spans="2:21" ht="5.0999999999999996" customHeight="1" x14ac:dyDescent="0.2">
      <c r="B16" s="397"/>
      <c r="C16" s="383"/>
      <c r="D16" s="383"/>
      <c r="E16" s="379"/>
      <c r="F16" s="383"/>
      <c r="G16" s="379"/>
      <c r="H16" s="379"/>
      <c r="I16" s="379"/>
      <c r="J16" s="379"/>
      <c r="K16" s="383"/>
      <c r="L16" s="383"/>
      <c r="M16" s="383"/>
      <c r="N16" s="383"/>
      <c r="O16" s="383"/>
      <c r="P16" s="383"/>
      <c r="Q16" s="398"/>
    </row>
    <row r="17" spans="2:26" ht="15" customHeight="1" x14ac:dyDescent="0.2">
      <c r="B17" s="397"/>
      <c r="C17" s="671" t="s">
        <v>841</v>
      </c>
      <c r="D17" s="672"/>
      <c r="E17" s="672"/>
      <c r="F17" s="450">
        <v>1</v>
      </c>
      <c r="G17" s="451"/>
      <c r="H17" s="685" t="s">
        <v>392</v>
      </c>
      <c r="I17" s="685"/>
      <c r="J17" s="685" t="s">
        <v>623</v>
      </c>
      <c r="K17" s="685"/>
      <c r="L17" s="383"/>
      <c r="M17" s="698" t="s">
        <v>617</v>
      </c>
      <c r="N17" s="698"/>
      <c r="O17" s="399"/>
      <c r="P17" s="400" t="s">
        <v>717</v>
      </c>
      <c r="Q17" s="398"/>
      <c r="R17"/>
      <c r="S17"/>
      <c r="T17"/>
      <c r="U17"/>
    </row>
    <row r="18" spans="2:26" ht="15" customHeight="1" x14ac:dyDescent="0.2">
      <c r="B18" s="397"/>
      <c r="C18" s="671" t="s">
        <v>842</v>
      </c>
      <c r="D18" s="672"/>
      <c r="E18" s="672"/>
      <c r="F18" s="450"/>
      <c r="G18" s="451"/>
      <c r="H18" s="390">
        <f>ROUND((7.85*IF(E22&lt;&gt;0,E22,E24)*G22)/1000,3)</f>
        <v>0</v>
      </c>
      <c r="I18" s="391" t="s">
        <v>393</v>
      </c>
      <c r="J18" s="390">
        <f>(I22*H18)/1000</f>
        <v>0</v>
      </c>
      <c r="K18" s="391" t="s">
        <v>779</v>
      </c>
      <c r="L18" s="383"/>
      <c r="M18" s="383"/>
      <c r="N18" s="383"/>
      <c r="O18" s="401" t="str">
        <f>IFERROR((O17*1000)/H18,"")</f>
        <v/>
      </c>
      <c r="P18" s="400" t="s">
        <v>618</v>
      </c>
      <c r="Q18" s="398"/>
      <c r="R18"/>
      <c r="S18"/>
      <c r="T18"/>
      <c r="U18"/>
    </row>
    <row r="19" spans="2:26" ht="15" customHeight="1" x14ac:dyDescent="0.2">
      <c r="B19" s="397"/>
      <c r="C19" s="671" t="s">
        <v>843</v>
      </c>
      <c r="D19" s="672"/>
      <c r="E19" s="672"/>
      <c r="F19" s="450"/>
      <c r="G19" s="451"/>
      <c r="H19" s="383"/>
      <c r="I19" s="383"/>
      <c r="J19" s="383"/>
      <c r="K19" s="383"/>
      <c r="L19" s="383"/>
      <c r="M19" s="383"/>
      <c r="N19" s="383"/>
      <c r="O19" s="401" t="str">
        <f>IFERROR(ROUNDUP((O17*1000)/J18,0),"")</f>
        <v/>
      </c>
      <c r="P19" s="400" t="s">
        <v>619</v>
      </c>
      <c r="Q19" s="398"/>
      <c r="R19"/>
      <c r="S19"/>
      <c r="T19"/>
      <c r="U19"/>
    </row>
    <row r="20" spans="2:26" ht="15" customHeight="1" x14ac:dyDescent="0.2">
      <c r="B20" s="397"/>
      <c r="C20" s="383"/>
      <c r="D20" s="383"/>
      <c r="E20" s="379"/>
      <c r="F20" s="383"/>
      <c r="G20" s="379"/>
      <c r="H20" s="379"/>
      <c r="I20" s="379"/>
      <c r="J20" s="379"/>
      <c r="K20" s="383"/>
      <c r="L20" s="383"/>
      <c r="M20" s="383"/>
      <c r="N20" s="383"/>
      <c r="O20" s="383"/>
      <c r="P20" s="383"/>
      <c r="Q20" s="398"/>
    </row>
    <row r="21" spans="2:26" ht="15" customHeight="1" x14ac:dyDescent="0.2">
      <c r="B21" s="397"/>
      <c r="C21" s="685" t="s">
        <v>621</v>
      </c>
      <c r="D21" s="685"/>
      <c r="E21" s="685" t="s">
        <v>622</v>
      </c>
      <c r="F21" s="685"/>
      <c r="G21" s="685" t="s">
        <v>95</v>
      </c>
      <c r="H21" s="685"/>
      <c r="I21" s="685" t="s">
        <v>620</v>
      </c>
      <c r="J21" s="685"/>
      <c r="K21" s="383"/>
      <c r="L21" s="383"/>
      <c r="M21" s="383"/>
      <c r="N21" s="446" t="s">
        <v>636</v>
      </c>
      <c r="O21" s="452"/>
      <c r="P21" s="453" t="s">
        <v>715</v>
      </c>
      <c r="Q21" s="398"/>
    </row>
    <row r="22" spans="2:26" ht="15" customHeight="1" x14ac:dyDescent="0.2">
      <c r="B22" s="397"/>
      <c r="C22" s="409"/>
      <c r="D22" s="392" t="s">
        <v>9</v>
      </c>
      <c r="E22" s="409"/>
      <c r="F22" s="392" t="s">
        <v>9</v>
      </c>
      <c r="G22" s="393"/>
      <c r="H22" s="392" t="s">
        <v>9</v>
      </c>
      <c r="I22" s="416"/>
      <c r="J22" s="392" t="s">
        <v>9</v>
      </c>
      <c r="K22" s="383"/>
      <c r="L22" s="383"/>
      <c r="M22" s="383"/>
      <c r="N22" s="383"/>
      <c r="O22" s="383"/>
      <c r="P22" s="383"/>
      <c r="Q22" s="398"/>
    </row>
    <row r="23" spans="2:26" ht="15" customHeight="1" x14ac:dyDescent="0.2">
      <c r="B23" s="397"/>
      <c r="C23" s="383"/>
      <c r="D23" s="383"/>
      <c r="E23" s="685" t="s">
        <v>794</v>
      </c>
      <c r="F23" s="685"/>
      <c r="G23" s="383"/>
      <c r="H23" s="383"/>
      <c r="I23" s="383"/>
      <c r="J23" s="383"/>
      <c r="K23" s="383"/>
      <c r="L23" s="699" t="s">
        <v>746</v>
      </c>
      <c r="M23" s="699"/>
      <c r="N23" s="699"/>
      <c r="O23" s="438" t="s">
        <v>709</v>
      </c>
      <c r="P23" s="438" t="s">
        <v>710</v>
      </c>
      <c r="Q23" s="398"/>
    </row>
    <row r="24" spans="2:26" ht="15" customHeight="1" x14ac:dyDescent="0.2">
      <c r="B24" s="397"/>
      <c r="C24" s="383"/>
      <c r="D24" s="383"/>
      <c r="E24" s="389">
        <f>ROUND((C22-(G22/2))*PI(),0)</f>
        <v>0</v>
      </c>
      <c r="F24" s="392" t="s">
        <v>9</v>
      </c>
      <c r="G24" s="383"/>
      <c r="H24" s="383"/>
      <c r="I24" s="379"/>
      <c r="J24" s="383"/>
      <c r="K24" s="383"/>
      <c r="L24" s="672" t="s">
        <v>713</v>
      </c>
      <c r="M24" s="672"/>
      <c r="N24" s="696"/>
      <c r="O24" s="454" t="s">
        <v>116</v>
      </c>
      <c r="P24" s="454" t="s">
        <v>116</v>
      </c>
      <c r="Q24" s="398"/>
      <c r="R24"/>
    </row>
    <row r="25" spans="2:26" ht="15" customHeight="1" x14ac:dyDescent="0.2">
      <c r="B25" s="397"/>
      <c r="C25" s="383"/>
      <c r="D25" s="383"/>
      <c r="E25" s="379"/>
      <c r="F25" s="383"/>
      <c r="G25" s="379"/>
      <c r="H25" s="379"/>
      <c r="I25" s="379"/>
      <c r="J25" s="379"/>
      <c r="K25" s="383"/>
      <c r="L25" s="672" t="s">
        <v>714</v>
      </c>
      <c r="M25" s="672"/>
      <c r="N25" s="696"/>
      <c r="O25" s="454" t="s">
        <v>116</v>
      </c>
      <c r="P25" s="454" t="s">
        <v>116</v>
      </c>
      <c r="Q25" s="398"/>
    </row>
    <row r="26" spans="2:26" ht="15" customHeight="1" x14ac:dyDescent="0.2">
      <c r="B26" s="397"/>
      <c r="C26" s="685" t="s">
        <v>624</v>
      </c>
      <c r="D26" s="685"/>
      <c r="E26" s="685" t="s">
        <v>625</v>
      </c>
      <c r="F26" s="685"/>
      <c r="G26" s="685" t="s">
        <v>627</v>
      </c>
      <c r="H26" s="685"/>
      <c r="I26" s="685" t="s">
        <v>626</v>
      </c>
      <c r="J26" s="685"/>
      <c r="K26" s="141"/>
      <c r="L26" s="672" t="s">
        <v>711</v>
      </c>
      <c r="M26" s="672"/>
      <c r="N26" s="696"/>
      <c r="O26" s="454" t="s">
        <v>116</v>
      </c>
      <c r="P26" s="454" t="s">
        <v>116</v>
      </c>
      <c r="Q26" s="398"/>
      <c r="R26"/>
    </row>
    <row r="27" spans="2:26" ht="15" customHeight="1" x14ac:dyDescent="0.2">
      <c r="B27" s="397"/>
      <c r="C27" s="715" t="b">
        <v>0</v>
      </c>
      <c r="D27" s="715"/>
      <c r="E27" s="715" t="b">
        <v>0</v>
      </c>
      <c r="F27" s="715"/>
      <c r="G27" s="715" t="b">
        <v>0</v>
      </c>
      <c r="H27" s="715"/>
      <c r="I27" s="715" t="b">
        <v>0</v>
      </c>
      <c r="J27" s="715"/>
      <c r="K27" s="141"/>
      <c r="L27" s="672" t="s">
        <v>712</v>
      </c>
      <c r="M27" s="672"/>
      <c r="N27" s="696"/>
      <c r="O27" s="454" t="s">
        <v>116</v>
      </c>
      <c r="P27" s="454" t="s">
        <v>116</v>
      </c>
      <c r="Q27" s="398"/>
      <c r="R27"/>
    </row>
    <row r="28" spans="2:26" ht="15" customHeight="1" x14ac:dyDescent="0.2">
      <c r="B28" s="397"/>
      <c r="C28" s="141"/>
      <c r="D28" s="141"/>
      <c r="E28" s="141"/>
      <c r="F28" s="141"/>
      <c r="G28" s="379"/>
      <c r="H28" s="379"/>
      <c r="I28" s="379"/>
      <c r="J28" s="379"/>
      <c r="K28" s="383"/>
      <c r="L28" s="383"/>
      <c r="M28" s="383"/>
      <c r="N28" s="383"/>
      <c r="O28" s="383"/>
      <c r="P28" s="383"/>
      <c r="Q28" s="398"/>
      <c r="R28"/>
    </row>
    <row r="29" spans="2:26" ht="20.100000000000001" customHeight="1" x14ac:dyDescent="0.2">
      <c r="B29" s="397"/>
      <c r="C29" s="697" t="s">
        <v>663</v>
      </c>
      <c r="D29" s="697"/>
      <c r="E29" s="697"/>
      <c r="F29" s="697"/>
      <c r="G29" s="697"/>
      <c r="H29" s="697"/>
      <c r="I29" s="697"/>
      <c r="J29" s="697"/>
      <c r="K29" s="697"/>
      <c r="L29" s="697"/>
      <c r="M29" s="697"/>
      <c r="N29" s="697"/>
      <c r="O29" s="697"/>
      <c r="P29" s="697"/>
      <c r="Q29" s="398"/>
    </row>
    <row r="30" spans="2:26" ht="5.0999999999999996" customHeight="1" x14ac:dyDescent="0.2">
      <c r="B30" s="397"/>
      <c r="C30" s="383"/>
      <c r="D30" s="383"/>
      <c r="E30" s="379"/>
      <c r="F30" s="383"/>
      <c r="G30" s="379"/>
      <c r="H30" s="379"/>
      <c r="I30" s="379"/>
      <c r="J30" s="379"/>
      <c r="K30" s="383"/>
      <c r="L30" s="383"/>
      <c r="M30" s="383"/>
      <c r="N30" s="383"/>
      <c r="O30" s="383"/>
      <c r="P30" s="383"/>
      <c r="Q30" s="398"/>
    </row>
    <row r="31" spans="2:26" ht="15" customHeight="1" x14ac:dyDescent="0.2">
      <c r="B31" s="397"/>
      <c r="C31" s="721" t="s">
        <v>49</v>
      </c>
      <c r="D31" s="722"/>
      <c r="E31" s="383"/>
      <c r="F31" s="383"/>
      <c r="G31" s="383"/>
      <c r="H31" s="689" t="s">
        <v>583</v>
      </c>
      <c r="I31" s="689"/>
      <c r="J31" s="685" t="s">
        <v>521</v>
      </c>
      <c r="K31" s="685"/>
      <c r="L31" s="685" t="s">
        <v>649</v>
      </c>
      <c r="M31" s="685"/>
      <c r="N31" s="688" t="s">
        <v>707</v>
      </c>
      <c r="O31" s="689"/>
      <c r="P31" s="689"/>
      <c r="Q31" s="398"/>
      <c r="S31" s="674" t="s">
        <v>837</v>
      </c>
      <c r="T31" s="674"/>
      <c r="U31" s="674"/>
      <c r="V31" s="674"/>
      <c r="W31" s="674" t="s">
        <v>848</v>
      </c>
      <c r="X31" s="674"/>
      <c r="Y31" s="638" t="s">
        <v>839</v>
      </c>
      <c r="Z31" s="638" t="s">
        <v>348</v>
      </c>
    </row>
    <row r="32" spans="2:26" s="385" customFormat="1" ht="15" customHeight="1" x14ac:dyDescent="0.2">
      <c r="B32" s="402"/>
      <c r="C32" s="718"/>
      <c r="D32" s="719"/>
      <c r="E32" s="720"/>
      <c r="F32" s="447"/>
      <c r="G32" s="447"/>
      <c r="H32" s="409"/>
      <c r="I32" s="392" t="s">
        <v>720</v>
      </c>
      <c r="J32" s="409"/>
      <c r="K32" s="392" t="s">
        <v>281</v>
      </c>
      <c r="L32" s="716"/>
      <c r="M32" s="717"/>
      <c r="N32" s="683">
        <f>SUMPRODUCT(W33:W36,Z33:Z36)</f>
        <v>0</v>
      </c>
      <c r="O32" s="684"/>
      <c r="P32" s="392" t="s">
        <v>708</v>
      </c>
      <c r="Q32" s="403"/>
      <c r="S32" s="615" t="s">
        <v>840</v>
      </c>
      <c r="T32" s="615" t="s">
        <v>815</v>
      </c>
      <c r="U32" s="615" t="s">
        <v>816</v>
      </c>
      <c r="V32" s="615" t="s">
        <v>817</v>
      </c>
      <c r="W32" s="615" t="s">
        <v>846</v>
      </c>
      <c r="X32" s="615" t="s">
        <v>847</v>
      </c>
      <c r="Y32" s="615" t="s">
        <v>838</v>
      </c>
      <c r="Z32" s="615" t="s">
        <v>834</v>
      </c>
    </row>
    <row r="33" spans="2:26" s="385" customFormat="1" ht="15" customHeight="1" x14ac:dyDescent="0.2">
      <c r="B33" s="402"/>
      <c r="C33" s="447"/>
      <c r="D33" s="447"/>
      <c r="E33" s="447"/>
      <c r="F33" s="141"/>
      <c r="G33" s="447"/>
      <c r="H33" s="409"/>
      <c r="I33" s="392" t="s">
        <v>653</v>
      </c>
      <c r="J33" s="447"/>
      <c r="K33" s="141"/>
      <c r="L33" s="141"/>
      <c r="M33" s="141"/>
      <c r="N33" s="141"/>
      <c r="O33" s="447"/>
      <c r="P33" s="447"/>
      <c r="Q33" s="403"/>
      <c r="S33" s="615" t="s">
        <v>818</v>
      </c>
      <c r="T33" s="377">
        <v>0</v>
      </c>
      <c r="U33" s="377">
        <v>0</v>
      </c>
      <c r="V33" s="445" t="s">
        <v>819</v>
      </c>
      <c r="W33" s="377">
        <v>0</v>
      </c>
      <c r="X33" s="377">
        <v>0</v>
      </c>
      <c r="Y33" s="637">
        <f>(T33*PI())+U33*2</f>
        <v>0</v>
      </c>
      <c r="Z33" s="616">
        <f>((PI())*((T33/2)^2)+(U33*T33))</f>
        <v>0</v>
      </c>
    </row>
    <row r="34" spans="2:26" ht="15" customHeight="1" x14ac:dyDescent="0.2">
      <c r="B34" s="397"/>
      <c r="C34" s="688" t="s">
        <v>105</v>
      </c>
      <c r="D34" s="689"/>
      <c r="E34" s="455" t="b">
        <v>0</v>
      </c>
      <c r="F34" s="141"/>
      <c r="G34" s="141"/>
      <c r="H34" s="383"/>
      <c r="I34" s="383"/>
      <c r="J34" s="685" t="s">
        <v>109</v>
      </c>
      <c r="K34" s="685"/>
      <c r="L34" s="685" t="s">
        <v>703</v>
      </c>
      <c r="M34" s="685"/>
      <c r="N34" s="688" t="s">
        <v>719</v>
      </c>
      <c r="O34" s="689"/>
      <c r="P34" s="689"/>
      <c r="Q34" s="398"/>
      <c r="S34" s="615" t="s">
        <v>833</v>
      </c>
      <c r="T34" s="377">
        <v>0</v>
      </c>
      <c r="U34" s="445" t="s">
        <v>819</v>
      </c>
      <c r="V34" s="445" t="s">
        <v>819</v>
      </c>
      <c r="W34" s="377">
        <v>0</v>
      </c>
      <c r="X34" s="377">
        <v>0</v>
      </c>
      <c r="Y34" s="637">
        <f>T34*PI()</f>
        <v>0</v>
      </c>
      <c r="Z34" s="616">
        <f>(PI())*((T34/2)^2)</f>
        <v>0</v>
      </c>
    </row>
    <row r="35" spans="2:26" ht="15" customHeight="1" x14ac:dyDescent="0.2">
      <c r="B35" s="397"/>
      <c r="C35" s="383"/>
      <c r="D35" s="383"/>
      <c r="E35" s="383"/>
      <c r="F35" s="141"/>
      <c r="G35" s="383"/>
      <c r="H35" s="383"/>
      <c r="I35" s="383"/>
      <c r="J35" s="686"/>
      <c r="K35" s="686"/>
      <c r="L35" s="686"/>
      <c r="M35" s="686"/>
      <c r="N35" s="683">
        <f>SUMPRODUCT(Y33:Y36,W33:W36)</f>
        <v>0</v>
      </c>
      <c r="O35" s="684"/>
      <c r="P35" s="392" t="s">
        <v>9</v>
      </c>
      <c r="Q35" s="398"/>
      <c r="S35" s="615" t="s">
        <v>820</v>
      </c>
      <c r="T35" s="445" t="s">
        <v>819</v>
      </c>
      <c r="U35" s="377">
        <v>0</v>
      </c>
      <c r="V35" s="377">
        <v>0</v>
      </c>
      <c r="W35" s="377">
        <v>0</v>
      </c>
      <c r="X35" s="377">
        <v>0</v>
      </c>
      <c r="Y35" s="637">
        <f>U35*2+V35*2</f>
        <v>0</v>
      </c>
      <c r="Z35" s="616">
        <f>U35*V35</f>
        <v>0</v>
      </c>
    </row>
    <row r="36" spans="2:26" ht="15" customHeight="1" x14ac:dyDescent="0.2">
      <c r="B36" s="397"/>
      <c r="C36" s="721" t="s">
        <v>698</v>
      </c>
      <c r="D36" s="722"/>
      <c r="E36" s="141"/>
      <c r="F36" s="141"/>
      <c r="G36" s="383"/>
      <c r="H36" s="383"/>
      <c r="I36" s="383"/>
      <c r="J36" s="383"/>
      <c r="K36" s="383"/>
      <c r="L36" s="383"/>
      <c r="M36" s="383"/>
      <c r="N36" s="383"/>
      <c r="O36" s="383"/>
      <c r="P36" s="383"/>
      <c r="Q36" s="398"/>
      <c r="S36" s="615" t="s">
        <v>821</v>
      </c>
      <c r="T36" s="445" t="s">
        <v>819</v>
      </c>
      <c r="U36" s="377">
        <v>0</v>
      </c>
      <c r="V36" s="445" t="s">
        <v>819</v>
      </c>
      <c r="W36" s="377">
        <v>0</v>
      </c>
      <c r="X36" s="377">
        <v>0</v>
      </c>
      <c r="Y36" s="637">
        <f>U36*4</f>
        <v>0</v>
      </c>
      <c r="Z36" s="616">
        <f>U36*U36</f>
        <v>0</v>
      </c>
    </row>
    <row r="37" spans="2:26" ht="15" customHeight="1" x14ac:dyDescent="0.2">
      <c r="B37" s="397"/>
      <c r="C37" s="456"/>
      <c r="D37" s="456"/>
      <c r="E37" s="456"/>
      <c r="F37" s="417"/>
      <c r="G37" s="418"/>
      <c r="H37" s="418"/>
      <c r="I37" s="418"/>
      <c r="J37" s="418"/>
      <c r="K37" s="685" t="s">
        <v>650</v>
      </c>
      <c r="L37" s="685"/>
      <c r="M37" s="685" t="s">
        <v>814</v>
      </c>
      <c r="N37" s="685"/>
      <c r="O37" s="685" t="s">
        <v>804</v>
      </c>
      <c r="P37" s="685"/>
      <c r="Q37" s="398"/>
      <c r="S37"/>
      <c r="T37"/>
      <c r="Y37"/>
    </row>
    <row r="38" spans="2:26" ht="15" customHeight="1" x14ac:dyDescent="0.2">
      <c r="B38" s="397"/>
      <c r="C38" s="383"/>
      <c r="D38" s="383"/>
      <c r="E38" s="383"/>
      <c r="F38" s="383"/>
      <c r="G38" s="383"/>
      <c r="H38" s="383"/>
      <c r="I38" s="383"/>
      <c r="J38" s="383"/>
      <c r="K38" s="723"/>
      <c r="L38" s="723"/>
      <c r="M38" s="614"/>
      <c r="N38" s="556" t="s">
        <v>653</v>
      </c>
      <c r="O38" s="687"/>
      <c r="P38" s="687"/>
      <c r="Q38" s="398"/>
      <c r="S38"/>
      <c r="T38"/>
      <c r="U38"/>
      <c r="V38"/>
      <c r="W38"/>
      <c r="X38"/>
    </row>
    <row r="39" spans="2:26" ht="15" customHeight="1" x14ac:dyDescent="0.2">
      <c r="B39" s="397"/>
      <c r="C39" s="383"/>
      <c r="D39" s="383"/>
      <c r="E39" s="383"/>
      <c r="F39" s="383"/>
      <c r="G39" s="383"/>
      <c r="H39" s="383"/>
      <c r="I39" s="383"/>
      <c r="J39" s="383"/>
      <c r="K39" s="417"/>
      <c r="L39" s="417"/>
      <c r="M39" s="417"/>
      <c r="N39" s="417"/>
      <c r="O39" s="417"/>
      <c r="P39" s="417"/>
      <c r="Q39" s="398"/>
    </row>
    <row r="40" spans="2:26" ht="15" customHeight="1" x14ac:dyDescent="0.2">
      <c r="B40" s="397"/>
      <c r="C40" s="383"/>
      <c r="D40" s="383"/>
      <c r="E40" s="383"/>
      <c r="F40" s="383"/>
      <c r="G40" s="383"/>
      <c r="H40" s="383"/>
      <c r="I40" s="418"/>
      <c r="J40" s="418"/>
      <c r="K40" s="685" t="s">
        <v>701</v>
      </c>
      <c r="L40" s="685"/>
      <c r="M40" s="685" t="s">
        <v>702</v>
      </c>
      <c r="N40" s="685"/>
      <c r="O40" s="685" t="s">
        <v>688</v>
      </c>
      <c r="P40" s="685"/>
      <c r="Q40" s="398"/>
    </row>
    <row r="41" spans="2:26" ht="15" customHeight="1" x14ac:dyDescent="0.2">
      <c r="B41" s="397"/>
      <c r="C41" s="383"/>
      <c r="D41" s="383"/>
      <c r="E41" s="383"/>
      <c r="F41" s="383"/>
      <c r="G41" s="383"/>
      <c r="H41" s="383"/>
      <c r="I41" s="383"/>
      <c r="J41" s="383"/>
      <c r="K41" s="434">
        <f>IFERROR(IF(VLOOKUP($C$32,'Listas de Dados'!$A:$F,2,0)&lt;7,IF(C22&gt;=200,8,VLOOKUP(C32,'Listas de Dados'!A:F,4,0)),(VLOOKUP(C32,'Listas de Dados'!A:F,4,0)*K38/60)),0)</f>
        <v>0</v>
      </c>
      <c r="L41" s="392" t="s">
        <v>653</v>
      </c>
      <c r="M41" s="389">
        <f>IFERROR(VLOOKUP(J35,'Listas de Dados'!Z:AB,3,0),0)</f>
        <v>0</v>
      </c>
      <c r="N41" s="392" t="s">
        <v>653</v>
      </c>
      <c r="O41" s="389">
        <f>IFERROR(IF(E34,VLOOKUP(C32&amp;L35,'Listas de Dados'!AP:AQ,2,0),0),0)</f>
        <v>0</v>
      </c>
      <c r="P41" s="392" t="s">
        <v>653</v>
      </c>
      <c r="Q41" s="398"/>
    </row>
    <row r="42" spans="2:26" ht="15" customHeight="1" x14ac:dyDescent="0.2">
      <c r="B42" s="397"/>
      <c r="C42" s="383"/>
      <c r="D42" s="383"/>
      <c r="E42" s="383"/>
      <c r="F42" s="383"/>
      <c r="G42" s="383"/>
      <c r="H42" s="383"/>
      <c r="I42" s="383"/>
      <c r="J42" s="383"/>
      <c r="K42" s="456"/>
      <c r="L42" s="456"/>
      <c r="M42" s="456"/>
      <c r="N42" s="417"/>
      <c r="O42" s="418"/>
      <c r="P42" s="418"/>
      <c r="Q42" s="398"/>
    </row>
    <row r="43" spans="2:26" ht="15" customHeight="1" x14ac:dyDescent="0.2">
      <c r="B43" s="397"/>
      <c r="C43" s="383"/>
      <c r="D43" s="383"/>
      <c r="E43" s="383"/>
      <c r="F43" s="383"/>
      <c r="G43" s="383"/>
      <c r="H43" s="383"/>
      <c r="I43" s="379"/>
      <c r="J43" s="379"/>
      <c r="K43" s="685" t="s">
        <v>697</v>
      </c>
      <c r="L43" s="685"/>
      <c r="M43" s="685" t="s">
        <v>792</v>
      </c>
      <c r="N43" s="685"/>
      <c r="O43" s="681" t="s">
        <v>730</v>
      </c>
      <c r="P43" s="682"/>
      <c r="Q43" s="398"/>
    </row>
    <row r="44" spans="2:26" ht="15" customHeight="1" x14ac:dyDescent="0.2">
      <c r="B44" s="397"/>
      <c r="C44" s="383"/>
      <c r="D44" s="383"/>
      <c r="E44" s="383"/>
      <c r="F44" s="383"/>
      <c r="G44" s="383"/>
      <c r="H44" s="383"/>
      <c r="I44" s="379"/>
      <c r="J44" s="379"/>
      <c r="K44" s="434">
        <f>IFERROR(K41+H33+O41+M41,0)</f>
        <v>0</v>
      </c>
      <c r="L44" s="392" t="s">
        <v>653</v>
      </c>
      <c r="M44" s="434">
        <f>IFERROR(K38*(VLOOKUP(C32,'Listas de Dados'!A:F,5,0)/60),0)</f>
        <v>0</v>
      </c>
      <c r="N44" s="566" t="s">
        <v>653</v>
      </c>
      <c r="O44" s="442">
        <f>J18*(1-(O47/100))</f>
        <v>0</v>
      </c>
      <c r="P44" s="392" t="s">
        <v>731</v>
      </c>
      <c r="Q44" s="398"/>
    </row>
    <row r="45" spans="2:26" ht="15" customHeight="1" x14ac:dyDescent="0.2">
      <c r="B45" s="397"/>
      <c r="C45" s="383"/>
      <c r="D45" s="383"/>
      <c r="E45" s="383"/>
      <c r="F45" s="383"/>
      <c r="G45" s="383"/>
      <c r="H45" s="383"/>
      <c r="I45" s="379"/>
      <c r="J45" s="379"/>
      <c r="K45" s="383"/>
      <c r="L45" s="383"/>
      <c r="M45" s="383"/>
      <c r="N45" s="383"/>
      <c r="O45" s="383"/>
      <c r="P45" s="383"/>
      <c r="Q45" s="398"/>
      <c r="W45"/>
      <c r="X45"/>
    </row>
    <row r="46" spans="2:26" ht="15" customHeight="1" x14ac:dyDescent="0.2">
      <c r="B46" s="397"/>
      <c r="C46" s="383"/>
      <c r="D46" s="383"/>
      <c r="E46" s="383"/>
      <c r="F46" s="383"/>
      <c r="G46" s="383"/>
      <c r="H46" s="383"/>
      <c r="I46" s="379"/>
      <c r="J46" s="379"/>
      <c r="K46" s="685" t="s">
        <v>651</v>
      </c>
      <c r="L46" s="685"/>
      <c r="M46" s="685" t="s">
        <v>662</v>
      </c>
      <c r="N46" s="685"/>
      <c r="O46" s="685" t="s">
        <v>661</v>
      </c>
      <c r="P46" s="685"/>
      <c r="Q46" s="398"/>
    </row>
    <row r="47" spans="2:26" ht="15" customHeight="1" x14ac:dyDescent="0.2">
      <c r="B47" s="397"/>
      <c r="C47" s="383"/>
      <c r="D47" s="383"/>
      <c r="E47" s="383"/>
      <c r="F47" s="383"/>
      <c r="G47" s="383"/>
      <c r="H47" s="383"/>
      <c r="I47" s="379"/>
      <c r="J47" s="379"/>
      <c r="K47" s="389">
        <f>IFERROR(ROUND(H18*H32/O17/1000*100,2),0)</f>
        <v>0</v>
      </c>
      <c r="L47" s="392" t="s">
        <v>292</v>
      </c>
      <c r="M47" s="434">
        <f>IF(J35="Faca",1-(J18/(J18+0.00785*G22*IF(E22&lt;&gt;0,E22,E24)*0.012)),0)</f>
        <v>0</v>
      </c>
      <c r="N47" s="392" t="s">
        <v>292</v>
      </c>
      <c r="O47" s="434">
        <f>IFERROR(IF(E34,(1-((J18-N32*G22*0.00000785)/J18))*100,0),0)</f>
        <v>0</v>
      </c>
      <c r="P47" s="392" t="s">
        <v>292</v>
      </c>
      <c r="Q47" s="398"/>
      <c r="S47" s="436"/>
    </row>
    <row r="48" spans="2:26" ht="15" customHeight="1" x14ac:dyDescent="0.2">
      <c r="B48" s="397"/>
      <c r="C48" s="383"/>
      <c r="D48" s="383"/>
      <c r="E48" s="383"/>
      <c r="F48" s="383"/>
      <c r="G48" s="383"/>
      <c r="H48" s="383"/>
      <c r="I48" s="379"/>
      <c r="J48" s="379"/>
      <c r="K48" s="383"/>
      <c r="L48" s="383"/>
      <c r="M48" s="379"/>
      <c r="N48" s="383"/>
      <c r="O48" s="379"/>
      <c r="P48" s="379"/>
      <c r="Q48" s="398"/>
    </row>
    <row r="49" spans="2:17" ht="15" customHeight="1" x14ac:dyDescent="0.2">
      <c r="B49" s="397"/>
      <c r="C49" s="383"/>
      <c r="D49" s="383"/>
      <c r="E49" s="383"/>
      <c r="F49" s="383"/>
      <c r="G49" s="383"/>
      <c r="H49" s="383"/>
      <c r="I49" s="379"/>
      <c r="J49" s="379"/>
      <c r="K49" s="685" t="s">
        <v>686</v>
      </c>
      <c r="L49" s="685"/>
      <c r="M49" s="713"/>
      <c r="N49" s="713"/>
      <c r="O49" s="685" t="s">
        <v>658</v>
      </c>
      <c r="P49" s="685"/>
      <c r="Q49" s="398"/>
    </row>
    <row r="50" spans="2:17" ht="15" customHeight="1" x14ac:dyDescent="0.2">
      <c r="B50" s="397"/>
      <c r="C50" s="383"/>
      <c r="D50" s="383"/>
      <c r="E50" s="383"/>
      <c r="F50" s="383"/>
      <c r="G50" s="383"/>
      <c r="H50" s="383"/>
      <c r="I50" s="379"/>
      <c r="J50" s="379"/>
      <c r="K50" s="434">
        <f>IFERROR(SUM(K47,(L32*100),O47,M47),"")</f>
        <v>0</v>
      </c>
      <c r="L50" s="392" t="s">
        <v>292</v>
      </c>
      <c r="M50" s="713"/>
      <c r="N50" s="713"/>
      <c r="O50" s="434">
        <f>IFERROR((M56+K44)/(M38*O38),0)</f>
        <v>0</v>
      </c>
      <c r="P50" s="392" t="s">
        <v>657</v>
      </c>
      <c r="Q50" s="398"/>
    </row>
    <row r="51" spans="2:17" ht="15" customHeight="1" x14ac:dyDescent="0.2">
      <c r="B51" s="397"/>
      <c r="C51" s="383"/>
      <c r="D51" s="383"/>
      <c r="E51" s="383"/>
      <c r="F51" s="383"/>
      <c r="G51" s="383"/>
      <c r="H51" s="383"/>
      <c r="I51" s="379"/>
      <c r="J51" s="379"/>
      <c r="K51" s="383"/>
      <c r="L51" s="383"/>
      <c r="M51" s="379"/>
      <c r="N51" s="383"/>
      <c r="O51" s="379"/>
      <c r="P51" s="379"/>
      <c r="Q51" s="398"/>
    </row>
    <row r="52" spans="2:17" ht="15" customHeight="1" x14ac:dyDescent="0.2">
      <c r="B52" s="397"/>
      <c r="C52" s="383"/>
      <c r="D52" s="383"/>
      <c r="E52" s="379"/>
      <c r="F52" s="383"/>
      <c r="G52" s="379"/>
      <c r="H52" s="379"/>
      <c r="I52" s="379"/>
      <c r="J52" s="379"/>
      <c r="K52" s="685" t="s">
        <v>64</v>
      </c>
      <c r="L52" s="685"/>
      <c r="M52" s="685" t="s">
        <v>655</v>
      </c>
      <c r="N52" s="685"/>
      <c r="O52" s="685" t="s">
        <v>652</v>
      </c>
      <c r="P52" s="685"/>
      <c r="Q52" s="398"/>
    </row>
    <row r="53" spans="2:17" ht="15" customHeight="1" x14ac:dyDescent="0.2">
      <c r="B53" s="397"/>
      <c r="C53" s="383"/>
      <c r="D53" s="383"/>
      <c r="E53" s="379"/>
      <c r="F53" s="383"/>
      <c r="G53" s="379"/>
      <c r="H53" s="379"/>
      <c r="I53" s="379"/>
      <c r="J53" s="379"/>
      <c r="K53" s="389">
        <f>IFERROR(VLOOKUP(C32,'Listas de Dados'!A:F,6,0),0)</f>
        <v>0</v>
      </c>
      <c r="L53" s="392" t="s">
        <v>292</v>
      </c>
      <c r="M53" s="434">
        <f>IFERROR((K44*60)/O17,0)</f>
        <v>0</v>
      </c>
      <c r="N53" s="392" t="s">
        <v>654</v>
      </c>
      <c r="O53" s="389">
        <f>IFERROR(ROUND(((J32*H18/1000)^(-1))*((1+(100-K53)/100)),2),0)</f>
        <v>0</v>
      </c>
      <c r="P53" s="392" t="s">
        <v>654</v>
      </c>
      <c r="Q53" s="398"/>
    </row>
    <row r="54" spans="2:17" ht="15" customHeight="1" x14ac:dyDescent="0.2">
      <c r="B54" s="397"/>
      <c r="C54" s="383"/>
      <c r="D54" s="383"/>
      <c r="E54" s="379"/>
      <c r="F54" s="383"/>
      <c r="G54" s="379"/>
      <c r="H54" s="379"/>
      <c r="I54" s="379"/>
      <c r="J54" s="379"/>
      <c r="K54" s="383"/>
      <c r="L54" s="383"/>
      <c r="M54" s="383"/>
      <c r="N54" s="383"/>
      <c r="O54" s="383"/>
      <c r="P54" s="383"/>
      <c r="Q54" s="398"/>
    </row>
    <row r="55" spans="2:17" ht="15" customHeight="1" x14ac:dyDescent="0.2">
      <c r="B55" s="397"/>
      <c r="C55" s="383"/>
      <c r="D55" s="383"/>
      <c r="E55" s="379"/>
      <c r="F55" s="383"/>
      <c r="G55" s="379"/>
      <c r="H55" s="379"/>
      <c r="I55" s="379"/>
      <c r="J55" s="379"/>
      <c r="K55" s="685" t="s">
        <v>659</v>
      </c>
      <c r="L55" s="685"/>
      <c r="M55" s="685" t="s">
        <v>656</v>
      </c>
      <c r="N55" s="685"/>
      <c r="O55" s="685" t="s">
        <v>656</v>
      </c>
      <c r="P55" s="685"/>
      <c r="Q55" s="398"/>
    </row>
    <row r="56" spans="2:17" ht="15" customHeight="1" x14ac:dyDescent="0.2">
      <c r="B56" s="397"/>
      <c r="C56" s="383"/>
      <c r="D56" s="383"/>
      <c r="E56" s="379"/>
      <c r="F56" s="383"/>
      <c r="G56" s="379"/>
      <c r="H56" s="379"/>
      <c r="I56" s="379"/>
      <c r="J56" s="379"/>
      <c r="K56" s="435">
        <f>IFERROR((O53^-1)*M38*60*O38,0)</f>
        <v>0</v>
      </c>
      <c r="L56" s="392" t="s">
        <v>660</v>
      </c>
      <c r="M56" s="434">
        <f>IFERROR(O53*O17/60,0)</f>
        <v>0</v>
      </c>
      <c r="N56" s="620" t="s">
        <v>653</v>
      </c>
      <c r="O56" s="434">
        <f>IFERROR(M56/(M38*O38),0)</f>
        <v>0</v>
      </c>
      <c r="P56" s="392" t="s">
        <v>657</v>
      </c>
      <c r="Q56" s="398"/>
    </row>
    <row r="57" spans="2:17" ht="15" customHeight="1" x14ac:dyDescent="0.2">
      <c r="B57" s="397"/>
      <c r="C57" s="141"/>
      <c r="D57" s="141"/>
      <c r="E57" s="141"/>
      <c r="F57" s="141"/>
      <c r="G57" s="141"/>
      <c r="H57" s="141"/>
      <c r="I57" s="141"/>
      <c r="J57" s="141"/>
      <c r="K57" s="141"/>
      <c r="L57" s="141"/>
      <c r="M57" s="141"/>
      <c r="N57" s="141"/>
      <c r="O57" s="141"/>
      <c r="P57" s="141"/>
      <c r="Q57" s="398"/>
    </row>
    <row r="58" spans="2:17" ht="15" customHeight="1" x14ac:dyDescent="0.2">
      <c r="B58" s="397"/>
      <c r="C58" s="141"/>
      <c r="D58" s="141"/>
      <c r="E58" s="141"/>
      <c r="F58" s="141"/>
      <c r="G58" s="141"/>
      <c r="H58" s="141"/>
      <c r="I58" s="141"/>
      <c r="J58" s="141"/>
      <c r="K58" s="685" t="s">
        <v>718</v>
      </c>
      <c r="L58" s="685"/>
      <c r="M58" s="685" t="s">
        <v>349</v>
      </c>
      <c r="N58" s="685"/>
      <c r="O58" s="685" t="s">
        <v>311</v>
      </c>
      <c r="P58" s="685"/>
      <c r="Q58" s="398"/>
    </row>
    <row r="59" spans="2:17" ht="15" customHeight="1" x14ac:dyDescent="0.2">
      <c r="B59" s="397"/>
      <c r="C59" s="141"/>
      <c r="D59" s="141"/>
      <c r="E59" s="141"/>
      <c r="F59" s="141"/>
      <c r="G59" s="141"/>
      <c r="H59" s="141"/>
      <c r="I59" s="141"/>
      <c r="J59" s="141"/>
      <c r="K59" s="435">
        <f>IFERROR((SUMPRODUCT(Y33:Y36,X33:X36)*G22*P25*0.8)/9.81/1000,0)</f>
        <v>0</v>
      </c>
      <c r="L59" s="392" t="s">
        <v>717</v>
      </c>
      <c r="M59" s="434">
        <f>IFERROR((((P25*0.8)*E22*G22)/9.81)/1000,0)</f>
        <v>0</v>
      </c>
      <c r="N59" s="392" t="s">
        <v>717</v>
      </c>
      <c r="O59" s="434">
        <f>IFERROR(P24*(E22*G22)/1000,0)</f>
        <v>0</v>
      </c>
      <c r="P59" s="392" t="s">
        <v>313</v>
      </c>
      <c r="Q59" s="398"/>
    </row>
    <row r="60" spans="2:17" ht="15" customHeight="1" x14ac:dyDescent="0.2">
      <c r="B60" s="397"/>
      <c r="C60" s="141"/>
      <c r="D60" s="141"/>
      <c r="E60" s="141"/>
      <c r="F60" s="141"/>
      <c r="G60" s="141"/>
      <c r="H60" s="141"/>
      <c r="I60" s="141"/>
      <c r="J60" s="141"/>
      <c r="K60" s="141"/>
      <c r="L60" s="141"/>
      <c r="M60" s="141"/>
      <c r="N60" s="141"/>
      <c r="O60" s="141"/>
      <c r="P60" s="141"/>
      <c r="Q60" s="398"/>
    </row>
    <row r="61" spans="2:17" ht="15" customHeight="1" x14ac:dyDescent="0.2">
      <c r="B61" s="397"/>
      <c r="C61" s="141"/>
      <c r="D61" s="141"/>
      <c r="E61" s="141"/>
      <c r="F61" s="141"/>
      <c r="G61" s="141"/>
      <c r="H61" s="141"/>
      <c r="I61" s="141"/>
      <c r="J61" s="141"/>
      <c r="K61" s="685" t="s">
        <v>828</v>
      </c>
      <c r="L61" s="685"/>
      <c r="M61" s="685" t="s">
        <v>829</v>
      </c>
      <c r="N61" s="685"/>
      <c r="O61" s="685" t="s">
        <v>830</v>
      </c>
      <c r="P61" s="685"/>
      <c r="Q61" s="398"/>
    </row>
    <row r="62" spans="2:17" ht="15" customHeight="1" x14ac:dyDescent="0.2">
      <c r="B62" s="397"/>
      <c r="C62" s="141"/>
      <c r="D62" s="141"/>
      <c r="E62" s="141"/>
      <c r="F62" s="141"/>
      <c r="G62" s="141"/>
      <c r="H62" s="141"/>
      <c r="I62" s="141"/>
      <c r="J62" s="141"/>
      <c r="K62" s="434">
        <f>VLOOKUP(G22,'Listas de Dados'!$AS$4:$AW$7,2,1)</f>
        <v>0.95</v>
      </c>
      <c r="L62" s="618" t="s">
        <v>654</v>
      </c>
      <c r="M62" s="389">
        <f>VLOOKUP(G22,'Listas de Dados'!$AS$4:$AW$7,3,1)</f>
        <v>3.85</v>
      </c>
      <c r="N62" s="618" t="s">
        <v>654</v>
      </c>
      <c r="O62" s="389">
        <f>VLOOKUP(G22,'Listas de Dados'!$AS$4:$AW$7,4,1)</f>
        <v>1.5</v>
      </c>
      <c r="P62" s="613" t="s">
        <v>292</v>
      </c>
      <c r="Q62" s="398"/>
    </row>
    <row r="63" spans="2:17" ht="15" customHeight="1" x14ac:dyDescent="0.2">
      <c r="B63" s="397"/>
      <c r="C63" s="141"/>
      <c r="D63" s="141"/>
      <c r="E63" s="141"/>
      <c r="F63" s="141"/>
      <c r="G63" s="141"/>
      <c r="H63" s="141"/>
      <c r="I63" s="141"/>
      <c r="J63" s="141"/>
      <c r="K63" s="538"/>
      <c r="L63" s="538"/>
      <c r="M63" s="538"/>
      <c r="N63" s="538"/>
      <c r="O63" s="538"/>
      <c r="P63" s="538"/>
      <c r="Q63" s="398"/>
    </row>
    <row r="64" spans="2:17" ht="15" customHeight="1" outlineLevel="1" x14ac:dyDescent="0.2">
      <c r="B64" s="397"/>
      <c r="C64" s="141"/>
      <c r="D64" s="141"/>
      <c r="E64" s="141"/>
      <c r="F64" s="141"/>
      <c r="G64" s="141"/>
      <c r="H64" s="141"/>
      <c r="I64" s="141"/>
      <c r="J64" s="141"/>
      <c r="K64" s="639"/>
      <c r="L64" s="640"/>
      <c r="M64" s="640"/>
      <c r="N64" s="640"/>
      <c r="O64" s="523"/>
      <c r="P64" s="524"/>
      <c r="Q64" s="398"/>
    </row>
    <row r="65" spans="2:20" ht="15" customHeight="1" outlineLevel="1" x14ac:dyDescent="0.2">
      <c r="B65" s="397"/>
      <c r="C65" s="141"/>
      <c r="D65" s="141"/>
      <c r="E65" s="141"/>
      <c r="F65" s="141"/>
      <c r="G65" s="141"/>
      <c r="H65" s="141"/>
      <c r="I65" s="141"/>
      <c r="J65" s="141"/>
      <c r="K65" s="641"/>
      <c r="L65" s="642"/>
      <c r="M65" s="642"/>
      <c r="N65" s="642"/>
      <c r="O65" s="525"/>
      <c r="P65" s="526"/>
      <c r="Q65" s="398"/>
    </row>
    <row r="66" spans="2:20" ht="15" customHeight="1" outlineLevel="1" x14ac:dyDescent="0.2">
      <c r="B66" s="397"/>
      <c r="C66" s="141"/>
      <c r="D66" s="141"/>
      <c r="E66" s="141"/>
      <c r="F66" s="141"/>
      <c r="G66" s="141"/>
      <c r="H66" s="141"/>
      <c r="I66" s="141"/>
      <c r="J66" s="141"/>
      <c r="O66" s="141"/>
      <c r="P66" s="141"/>
      <c r="Q66" s="398"/>
    </row>
    <row r="67" spans="2:20" ht="15" customHeight="1" outlineLevel="1" x14ac:dyDescent="0.2">
      <c r="B67" s="397"/>
      <c r="C67" s="141"/>
      <c r="D67" s="141"/>
      <c r="E67" s="141"/>
      <c r="F67" s="141"/>
      <c r="G67" s="141"/>
      <c r="H67" s="141"/>
      <c r="I67" s="141"/>
      <c r="J67" s="141"/>
      <c r="K67" s="639"/>
      <c r="L67" s="640"/>
      <c r="M67" s="640"/>
      <c r="N67" s="640"/>
      <c r="O67" s="523"/>
      <c r="P67" s="524"/>
      <c r="Q67" s="398"/>
    </row>
    <row r="68" spans="2:20" ht="15" customHeight="1" outlineLevel="1" x14ac:dyDescent="0.2">
      <c r="B68" s="397"/>
      <c r="C68" s="141"/>
      <c r="D68" s="141"/>
      <c r="E68" s="141"/>
      <c r="F68" s="141"/>
      <c r="G68" s="141"/>
      <c r="H68" s="141"/>
      <c r="I68" s="141"/>
      <c r="J68" s="141"/>
      <c r="K68" s="641"/>
      <c r="L68" s="642"/>
      <c r="M68" s="642"/>
      <c r="N68" s="642"/>
      <c r="O68" s="525"/>
      <c r="P68" s="526"/>
      <c r="Q68" s="398"/>
    </row>
    <row r="69" spans="2:20" ht="15" customHeight="1" outlineLevel="1" x14ac:dyDescent="0.2">
      <c r="B69" s="397"/>
      <c r="C69" s="141"/>
      <c r="D69" s="141"/>
      <c r="E69" s="141"/>
      <c r="F69" s="141"/>
      <c r="G69" s="141"/>
      <c r="H69" s="141"/>
      <c r="I69" s="141"/>
      <c r="J69" s="141"/>
      <c r="O69" s="141"/>
      <c r="P69" s="141"/>
      <c r="Q69" s="398"/>
    </row>
    <row r="70" spans="2:20" ht="15" customHeight="1" outlineLevel="1" x14ac:dyDescent="0.2">
      <c r="B70" s="397"/>
      <c r="C70" s="141"/>
      <c r="D70" s="141"/>
      <c r="E70" s="141"/>
      <c r="F70" s="141"/>
      <c r="G70" s="141"/>
      <c r="H70" s="141"/>
      <c r="I70" s="141"/>
      <c r="J70" s="141"/>
      <c r="K70" s="726" t="s">
        <v>852</v>
      </c>
      <c r="L70" s="726"/>
      <c r="M70" s="726"/>
      <c r="N70" s="726"/>
      <c r="O70" s="726"/>
      <c r="P70" s="726"/>
      <c r="Q70" s="398"/>
    </row>
    <row r="71" spans="2:20" ht="15" customHeight="1" outlineLevel="1" x14ac:dyDescent="0.2">
      <c r="B71" s="397"/>
      <c r="C71" s="141"/>
      <c r="D71" s="141"/>
      <c r="E71" s="141"/>
      <c r="F71" s="141"/>
      <c r="G71" s="141"/>
      <c r="H71" s="141"/>
      <c r="I71" s="141"/>
      <c r="J71" s="141"/>
      <c r="K71" s="671" t="s">
        <v>858</v>
      </c>
      <c r="L71" s="672"/>
      <c r="M71" s="672"/>
      <c r="N71" s="673"/>
      <c r="O71" s="724">
        <f ca="1">IFERROR(INDEX(Investimentos!B:W,MATCH($E$8,Investimentos!B:B,0),14),0)</f>
        <v>0</v>
      </c>
      <c r="P71" s="724"/>
      <c r="Q71" s="398"/>
    </row>
    <row r="72" spans="2:20" ht="15" customHeight="1" outlineLevel="1" x14ac:dyDescent="0.2">
      <c r="B72" s="397"/>
      <c r="C72" s="538"/>
      <c r="D72" s="538"/>
      <c r="E72" s="538"/>
      <c r="F72" s="538"/>
      <c r="G72" s="538"/>
      <c r="H72" s="538"/>
      <c r="I72" s="538"/>
      <c r="J72" s="538"/>
      <c r="K72" s="671" t="s">
        <v>850</v>
      </c>
      <c r="L72" s="672"/>
      <c r="M72" s="672"/>
      <c r="N72" s="673"/>
      <c r="O72" s="724">
        <f ca="1">IFERROR(INDEX(Investimentos!B:W,MATCH($E$8,Investimentos!B:B,0),15),0)</f>
        <v>0</v>
      </c>
      <c r="P72" s="724"/>
      <c r="Q72" s="398"/>
    </row>
    <row r="73" spans="2:20" ht="15" customHeight="1" outlineLevel="1" x14ac:dyDescent="0.2">
      <c r="B73" s="397"/>
      <c r="C73" s="538"/>
      <c r="D73" s="538"/>
      <c r="E73" s="538"/>
      <c r="F73" s="538"/>
      <c r="G73" s="538"/>
      <c r="H73" s="538"/>
      <c r="I73" s="538"/>
      <c r="J73" s="538"/>
      <c r="K73" s="671" t="s">
        <v>851</v>
      </c>
      <c r="L73" s="672"/>
      <c r="M73" s="672"/>
      <c r="N73" s="673"/>
      <c r="O73" s="724">
        <f ca="1">IFERROR(INDEX(Investimentos!B:W,MATCH($E$8,Investimentos!B:B,0),16),0)</f>
        <v>0</v>
      </c>
      <c r="P73" s="724"/>
      <c r="Q73" s="398"/>
    </row>
    <row r="74" spans="2:20" ht="15" customHeight="1" outlineLevel="1" x14ac:dyDescent="0.2">
      <c r="B74" s="397"/>
      <c r="C74" s="538"/>
      <c r="D74" s="538"/>
      <c r="E74" s="538"/>
      <c r="F74" s="538"/>
      <c r="G74" s="538"/>
      <c r="H74" s="538"/>
      <c r="I74" s="538"/>
      <c r="J74" s="538"/>
      <c r="K74" s="671" t="s">
        <v>871</v>
      </c>
      <c r="L74" s="672"/>
      <c r="M74" s="672"/>
      <c r="N74" s="673"/>
      <c r="O74" s="724">
        <f ca="1">IFERROR(INDEX(Investimentos!B:W,MATCH($E$8,Investimentos!B:B,0),17),0)</f>
        <v>0</v>
      </c>
      <c r="P74" s="724"/>
      <c r="Q74" s="398"/>
    </row>
    <row r="75" spans="2:20" ht="15" customHeight="1" outlineLevel="1" x14ac:dyDescent="0.2">
      <c r="B75" s="397"/>
      <c r="C75" s="538"/>
      <c r="D75" s="538"/>
      <c r="E75" s="538"/>
      <c r="F75" s="538"/>
      <c r="G75" s="538"/>
      <c r="H75" s="538"/>
      <c r="I75" s="538"/>
      <c r="J75" s="538"/>
      <c r="K75" s="671" t="s">
        <v>872</v>
      </c>
      <c r="L75" s="672"/>
      <c r="M75" s="672"/>
      <c r="N75" s="673"/>
      <c r="O75" s="724">
        <f ca="1">IFERROR(INDEX(Investimentos!B:W,MATCH($E$8,Investimentos!B:B,0),18),0)</f>
        <v>0</v>
      </c>
      <c r="P75" s="724"/>
      <c r="Q75" s="398"/>
    </row>
    <row r="76" spans="2:20" ht="15" customHeight="1" outlineLevel="1" x14ac:dyDescent="0.2">
      <c r="B76" s="397"/>
      <c r="C76" s="538"/>
      <c r="D76" s="538"/>
      <c r="E76" s="538"/>
      <c r="F76" s="538"/>
      <c r="G76" s="538"/>
      <c r="H76" s="538"/>
      <c r="I76" s="538"/>
      <c r="J76" s="538"/>
      <c r="K76" s="671" t="s">
        <v>873</v>
      </c>
      <c r="L76" s="672"/>
      <c r="M76" s="672"/>
      <c r="N76" s="673"/>
      <c r="O76" s="724">
        <f ca="1">IFERROR(INDEX(Investimentos!B:W,MATCH($E$8,Investimentos!B:B,0),19),0)</f>
        <v>0</v>
      </c>
      <c r="P76" s="724"/>
      <c r="Q76" s="398"/>
      <c r="S76" s="661"/>
      <c r="T76" s="661"/>
    </row>
    <row r="77" spans="2:20" ht="15" customHeight="1" outlineLevel="1" x14ac:dyDescent="0.2">
      <c r="B77" s="397"/>
      <c r="C77" s="538"/>
      <c r="D77" s="538"/>
      <c r="E77" s="538"/>
      <c r="F77" s="538"/>
      <c r="G77" s="538"/>
      <c r="H77" s="538"/>
      <c r="I77" s="538"/>
      <c r="J77" s="538"/>
      <c r="K77" s="671" t="s">
        <v>874</v>
      </c>
      <c r="L77" s="672"/>
      <c r="M77" s="672"/>
      <c r="N77" s="673"/>
      <c r="O77" s="724">
        <f ca="1">IFERROR(INDEX(Investimentos!B:W,MATCH($E$8,Investimentos!B:B,0),20),0)</f>
        <v>0</v>
      </c>
      <c r="P77" s="724"/>
      <c r="Q77" s="398"/>
    </row>
    <row r="78" spans="2:20" ht="15" customHeight="1" outlineLevel="1" x14ac:dyDescent="0.2">
      <c r="B78" s="397"/>
      <c r="C78" s="521"/>
      <c r="D78" s="521"/>
      <c r="E78" s="521"/>
      <c r="F78" s="521"/>
      <c r="G78" s="521"/>
      <c r="H78" s="521"/>
      <c r="I78" s="521"/>
      <c r="J78" s="521"/>
      <c r="K78" s="727"/>
      <c r="L78" s="727"/>
      <c r="M78" s="727"/>
      <c r="N78" s="727"/>
      <c r="O78" s="725">
        <v>0</v>
      </c>
      <c r="P78" s="725"/>
      <c r="Q78" s="398"/>
    </row>
    <row r="79" spans="2:20" ht="15" customHeight="1" outlineLevel="1" x14ac:dyDescent="0.2">
      <c r="B79" s="397"/>
      <c r="C79" s="521"/>
      <c r="D79" s="521"/>
      <c r="E79" s="521"/>
      <c r="F79" s="521"/>
      <c r="G79" s="521"/>
      <c r="H79" s="521"/>
      <c r="I79" s="521"/>
      <c r="J79" s="521"/>
      <c r="K79" s="727"/>
      <c r="L79" s="727"/>
      <c r="M79" s="727"/>
      <c r="N79" s="727"/>
      <c r="O79" s="725">
        <v>0</v>
      </c>
      <c r="P79" s="725"/>
      <c r="Q79" s="398"/>
    </row>
    <row r="80" spans="2:20" ht="15" customHeight="1" outlineLevel="1" x14ac:dyDescent="0.2">
      <c r="B80" s="397"/>
      <c r="C80" s="141"/>
      <c r="D80" s="141"/>
      <c r="E80" s="141"/>
      <c r="F80" s="141"/>
      <c r="G80" s="141"/>
      <c r="H80" s="141"/>
      <c r="I80" s="141"/>
      <c r="J80" s="141"/>
      <c r="K80" s="671" t="s">
        <v>849</v>
      </c>
      <c r="L80" s="672"/>
      <c r="M80" s="672"/>
      <c r="N80" s="673"/>
      <c r="O80" s="724">
        <f ca="1">SUM(O71:P79)</f>
        <v>0</v>
      </c>
      <c r="P80" s="724"/>
      <c r="Q80" s="398"/>
    </row>
    <row r="81" spans="2:18" ht="15" customHeight="1" thickBot="1" x14ac:dyDescent="0.25">
      <c r="B81" s="404"/>
      <c r="C81" s="457"/>
      <c r="D81" s="457"/>
      <c r="E81" s="457"/>
      <c r="F81" s="457"/>
      <c r="G81" s="457"/>
      <c r="H81" s="457"/>
      <c r="I81" s="457"/>
      <c r="J81" s="457"/>
      <c r="K81" s="457"/>
      <c r="L81" s="457"/>
      <c r="M81" s="457"/>
      <c r="N81" s="457"/>
      <c r="O81" s="457"/>
      <c r="P81" s="457"/>
      <c r="Q81" s="406"/>
    </row>
    <row r="82" spans="2:18" ht="4.5" hidden="1" customHeight="1" outlineLevel="1" x14ac:dyDescent="0.2">
      <c r="B82" s="394"/>
      <c r="C82" s="395"/>
      <c r="D82" s="395"/>
      <c r="E82" s="459"/>
      <c r="F82" s="395"/>
      <c r="G82" s="459"/>
      <c r="H82" s="459"/>
      <c r="I82" s="459"/>
      <c r="J82" s="459"/>
      <c r="K82" s="458"/>
      <c r="L82" s="458"/>
      <c r="M82" s="458"/>
      <c r="N82" s="458"/>
      <c r="O82" s="458"/>
      <c r="P82" s="458"/>
      <c r="Q82" s="396"/>
    </row>
    <row r="83" spans="2:18" ht="20.100000000000001" hidden="1" customHeight="1" outlineLevel="1" x14ac:dyDescent="0.2">
      <c r="B83" s="397"/>
      <c r="C83" s="690" t="s">
        <v>806</v>
      </c>
      <c r="D83" s="690"/>
      <c r="E83" s="690"/>
      <c r="F83" s="690"/>
      <c r="G83" s="690"/>
      <c r="H83" s="690"/>
      <c r="I83" s="690"/>
      <c r="J83" s="690"/>
      <c r="K83" s="690"/>
      <c r="L83" s="690"/>
      <c r="M83" s="690"/>
      <c r="N83" s="690"/>
      <c r="O83" s="690"/>
      <c r="P83" s="690"/>
      <c r="Q83" s="398"/>
    </row>
    <row r="84" spans="2:18" ht="4.5" hidden="1" customHeight="1" outlineLevel="1" x14ac:dyDescent="0.2">
      <c r="B84" s="397"/>
      <c r="C84" s="383"/>
      <c r="D84" s="383"/>
      <c r="E84" s="379"/>
      <c r="F84" s="383"/>
      <c r="G84" s="379"/>
      <c r="H84" s="379"/>
      <c r="I84" s="379"/>
      <c r="J84" s="379"/>
      <c r="K84" s="141"/>
      <c r="L84" s="141"/>
      <c r="M84" s="141"/>
      <c r="N84" s="141"/>
      <c r="O84" s="141"/>
      <c r="P84" s="141"/>
      <c r="Q84" s="398"/>
    </row>
    <row r="85" spans="2:18" ht="15" hidden="1" customHeight="1" outlineLevel="1" x14ac:dyDescent="0.2">
      <c r="B85" s="397"/>
      <c r="C85" s="681" t="s">
        <v>668</v>
      </c>
      <c r="D85" s="682"/>
      <c r="E85" s="682"/>
      <c r="F85" s="440"/>
      <c r="G85" s="440"/>
      <c r="H85" s="440"/>
      <c r="I85" s="440"/>
      <c r="J85" s="440"/>
      <c r="K85" s="440"/>
      <c r="L85" s="440"/>
      <c r="M85" s="440"/>
      <c r="N85" s="440"/>
      <c r="O85" s="440"/>
      <c r="P85" s="440"/>
      <c r="Q85" s="398"/>
      <c r="R85" s="386"/>
    </row>
    <row r="86" spans="2:18" ht="15" hidden="1" customHeight="1" outlineLevel="2" x14ac:dyDescent="0.2">
      <c r="B86" s="397"/>
      <c r="C86" s="691"/>
      <c r="D86" s="692"/>
      <c r="E86" s="692"/>
      <c r="F86" s="692"/>
      <c r="G86" s="692"/>
      <c r="H86" s="141"/>
      <c r="I86" s="689" t="s">
        <v>583</v>
      </c>
      <c r="J86" s="689"/>
      <c r="K86" s="681" t="s">
        <v>721</v>
      </c>
      <c r="L86" s="682"/>
      <c r="M86" s="681" t="s">
        <v>812</v>
      </c>
      <c r="N86" s="682"/>
      <c r="O86" s="681" t="s">
        <v>732</v>
      </c>
      <c r="P86" s="682"/>
      <c r="Q86" s="398"/>
      <c r="R86" s="387"/>
    </row>
    <row r="87" spans="2:18" ht="15" hidden="1" customHeight="1" outlineLevel="2" x14ac:dyDescent="0.2">
      <c r="B87" s="397"/>
      <c r="C87" s="141"/>
      <c r="D87" s="141"/>
      <c r="E87" s="141"/>
      <c r="F87" s="141"/>
      <c r="G87" s="141"/>
      <c r="H87" s="141"/>
      <c r="I87" s="409"/>
      <c r="J87" s="392" t="s">
        <v>728</v>
      </c>
      <c r="K87" s="409"/>
      <c r="L87" s="392" t="s">
        <v>722</v>
      </c>
      <c r="M87" s="545">
        <v>0</v>
      </c>
      <c r="N87" s="611" t="s">
        <v>292</v>
      </c>
      <c r="O87" s="545">
        <v>0</v>
      </c>
      <c r="P87" s="573" t="s">
        <v>780</v>
      </c>
      <c r="Q87" s="398"/>
      <c r="R87" s="387"/>
    </row>
    <row r="88" spans="2:18" ht="15" hidden="1" customHeight="1" outlineLevel="2" x14ac:dyDescent="0.2">
      <c r="B88" s="397"/>
      <c r="C88" s="141"/>
      <c r="D88" s="681" t="s">
        <v>805</v>
      </c>
      <c r="E88" s="682"/>
      <c r="F88" s="681" t="s">
        <v>163</v>
      </c>
      <c r="G88" s="682"/>
      <c r="H88" s="141"/>
      <c r="I88" s="409"/>
      <c r="J88" s="392" t="s">
        <v>664</v>
      </c>
      <c r="K88" s="383"/>
      <c r="L88" s="383"/>
      <c r="M88" s="383"/>
      <c r="N88" s="383"/>
      <c r="O88" s="383"/>
      <c r="P88" s="383"/>
      <c r="Q88" s="398"/>
      <c r="R88" s="387"/>
    </row>
    <row r="89" spans="2:18" ht="15" hidden="1" customHeight="1" outlineLevel="2" x14ac:dyDescent="0.2">
      <c r="B89" s="397"/>
      <c r="C89" s="141"/>
      <c r="D89" s="441"/>
      <c r="E89" s="392" t="s">
        <v>9</v>
      </c>
      <c r="F89" s="389">
        <f>D89*D92+F92</f>
        <v>0</v>
      </c>
      <c r="G89" s="392" t="s">
        <v>9</v>
      </c>
      <c r="H89" s="141"/>
      <c r="I89" s="383"/>
      <c r="J89" s="383"/>
      <c r="M89" s="685" t="s">
        <v>814</v>
      </c>
      <c r="N89" s="685"/>
      <c r="O89" s="685" t="s">
        <v>804</v>
      </c>
      <c r="P89" s="685"/>
      <c r="Q89" s="398"/>
      <c r="R89" s="387"/>
    </row>
    <row r="90" spans="2:18" ht="15" hidden="1" customHeight="1" outlineLevel="2" x14ac:dyDescent="0.2">
      <c r="B90" s="397"/>
      <c r="C90" s="141"/>
      <c r="D90" s="383"/>
      <c r="E90" s="383"/>
      <c r="F90" s="383"/>
      <c r="G90" s="383"/>
      <c r="H90" s="383"/>
      <c r="I90" s="383"/>
      <c r="J90" s="383"/>
      <c r="M90" s="614">
        <v>8.48</v>
      </c>
      <c r="N90" s="556" t="s">
        <v>653</v>
      </c>
      <c r="O90" s="687">
        <v>1</v>
      </c>
      <c r="P90" s="687"/>
      <c r="Q90" s="398"/>
      <c r="R90" s="387"/>
    </row>
    <row r="91" spans="2:18" ht="15" hidden="1" customHeight="1" outlineLevel="2" x14ac:dyDescent="0.2">
      <c r="B91" s="397"/>
      <c r="C91" s="141"/>
      <c r="D91" s="728" t="s">
        <v>727</v>
      </c>
      <c r="E91" s="730"/>
      <c r="F91" s="728" t="s">
        <v>72</v>
      </c>
      <c r="G91" s="729"/>
      <c r="H91" s="383"/>
      <c r="I91" s="383"/>
      <c r="J91" s="383"/>
      <c r="K91" s="383"/>
      <c r="L91" s="383"/>
      <c r="M91" s="383"/>
      <c r="N91" s="383"/>
      <c r="O91" s="383"/>
      <c r="P91" s="383"/>
      <c r="Q91" s="398"/>
      <c r="R91" s="388"/>
    </row>
    <row r="92" spans="2:18" ht="15" hidden="1" customHeight="1" outlineLevel="2" x14ac:dyDescent="0.2">
      <c r="B92" s="397"/>
      <c r="C92" s="141"/>
      <c r="D92" s="409">
        <v>1</v>
      </c>
      <c r="E92" s="573" t="s">
        <v>728</v>
      </c>
      <c r="F92" s="575">
        <v>0</v>
      </c>
      <c r="G92" s="573" t="s">
        <v>9</v>
      </c>
      <c r="H92" s="383"/>
      <c r="I92" s="681" t="s">
        <v>723</v>
      </c>
      <c r="J92" s="682"/>
      <c r="K92" s="685" t="s">
        <v>651</v>
      </c>
      <c r="L92" s="685"/>
      <c r="M92" s="685" t="s">
        <v>724</v>
      </c>
      <c r="N92" s="685"/>
      <c r="O92" s="685" t="s">
        <v>686</v>
      </c>
      <c r="P92" s="685"/>
      <c r="Q92" s="398"/>
      <c r="R92" s="388"/>
    </row>
    <row r="93" spans="2:18" ht="15" hidden="1" customHeight="1" outlineLevel="2" x14ac:dyDescent="0.2">
      <c r="B93" s="397"/>
      <c r="C93" s="141"/>
      <c r="D93" s="383"/>
      <c r="E93" s="383"/>
      <c r="F93" s="383"/>
      <c r="G93" s="383"/>
      <c r="H93" s="383"/>
      <c r="I93" s="434" t="str">
        <f>IFERROR((F89-D89*D92)/F89*100,"")</f>
        <v/>
      </c>
      <c r="J93" s="573" t="s">
        <v>292</v>
      </c>
      <c r="K93" s="434">
        <f>IFERROR(($H$18*D89*I87/1000)/1000/D98*100,0)</f>
        <v>0</v>
      </c>
      <c r="L93" s="392" t="s">
        <v>292</v>
      </c>
      <c r="M93" s="434">
        <f>IFERROR(((D95/F95)-1)*100,0)</f>
        <v>0</v>
      </c>
      <c r="N93" s="392" t="s">
        <v>292</v>
      </c>
      <c r="O93" s="434">
        <f>SUM(K93,M93,I93)</f>
        <v>0</v>
      </c>
      <c r="P93" s="392" t="s">
        <v>292</v>
      </c>
      <c r="Q93" s="398"/>
      <c r="R93" s="388"/>
    </row>
    <row r="94" spans="2:18" ht="15" hidden="1" customHeight="1" outlineLevel="2" x14ac:dyDescent="0.2">
      <c r="B94" s="397"/>
      <c r="C94" s="141"/>
      <c r="D94" s="681" t="s">
        <v>729</v>
      </c>
      <c r="E94" s="682"/>
      <c r="F94" s="681" t="s">
        <v>730</v>
      </c>
      <c r="G94" s="682"/>
      <c r="H94" s="383"/>
      <c r="I94" s="141"/>
      <c r="J94" s="141"/>
      <c r="K94" s="383"/>
      <c r="L94" s="383"/>
      <c r="M94" s="383"/>
      <c r="N94" s="383"/>
      <c r="O94" s="383"/>
      <c r="P94" s="383"/>
      <c r="Q94" s="398"/>
      <c r="R94" s="387"/>
    </row>
    <row r="95" spans="2:18" ht="15" hidden="1" customHeight="1" outlineLevel="2" x14ac:dyDescent="0.2">
      <c r="B95" s="397"/>
      <c r="C95" s="141"/>
      <c r="D95" s="389">
        <f>ROUND(D89/1000*$H$18,3)</f>
        <v>0</v>
      </c>
      <c r="E95" s="392" t="s">
        <v>731</v>
      </c>
      <c r="F95" s="389">
        <f>D95-O87</f>
        <v>0</v>
      </c>
      <c r="G95" s="392" t="s">
        <v>731</v>
      </c>
      <c r="H95" s="383"/>
      <c r="I95" s="685" t="s">
        <v>721</v>
      </c>
      <c r="J95" s="685"/>
      <c r="K95" s="685" t="s">
        <v>658</v>
      </c>
      <c r="L95" s="685"/>
      <c r="M95" s="685" t="s">
        <v>741</v>
      </c>
      <c r="N95" s="685"/>
      <c r="O95" s="685" t="s">
        <v>64</v>
      </c>
      <c r="P95" s="685"/>
      <c r="Q95" s="398"/>
      <c r="R95" s="387"/>
    </row>
    <row r="96" spans="2:18" ht="15" hidden="1" customHeight="1" outlineLevel="2" x14ac:dyDescent="0.2">
      <c r="B96" s="397"/>
      <c r="C96" s="141"/>
      <c r="D96" s="383"/>
      <c r="E96" s="383"/>
      <c r="F96" s="383"/>
      <c r="G96" s="383"/>
      <c r="H96" s="383"/>
      <c r="I96" s="434">
        <f>K87/60</f>
        <v>0</v>
      </c>
      <c r="J96" s="392" t="s">
        <v>664</v>
      </c>
      <c r="K96" s="434">
        <f>IFERROR(((O99*D98/60)+K99)/(M90*O90),"")</f>
        <v>0</v>
      </c>
      <c r="L96" s="392" t="s">
        <v>657</v>
      </c>
      <c r="M96" s="714" t="str">
        <f>IF(F95&lt;5,"Leve",IF(AND(F95&gt;=5,F95&lt;10),"Normal","Pesada"))</f>
        <v>Leve</v>
      </c>
      <c r="N96" s="714"/>
      <c r="O96" s="434">
        <f>IFERROR(INDEX('Listas de Dados'!Q:S,MATCH('PJT XXXX'!C86,'Listas de Dados'!P:P,0),MATCH("Eficiência "&amp;M96,'Listas de Dados'!$Q$3:$S$3,0)),0)</f>
        <v>0</v>
      </c>
      <c r="P96" s="392" t="s">
        <v>292</v>
      </c>
      <c r="Q96" s="398"/>
      <c r="R96" s="387"/>
    </row>
    <row r="97" spans="2:18" ht="15" hidden="1" customHeight="1" outlineLevel="2" x14ac:dyDescent="0.2">
      <c r="B97" s="397"/>
      <c r="C97" s="141"/>
      <c r="D97" s="728" t="s">
        <v>733</v>
      </c>
      <c r="E97" s="729"/>
      <c r="F97" s="728" t="s">
        <v>734</v>
      </c>
      <c r="G97" s="729"/>
      <c r="H97" s="383"/>
      <c r="I97" s="383"/>
      <c r="J97" s="383"/>
      <c r="K97" s="383"/>
      <c r="L97" s="383"/>
      <c r="M97" s="141"/>
      <c r="N97" s="141"/>
      <c r="O97" s="141"/>
      <c r="P97" s="141"/>
      <c r="Q97" s="398"/>
      <c r="R97" s="387"/>
    </row>
    <row r="98" spans="2:18" ht="15" hidden="1" customHeight="1" outlineLevel="2" x14ac:dyDescent="0.2">
      <c r="B98" s="397"/>
      <c r="C98" s="141"/>
      <c r="D98" s="409"/>
      <c r="E98" s="392" t="s">
        <v>717</v>
      </c>
      <c r="F98" s="449"/>
      <c r="G98" s="392" t="s">
        <v>715</v>
      </c>
      <c r="H98" s="383"/>
      <c r="I98" s="685" t="s">
        <v>61</v>
      </c>
      <c r="J98" s="685"/>
      <c r="K98" s="685" t="s">
        <v>697</v>
      </c>
      <c r="L98" s="685"/>
      <c r="M98" s="685" t="s">
        <v>655</v>
      </c>
      <c r="N98" s="685"/>
      <c r="O98" s="685" t="s">
        <v>652</v>
      </c>
      <c r="P98" s="685"/>
      <c r="Q98" s="398"/>
    </row>
    <row r="99" spans="2:18" ht="15" hidden="1" customHeight="1" outlineLevel="2" x14ac:dyDescent="0.2">
      <c r="B99" s="397"/>
      <c r="C99" s="141"/>
      <c r="D99" s="383"/>
      <c r="E99" s="383"/>
      <c r="F99" s="449"/>
      <c r="G99" s="392" t="s">
        <v>716</v>
      </c>
      <c r="H99" s="383"/>
      <c r="I99" s="434">
        <f>IFERROR(VLOOKUP(C86,'Listas de Dados'!$I:$N,3,0),0)</f>
        <v>0</v>
      </c>
      <c r="J99" s="392" t="s">
        <v>653</v>
      </c>
      <c r="K99" s="434">
        <f>SUM(I99,I88/60)</f>
        <v>0</v>
      </c>
      <c r="L99" s="392" t="s">
        <v>653</v>
      </c>
      <c r="M99" s="434">
        <f>IFERROR(K99*60/D98,0)</f>
        <v>0</v>
      </c>
      <c r="N99" s="392" t="s">
        <v>654</v>
      </c>
      <c r="O99" s="434">
        <f>IFERROR(K87/(F95)/60*1000*((1+(100-O96)/100)),0)</f>
        <v>0</v>
      </c>
      <c r="P99" s="392" t="s">
        <v>654</v>
      </c>
      <c r="Q99" s="398"/>
      <c r="R99" s="387"/>
    </row>
    <row r="100" spans="2:18" ht="15" hidden="1" customHeight="1" outlineLevel="1" collapsed="1" x14ac:dyDescent="0.2">
      <c r="B100" s="397"/>
      <c r="C100" s="141"/>
      <c r="D100" s="141"/>
      <c r="E100" s="141"/>
      <c r="F100" s="141"/>
      <c r="G100" s="141"/>
      <c r="H100" s="141"/>
      <c r="I100" s="141"/>
      <c r="J100" s="141"/>
      <c r="K100" s="141"/>
      <c r="L100" s="141"/>
      <c r="M100" s="141"/>
      <c r="N100" s="141"/>
      <c r="O100" s="141"/>
      <c r="P100" s="141"/>
      <c r="Q100" s="398"/>
      <c r="R100" s="387"/>
    </row>
    <row r="101" spans="2:18" ht="15" hidden="1" customHeight="1" outlineLevel="1" x14ac:dyDescent="0.2">
      <c r="B101" s="397"/>
      <c r="C101" s="681" t="s">
        <v>726</v>
      </c>
      <c r="D101" s="682"/>
      <c r="E101" s="682"/>
      <c r="F101" s="440"/>
      <c r="G101" s="440"/>
      <c r="H101" s="440"/>
      <c r="I101" s="440"/>
      <c r="J101" s="440"/>
      <c r="K101" s="440"/>
      <c r="L101" s="440"/>
      <c r="M101" s="440"/>
      <c r="N101" s="440"/>
      <c r="O101" s="440"/>
      <c r="P101" s="440"/>
      <c r="Q101" s="398"/>
      <c r="R101" s="386"/>
    </row>
    <row r="102" spans="2:18" ht="15" hidden="1" customHeight="1" outlineLevel="2" x14ac:dyDescent="0.2">
      <c r="B102" s="397"/>
      <c r="C102" s="691"/>
      <c r="D102" s="692"/>
      <c r="E102" s="692"/>
      <c r="F102" s="692"/>
      <c r="G102" s="692"/>
      <c r="H102" s="141"/>
      <c r="I102" s="689" t="s">
        <v>583</v>
      </c>
      <c r="J102" s="689"/>
      <c r="K102" s="681" t="s">
        <v>721</v>
      </c>
      <c r="L102" s="682"/>
      <c r="M102" s="681" t="s">
        <v>812</v>
      </c>
      <c r="N102" s="682"/>
      <c r="O102" s="681" t="s">
        <v>732</v>
      </c>
      <c r="P102" s="682"/>
      <c r="Q102" s="398"/>
      <c r="R102" s="387"/>
    </row>
    <row r="103" spans="2:18" ht="15" hidden="1" customHeight="1" outlineLevel="2" x14ac:dyDescent="0.2">
      <c r="B103" s="397"/>
      <c r="C103" s="141"/>
      <c r="D103" s="141"/>
      <c r="E103" s="141"/>
      <c r="F103" s="141"/>
      <c r="G103" s="141"/>
      <c r="H103" s="141"/>
      <c r="I103" s="409"/>
      <c r="J103" s="392" t="s">
        <v>728</v>
      </c>
      <c r="K103" s="409"/>
      <c r="L103" s="392" t="s">
        <v>722</v>
      </c>
      <c r="M103" s="545">
        <v>0</v>
      </c>
      <c r="N103" s="611" t="s">
        <v>292</v>
      </c>
      <c r="O103" s="545">
        <v>0</v>
      </c>
      <c r="P103" s="392" t="s">
        <v>780</v>
      </c>
      <c r="Q103" s="398"/>
      <c r="R103" s="387"/>
    </row>
    <row r="104" spans="2:18" ht="15" hidden="1" customHeight="1" outlineLevel="2" x14ac:dyDescent="0.2">
      <c r="B104" s="397"/>
      <c r="C104" s="141"/>
      <c r="D104" s="681" t="s">
        <v>805</v>
      </c>
      <c r="E104" s="682"/>
      <c r="F104" s="681" t="s">
        <v>163</v>
      </c>
      <c r="G104" s="682"/>
      <c r="H104" s="141"/>
      <c r="I104" s="409"/>
      <c r="J104" s="392" t="s">
        <v>664</v>
      </c>
      <c r="K104" s="383"/>
      <c r="L104" s="383"/>
      <c r="M104" s="383"/>
      <c r="N104" s="383"/>
      <c r="O104" s="383"/>
      <c r="P104" s="383"/>
      <c r="Q104" s="398"/>
      <c r="R104" s="387"/>
    </row>
    <row r="105" spans="2:18" ht="15" hidden="1" customHeight="1" outlineLevel="2" x14ac:dyDescent="0.2">
      <c r="B105" s="397"/>
      <c r="C105" s="141"/>
      <c r="D105" s="574">
        <f>IFERROR((F105-F108)/D108,0)</f>
        <v>0</v>
      </c>
      <c r="E105" s="392" t="s">
        <v>9</v>
      </c>
      <c r="F105" s="389">
        <f>D89</f>
        <v>0</v>
      </c>
      <c r="G105" s="392" t="s">
        <v>9</v>
      </c>
      <c r="H105" s="141"/>
      <c r="I105" s="383"/>
      <c r="J105" s="383"/>
      <c r="M105" s="685" t="s">
        <v>814</v>
      </c>
      <c r="N105" s="685"/>
      <c r="O105" s="685" t="s">
        <v>804</v>
      </c>
      <c r="P105" s="685"/>
      <c r="Q105" s="398"/>
      <c r="R105" s="387"/>
    </row>
    <row r="106" spans="2:18" ht="15" hidden="1" customHeight="1" outlineLevel="2" x14ac:dyDescent="0.2">
      <c r="B106" s="397"/>
      <c r="C106" s="141"/>
      <c r="D106" s="383"/>
      <c r="E106" s="383"/>
      <c r="F106" s="383"/>
      <c r="G106" s="383"/>
      <c r="H106" s="383"/>
      <c r="I106" s="383"/>
      <c r="J106" s="383"/>
      <c r="M106" s="614">
        <v>8.48</v>
      </c>
      <c r="N106" s="556" t="s">
        <v>653</v>
      </c>
      <c r="O106" s="687">
        <v>1</v>
      </c>
      <c r="P106" s="687"/>
      <c r="Q106" s="398"/>
      <c r="R106" s="387"/>
    </row>
    <row r="107" spans="2:18" ht="15" hidden="1" customHeight="1" outlineLevel="2" x14ac:dyDescent="0.2">
      <c r="B107" s="397"/>
      <c r="C107" s="141"/>
      <c r="D107" s="728" t="s">
        <v>727</v>
      </c>
      <c r="E107" s="729"/>
      <c r="F107" s="728" t="s">
        <v>72</v>
      </c>
      <c r="G107" s="729"/>
      <c r="H107" s="383"/>
      <c r="I107" s="383"/>
      <c r="J107" s="383"/>
      <c r="K107" s="383"/>
      <c r="L107" s="383"/>
      <c r="M107" s="383"/>
      <c r="N107" s="383"/>
      <c r="O107" s="383"/>
      <c r="P107" s="383"/>
      <c r="Q107" s="398"/>
      <c r="R107" s="388"/>
    </row>
    <row r="108" spans="2:18" ht="15" hidden="1" customHeight="1" outlineLevel="2" x14ac:dyDescent="0.2">
      <c r="B108" s="397"/>
      <c r="C108" s="141"/>
      <c r="D108" s="576">
        <v>1</v>
      </c>
      <c r="E108" s="573" t="s">
        <v>728</v>
      </c>
      <c r="F108" s="576">
        <v>0</v>
      </c>
      <c r="G108" s="573" t="s">
        <v>9</v>
      </c>
      <c r="H108" s="383"/>
      <c r="I108" s="681" t="s">
        <v>723</v>
      </c>
      <c r="J108" s="682"/>
      <c r="K108" s="685" t="s">
        <v>651</v>
      </c>
      <c r="L108" s="685"/>
      <c r="M108" s="685" t="s">
        <v>724</v>
      </c>
      <c r="N108" s="685"/>
      <c r="O108" s="685" t="s">
        <v>686</v>
      </c>
      <c r="P108" s="685"/>
      <c r="Q108" s="398"/>
      <c r="R108" s="388"/>
    </row>
    <row r="109" spans="2:18" ht="15" hidden="1" customHeight="1" outlineLevel="2" x14ac:dyDescent="0.2">
      <c r="B109" s="397"/>
      <c r="C109" s="141"/>
      <c r="D109" s="383"/>
      <c r="E109" s="383"/>
      <c r="F109" s="383"/>
      <c r="G109" s="383"/>
      <c r="H109" s="383"/>
      <c r="I109" s="434" t="str">
        <f>IFERROR((F105-D105*D108)/F105*100,"")</f>
        <v/>
      </c>
      <c r="J109" s="611" t="s">
        <v>292</v>
      </c>
      <c r="K109" s="434">
        <f>IFERROR(($H$18*D105*I103/1000)/1000/D114*100,0)</f>
        <v>0</v>
      </c>
      <c r="L109" s="392" t="s">
        <v>292</v>
      </c>
      <c r="M109" s="434">
        <f>IFERROR(((D111/F111)-1)*100,0)</f>
        <v>0</v>
      </c>
      <c r="N109" s="392" t="s">
        <v>292</v>
      </c>
      <c r="O109" s="434">
        <f>SUM(K109,M109,I109)</f>
        <v>0</v>
      </c>
      <c r="P109" s="392" t="s">
        <v>292</v>
      </c>
      <c r="Q109" s="398"/>
      <c r="R109" s="388"/>
    </row>
    <row r="110" spans="2:18" ht="15" hidden="1" customHeight="1" outlineLevel="2" x14ac:dyDescent="0.2">
      <c r="B110" s="397"/>
      <c r="C110" s="141"/>
      <c r="D110" s="681" t="s">
        <v>729</v>
      </c>
      <c r="E110" s="682"/>
      <c r="F110" s="681" t="s">
        <v>730</v>
      </c>
      <c r="G110" s="682"/>
      <c r="H110" s="383"/>
      <c r="I110" s="141"/>
      <c r="J110" s="141"/>
      <c r="K110" s="383"/>
      <c r="L110" s="383"/>
      <c r="M110" s="383"/>
      <c r="N110" s="383"/>
      <c r="O110" s="383"/>
      <c r="P110" s="383"/>
      <c r="Q110" s="398"/>
      <c r="R110" s="387"/>
    </row>
    <row r="111" spans="2:18" ht="15" hidden="1" customHeight="1" outlineLevel="2" x14ac:dyDescent="0.2">
      <c r="B111" s="397"/>
      <c r="C111" s="141"/>
      <c r="D111" s="389">
        <f>F95</f>
        <v>0</v>
      </c>
      <c r="E111" s="392" t="s">
        <v>731</v>
      </c>
      <c r="F111" s="434">
        <f>D111-O103</f>
        <v>0</v>
      </c>
      <c r="G111" s="392" t="s">
        <v>731</v>
      </c>
      <c r="H111" s="383"/>
      <c r="I111" s="685" t="s">
        <v>721</v>
      </c>
      <c r="J111" s="685"/>
      <c r="K111" s="685" t="s">
        <v>658</v>
      </c>
      <c r="L111" s="685"/>
      <c r="M111" s="685" t="s">
        <v>741</v>
      </c>
      <c r="N111" s="685"/>
      <c r="O111" s="685" t="s">
        <v>64</v>
      </c>
      <c r="P111" s="685"/>
      <c r="Q111" s="398"/>
      <c r="R111" s="387"/>
    </row>
    <row r="112" spans="2:18" ht="15" hidden="1" customHeight="1" outlineLevel="2" x14ac:dyDescent="0.2">
      <c r="B112" s="397"/>
      <c r="C112" s="141"/>
      <c r="D112" s="383"/>
      <c r="E112" s="383"/>
      <c r="F112" s="383"/>
      <c r="G112" s="383"/>
      <c r="H112" s="383"/>
      <c r="I112" s="434">
        <f>K103/60</f>
        <v>0</v>
      </c>
      <c r="J112" s="392" t="s">
        <v>664</v>
      </c>
      <c r="K112" s="434">
        <f>IFERROR(((O115*D114/60)+K115)/(M106*O106),"")</f>
        <v>0</v>
      </c>
      <c r="L112" s="392" t="s">
        <v>657</v>
      </c>
      <c r="M112" s="714" t="str">
        <f>IF(F111&lt;5,"Leve",IF(AND(F111&gt;=5,F111&lt;10),"Normal","Pesada"))</f>
        <v>Leve</v>
      </c>
      <c r="N112" s="714"/>
      <c r="O112" s="434">
        <f>IFERROR(INDEX('Listas de Dados'!Q:S,MATCH('PJT XXXX'!C102,'Listas de Dados'!P:P,0),MATCH("Eficiência "&amp;M112,'Listas de Dados'!$Q$3:$S$3,0)),0)</f>
        <v>0</v>
      </c>
      <c r="P112" s="392" t="s">
        <v>292</v>
      </c>
      <c r="Q112" s="398"/>
      <c r="R112" s="387"/>
    </row>
    <row r="113" spans="2:18" ht="15" hidden="1" customHeight="1" outlineLevel="2" x14ac:dyDescent="0.2">
      <c r="B113" s="397"/>
      <c r="C113" s="141"/>
      <c r="D113" s="728" t="s">
        <v>733</v>
      </c>
      <c r="E113" s="729"/>
      <c r="F113" s="728" t="s">
        <v>734</v>
      </c>
      <c r="G113" s="729"/>
      <c r="H113" s="383"/>
      <c r="I113" s="383"/>
      <c r="J113" s="383"/>
      <c r="K113" s="383"/>
      <c r="L113" s="383"/>
      <c r="M113" s="141"/>
      <c r="N113" s="141"/>
      <c r="O113" s="141"/>
      <c r="P113" s="141"/>
      <c r="Q113" s="398"/>
      <c r="R113" s="387"/>
    </row>
    <row r="114" spans="2:18" ht="15" hidden="1" customHeight="1" outlineLevel="2" x14ac:dyDescent="0.2">
      <c r="B114" s="397"/>
      <c r="C114" s="141"/>
      <c r="D114" s="572">
        <f>D98</f>
        <v>0</v>
      </c>
      <c r="E114" s="392" t="s">
        <v>717</v>
      </c>
      <c r="F114" s="574">
        <f>F98</f>
        <v>0</v>
      </c>
      <c r="G114" s="392" t="s">
        <v>715</v>
      </c>
      <c r="H114" s="383"/>
      <c r="I114" s="685" t="s">
        <v>61</v>
      </c>
      <c r="J114" s="685"/>
      <c r="K114" s="685" t="s">
        <v>697</v>
      </c>
      <c r="L114" s="685"/>
      <c r="M114" s="685" t="s">
        <v>655</v>
      </c>
      <c r="N114" s="685"/>
      <c r="O114" s="685" t="s">
        <v>652</v>
      </c>
      <c r="P114" s="685"/>
      <c r="Q114" s="398"/>
    </row>
    <row r="115" spans="2:18" ht="15" hidden="1" customHeight="1" outlineLevel="2" x14ac:dyDescent="0.2">
      <c r="B115" s="397"/>
      <c r="C115" s="141"/>
      <c r="D115" s="383"/>
      <c r="E115" s="383"/>
      <c r="F115" s="574">
        <f>F99</f>
        <v>0</v>
      </c>
      <c r="G115" s="392" t="s">
        <v>716</v>
      </c>
      <c r="H115" s="383"/>
      <c r="I115" s="434">
        <f>IFERROR(VLOOKUP(C102,'Listas de Dados'!$I:$N,3,0),0)</f>
        <v>0</v>
      </c>
      <c r="J115" s="392" t="s">
        <v>653</v>
      </c>
      <c r="K115" s="434">
        <f>SUM(I115,I104/60)</f>
        <v>0</v>
      </c>
      <c r="L115" s="392" t="s">
        <v>653</v>
      </c>
      <c r="M115" s="434">
        <f>IFERROR(K115*60/D114,0)</f>
        <v>0</v>
      </c>
      <c r="N115" s="392" t="s">
        <v>654</v>
      </c>
      <c r="O115" s="434">
        <f>IFERROR(K103/(F111)/60*1000*((1+(100-O112)/100)),0)</f>
        <v>0</v>
      </c>
      <c r="P115" s="392" t="s">
        <v>654</v>
      </c>
      <c r="Q115" s="398"/>
      <c r="R115" s="387"/>
    </row>
    <row r="116" spans="2:18" ht="15" hidden="1" customHeight="1" outlineLevel="1" collapsed="1" x14ac:dyDescent="0.2">
      <c r="B116" s="397"/>
      <c r="C116" s="141"/>
      <c r="D116" s="141"/>
      <c r="E116" s="383"/>
      <c r="F116" s="383"/>
      <c r="G116" s="383"/>
      <c r="H116" s="383"/>
      <c r="I116" s="383"/>
      <c r="J116" s="383"/>
      <c r="K116" s="383"/>
      <c r="L116" s="383"/>
      <c r="M116" s="383"/>
      <c r="N116" s="383"/>
      <c r="O116" s="383"/>
      <c r="P116" s="141"/>
      <c r="Q116" s="398"/>
      <c r="R116" s="387"/>
    </row>
    <row r="117" spans="2:18" ht="15" hidden="1" customHeight="1" outlineLevel="1" x14ac:dyDescent="0.2">
      <c r="B117" s="397"/>
      <c r="C117" s="681" t="s">
        <v>739</v>
      </c>
      <c r="D117" s="682"/>
      <c r="E117" s="682"/>
      <c r="F117" s="440"/>
      <c r="G117" s="440"/>
      <c r="H117" s="440"/>
      <c r="I117" s="440"/>
      <c r="J117" s="440"/>
      <c r="K117" s="440"/>
      <c r="L117" s="440"/>
      <c r="M117" s="440"/>
      <c r="N117" s="440"/>
      <c r="O117" s="440"/>
      <c r="P117" s="440"/>
      <c r="Q117" s="398"/>
      <c r="R117" s="386"/>
    </row>
    <row r="118" spans="2:18" ht="15" hidden="1" customHeight="1" outlineLevel="2" x14ac:dyDescent="0.2">
      <c r="B118" s="397"/>
      <c r="C118" s="691"/>
      <c r="D118" s="692"/>
      <c r="E118" s="692"/>
      <c r="F118" s="692"/>
      <c r="G118" s="692"/>
      <c r="H118" s="141"/>
      <c r="I118" s="689" t="s">
        <v>583</v>
      </c>
      <c r="J118" s="689"/>
      <c r="K118" s="681" t="s">
        <v>721</v>
      </c>
      <c r="L118" s="682"/>
      <c r="M118" s="681" t="s">
        <v>812</v>
      </c>
      <c r="N118" s="682"/>
      <c r="O118" s="681" t="s">
        <v>732</v>
      </c>
      <c r="P118" s="682"/>
      <c r="Q118" s="398"/>
      <c r="R118" s="387"/>
    </row>
    <row r="119" spans="2:18" ht="15" hidden="1" customHeight="1" outlineLevel="2" x14ac:dyDescent="0.2">
      <c r="B119" s="397"/>
      <c r="C119" s="141"/>
      <c r="D119" s="141"/>
      <c r="E119" s="141"/>
      <c r="F119" s="141"/>
      <c r="G119" s="141"/>
      <c r="H119" s="141"/>
      <c r="I119" s="409"/>
      <c r="J119" s="392" t="s">
        <v>728</v>
      </c>
      <c r="K119" s="409"/>
      <c r="L119" s="392" t="s">
        <v>722</v>
      </c>
      <c r="M119" s="545">
        <v>0</v>
      </c>
      <c r="N119" s="611" t="s">
        <v>292</v>
      </c>
      <c r="O119" s="545">
        <v>0</v>
      </c>
      <c r="P119" s="392" t="s">
        <v>780</v>
      </c>
      <c r="Q119" s="398"/>
      <c r="R119" s="387"/>
    </row>
    <row r="120" spans="2:18" ht="15" hidden="1" customHeight="1" outlineLevel="2" x14ac:dyDescent="0.2">
      <c r="B120" s="397"/>
      <c r="C120" s="141"/>
      <c r="D120" s="681" t="s">
        <v>805</v>
      </c>
      <c r="E120" s="682"/>
      <c r="F120" s="681" t="s">
        <v>163</v>
      </c>
      <c r="G120" s="682"/>
      <c r="H120" s="141"/>
      <c r="I120" s="409"/>
      <c r="J120" s="392" t="s">
        <v>664</v>
      </c>
      <c r="K120" s="383"/>
      <c r="L120" s="383"/>
      <c r="M120" s="383"/>
      <c r="N120" s="383"/>
      <c r="O120" s="383"/>
      <c r="P120" s="383"/>
      <c r="Q120" s="398"/>
      <c r="R120" s="387"/>
    </row>
    <row r="121" spans="2:18" ht="15" hidden="1" customHeight="1" outlineLevel="2" x14ac:dyDescent="0.2">
      <c r="B121" s="397"/>
      <c r="C121" s="141"/>
      <c r="D121" s="574">
        <f>IFERROR((F121-F124)/D124,0)</f>
        <v>0</v>
      </c>
      <c r="E121" s="573" t="s">
        <v>9</v>
      </c>
      <c r="F121" s="389">
        <f>D105</f>
        <v>0</v>
      </c>
      <c r="G121" s="573" t="s">
        <v>9</v>
      </c>
      <c r="H121" s="141"/>
      <c r="I121" s="383"/>
      <c r="J121" s="383"/>
      <c r="M121" s="685" t="s">
        <v>814</v>
      </c>
      <c r="N121" s="685"/>
      <c r="O121" s="685" t="s">
        <v>804</v>
      </c>
      <c r="P121" s="685"/>
      <c r="Q121" s="398"/>
      <c r="R121" s="387"/>
    </row>
    <row r="122" spans="2:18" ht="15" hidden="1" customHeight="1" outlineLevel="2" x14ac:dyDescent="0.2">
      <c r="B122" s="397"/>
      <c r="C122" s="141"/>
      <c r="D122" s="383"/>
      <c r="E122" s="383"/>
      <c r="F122" s="383"/>
      <c r="G122" s="383"/>
      <c r="H122" s="383"/>
      <c r="I122" s="383"/>
      <c r="J122" s="383"/>
      <c r="M122" s="614">
        <v>8.48</v>
      </c>
      <c r="N122" s="556" t="s">
        <v>653</v>
      </c>
      <c r="O122" s="687">
        <v>1</v>
      </c>
      <c r="P122" s="687"/>
      <c r="Q122" s="398"/>
      <c r="R122" s="387"/>
    </row>
    <row r="123" spans="2:18" ht="15" hidden="1" customHeight="1" outlineLevel="2" x14ac:dyDescent="0.2">
      <c r="B123" s="397"/>
      <c r="C123" s="141"/>
      <c r="D123" s="728" t="s">
        <v>727</v>
      </c>
      <c r="E123" s="729"/>
      <c r="F123" s="728" t="s">
        <v>72</v>
      </c>
      <c r="G123" s="729"/>
      <c r="H123" s="383"/>
      <c r="I123" s="383"/>
      <c r="J123" s="383"/>
      <c r="K123" s="383"/>
      <c r="L123" s="383"/>
      <c r="M123" s="383"/>
      <c r="N123" s="383"/>
      <c r="O123" s="383"/>
      <c r="P123" s="383"/>
      <c r="Q123" s="398"/>
      <c r="R123" s="388"/>
    </row>
    <row r="124" spans="2:18" ht="15" hidden="1" customHeight="1" outlineLevel="2" x14ac:dyDescent="0.2">
      <c r="B124" s="397"/>
      <c r="C124" s="141"/>
      <c r="D124" s="576">
        <v>1</v>
      </c>
      <c r="E124" s="573" t="s">
        <v>728</v>
      </c>
      <c r="F124" s="576">
        <v>0</v>
      </c>
      <c r="G124" s="573" t="s">
        <v>9</v>
      </c>
      <c r="H124" s="383"/>
      <c r="I124" s="681" t="s">
        <v>723</v>
      </c>
      <c r="J124" s="682"/>
      <c r="K124" s="685" t="s">
        <v>651</v>
      </c>
      <c r="L124" s="685"/>
      <c r="M124" s="685" t="s">
        <v>724</v>
      </c>
      <c r="N124" s="685"/>
      <c r="O124" s="685" t="s">
        <v>686</v>
      </c>
      <c r="P124" s="685"/>
      <c r="Q124" s="398"/>
      <c r="R124" s="388"/>
    </row>
    <row r="125" spans="2:18" ht="15" hidden="1" customHeight="1" outlineLevel="2" x14ac:dyDescent="0.2">
      <c r="B125" s="397"/>
      <c r="C125" s="141"/>
      <c r="D125" s="383"/>
      <c r="E125" s="383"/>
      <c r="F125" s="383"/>
      <c r="G125" s="383"/>
      <c r="H125" s="383"/>
      <c r="I125" s="434" t="str">
        <f>IFERROR((F121-D121*D124)/F121*100,"")</f>
        <v/>
      </c>
      <c r="J125" s="611" t="s">
        <v>292</v>
      </c>
      <c r="K125" s="434">
        <f>IFERROR(($H$18*D121*I119/1000)/1000/D130*100,0)</f>
        <v>0</v>
      </c>
      <c r="L125" s="392" t="s">
        <v>292</v>
      </c>
      <c r="M125" s="434">
        <f>IFERROR(((D127/F127)-1)*100,0)</f>
        <v>0</v>
      </c>
      <c r="N125" s="392" t="s">
        <v>292</v>
      </c>
      <c r="O125" s="434">
        <f>SUM(K125,M125,I125)</f>
        <v>0</v>
      </c>
      <c r="P125" s="392" t="s">
        <v>292</v>
      </c>
      <c r="Q125" s="398"/>
      <c r="R125" s="388"/>
    </row>
    <row r="126" spans="2:18" ht="15" hidden="1" customHeight="1" outlineLevel="2" x14ac:dyDescent="0.2">
      <c r="B126" s="397"/>
      <c r="C126" s="141"/>
      <c r="D126" s="681" t="s">
        <v>729</v>
      </c>
      <c r="E126" s="682"/>
      <c r="F126" s="681" t="s">
        <v>730</v>
      </c>
      <c r="G126" s="682"/>
      <c r="H126" s="383"/>
      <c r="I126" s="141"/>
      <c r="J126" s="141"/>
      <c r="K126" s="383"/>
      <c r="L126" s="383"/>
      <c r="M126" s="383"/>
      <c r="N126" s="383"/>
      <c r="O126" s="383"/>
      <c r="P126" s="383"/>
      <c r="Q126" s="398"/>
      <c r="R126" s="387"/>
    </row>
    <row r="127" spans="2:18" ht="15" hidden="1" customHeight="1" outlineLevel="2" x14ac:dyDescent="0.2">
      <c r="B127" s="397"/>
      <c r="C127" s="141"/>
      <c r="D127" s="389">
        <f>F111</f>
        <v>0</v>
      </c>
      <c r="E127" s="392" t="s">
        <v>731</v>
      </c>
      <c r="F127" s="389">
        <f>D127-O119</f>
        <v>0</v>
      </c>
      <c r="G127" s="392" t="s">
        <v>731</v>
      </c>
      <c r="H127" s="383"/>
      <c r="I127" s="685" t="s">
        <v>721</v>
      </c>
      <c r="J127" s="685"/>
      <c r="K127" s="685" t="s">
        <v>658</v>
      </c>
      <c r="L127" s="685"/>
      <c r="M127" s="685" t="s">
        <v>741</v>
      </c>
      <c r="N127" s="685"/>
      <c r="O127" s="685" t="s">
        <v>64</v>
      </c>
      <c r="P127" s="685"/>
      <c r="Q127" s="398"/>
      <c r="R127" s="387"/>
    </row>
    <row r="128" spans="2:18" ht="15" hidden="1" customHeight="1" outlineLevel="2" x14ac:dyDescent="0.2">
      <c r="B128" s="397"/>
      <c r="C128" s="141"/>
      <c r="D128" s="383"/>
      <c r="E128" s="383"/>
      <c r="F128" s="383"/>
      <c r="G128" s="383"/>
      <c r="H128" s="383"/>
      <c r="I128" s="434">
        <f>K119/60</f>
        <v>0</v>
      </c>
      <c r="J128" s="392" t="s">
        <v>664</v>
      </c>
      <c r="K128" s="434">
        <f>IFERROR(((O131*D130/60)+K131)/(M122*O122),"")</f>
        <v>0</v>
      </c>
      <c r="L128" s="392" t="s">
        <v>657</v>
      </c>
      <c r="M128" s="714" t="str">
        <f>IF(F127&lt;5,"Leve",IF(AND(F127&gt;=5,F127&lt;10),"Normal","Pesada"))</f>
        <v>Leve</v>
      </c>
      <c r="N128" s="714"/>
      <c r="O128" s="434">
        <f>IFERROR(INDEX('Listas de Dados'!Q:S,MATCH('PJT XXXX'!C118,'Listas de Dados'!P:P,0),MATCH("Eficiência "&amp;M128,'Listas de Dados'!$Q$3:$S$3,0)),0)</f>
        <v>0</v>
      </c>
      <c r="P128" s="392" t="s">
        <v>292</v>
      </c>
      <c r="Q128" s="398"/>
      <c r="R128" s="387"/>
    </row>
    <row r="129" spans="2:18" ht="15" hidden="1" customHeight="1" outlineLevel="2" x14ac:dyDescent="0.2">
      <c r="B129" s="397"/>
      <c r="C129" s="141"/>
      <c r="D129" s="728" t="s">
        <v>733</v>
      </c>
      <c r="E129" s="729"/>
      <c r="F129" s="728" t="s">
        <v>734</v>
      </c>
      <c r="G129" s="729"/>
      <c r="H129" s="383"/>
      <c r="I129" s="383"/>
      <c r="J129" s="383"/>
      <c r="K129" s="383"/>
      <c r="L129" s="383"/>
      <c r="M129" s="141"/>
      <c r="N129" s="141"/>
      <c r="O129" s="141"/>
      <c r="P129" s="141"/>
      <c r="Q129" s="398"/>
      <c r="R129" s="387"/>
    </row>
    <row r="130" spans="2:18" ht="15" hidden="1" customHeight="1" outlineLevel="2" x14ac:dyDescent="0.2">
      <c r="B130" s="397"/>
      <c r="C130" s="141"/>
      <c r="D130" s="572">
        <f>D114</f>
        <v>0</v>
      </c>
      <c r="E130" s="392" t="s">
        <v>717</v>
      </c>
      <c r="F130" s="574">
        <f>F114</f>
        <v>0</v>
      </c>
      <c r="G130" s="392" t="s">
        <v>715</v>
      </c>
      <c r="H130" s="383"/>
      <c r="I130" s="685" t="s">
        <v>61</v>
      </c>
      <c r="J130" s="685"/>
      <c r="K130" s="685" t="s">
        <v>697</v>
      </c>
      <c r="L130" s="685"/>
      <c r="M130" s="685" t="s">
        <v>655</v>
      </c>
      <c r="N130" s="685"/>
      <c r="O130" s="685" t="s">
        <v>652</v>
      </c>
      <c r="P130" s="685"/>
      <c r="Q130" s="398"/>
    </row>
    <row r="131" spans="2:18" ht="15" hidden="1" customHeight="1" outlineLevel="2" x14ac:dyDescent="0.2">
      <c r="B131" s="397"/>
      <c r="C131" s="141"/>
      <c r="D131" s="383"/>
      <c r="E131" s="383"/>
      <c r="F131" s="574">
        <f>F115</f>
        <v>0</v>
      </c>
      <c r="G131" s="392" t="s">
        <v>716</v>
      </c>
      <c r="H131" s="383"/>
      <c r="I131" s="434">
        <f>IFERROR(VLOOKUP(C118,'Listas de Dados'!$I:$N,3,0),0)</f>
        <v>0</v>
      </c>
      <c r="J131" s="392" t="s">
        <v>653</v>
      </c>
      <c r="K131" s="434">
        <f>SUM(I131,I120/60)</f>
        <v>0</v>
      </c>
      <c r="L131" s="392" t="s">
        <v>653</v>
      </c>
      <c r="M131" s="434">
        <f>IFERROR(K131*60/D130,0)</f>
        <v>0</v>
      </c>
      <c r="N131" s="392" t="s">
        <v>654</v>
      </c>
      <c r="O131" s="434">
        <f>IFERROR(K119/(F127)/60*1000*((1+(100-O128)/100)),0)</f>
        <v>0</v>
      </c>
      <c r="P131" s="392" t="s">
        <v>654</v>
      </c>
      <c r="Q131" s="398"/>
      <c r="R131" s="387"/>
    </row>
    <row r="132" spans="2:18" ht="15" hidden="1" customHeight="1" outlineLevel="1" collapsed="1" x14ac:dyDescent="0.2">
      <c r="B132" s="397"/>
      <c r="C132" s="141"/>
      <c r="D132" s="141"/>
      <c r="E132" s="383"/>
      <c r="F132" s="383"/>
      <c r="G132" s="383"/>
      <c r="H132" s="383"/>
      <c r="I132" s="383"/>
      <c r="J132" s="383"/>
      <c r="K132" s="383"/>
      <c r="L132" s="383"/>
      <c r="M132" s="383"/>
      <c r="N132" s="383"/>
      <c r="O132" s="383"/>
      <c r="P132" s="141"/>
      <c r="Q132" s="398"/>
      <c r="R132" s="387"/>
    </row>
    <row r="133" spans="2:18" ht="15" hidden="1" customHeight="1" outlineLevel="1" x14ac:dyDescent="0.2">
      <c r="B133" s="397"/>
      <c r="C133" s="681" t="s">
        <v>740</v>
      </c>
      <c r="D133" s="682"/>
      <c r="E133" s="682"/>
      <c r="F133" s="440"/>
      <c r="G133" s="440"/>
      <c r="H133" s="440"/>
      <c r="I133" s="440"/>
      <c r="J133" s="440"/>
      <c r="K133" s="440"/>
      <c r="L133" s="440"/>
      <c r="M133" s="440"/>
      <c r="N133" s="440"/>
      <c r="O133" s="440"/>
      <c r="P133" s="440"/>
      <c r="Q133" s="398"/>
      <c r="R133" s="386"/>
    </row>
    <row r="134" spans="2:18" ht="15" hidden="1" customHeight="1" outlineLevel="2" x14ac:dyDescent="0.2">
      <c r="B134" s="397"/>
      <c r="C134" s="691"/>
      <c r="D134" s="692"/>
      <c r="E134" s="692"/>
      <c r="F134" s="692"/>
      <c r="G134" s="692"/>
      <c r="H134" s="141"/>
      <c r="I134" s="689" t="s">
        <v>583</v>
      </c>
      <c r="J134" s="689"/>
      <c r="K134" s="681" t="s">
        <v>721</v>
      </c>
      <c r="L134" s="682"/>
      <c r="M134" s="681" t="s">
        <v>812</v>
      </c>
      <c r="N134" s="682"/>
      <c r="O134" s="681" t="s">
        <v>732</v>
      </c>
      <c r="P134" s="682"/>
      <c r="Q134" s="398"/>
      <c r="R134" s="387"/>
    </row>
    <row r="135" spans="2:18" ht="15" hidden="1" customHeight="1" outlineLevel="2" x14ac:dyDescent="0.2">
      <c r="B135" s="397"/>
      <c r="C135" s="141"/>
      <c r="D135" s="141"/>
      <c r="E135" s="141"/>
      <c r="F135" s="141"/>
      <c r="G135" s="141"/>
      <c r="H135" s="141"/>
      <c r="I135" s="409"/>
      <c r="J135" s="392" t="s">
        <v>728</v>
      </c>
      <c r="K135" s="409"/>
      <c r="L135" s="392" t="s">
        <v>722</v>
      </c>
      <c r="M135" s="545">
        <v>0</v>
      </c>
      <c r="N135" s="611" t="s">
        <v>292</v>
      </c>
      <c r="O135" s="545"/>
      <c r="P135" s="392" t="s">
        <v>780</v>
      </c>
      <c r="Q135" s="398"/>
      <c r="R135" s="387"/>
    </row>
    <row r="136" spans="2:18" ht="15" hidden="1" customHeight="1" outlineLevel="2" x14ac:dyDescent="0.2">
      <c r="B136" s="397"/>
      <c r="C136" s="141"/>
      <c r="D136" s="681" t="s">
        <v>805</v>
      </c>
      <c r="E136" s="682"/>
      <c r="F136" s="681" t="s">
        <v>163</v>
      </c>
      <c r="G136" s="682"/>
      <c r="H136" s="141"/>
      <c r="I136" s="409"/>
      <c r="J136" s="392" t="s">
        <v>664</v>
      </c>
      <c r="K136" s="383"/>
      <c r="L136" s="383"/>
      <c r="M136" s="383"/>
      <c r="N136" s="383"/>
      <c r="O136" s="383"/>
      <c r="P136" s="383"/>
      <c r="Q136" s="398"/>
      <c r="R136" s="387"/>
    </row>
    <row r="137" spans="2:18" ht="15" hidden="1" customHeight="1" outlineLevel="2" x14ac:dyDescent="0.2">
      <c r="B137" s="397"/>
      <c r="C137" s="141"/>
      <c r="D137" s="574">
        <f>IFERROR((F137-F140)/D140,0)</f>
        <v>0</v>
      </c>
      <c r="E137" s="573" t="s">
        <v>9</v>
      </c>
      <c r="F137" s="389">
        <f>D121</f>
        <v>0</v>
      </c>
      <c r="G137" s="573" t="s">
        <v>9</v>
      </c>
      <c r="H137" s="141"/>
      <c r="I137" s="383"/>
      <c r="J137" s="383"/>
      <c r="M137" s="685" t="s">
        <v>814</v>
      </c>
      <c r="N137" s="685"/>
      <c r="O137" s="685" t="s">
        <v>804</v>
      </c>
      <c r="P137" s="685"/>
      <c r="Q137" s="398"/>
      <c r="R137" s="387"/>
    </row>
    <row r="138" spans="2:18" ht="15" hidden="1" customHeight="1" outlineLevel="2" x14ac:dyDescent="0.2">
      <c r="B138" s="397"/>
      <c r="C138" s="141"/>
      <c r="D138" s="383"/>
      <c r="E138" s="383"/>
      <c r="F138" s="383"/>
      <c r="G138" s="383"/>
      <c r="H138" s="383"/>
      <c r="I138" s="383"/>
      <c r="J138" s="383"/>
      <c r="M138" s="614">
        <v>8.48</v>
      </c>
      <c r="N138" s="556" t="s">
        <v>653</v>
      </c>
      <c r="O138" s="687">
        <v>1</v>
      </c>
      <c r="P138" s="687"/>
      <c r="Q138" s="398"/>
      <c r="R138" s="387"/>
    </row>
    <row r="139" spans="2:18" ht="15" hidden="1" customHeight="1" outlineLevel="2" x14ac:dyDescent="0.2">
      <c r="B139" s="397"/>
      <c r="C139" s="141"/>
      <c r="D139" s="728" t="s">
        <v>727</v>
      </c>
      <c r="E139" s="729"/>
      <c r="F139" s="728" t="s">
        <v>72</v>
      </c>
      <c r="G139" s="729"/>
      <c r="H139" s="383"/>
      <c r="I139" s="383"/>
      <c r="J139" s="383"/>
      <c r="K139" s="383"/>
      <c r="L139" s="383"/>
      <c r="M139" s="383"/>
      <c r="N139" s="383"/>
      <c r="O139" s="383"/>
      <c r="P139" s="383"/>
      <c r="Q139" s="398"/>
      <c r="R139" s="388"/>
    </row>
    <row r="140" spans="2:18" ht="15" hidden="1" customHeight="1" outlineLevel="2" x14ac:dyDescent="0.2">
      <c r="B140" s="397"/>
      <c r="C140" s="141"/>
      <c r="D140" s="576">
        <v>1</v>
      </c>
      <c r="E140" s="392" t="s">
        <v>728</v>
      </c>
      <c r="F140" s="576">
        <v>0</v>
      </c>
      <c r="G140" s="392" t="s">
        <v>9</v>
      </c>
      <c r="H140" s="383"/>
      <c r="I140" s="681" t="s">
        <v>723</v>
      </c>
      <c r="J140" s="682"/>
      <c r="K140" s="685" t="s">
        <v>651</v>
      </c>
      <c r="L140" s="685"/>
      <c r="M140" s="685" t="s">
        <v>724</v>
      </c>
      <c r="N140" s="685"/>
      <c r="O140" s="685" t="s">
        <v>686</v>
      </c>
      <c r="P140" s="685"/>
      <c r="Q140" s="398"/>
      <c r="R140" s="388"/>
    </row>
    <row r="141" spans="2:18" ht="15" hidden="1" customHeight="1" outlineLevel="2" x14ac:dyDescent="0.2">
      <c r="B141" s="397"/>
      <c r="C141" s="141"/>
      <c r="D141" s="383"/>
      <c r="E141" s="383"/>
      <c r="F141" s="383"/>
      <c r="G141" s="383"/>
      <c r="H141" s="383"/>
      <c r="I141" s="434" t="str">
        <f>IFERROR((F137-D137*D140)/F137*100,"")</f>
        <v/>
      </c>
      <c r="J141" s="611" t="s">
        <v>292</v>
      </c>
      <c r="K141" s="434">
        <f>IFERROR(($H$18*D137*I135/1000)/1000/D146*100,0)</f>
        <v>0</v>
      </c>
      <c r="L141" s="392" t="s">
        <v>292</v>
      </c>
      <c r="M141" s="434">
        <f>IFERROR(((D143/F143)-1)*100,0)</f>
        <v>0</v>
      </c>
      <c r="N141" s="392" t="s">
        <v>292</v>
      </c>
      <c r="O141" s="434">
        <f>SUM(K141,M141,I141)</f>
        <v>0</v>
      </c>
      <c r="P141" s="392" t="s">
        <v>292</v>
      </c>
      <c r="Q141" s="398"/>
      <c r="R141" s="388"/>
    </row>
    <row r="142" spans="2:18" ht="15" hidden="1" customHeight="1" outlineLevel="2" x14ac:dyDescent="0.2">
      <c r="B142" s="397"/>
      <c r="C142" s="141"/>
      <c r="D142" s="681" t="s">
        <v>729</v>
      </c>
      <c r="E142" s="682"/>
      <c r="F142" s="681" t="s">
        <v>730</v>
      </c>
      <c r="G142" s="682"/>
      <c r="H142" s="383"/>
      <c r="I142" s="141"/>
      <c r="J142" s="141"/>
      <c r="K142" s="383"/>
      <c r="L142" s="383"/>
      <c r="M142" s="383"/>
      <c r="N142" s="383"/>
      <c r="O142" s="383"/>
      <c r="P142" s="383"/>
      <c r="Q142" s="398"/>
      <c r="R142" s="387"/>
    </row>
    <row r="143" spans="2:18" ht="15" hidden="1" customHeight="1" outlineLevel="2" x14ac:dyDescent="0.2">
      <c r="B143" s="397"/>
      <c r="C143" s="141"/>
      <c r="D143" s="389">
        <f>F127</f>
        <v>0</v>
      </c>
      <c r="E143" s="392" t="s">
        <v>731</v>
      </c>
      <c r="F143" s="389">
        <f>D143-O135</f>
        <v>0</v>
      </c>
      <c r="G143" s="392" t="s">
        <v>731</v>
      </c>
      <c r="H143" s="383"/>
      <c r="I143" s="685" t="s">
        <v>721</v>
      </c>
      <c r="J143" s="685"/>
      <c r="K143" s="685" t="s">
        <v>658</v>
      </c>
      <c r="L143" s="685"/>
      <c r="M143" s="685" t="s">
        <v>741</v>
      </c>
      <c r="N143" s="685"/>
      <c r="O143" s="685" t="s">
        <v>64</v>
      </c>
      <c r="P143" s="685"/>
      <c r="Q143" s="398"/>
      <c r="R143" s="387"/>
    </row>
    <row r="144" spans="2:18" ht="15" hidden="1" customHeight="1" outlineLevel="2" x14ac:dyDescent="0.2">
      <c r="B144" s="397"/>
      <c r="C144" s="141"/>
      <c r="D144" s="383"/>
      <c r="E144" s="383"/>
      <c r="F144" s="383"/>
      <c r="G144" s="383"/>
      <c r="H144" s="383"/>
      <c r="I144" s="434">
        <f>K135/60</f>
        <v>0</v>
      </c>
      <c r="J144" s="392" t="s">
        <v>664</v>
      </c>
      <c r="K144" s="434">
        <f>IFERROR(((O147*D146/60)+K147)/(M138*O138),"")</f>
        <v>0</v>
      </c>
      <c r="L144" s="392" t="s">
        <v>657</v>
      </c>
      <c r="M144" s="714" t="str">
        <f>IF(F143&lt;5,"Leve",IF(AND(F143&gt;=5,F143&lt;10),"Normal","Pesada"))</f>
        <v>Leve</v>
      </c>
      <c r="N144" s="714"/>
      <c r="O144" s="434">
        <f>IFERROR(INDEX('Listas de Dados'!Q:S,MATCH('PJT XXXX'!C134,'Listas de Dados'!P:P,0),MATCH("Eficiência "&amp;M144,'Listas de Dados'!$Q$3:$S$3,0)),0)</f>
        <v>0</v>
      </c>
      <c r="P144" s="392" t="s">
        <v>292</v>
      </c>
      <c r="Q144" s="398"/>
      <c r="R144" s="387"/>
    </row>
    <row r="145" spans="2:18" ht="15" hidden="1" customHeight="1" outlineLevel="2" x14ac:dyDescent="0.2">
      <c r="B145" s="397"/>
      <c r="C145" s="141"/>
      <c r="D145" s="728" t="s">
        <v>733</v>
      </c>
      <c r="E145" s="729"/>
      <c r="F145" s="728" t="s">
        <v>734</v>
      </c>
      <c r="G145" s="729"/>
      <c r="H145" s="383"/>
      <c r="I145" s="383"/>
      <c r="J145" s="383"/>
      <c r="K145" s="383"/>
      <c r="L145" s="383"/>
      <c r="M145" s="141"/>
      <c r="N145" s="141"/>
      <c r="O145" s="141"/>
      <c r="P145" s="141"/>
      <c r="Q145" s="398"/>
      <c r="R145" s="387"/>
    </row>
    <row r="146" spans="2:18" ht="15" hidden="1" customHeight="1" outlineLevel="2" x14ac:dyDescent="0.2">
      <c r="B146" s="397"/>
      <c r="C146" s="141"/>
      <c r="D146" s="572">
        <f>D130</f>
        <v>0</v>
      </c>
      <c r="E146" s="392" t="s">
        <v>717</v>
      </c>
      <c r="F146" s="574">
        <f>F130</f>
        <v>0</v>
      </c>
      <c r="G146" s="392" t="s">
        <v>715</v>
      </c>
      <c r="H146" s="383"/>
      <c r="I146" s="685" t="s">
        <v>61</v>
      </c>
      <c r="J146" s="685"/>
      <c r="K146" s="685" t="s">
        <v>697</v>
      </c>
      <c r="L146" s="685"/>
      <c r="M146" s="685" t="s">
        <v>655</v>
      </c>
      <c r="N146" s="685"/>
      <c r="O146" s="685" t="s">
        <v>652</v>
      </c>
      <c r="P146" s="685"/>
      <c r="Q146" s="398"/>
    </row>
    <row r="147" spans="2:18" ht="15" hidden="1" customHeight="1" outlineLevel="2" x14ac:dyDescent="0.2">
      <c r="B147" s="397"/>
      <c r="C147" s="141"/>
      <c r="D147" s="383"/>
      <c r="E147" s="383"/>
      <c r="F147" s="574">
        <f>F131</f>
        <v>0</v>
      </c>
      <c r="G147" s="392" t="s">
        <v>716</v>
      </c>
      <c r="H147" s="383"/>
      <c r="I147" s="434">
        <f>IFERROR(VLOOKUP(C134,'Listas de Dados'!$I:$N,3,0),0)</f>
        <v>0</v>
      </c>
      <c r="J147" s="392" t="s">
        <v>653</v>
      </c>
      <c r="K147" s="434">
        <f>SUM(I147,I136/60)</f>
        <v>0</v>
      </c>
      <c r="L147" s="392" t="s">
        <v>653</v>
      </c>
      <c r="M147" s="434">
        <f>IFERROR(K147*60/D146,0)</f>
        <v>0</v>
      </c>
      <c r="N147" s="392" t="s">
        <v>654</v>
      </c>
      <c r="O147" s="434">
        <f>IFERROR(K135/(F143)/60*1000*((1+(100-O144)/100)),0)</f>
        <v>0</v>
      </c>
      <c r="P147" s="392" t="s">
        <v>654</v>
      </c>
      <c r="Q147" s="398"/>
      <c r="R147" s="387"/>
    </row>
    <row r="148" spans="2:18" ht="9.9499999999999993" hidden="1" customHeight="1" outlineLevel="1" collapsed="1" x14ac:dyDescent="0.2">
      <c r="B148" s="397"/>
      <c r="C148" s="415"/>
      <c r="D148" s="415"/>
      <c r="E148" s="577"/>
      <c r="F148" s="415"/>
      <c r="G148" s="577"/>
      <c r="H148" s="577"/>
      <c r="I148" s="577"/>
      <c r="J148" s="577"/>
      <c r="K148" s="578"/>
      <c r="L148" s="578"/>
      <c r="M148" s="578"/>
      <c r="N148" s="578"/>
      <c r="O148" s="578"/>
      <c r="P148" s="578"/>
      <c r="Q148" s="398"/>
    </row>
    <row r="149" spans="2:18" ht="15" hidden="1" customHeight="1" outlineLevel="1" x14ac:dyDescent="0.2">
      <c r="B149" s="397"/>
      <c r="C149" s="141"/>
      <c r="D149" s="141"/>
      <c r="E149" s="383"/>
      <c r="F149" s="383"/>
      <c r="G149" s="383"/>
      <c r="H149" s="383"/>
      <c r="I149" s="383"/>
      <c r="J149" s="383"/>
      <c r="K149" s="383"/>
      <c r="L149" s="383"/>
      <c r="M149" s="383"/>
      <c r="N149" s="383"/>
      <c r="O149" s="383"/>
      <c r="P149" s="141"/>
      <c r="Q149" s="398"/>
      <c r="R149" s="387"/>
    </row>
    <row r="150" spans="2:18" ht="15" hidden="1" customHeight="1" outlineLevel="1" x14ac:dyDescent="0.2">
      <c r="B150" s="397"/>
      <c r="C150" s="141"/>
      <c r="D150" s="141"/>
      <c r="E150" s="383"/>
      <c r="F150" s="383"/>
      <c r="G150" s="383"/>
      <c r="H150" s="383"/>
      <c r="I150" s="383"/>
      <c r="J150" s="383"/>
      <c r="K150" s="383"/>
      <c r="L150" s="383"/>
      <c r="M150" s="383"/>
      <c r="N150" s="383"/>
      <c r="O150" s="383"/>
      <c r="P150" s="141"/>
      <c r="Q150" s="398"/>
      <c r="R150" s="387"/>
    </row>
    <row r="151" spans="2:18" ht="15" hidden="1" customHeight="1" outlineLevel="1" x14ac:dyDescent="0.2">
      <c r="B151" s="397"/>
      <c r="C151" s="141"/>
      <c r="D151" s="141"/>
      <c r="E151" s="383"/>
      <c r="F151" s="383"/>
      <c r="G151" s="383"/>
      <c r="H151" s="383"/>
      <c r="I151" s="141"/>
      <c r="J151" s="141"/>
      <c r="K151" s="141"/>
      <c r="L151" s="141"/>
      <c r="M151" s="141"/>
      <c r="N151" s="141"/>
      <c r="O151" s="141"/>
      <c r="P151" s="141"/>
      <c r="Q151" s="398"/>
      <c r="R151" s="387"/>
    </row>
    <row r="152" spans="2:18" ht="15" hidden="1" customHeight="1" outlineLevel="1" x14ac:dyDescent="0.2">
      <c r="B152" s="397"/>
      <c r="C152" s="522"/>
      <c r="D152" s="522"/>
      <c r="E152" s="383"/>
      <c r="F152" s="383"/>
      <c r="G152" s="383"/>
      <c r="H152" s="383"/>
      <c r="I152" s="522"/>
      <c r="J152" s="522"/>
      <c r="K152" s="522"/>
      <c r="L152" s="522"/>
      <c r="M152" s="522"/>
      <c r="N152" s="522"/>
      <c r="O152" s="522"/>
      <c r="P152" s="522"/>
      <c r="Q152" s="398"/>
      <c r="R152" s="387"/>
    </row>
    <row r="153" spans="2:18" ht="15" hidden="1" customHeight="1" outlineLevel="1" x14ac:dyDescent="0.2">
      <c r="B153" s="397"/>
      <c r="C153" s="522"/>
      <c r="D153" s="522"/>
      <c r="E153" s="383"/>
      <c r="F153" s="383"/>
      <c r="G153" s="383"/>
      <c r="H153" s="383"/>
      <c r="I153" s="522"/>
      <c r="J153" s="522"/>
      <c r="K153" s="522"/>
      <c r="L153" s="522"/>
      <c r="M153" s="522"/>
      <c r="N153" s="522"/>
      <c r="O153" s="522"/>
      <c r="P153" s="522"/>
      <c r="Q153" s="398"/>
      <c r="R153" s="387"/>
    </row>
    <row r="154" spans="2:18" ht="15" hidden="1" customHeight="1" outlineLevel="1" x14ac:dyDescent="0.2">
      <c r="B154" s="397"/>
      <c r="C154" s="141"/>
      <c r="D154" s="141"/>
      <c r="E154" s="383"/>
      <c r="F154" s="383"/>
      <c r="G154" s="383"/>
      <c r="H154" s="383"/>
      <c r="I154" s="141"/>
      <c r="J154" s="141"/>
      <c r="K154" s="141"/>
      <c r="L154" s="141"/>
      <c r="M154" s="141"/>
      <c r="N154" s="141"/>
      <c r="O154" s="141"/>
      <c r="P154" s="141"/>
      <c r="Q154" s="398"/>
    </row>
    <row r="155" spans="2:18" ht="15" hidden="1" customHeight="1" outlineLevel="1" x14ac:dyDescent="0.2">
      <c r="B155" s="397"/>
      <c r="C155" s="141"/>
      <c r="D155" s="141"/>
      <c r="E155" s="383"/>
      <c r="F155" s="383"/>
      <c r="G155" s="383"/>
      <c r="H155" s="383"/>
      <c r="I155" s="141"/>
      <c r="J155" s="141"/>
      <c r="K155" s="141"/>
      <c r="L155" s="141"/>
      <c r="M155" s="141"/>
      <c r="N155" s="141"/>
      <c r="O155" s="141"/>
      <c r="P155" s="141"/>
      <c r="Q155" s="398"/>
    </row>
    <row r="156" spans="2:18" ht="15" hidden="1" customHeight="1" outlineLevel="1" x14ac:dyDescent="0.2">
      <c r="B156" s="397"/>
      <c r="C156" s="141"/>
      <c r="D156" s="141"/>
      <c r="E156" s="383"/>
      <c r="F156" s="383"/>
      <c r="G156" s="383"/>
      <c r="H156" s="383"/>
      <c r="I156" s="141"/>
      <c r="J156" s="141"/>
      <c r="K156" s="141"/>
      <c r="L156" s="141"/>
      <c r="M156" s="141"/>
      <c r="N156" s="141"/>
      <c r="O156" s="141"/>
      <c r="P156" s="141"/>
      <c r="Q156" s="398"/>
    </row>
    <row r="157" spans="2:18" ht="15" hidden="1" customHeight="1" outlineLevel="1" x14ac:dyDescent="0.2">
      <c r="B157" s="397"/>
      <c r="C157" s="141"/>
      <c r="D157" s="141"/>
      <c r="E157" s="383"/>
      <c r="F157" s="383"/>
      <c r="G157" s="383"/>
      <c r="H157" s="383"/>
      <c r="I157" s="141"/>
      <c r="J157" s="141"/>
      <c r="K157" s="141"/>
      <c r="L157" s="141"/>
      <c r="M157" s="141"/>
      <c r="N157" s="141"/>
      <c r="O157" s="141"/>
      <c r="P157" s="141"/>
      <c r="Q157" s="398"/>
    </row>
    <row r="158" spans="2:18" ht="14.25" hidden="1" customHeight="1" outlineLevel="1" x14ac:dyDescent="0.2">
      <c r="B158" s="397"/>
      <c r="C158" s="141"/>
      <c r="D158" s="141"/>
      <c r="E158" s="383"/>
      <c r="F158" s="383"/>
      <c r="G158" s="383"/>
      <c r="H158" s="383"/>
      <c r="I158" s="141"/>
      <c r="J158" s="141"/>
      <c r="K158" s="141"/>
      <c r="L158" s="141"/>
      <c r="M158" s="141"/>
      <c r="N158" s="141"/>
      <c r="O158" s="141"/>
      <c r="P158" s="141"/>
      <c r="Q158" s="398"/>
    </row>
    <row r="159" spans="2:18" ht="15" hidden="1" customHeight="1" outlineLevel="1" thickBot="1" x14ac:dyDescent="0.25">
      <c r="B159" s="404"/>
      <c r="C159" s="405"/>
      <c r="D159" s="405"/>
      <c r="E159" s="405"/>
      <c r="F159" s="405"/>
      <c r="G159" s="405"/>
      <c r="H159" s="405"/>
      <c r="I159" s="405"/>
      <c r="J159" s="405"/>
      <c r="K159" s="405"/>
      <c r="L159" s="405"/>
      <c r="M159" s="405"/>
      <c r="N159" s="405"/>
      <c r="O159" s="405"/>
      <c r="P159" s="405"/>
      <c r="Q159" s="406"/>
    </row>
    <row r="160" spans="2:18" collapsed="1" x14ac:dyDescent="0.2"/>
    <row r="163" spans="2:17" x14ac:dyDescent="0.2">
      <c r="B163" s="675" t="s">
        <v>628</v>
      </c>
      <c r="C163" s="676"/>
      <c r="D163" s="678" t="s">
        <v>2</v>
      </c>
      <c r="E163" s="678"/>
      <c r="F163" s="678"/>
      <c r="G163" s="678"/>
      <c r="H163" s="678"/>
      <c r="I163" s="678"/>
      <c r="J163" s="678"/>
      <c r="K163" s="678"/>
      <c r="L163" s="678"/>
      <c r="M163" s="678" t="s">
        <v>629</v>
      </c>
      <c r="N163" s="678"/>
      <c r="O163" s="678"/>
      <c r="P163" s="675" t="s">
        <v>630</v>
      </c>
      <c r="Q163" s="676"/>
    </row>
    <row r="164" spans="2:17" x14ac:dyDescent="0.2">
      <c r="B164" s="675" t="s">
        <v>634</v>
      </c>
      <c r="C164" s="676"/>
      <c r="D164" s="677" t="s">
        <v>747</v>
      </c>
      <c r="E164" s="677"/>
      <c r="F164" s="677"/>
      <c r="G164" s="677"/>
      <c r="H164" s="677"/>
      <c r="I164" s="677"/>
      <c r="J164" s="677"/>
      <c r="K164" s="677"/>
      <c r="L164" s="677"/>
      <c r="M164" s="678" t="s">
        <v>635</v>
      </c>
      <c r="N164" s="678"/>
      <c r="O164" s="678"/>
      <c r="P164" s="679">
        <v>44459</v>
      </c>
      <c r="Q164" s="680"/>
    </row>
    <row r="165" spans="2:17" x14ac:dyDescent="0.2">
      <c r="B165" s="675" t="s">
        <v>795</v>
      </c>
      <c r="C165" s="676"/>
      <c r="D165" s="677" t="s">
        <v>796</v>
      </c>
      <c r="E165" s="677"/>
      <c r="F165" s="677"/>
      <c r="G165" s="677"/>
      <c r="H165" s="677"/>
      <c r="I165" s="677"/>
      <c r="J165" s="677"/>
      <c r="K165" s="677"/>
      <c r="L165" s="677"/>
      <c r="M165" s="678" t="s">
        <v>635</v>
      </c>
      <c r="N165" s="678"/>
      <c r="O165" s="678"/>
      <c r="P165" s="679">
        <v>44476</v>
      </c>
      <c r="Q165" s="680"/>
    </row>
    <row r="166" spans="2:17" x14ac:dyDescent="0.2">
      <c r="B166" s="675" t="s">
        <v>797</v>
      </c>
      <c r="C166" s="676"/>
      <c r="D166" s="677" t="s">
        <v>798</v>
      </c>
      <c r="E166" s="677"/>
      <c r="F166" s="677"/>
      <c r="G166" s="677"/>
      <c r="H166" s="677"/>
      <c r="I166" s="677"/>
      <c r="J166" s="677"/>
      <c r="K166" s="677"/>
      <c r="L166" s="677"/>
      <c r="M166" s="678" t="s">
        <v>635</v>
      </c>
      <c r="N166" s="678"/>
      <c r="O166" s="678"/>
      <c r="P166" s="679">
        <v>44482</v>
      </c>
      <c r="Q166" s="680"/>
    </row>
    <row r="167" spans="2:17" x14ac:dyDescent="0.2">
      <c r="B167" s="675" t="s">
        <v>799</v>
      </c>
      <c r="C167" s="676"/>
      <c r="D167" s="677" t="s">
        <v>800</v>
      </c>
      <c r="E167" s="677"/>
      <c r="F167" s="677"/>
      <c r="G167" s="677"/>
      <c r="H167" s="677"/>
      <c r="I167" s="677"/>
      <c r="J167" s="677"/>
      <c r="K167" s="677"/>
      <c r="L167" s="677"/>
      <c r="M167" s="678" t="s">
        <v>635</v>
      </c>
      <c r="N167" s="678"/>
      <c r="O167" s="678"/>
      <c r="P167" s="679">
        <v>44489</v>
      </c>
      <c r="Q167" s="680"/>
    </row>
    <row r="168" spans="2:17" x14ac:dyDescent="0.2">
      <c r="B168" s="675" t="s">
        <v>801</v>
      </c>
      <c r="C168" s="676"/>
      <c r="D168" s="677" t="s">
        <v>802</v>
      </c>
      <c r="E168" s="677"/>
      <c r="F168" s="677"/>
      <c r="G168" s="677"/>
      <c r="H168" s="677"/>
      <c r="I168" s="677"/>
      <c r="J168" s="677"/>
      <c r="K168" s="677"/>
      <c r="L168" s="677"/>
      <c r="M168" s="678" t="s">
        <v>635</v>
      </c>
      <c r="N168" s="678"/>
      <c r="O168" s="678"/>
      <c r="P168" s="679">
        <v>44491</v>
      </c>
      <c r="Q168" s="680"/>
    </row>
    <row r="169" spans="2:17" x14ac:dyDescent="0.2">
      <c r="B169" s="675" t="s">
        <v>803</v>
      </c>
      <c r="C169" s="676"/>
      <c r="D169" s="677" t="s">
        <v>813</v>
      </c>
      <c r="E169" s="677"/>
      <c r="F169" s="677"/>
      <c r="G169" s="677"/>
      <c r="H169" s="677"/>
      <c r="I169" s="677"/>
      <c r="J169" s="677"/>
      <c r="K169" s="677"/>
      <c r="L169" s="677"/>
      <c r="M169" s="678" t="s">
        <v>635</v>
      </c>
      <c r="N169" s="678"/>
      <c r="O169" s="678"/>
      <c r="P169" s="679">
        <v>44496</v>
      </c>
      <c r="Q169" s="680"/>
    </row>
    <row r="170" spans="2:17" x14ac:dyDescent="0.2">
      <c r="B170" s="675" t="s">
        <v>835</v>
      </c>
      <c r="C170" s="676"/>
      <c r="D170" s="677" t="s">
        <v>836</v>
      </c>
      <c r="E170" s="677"/>
      <c r="F170" s="677"/>
      <c r="G170" s="677"/>
      <c r="H170" s="677"/>
      <c r="I170" s="677"/>
      <c r="J170" s="677"/>
      <c r="K170" s="677"/>
      <c r="L170" s="677"/>
      <c r="M170" s="678" t="s">
        <v>635</v>
      </c>
      <c r="N170" s="678"/>
      <c r="O170" s="678"/>
      <c r="P170" s="679">
        <v>44524</v>
      </c>
      <c r="Q170" s="680"/>
    </row>
    <row r="171" spans="2:17" x14ac:dyDescent="0.2">
      <c r="B171" s="675" t="s">
        <v>844</v>
      </c>
      <c r="C171" s="676"/>
      <c r="D171" s="677" t="s">
        <v>845</v>
      </c>
      <c r="E171" s="677"/>
      <c r="F171" s="677"/>
      <c r="G171" s="677"/>
      <c r="H171" s="677"/>
      <c r="I171" s="677"/>
      <c r="J171" s="677"/>
      <c r="K171" s="677"/>
      <c r="L171" s="677"/>
      <c r="M171" s="678" t="s">
        <v>635</v>
      </c>
      <c r="N171" s="678"/>
      <c r="O171" s="678"/>
      <c r="P171" s="679">
        <v>44526</v>
      </c>
      <c r="Q171" s="680"/>
    </row>
    <row r="172" spans="2:17" x14ac:dyDescent="0.2">
      <c r="B172" s="675" t="s">
        <v>853</v>
      </c>
      <c r="C172" s="676"/>
      <c r="D172" s="677" t="s">
        <v>859</v>
      </c>
      <c r="E172" s="677"/>
      <c r="F172" s="677"/>
      <c r="G172" s="677"/>
      <c r="H172" s="677"/>
      <c r="I172" s="677"/>
      <c r="J172" s="677"/>
      <c r="K172" s="677"/>
      <c r="L172" s="677"/>
      <c r="M172" s="678" t="s">
        <v>854</v>
      </c>
      <c r="N172" s="678"/>
      <c r="O172" s="678"/>
      <c r="P172" s="679">
        <v>44536</v>
      </c>
      <c r="Q172" s="680"/>
    </row>
    <row r="173" spans="2:17" x14ac:dyDescent="0.2">
      <c r="B173" s="675" t="s">
        <v>860</v>
      </c>
      <c r="C173" s="676"/>
      <c r="D173" s="677" t="s">
        <v>867</v>
      </c>
      <c r="E173" s="677"/>
      <c r="F173" s="677"/>
      <c r="G173" s="677"/>
      <c r="H173" s="677"/>
      <c r="I173" s="677"/>
      <c r="J173" s="677"/>
      <c r="K173" s="677"/>
      <c r="L173" s="677"/>
      <c r="M173" s="678" t="s">
        <v>635</v>
      </c>
      <c r="N173" s="678"/>
      <c r="O173" s="678"/>
      <c r="P173" s="679">
        <v>44574</v>
      </c>
      <c r="Q173" s="680"/>
    </row>
    <row r="174" spans="2:17" x14ac:dyDescent="0.2">
      <c r="B174" s="675"/>
      <c r="C174" s="676"/>
      <c r="D174" s="677"/>
      <c r="E174" s="677"/>
      <c r="F174" s="677"/>
      <c r="G174" s="677"/>
      <c r="H174" s="677"/>
      <c r="I174" s="677"/>
      <c r="J174" s="677"/>
      <c r="K174" s="677"/>
      <c r="L174" s="677"/>
      <c r="M174" s="678"/>
      <c r="N174" s="678"/>
      <c r="O174" s="678"/>
      <c r="P174" s="679"/>
      <c r="Q174" s="680"/>
    </row>
    <row r="175" spans="2:17" x14ac:dyDescent="0.2">
      <c r="B175" s="675"/>
      <c r="C175" s="676"/>
      <c r="D175" s="677"/>
      <c r="E175" s="677"/>
      <c r="F175" s="677"/>
      <c r="G175" s="677"/>
      <c r="H175" s="677"/>
      <c r="I175" s="677"/>
      <c r="J175" s="677"/>
      <c r="K175" s="677"/>
      <c r="L175" s="677"/>
      <c r="M175" s="678"/>
      <c r="N175" s="678"/>
      <c r="O175" s="678"/>
      <c r="P175" s="679"/>
      <c r="Q175" s="680"/>
    </row>
    <row r="176" spans="2:17" x14ac:dyDescent="0.2">
      <c r="B176" s="675"/>
      <c r="C176" s="676"/>
      <c r="D176" s="677"/>
      <c r="E176" s="677"/>
      <c r="F176" s="677"/>
      <c r="G176" s="677"/>
      <c r="H176" s="677"/>
      <c r="I176" s="677"/>
      <c r="J176" s="677"/>
      <c r="K176" s="677"/>
      <c r="L176" s="677"/>
      <c r="M176" s="678"/>
      <c r="N176" s="678"/>
      <c r="O176" s="678"/>
      <c r="P176" s="679"/>
      <c r="Q176" s="680"/>
    </row>
    <row r="177" spans="2:17" x14ac:dyDescent="0.2">
      <c r="B177" s="675"/>
      <c r="C177" s="676"/>
      <c r="D177" s="677"/>
      <c r="E177" s="677"/>
      <c r="F177" s="677"/>
      <c r="G177" s="677"/>
      <c r="H177" s="677"/>
      <c r="I177" s="677"/>
      <c r="J177" s="677"/>
      <c r="K177" s="677"/>
      <c r="L177" s="677"/>
      <c r="M177" s="678"/>
      <c r="N177" s="678"/>
      <c r="O177" s="678"/>
      <c r="P177" s="679"/>
      <c r="Q177" s="680"/>
    </row>
    <row r="178" spans="2:17" x14ac:dyDescent="0.2">
      <c r="B178" s="675"/>
      <c r="C178" s="676"/>
      <c r="D178" s="677"/>
      <c r="E178" s="677"/>
      <c r="F178" s="677"/>
      <c r="G178" s="677"/>
      <c r="H178" s="677"/>
      <c r="I178" s="677"/>
      <c r="J178" s="677"/>
      <c r="K178" s="677"/>
      <c r="L178" s="677"/>
      <c r="M178" s="678"/>
      <c r="N178" s="678"/>
      <c r="O178" s="678"/>
      <c r="P178" s="679"/>
      <c r="Q178" s="680"/>
    </row>
    <row r="179" spans="2:17" x14ac:dyDescent="0.2">
      <c r="B179" s="675"/>
      <c r="C179" s="676"/>
      <c r="D179" s="677"/>
      <c r="E179" s="677"/>
      <c r="F179" s="677"/>
      <c r="G179" s="677"/>
      <c r="H179" s="677"/>
      <c r="I179" s="677"/>
      <c r="J179" s="677"/>
      <c r="K179" s="677"/>
      <c r="L179" s="677"/>
      <c r="M179" s="678"/>
      <c r="N179" s="678"/>
      <c r="O179" s="678"/>
      <c r="P179" s="679"/>
      <c r="Q179" s="680"/>
    </row>
    <row r="180" spans="2:17" x14ac:dyDescent="0.2">
      <c r="B180" s="675"/>
      <c r="C180" s="676"/>
      <c r="D180" s="677"/>
      <c r="E180" s="677"/>
      <c r="F180" s="677"/>
      <c r="G180" s="677"/>
      <c r="H180" s="677"/>
      <c r="I180" s="677"/>
      <c r="J180" s="677"/>
      <c r="K180" s="677"/>
      <c r="L180" s="677"/>
      <c r="M180" s="678"/>
      <c r="N180" s="678"/>
      <c r="O180" s="678"/>
      <c r="P180" s="679"/>
      <c r="Q180" s="680"/>
    </row>
    <row r="181" spans="2:17" x14ac:dyDescent="0.2">
      <c r="B181" s="675"/>
      <c r="C181" s="676"/>
      <c r="D181" s="677"/>
      <c r="E181" s="677"/>
      <c r="F181" s="677"/>
      <c r="G181" s="677"/>
      <c r="H181" s="677"/>
      <c r="I181" s="677"/>
      <c r="J181" s="677"/>
      <c r="K181" s="677"/>
      <c r="L181" s="677"/>
      <c r="M181" s="678"/>
      <c r="N181" s="678"/>
      <c r="O181" s="678"/>
      <c r="P181" s="679"/>
      <c r="Q181" s="680"/>
    </row>
    <row r="182" spans="2:17" x14ac:dyDescent="0.2">
      <c r="B182" s="675"/>
      <c r="C182" s="676"/>
      <c r="D182" s="677"/>
      <c r="E182" s="677"/>
      <c r="F182" s="677"/>
      <c r="G182" s="677"/>
      <c r="H182" s="677"/>
      <c r="I182" s="677"/>
      <c r="J182" s="677"/>
      <c r="K182" s="677"/>
      <c r="L182" s="677"/>
      <c r="M182" s="678"/>
      <c r="N182" s="678"/>
      <c r="O182" s="678"/>
      <c r="P182" s="679"/>
      <c r="Q182" s="680"/>
    </row>
    <row r="183" spans="2:17" x14ac:dyDescent="0.2">
      <c r="B183" s="675"/>
      <c r="C183" s="676"/>
      <c r="D183" s="677"/>
      <c r="E183" s="677"/>
      <c r="F183" s="677"/>
      <c r="G183" s="677"/>
      <c r="H183" s="677"/>
      <c r="I183" s="677"/>
      <c r="J183" s="677"/>
      <c r="K183" s="677"/>
      <c r="L183" s="677"/>
      <c r="M183" s="678"/>
      <c r="N183" s="678"/>
      <c r="O183" s="678"/>
      <c r="P183" s="679"/>
      <c r="Q183" s="680"/>
    </row>
    <row r="184" spans="2:17" x14ac:dyDescent="0.2">
      <c r="B184" s="675"/>
      <c r="C184" s="676"/>
      <c r="D184" s="677"/>
      <c r="E184" s="677"/>
      <c r="F184" s="677"/>
      <c r="G184" s="677"/>
      <c r="H184" s="677"/>
      <c r="I184" s="677"/>
      <c r="J184" s="677"/>
      <c r="K184" s="677"/>
      <c r="L184" s="677"/>
      <c r="M184" s="678"/>
      <c r="N184" s="678"/>
      <c r="O184" s="678"/>
      <c r="P184" s="679"/>
      <c r="Q184" s="680"/>
    </row>
    <row r="185" spans="2:17" x14ac:dyDescent="0.2">
      <c r="B185" s="675"/>
      <c r="C185" s="676"/>
      <c r="D185" s="677"/>
      <c r="E185" s="677"/>
      <c r="F185" s="677"/>
      <c r="G185" s="677"/>
      <c r="H185" s="677"/>
      <c r="I185" s="677"/>
      <c r="J185" s="677"/>
      <c r="K185" s="677"/>
      <c r="L185" s="677"/>
      <c r="M185" s="678"/>
      <c r="N185" s="678"/>
      <c r="O185" s="678"/>
      <c r="P185" s="679"/>
      <c r="Q185" s="680"/>
    </row>
    <row r="186" spans="2:17" x14ac:dyDescent="0.2">
      <c r="B186" s="675"/>
      <c r="C186" s="676"/>
      <c r="D186" s="677"/>
      <c r="E186" s="677"/>
      <c r="F186" s="677"/>
      <c r="G186" s="677"/>
      <c r="H186" s="677"/>
      <c r="I186" s="677"/>
      <c r="J186" s="677"/>
      <c r="K186" s="677"/>
      <c r="L186" s="677"/>
      <c r="M186" s="678"/>
      <c r="N186" s="678"/>
      <c r="O186" s="678"/>
      <c r="P186" s="679"/>
      <c r="Q186" s="680"/>
    </row>
  </sheetData>
  <mergeCells count="325">
    <mergeCell ref="B168:C168"/>
    <mergeCell ref="D168:L168"/>
    <mergeCell ref="M168:O168"/>
    <mergeCell ref="P168:Q168"/>
    <mergeCell ref="B169:C169"/>
    <mergeCell ref="D169:L169"/>
    <mergeCell ref="M169:O169"/>
    <mergeCell ref="P169:Q169"/>
    <mergeCell ref="B165:C165"/>
    <mergeCell ref="D165:L165"/>
    <mergeCell ref="M165:O165"/>
    <mergeCell ref="P165:Q165"/>
    <mergeCell ref="B166:C166"/>
    <mergeCell ref="D166:L166"/>
    <mergeCell ref="M166:O166"/>
    <mergeCell ref="P166:Q166"/>
    <mergeCell ref="B167:C167"/>
    <mergeCell ref="D167:L167"/>
    <mergeCell ref="M167:O167"/>
    <mergeCell ref="P167:Q167"/>
    <mergeCell ref="M164:O164"/>
    <mergeCell ref="M163:O163"/>
    <mergeCell ref="D164:L164"/>
    <mergeCell ref="D163:L163"/>
    <mergeCell ref="D142:E142"/>
    <mergeCell ref="F142:G142"/>
    <mergeCell ref="I143:J143"/>
    <mergeCell ref="K143:L143"/>
    <mergeCell ref="M143:N143"/>
    <mergeCell ref="O143:P143"/>
    <mergeCell ref="D145:E145"/>
    <mergeCell ref="F145:G145"/>
    <mergeCell ref="I146:J146"/>
    <mergeCell ref="K146:L146"/>
    <mergeCell ref="O146:P146"/>
    <mergeCell ref="M146:N146"/>
    <mergeCell ref="M137:N137"/>
    <mergeCell ref="O137:P137"/>
    <mergeCell ref="O138:P138"/>
    <mergeCell ref="D139:E139"/>
    <mergeCell ref="F139:G139"/>
    <mergeCell ref="I140:J140"/>
    <mergeCell ref="K140:L140"/>
    <mergeCell ref="M140:N140"/>
    <mergeCell ref="O140:P140"/>
    <mergeCell ref="M127:N127"/>
    <mergeCell ref="O127:P127"/>
    <mergeCell ref="D129:E129"/>
    <mergeCell ref="F129:G129"/>
    <mergeCell ref="I130:J130"/>
    <mergeCell ref="K130:L130"/>
    <mergeCell ref="O130:P130"/>
    <mergeCell ref="M130:N130"/>
    <mergeCell ref="O122:P122"/>
    <mergeCell ref="D123:E123"/>
    <mergeCell ref="F123:G123"/>
    <mergeCell ref="M124:N124"/>
    <mergeCell ref="O124:P124"/>
    <mergeCell ref="C117:E117"/>
    <mergeCell ref="C133:E133"/>
    <mergeCell ref="C134:G134"/>
    <mergeCell ref="I134:J134"/>
    <mergeCell ref="K134:L134"/>
    <mergeCell ref="D136:E136"/>
    <mergeCell ref="F136:G136"/>
    <mergeCell ref="I127:J127"/>
    <mergeCell ref="K127:L127"/>
    <mergeCell ref="K124:L124"/>
    <mergeCell ref="D126:E126"/>
    <mergeCell ref="F126:G126"/>
    <mergeCell ref="C118:G118"/>
    <mergeCell ref="I118:J118"/>
    <mergeCell ref="K118:L118"/>
    <mergeCell ref="D120:E120"/>
    <mergeCell ref="F120:G120"/>
    <mergeCell ref="M121:N121"/>
    <mergeCell ref="O121:P121"/>
    <mergeCell ref="O118:P118"/>
    <mergeCell ref="I124:J124"/>
    <mergeCell ref="D91:E91"/>
    <mergeCell ref="F91:G91"/>
    <mergeCell ref="F88:G88"/>
    <mergeCell ref="O86:P86"/>
    <mergeCell ref="M92:N92"/>
    <mergeCell ref="M96:N96"/>
    <mergeCell ref="D104:E104"/>
    <mergeCell ref="K102:L102"/>
    <mergeCell ref="O95:P95"/>
    <mergeCell ref="O98:P98"/>
    <mergeCell ref="C101:E101"/>
    <mergeCell ref="C102:G102"/>
    <mergeCell ref="I102:J102"/>
    <mergeCell ref="F104:G104"/>
    <mergeCell ref="O102:P102"/>
    <mergeCell ref="D107:E107"/>
    <mergeCell ref="F107:G107"/>
    <mergeCell ref="M105:N105"/>
    <mergeCell ref="K92:L92"/>
    <mergeCell ref="I95:J95"/>
    <mergeCell ref="D97:E97"/>
    <mergeCell ref="F97:G97"/>
    <mergeCell ref="D94:E94"/>
    <mergeCell ref="F94:G94"/>
    <mergeCell ref="D113:E113"/>
    <mergeCell ref="F113:G113"/>
    <mergeCell ref="D110:E110"/>
    <mergeCell ref="F110:G110"/>
    <mergeCell ref="I108:J108"/>
    <mergeCell ref="I114:J114"/>
    <mergeCell ref="K114:L114"/>
    <mergeCell ref="I111:J111"/>
    <mergeCell ref="O92:P92"/>
    <mergeCell ref="M95:N95"/>
    <mergeCell ref="I98:J98"/>
    <mergeCell ref="K98:L98"/>
    <mergeCell ref="M98:N98"/>
    <mergeCell ref="I92:J92"/>
    <mergeCell ref="M111:N111"/>
    <mergeCell ref="M112:N112"/>
    <mergeCell ref="K111:L111"/>
    <mergeCell ref="O105:P105"/>
    <mergeCell ref="O106:P106"/>
    <mergeCell ref="M43:N43"/>
    <mergeCell ref="O111:P111"/>
    <mergeCell ref="O108:P108"/>
    <mergeCell ref="M108:N108"/>
    <mergeCell ref="K108:L108"/>
    <mergeCell ref="M89:N89"/>
    <mergeCell ref="K61:L61"/>
    <mergeCell ref="M61:N61"/>
    <mergeCell ref="O61:P61"/>
    <mergeCell ref="O72:P72"/>
    <mergeCell ref="O73:P73"/>
    <mergeCell ref="O74:P74"/>
    <mergeCell ref="O75:P75"/>
    <mergeCell ref="O76:P76"/>
    <mergeCell ref="O77:P77"/>
    <mergeCell ref="O78:P78"/>
    <mergeCell ref="O79:P79"/>
    <mergeCell ref="O80:P80"/>
    <mergeCell ref="O71:P71"/>
    <mergeCell ref="K70:P70"/>
    <mergeCell ref="K80:N80"/>
    <mergeCell ref="K79:N79"/>
    <mergeCell ref="K78:N78"/>
    <mergeCell ref="K77:N77"/>
    <mergeCell ref="C29:P29"/>
    <mergeCell ref="C27:D27"/>
    <mergeCell ref="E27:F27"/>
    <mergeCell ref="I26:J26"/>
    <mergeCell ref="L32:M32"/>
    <mergeCell ref="M37:N37"/>
    <mergeCell ref="K49:L49"/>
    <mergeCell ref="C26:D26"/>
    <mergeCell ref="E26:F26"/>
    <mergeCell ref="G26:H26"/>
    <mergeCell ref="I27:J27"/>
    <mergeCell ref="G27:H27"/>
    <mergeCell ref="M46:N46"/>
    <mergeCell ref="C32:E32"/>
    <mergeCell ref="L31:M31"/>
    <mergeCell ref="N31:P31"/>
    <mergeCell ref="C31:D31"/>
    <mergeCell ref="J31:K31"/>
    <mergeCell ref="H31:I31"/>
    <mergeCell ref="C34:D34"/>
    <mergeCell ref="K37:L37"/>
    <mergeCell ref="K38:L38"/>
    <mergeCell ref="O40:P40"/>
    <mergeCell ref="C36:D36"/>
    <mergeCell ref="B164:C164"/>
    <mergeCell ref="P164:Q164"/>
    <mergeCell ref="B163:C163"/>
    <mergeCell ref="P163:Q163"/>
    <mergeCell ref="M55:N55"/>
    <mergeCell ref="O55:P55"/>
    <mergeCell ref="O49:P49"/>
    <mergeCell ref="K55:L55"/>
    <mergeCell ref="O46:P46"/>
    <mergeCell ref="M49:N50"/>
    <mergeCell ref="K95:L95"/>
    <mergeCell ref="M128:N128"/>
    <mergeCell ref="O134:P134"/>
    <mergeCell ref="M144:N144"/>
    <mergeCell ref="K86:L86"/>
    <mergeCell ref="I86:J86"/>
    <mergeCell ref="O90:P90"/>
    <mergeCell ref="O89:P89"/>
    <mergeCell ref="K58:L58"/>
    <mergeCell ref="M58:N58"/>
    <mergeCell ref="O58:P58"/>
    <mergeCell ref="K52:L52"/>
    <mergeCell ref="K46:L46"/>
    <mergeCell ref="O52:P52"/>
    <mergeCell ref="O2:P2"/>
    <mergeCell ref="C3:F5"/>
    <mergeCell ref="G3:P5"/>
    <mergeCell ref="C11:D11"/>
    <mergeCell ref="E11:J11"/>
    <mergeCell ref="N8:P8"/>
    <mergeCell ref="C8:D8"/>
    <mergeCell ref="E8:F9"/>
    <mergeCell ref="H8:I8"/>
    <mergeCell ref="J8:L9"/>
    <mergeCell ref="C12:D12"/>
    <mergeCell ref="E12:J12"/>
    <mergeCell ref="C13:D13"/>
    <mergeCell ref="E13:J13"/>
    <mergeCell ref="L27:N27"/>
    <mergeCell ref="L26:N26"/>
    <mergeCell ref="L25:N25"/>
    <mergeCell ref="L24:N24"/>
    <mergeCell ref="C15:P15"/>
    <mergeCell ref="C19:E19"/>
    <mergeCell ref="J17:K17"/>
    <mergeCell ref="H17:I17"/>
    <mergeCell ref="C21:D21"/>
    <mergeCell ref="E21:F21"/>
    <mergeCell ref="G21:H21"/>
    <mergeCell ref="I21:J21"/>
    <mergeCell ref="M17:N17"/>
    <mergeCell ref="C17:E17"/>
    <mergeCell ref="C18:E18"/>
    <mergeCell ref="E23:F23"/>
    <mergeCell ref="L23:N23"/>
    <mergeCell ref="M134:N134"/>
    <mergeCell ref="M118:N118"/>
    <mergeCell ref="M102:N102"/>
    <mergeCell ref="M86:N86"/>
    <mergeCell ref="N32:O32"/>
    <mergeCell ref="M40:N40"/>
    <mergeCell ref="L34:M34"/>
    <mergeCell ref="L35:M35"/>
    <mergeCell ref="O37:P37"/>
    <mergeCell ref="O38:P38"/>
    <mergeCell ref="N34:P34"/>
    <mergeCell ref="N35:O35"/>
    <mergeCell ref="K40:L40"/>
    <mergeCell ref="K43:L43"/>
    <mergeCell ref="M52:N52"/>
    <mergeCell ref="C83:P83"/>
    <mergeCell ref="O43:P43"/>
    <mergeCell ref="C86:G86"/>
    <mergeCell ref="C85:E85"/>
    <mergeCell ref="D88:E88"/>
    <mergeCell ref="O114:P114"/>
    <mergeCell ref="M114:N114"/>
    <mergeCell ref="J34:K34"/>
    <mergeCell ref="J35:K35"/>
    <mergeCell ref="B170:C170"/>
    <mergeCell ref="D170:L170"/>
    <mergeCell ref="M170:O170"/>
    <mergeCell ref="P170:Q170"/>
    <mergeCell ref="B186:C186"/>
    <mergeCell ref="D186:L186"/>
    <mergeCell ref="M186:O186"/>
    <mergeCell ref="P186:Q186"/>
    <mergeCell ref="B171:C171"/>
    <mergeCell ref="D171:L171"/>
    <mergeCell ref="M171:O171"/>
    <mergeCell ref="P171:Q171"/>
    <mergeCell ref="B172:C172"/>
    <mergeCell ref="D172:L172"/>
    <mergeCell ref="M172:O172"/>
    <mergeCell ref="P172:Q172"/>
    <mergeCell ref="B173:C173"/>
    <mergeCell ref="D173:L173"/>
    <mergeCell ref="M173:O173"/>
    <mergeCell ref="P173:Q173"/>
    <mergeCell ref="B174:C174"/>
    <mergeCell ref="D174:L174"/>
    <mergeCell ref="M174:O174"/>
    <mergeCell ref="P174:Q174"/>
    <mergeCell ref="B175:C175"/>
    <mergeCell ref="D175:L175"/>
    <mergeCell ref="M175:O175"/>
    <mergeCell ref="P175:Q175"/>
    <mergeCell ref="B176:C176"/>
    <mergeCell ref="D176:L176"/>
    <mergeCell ref="M176:O176"/>
    <mergeCell ref="P176:Q176"/>
    <mergeCell ref="B177:C177"/>
    <mergeCell ref="D177:L177"/>
    <mergeCell ref="M177:O177"/>
    <mergeCell ref="P177:Q177"/>
    <mergeCell ref="B185:C185"/>
    <mergeCell ref="D185:L185"/>
    <mergeCell ref="M185:O185"/>
    <mergeCell ref="P185:Q185"/>
    <mergeCell ref="B181:C181"/>
    <mergeCell ref="D181:L181"/>
    <mergeCell ref="M181:O181"/>
    <mergeCell ref="P181:Q181"/>
    <mergeCell ref="B182:C182"/>
    <mergeCell ref="D182:L182"/>
    <mergeCell ref="M182:O182"/>
    <mergeCell ref="P182:Q182"/>
    <mergeCell ref="B183:C183"/>
    <mergeCell ref="D183:L183"/>
    <mergeCell ref="M183:O183"/>
    <mergeCell ref="P183:Q183"/>
    <mergeCell ref="K76:N76"/>
    <mergeCell ref="K75:N75"/>
    <mergeCell ref="K74:N74"/>
    <mergeCell ref="K73:N73"/>
    <mergeCell ref="K72:N72"/>
    <mergeCell ref="K71:N71"/>
    <mergeCell ref="S31:V31"/>
    <mergeCell ref="W31:X31"/>
    <mergeCell ref="B184:C184"/>
    <mergeCell ref="D184:L184"/>
    <mergeCell ref="M184:O184"/>
    <mergeCell ref="P184:Q184"/>
    <mergeCell ref="B178:C178"/>
    <mergeCell ref="D178:L178"/>
    <mergeCell ref="M178:O178"/>
    <mergeCell ref="P178:Q178"/>
    <mergeCell ref="B179:C179"/>
    <mergeCell ref="D179:L179"/>
    <mergeCell ref="M179:O179"/>
    <mergeCell ref="P179:Q179"/>
    <mergeCell ref="B180:C180"/>
    <mergeCell ref="D180:L180"/>
    <mergeCell ref="M180:O180"/>
    <mergeCell ref="P180:Q180"/>
  </mergeCells>
  <conditionalFormatting sqref="E21:F22">
    <cfRule type="expression" dxfId="150" priority="99" stopIfTrue="1">
      <formula>$F$17=1</formula>
    </cfRule>
  </conditionalFormatting>
  <conditionalFormatting sqref="O18:P19">
    <cfRule type="containsText" dxfId="149" priority="96" stopIfTrue="1" operator="containsText" text="FALSO">
      <formula>NOT(ISERROR(SEARCH("FALSO",O18)))</formula>
    </cfRule>
  </conditionalFormatting>
  <conditionalFormatting sqref="H18:I18">
    <cfRule type="containsText" dxfId="148" priority="44" stopIfTrue="1" operator="containsText" text="FALSO">
      <formula>NOT(ISERROR(SEARCH("FALSO",H18)))</formula>
    </cfRule>
  </conditionalFormatting>
  <conditionalFormatting sqref="C22:D22">
    <cfRule type="containsText" dxfId="147" priority="41" stopIfTrue="1" operator="containsText" text="FALSO">
      <formula>NOT(ISERROR(SEARCH("FALSO",C22)))</formula>
    </cfRule>
  </conditionalFormatting>
  <conditionalFormatting sqref="E24:F24">
    <cfRule type="containsText" dxfId="146" priority="40" stopIfTrue="1" operator="containsText" text="FALSO">
      <formula>NOT(ISERROR(SEARCH("FALSO",E24)))</formula>
    </cfRule>
  </conditionalFormatting>
  <conditionalFormatting sqref="P21">
    <cfRule type="containsText" dxfId="145" priority="39" stopIfTrue="1" operator="containsText" text="FALSO">
      <formula>NOT(ISERROR(SEARCH("FALSO",P21)))</formula>
    </cfRule>
  </conditionalFormatting>
  <conditionalFormatting sqref="E23:F24 C21:D22">
    <cfRule type="expression" dxfId="144" priority="194">
      <formula>$F$17&gt;1</formula>
    </cfRule>
  </conditionalFormatting>
  <conditionalFormatting sqref="E34">
    <cfRule type="containsText" dxfId="143" priority="37" operator="containsText" text="VERDADEIRO">
      <formula>NOT(ISERROR(SEARCH("VERDADEIRO",E34)))</formula>
    </cfRule>
  </conditionalFormatting>
  <conditionalFormatting sqref="J18:K18">
    <cfRule type="containsText" dxfId="142" priority="32" stopIfTrue="1" operator="containsText" text="FALSO">
      <formula>NOT(ISERROR(SEARCH("FALSO",J18)))</formula>
    </cfRule>
  </conditionalFormatting>
  <conditionalFormatting sqref="O40:P41 O46:P47 N31 N32:P32 O43:P44 L34:P35 S45:V45 S37:Y37 S32:W36 Y31:Z36 S31 W31">
    <cfRule type="expression" dxfId="141" priority="30">
      <formula>NOT($E$34)</formula>
    </cfRule>
  </conditionalFormatting>
  <conditionalFormatting sqref="O58:P59">
    <cfRule type="expression" dxfId="140" priority="25">
      <formula>$C$32&lt;&gt;"Perfiladeira 1"</formula>
    </cfRule>
  </conditionalFormatting>
  <conditionalFormatting sqref="K58:L59">
    <cfRule type="expression" dxfId="139" priority="12">
      <formula>NOT($E$34)</formula>
    </cfRule>
  </conditionalFormatting>
  <conditionalFormatting sqref="M58:N59">
    <cfRule type="expression" dxfId="138" priority="11">
      <formula>AND($J$35&lt;&gt;"Cisalhamento",$J$35&lt;&gt;"Faca")</formula>
    </cfRule>
  </conditionalFormatting>
  <conditionalFormatting sqref="M43:N44">
    <cfRule type="expression" dxfId="137" priority="10">
      <formula>$F$17&lt;&gt;2</formula>
    </cfRule>
  </conditionalFormatting>
  <conditionalFormatting sqref="Z33:Z36">
    <cfRule type="containsText" dxfId="136" priority="4" stopIfTrue="1" operator="containsText" text="FALSO">
      <formula>NOT(ISERROR(SEARCH("FALSO",Z33)))</formula>
    </cfRule>
  </conditionalFormatting>
  <conditionalFormatting sqref="X32">
    <cfRule type="expression" dxfId="135" priority="3">
      <formula>NOT($E$34)</formula>
    </cfRule>
  </conditionalFormatting>
  <conditionalFormatting sqref="X33:X36">
    <cfRule type="expression" dxfId="134" priority="2">
      <formula>NOT($E$34)</formula>
    </cfRule>
  </conditionalFormatting>
  <dataValidations count="5">
    <dataValidation allowBlank="1" showInputMessage="1" showErrorMessage="1" errorTitle="Erro" sqref="E20:F20 E25:F25 E30:F30 F37 H31 O55 M55 K40 N42 E16:F16 O58 M58 I95 K92 I98 K98 M92 O92 O98 M98 O95 I86 I130 K130 M124 O124 O130 M130 O127 I118 M127 I127 K108 I114 K114 M108 O108 O114 M114 O111 I102 M111 M95 I111 K124 K140 I146 K146 M140 O140 O146 M146 O143 I134 M143 I143 K61 K70:K80"/>
    <dataValidation type="whole" errorStyle="warning" allowBlank="1" showInputMessage="1" showErrorMessage="1" errorTitle="Fora de Range" error="Comprimento fora do range suportado, deseja continuar?" sqref="I22">
      <formula1>0</formula1>
      <formula2>15950</formula2>
    </dataValidation>
    <dataValidation type="list" allowBlank="1" showInputMessage="1" showErrorMessage="1" sqref="P21">
      <formula1>"Peça/mês,Ton/mês,Metros/mês"</formula1>
    </dataValidation>
    <dataValidation type="date" errorStyle="warning" operator="greaterThan" allowBlank="1" showInputMessage="1" showErrorMessage="1" errorTitle="Data Incoerente" error="A data entrada é anterior a ultima revisão. Isto gera uma incosistencia no relatório de alterações." sqref="P164:Q170">
      <formula1>P163</formula1>
    </dataValidation>
    <dataValidation type="date" errorStyle="warning" operator="greaterThan" allowBlank="1" showInputMessage="1" showErrorMessage="1" errorTitle="Data Incoerente" error="A data entrada é anterior a ultima revisão. Isto gera uma incosistencia no relatório de alterações." sqref="P171:Q186">
      <formula1>P155</formula1>
    </dataValidation>
  </dataValidations>
  <pageMargins left="0.51" right="0.23622047244094491" top="0.31" bottom="0.74803149606299213" header="0.31496062992125984" footer="0.31496062992125984"/>
  <pageSetup paperSize="9" scale="67" fitToHeight="2" orientation="portrait" r:id="rId1"/>
  <rowBreaks count="1" manualBreakCount="1">
    <brk id="81" min="1" max="16" man="1"/>
  </rowBreaks>
  <drawing r:id="rId2"/>
  <legacyDrawing r:id="rId3"/>
  <mc:AlternateContent xmlns:mc="http://schemas.openxmlformats.org/markup-compatibility/2006">
    <mc:Choice Requires="x14">
      <controls>
        <mc:AlternateContent xmlns:mc="http://schemas.openxmlformats.org/markup-compatibility/2006">
          <mc:Choice Requires="x14">
            <control shapeId="134151" r:id="rId4" name="Check Box 7">
              <controlPr defaultSize="0" autoFill="0" autoLine="0" autoPict="0">
                <anchor moveWithCells="1">
                  <from>
                    <xdr:col>6</xdr:col>
                    <xdr:colOff>514350</xdr:colOff>
                    <xdr:row>26</xdr:row>
                    <xdr:rowOff>9525</xdr:rowOff>
                  </from>
                  <to>
                    <xdr:col>7</xdr:col>
                    <xdr:colOff>152400</xdr:colOff>
                    <xdr:row>27</xdr:row>
                    <xdr:rowOff>0</xdr:rowOff>
                  </to>
                </anchor>
              </controlPr>
            </control>
          </mc:Choice>
        </mc:AlternateContent>
        <mc:AlternateContent xmlns:mc="http://schemas.openxmlformats.org/markup-compatibility/2006">
          <mc:Choice Requires="x14">
            <control shapeId="134152" r:id="rId5" name="Check Box 8">
              <controlPr defaultSize="0" autoFill="0" autoLine="0" autoPict="0">
                <anchor moveWithCells="1">
                  <from>
                    <xdr:col>8</xdr:col>
                    <xdr:colOff>514350</xdr:colOff>
                    <xdr:row>26</xdr:row>
                    <xdr:rowOff>9525</xdr:rowOff>
                  </from>
                  <to>
                    <xdr:col>9</xdr:col>
                    <xdr:colOff>142875</xdr:colOff>
                    <xdr:row>27</xdr:row>
                    <xdr:rowOff>0</xdr:rowOff>
                  </to>
                </anchor>
              </controlPr>
            </control>
          </mc:Choice>
        </mc:AlternateContent>
        <mc:AlternateContent xmlns:mc="http://schemas.openxmlformats.org/markup-compatibility/2006">
          <mc:Choice Requires="x14">
            <control shapeId="134153" r:id="rId6" name="Check Box 9">
              <controlPr defaultSize="0" autoFill="0" autoLine="0" autoPict="0">
                <anchor moveWithCells="1">
                  <from>
                    <xdr:col>2</xdr:col>
                    <xdr:colOff>514350</xdr:colOff>
                    <xdr:row>26</xdr:row>
                    <xdr:rowOff>9525</xdr:rowOff>
                  </from>
                  <to>
                    <xdr:col>3</xdr:col>
                    <xdr:colOff>152400</xdr:colOff>
                    <xdr:row>27</xdr:row>
                    <xdr:rowOff>0</xdr:rowOff>
                  </to>
                </anchor>
              </controlPr>
            </control>
          </mc:Choice>
        </mc:AlternateContent>
        <mc:AlternateContent xmlns:mc="http://schemas.openxmlformats.org/markup-compatibility/2006">
          <mc:Choice Requires="x14">
            <control shapeId="134154" r:id="rId7" name="Check Box 10">
              <controlPr defaultSize="0" autoFill="0" autoLine="0" autoPict="0">
                <anchor moveWithCells="1">
                  <from>
                    <xdr:col>4</xdr:col>
                    <xdr:colOff>514350</xdr:colOff>
                    <xdr:row>26</xdr:row>
                    <xdr:rowOff>9525</xdr:rowOff>
                  </from>
                  <to>
                    <xdr:col>4</xdr:col>
                    <xdr:colOff>762000</xdr:colOff>
                    <xdr:row>27</xdr:row>
                    <xdr:rowOff>0</xdr:rowOff>
                  </to>
                </anchor>
              </controlPr>
            </control>
          </mc:Choice>
        </mc:AlternateContent>
        <mc:AlternateContent xmlns:mc="http://schemas.openxmlformats.org/markup-compatibility/2006">
          <mc:Choice Requires="x14">
            <control shapeId="134172" r:id="rId8" name="Group Box 28">
              <controlPr defaultSize="0" print="0" autoFill="0" autoPict="0">
                <anchor moveWithCells="1">
                  <from>
                    <xdr:col>1</xdr:col>
                    <xdr:colOff>180975</xdr:colOff>
                    <xdr:row>16</xdr:row>
                    <xdr:rowOff>0</xdr:rowOff>
                  </from>
                  <to>
                    <xdr:col>6</xdr:col>
                    <xdr:colOff>0</xdr:colOff>
                    <xdr:row>19</xdr:row>
                    <xdr:rowOff>0</xdr:rowOff>
                  </to>
                </anchor>
              </controlPr>
            </control>
          </mc:Choice>
        </mc:AlternateContent>
        <mc:AlternateContent xmlns:mc="http://schemas.openxmlformats.org/markup-compatibility/2006">
          <mc:Choice Requires="x14">
            <control shapeId="134270" r:id="rId9" name="Check Box 126">
              <controlPr defaultSize="0" autoFill="0" autoLine="0" autoPict="0">
                <anchor moveWithCells="1" sizeWithCells="1">
                  <from>
                    <xdr:col>4</xdr:col>
                    <xdr:colOff>0</xdr:colOff>
                    <xdr:row>33</xdr:row>
                    <xdr:rowOff>0</xdr:rowOff>
                  </from>
                  <to>
                    <xdr:col>5</xdr:col>
                    <xdr:colOff>0</xdr:colOff>
                    <xdr:row>34</xdr:row>
                    <xdr:rowOff>0</xdr:rowOff>
                  </to>
                </anchor>
              </controlPr>
            </control>
          </mc:Choice>
        </mc:AlternateContent>
        <mc:AlternateContent xmlns:mc="http://schemas.openxmlformats.org/markup-compatibility/2006">
          <mc:Choice Requires="x14">
            <control shapeId="134385" r:id="rId10" name="Option Button 241">
              <controlPr defaultSize="0" autoFill="0" autoLine="0" autoPict="0">
                <anchor moveWithCells="1">
                  <from>
                    <xdr:col>5</xdr:col>
                    <xdr:colOff>0</xdr:colOff>
                    <xdr:row>16</xdr:row>
                    <xdr:rowOff>0</xdr:rowOff>
                  </from>
                  <to>
                    <xdr:col>6</xdr:col>
                    <xdr:colOff>0</xdr:colOff>
                    <xdr:row>17</xdr:row>
                    <xdr:rowOff>0</xdr:rowOff>
                  </to>
                </anchor>
              </controlPr>
            </control>
          </mc:Choice>
        </mc:AlternateContent>
        <mc:AlternateContent xmlns:mc="http://schemas.openxmlformats.org/markup-compatibility/2006">
          <mc:Choice Requires="x14">
            <control shapeId="134386" r:id="rId11" name="Option Button 242">
              <controlPr defaultSize="0" autoFill="0" autoLine="0" autoPict="0">
                <anchor moveWithCells="1">
                  <from>
                    <xdr:col>5</xdr:col>
                    <xdr:colOff>0</xdr:colOff>
                    <xdr:row>17</xdr:row>
                    <xdr:rowOff>0</xdr:rowOff>
                  </from>
                  <to>
                    <xdr:col>6</xdr:col>
                    <xdr:colOff>0</xdr:colOff>
                    <xdr:row>18</xdr:row>
                    <xdr:rowOff>0</xdr:rowOff>
                  </to>
                </anchor>
              </controlPr>
            </control>
          </mc:Choice>
        </mc:AlternateContent>
        <mc:AlternateContent xmlns:mc="http://schemas.openxmlformats.org/markup-compatibility/2006">
          <mc:Choice Requires="x14">
            <control shapeId="134387" r:id="rId12" name="Option Button 243">
              <controlPr defaultSize="0" autoFill="0" autoLine="0" autoPict="0">
                <anchor moveWithCells="1">
                  <from>
                    <xdr:col>5</xdr:col>
                    <xdr:colOff>0</xdr:colOff>
                    <xdr:row>18</xdr:row>
                    <xdr:rowOff>0</xdr:rowOff>
                  </from>
                  <to>
                    <xdr:col>6</xdr:col>
                    <xdr:colOff>0</xdr:colOff>
                    <xdr:row>19</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31" id="{4BB6CFFE-E11E-4C63-8412-86EE63D84AD7}">
            <xm:f>VLOOKUP($C$32,'Listas de Dados'!$A:$F,2,0)&lt;7</xm:f>
            <x14:dxf>
              <font>
                <color theme="0"/>
              </font>
              <fill>
                <patternFill>
                  <bgColor theme="0"/>
                </patternFill>
              </fill>
              <border>
                <left/>
                <right/>
                <top/>
                <bottom/>
                <vertical/>
                <horizontal/>
              </border>
            </x14:dxf>
          </x14:cfRule>
          <xm:sqref>K37:L38</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14:formula1>
            <xm:f>'Q:\Trabalhos em Andamento\Cristian Garcia\ESTUDOS CPV\[SIMULADOR DE MARGEM PARA ITEM PADRÃO (Versão 2.9).xlsx]Lista Mestre'!#REF!</xm:f>
          </x14:formula1>
          <xm:sqref>C20 C25 C30 C16</xm:sqref>
        </x14:dataValidation>
        <x14:dataValidation type="list" errorStyle="warning" allowBlank="1" showInputMessage="1" showErrorMessage="1" errorTitle="Espessura" error="Esta espessura não esta cadastrada!">
          <x14:formula1>
            <xm:f>'Listas de Dados'!$V$4:$V$34</xm:f>
          </x14:formula1>
          <xm:sqref>G22</xm:sqref>
        </x14:dataValidation>
        <x14:dataValidation type="list" allowBlank="1" showInputMessage="1" showErrorMessage="1">
          <x14:formula1>
            <xm:f>'Listas de Dados'!$Z$4:$Z$6</xm:f>
          </x14:formula1>
          <xm:sqref>J35:K35</xm:sqref>
        </x14:dataValidation>
        <x14:dataValidation type="list" allowBlank="1" showInputMessage="1" showErrorMessage="1">
          <x14:formula1>
            <xm:f>'Listas de Dados'!$AH$4:$AH$30</xm:f>
          </x14:formula1>
          <xm:sqref>C86:G86 C102:G102 C118:G118 C134:G134</xm:sqref>
        </x14:dataValidation>
        <x14:dataValidation type="list" errorStyle="warning" allowBlank="1" showInputMessage="1" errorTitle="Porcentagem fora do padrão" error="A porcentagem inserida não está na Listas de Dados para a máquina.">
          <x14:formula1>
            <xm:f>INDIRECT("'Listas de Dados'!C"&amp;MATCH(C32,'Listas de Dados'!$A:$A,0)&amp;":$C"&amp;MATCH(C32,'Listas de Dados'!$A:$A,0))</xm:f>
          </x14:formula1>
          <xm:sqref>L32:M32</xm:sqref>
        </x14:dataValidation>
        <x14:dataValidation type="list" allowBlank="1" showInputMessage="1" showErrorMessage="1">
          <x14:formula1>
            <xm:f>IF(C32="Perfiladeira 1",'Listas de Dados'!AO4:AO6,'Listas de Dados'!AO7)</xm:f>
          </x14:formula1>
          <xm:sqref>L35:M35</xm:sqref>
        </x14:dataValidation>
        <x14:dataValidation type="list" allowBlank="1" showInputMessage="1" showErrorMessage="1">
          <x14:formula1>
            <xm:f>IF(F17=1,'Listas de Dados'!AD4:AD10,IF(F17=2,'Listas de Dados'!AE4:AE10,'Listas de Dados'!AF4:AF10))</xm:f>
          </x14:formula1>
          <xm:sqref>C32</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
    <tabColor theme="0"/>
  </sheetPr>
  <dimension ref="A1:DG51"/>
  <sheetViews>
    <sheetView showGridLines="0" workbookViewId="0">
      <pane xSplit="3" ySplit="3" topLeftCell="AL4" activePane="bottomRight" state="frozen"/>
      <selection activeCell="AQ5" sqref="AQ5:AQ6"/>
      <selection pane="topRight" activeCell="AQ5" sqref="AQ5:AQ6"/>
      <selection pane="bottomLeft" activeCell="AQ5" sqref="AQ5:AQ6"/>
      <selection pane="bottomRight" activeCell="AQ5" sqref="AQ5:AQ6"/>
    </sheetView>
  </sheetViews>
  <sheetFormatPr defaultRowHeight="12.75" x14ac:dyDescent="0.2"/>
  <cols>
    <col min="1" max="1" width="0.85546875" style="2" customWidth="1"/>
    <col min="2" max="2" width="9.85546875" style="2" bestFit="1" customWidth="1"/>
    <col min="3" max="3" width="55.140625" style="2" customWidth="1"/>
    <col min="4" max="5" width="15.5703125" style="2" bestFit="1" customWidth="1"/>
    <col min="6" max="6" width="9.28515625" style="2" bestFit="1" customWidth="1"/>
    <col min="7" max="7" width="14.42578125" style="2" bestFit="1" customWidth="1"/>
    <col min="8" max="8" width="14.5703125" style="2" bestFit="1" customWidth="1"/>
    <col min="9" max="9" width="15.7109375" style="2" customWidth="1"/>
    <col min="10" max="10" width="12.85546875" style="2" bestFit="1" customWidth="1"/>
    <col min="11" max="11" width="7" style="2" bestFit="1" customWidth="1"/>
    <col min="12" max="12" width="10.140625" style="2" bestFit="1" customWidth="1"/>
    <col min="13" max="13" width="11.7109375" style="2" bestFit="1" customWidth="1"/>
    <col min="14" max="14" width="9.7109375" style="2" bestFit="1" customWidth="1"/>
    <col min="15" max="16" width="9.140625" style="2" bestFit="1" customWidth="1"/>
    <col min="17" max="17" width="16.42578125" style="2" bestFit="1" customWidth="1"/>
    <col min="18" max="18" width="8.7109375" style="2" bestFit="1" customWidth="1"/>
    <col min="19" max="19" width="6.7109375" style="2" bestFit="1" customWidth="1"/>
    <col min="20" max="20" width="3.42578125" style="2" bestFit="1" customWidth="1"/>
    <col min="21" max="21" width="6.7109375" style="2" bestFit="1" customWidth="1"/>
    <col min="22" max="22" width="12.28515625" style="2" bestFit="1" customWidth="1"/>
    <col min="23" max="23" width="10.7109375" style="2" bestFit="1" customWidth="1"/>
    <col min="24" max="24" width="9.28515625" style="2" bestFit="1" customWidth="1"/>
    <col min="25" max="25" width="17.42578125" style="2" bestFit="1" customWidth="1"/>
    <col min="26" max="26" width="13.7109375" style="2" bestFit="1" customWidth="1"/>
    <col min="27" max="27" width="13.140625" style="2" bestFit="1" customWidth="1"/>
    <col min="28" max="28" width="18" style="2" bestFit="1" customWidth="1"/>
    <col min="29" max="29" width="19.85546875" style="2" bestFit="1" customWidth="1"/>
    <col min="30" max="30" width="13.7109375" style="2" bestFit="1" customWidth="1"/>
    <col min="31" max="31" width="6.85546875" style="2" bestFit="1" customWidth="1"/>
    <col min="32" max="33" width="18.5703125" style="2" bestFit="1" customWidth="1"/>
    <col min="34" max="34" width="17" style="2" bestFit="1" customWidth="1"/>
    <col min="35" max="35" width="15.5703125" style="2" bestFit="1" customWidth="1"/>
    <col min="36" max="36" width="17.28515625" style="2" bestFit="1" customWidth="1"/>
    <col min="37" max="37" width="8.7109375" style="2" bestFit="1" customWidth="1"/>
    <col min="38" max="38" width="12.28515625" style="2" bestFit="1" customWidth="1"/>
    <col min="39" max="39" width="23.85546875" style="2" bestFit="1" customWidth="1"/>
    <col min="40" max="40" width="17.85546875" style="2" bestFit="1" customWidth="1"/>
    <col min="41" max="41" width="9.7109375" style="2" bestFit="1" customWidth="1"/>
    <col min="42" max="42" width="9.85546875" style="2" bestFit="1" customWidth="1"/>
    <col min="43" max="43" width="15" style="2" bestFit="1" customWidth="1"/>
    <col min="44" max="44" width="9.140625" style="2" bestFit="1" customWidth="1"/>
    <col min="45" max="45" width="20.5703125" style="2" bestFit="1" customWidth="1"/>
    <col min="46" max="46" width="6.7109375" style="2" bestFit="1" customWidth="1"/>
    <col min="47" max="47" width="4" style="2" bestFit="1" customWidth="1"/>
    <col min="48" max="48" width="5" style="2" bestFit="1" customWidth="1"/>
    <col min="49" max="49" width="12.28515625" style="2" bestFit="1" customWidth="1"/>
    <col min="50" max="51" width="15.140625" style="2" bestFit="1" customWidth="1"/>
    <col min="52" max="52" width="9.28515625" style="2" bestFit="1" customWidth="1"/>
    <col min="53" max="53" width="12.85546875" style="2" bestFit="1" customWidth="1"/>
    <col min="54" max="54" width="17.42578125" style="2" bestFit="1" customWidth="1"/>
    <col min="55" max="55" width="13.7109375" style="2" bestFit="1" customWidth="1"/>
    <col min="56" max="56" width="13.140625" style="2" bestFit="1" customWidth="1"/>
    <col min="57" max="57" width="18" style="2" bestFit="1" customWidth="1"/>
    <col min="58" max="58" width="19.85546875" style="2" bestFit="1" customWidth="1"/>
    <col min="59" max="59" width="13.7109375" style="2" bestFit="1" customWidth="1"/>
    <col min="60" max="60" width="6.85546875" style="2" bestFit="1" customWidth="1"/>
    <col min="61" max="62" width="18.5703125" style="2" bestFit="1" customWidth="1"/>
    <col min="63" max="63" width="18.7109375" style="2" bestFit="1" customWidth="1"/>
    <col min="64" max="64" width="11.140625" style="2" customWidth="1"/>
    <col min="65" max="65" width="14.7109375" style="2" bestFit="1" customWidth="1"/>
    <col min="66" max="66" width="20" style="2" bestFit="1" customWidth="1"/>
    <col min="67" max="67" width="18.140625" style="2" bestFit="1" customWidth="1"/>
    <col min="68" max="68" width="9.140625" style="2" bestFit="1" customWidth="1"/>
    <col min="69" max="69" width="9.140625" style="2"/>
    <col min="70" max="70" width="8" style="2" bestFit="1" customWidth="1"/>
    <col min="71" max="71" width="6.85546875" style="2" bestFit="1" customWidth="1"/>
    <col min="72" max="72" width="5.85546875" style="2" bestFit="1" customWidth="1"/>
    <col min="73" max="73" width="9" style="2" bestFit="1" customWidth="1"/>
    <col min="74" max="74" width="11" style="2" bestFit="1" customWidth="1"/>
    <col min="75" max="75" width="14.85546875" style="2" bestFit="1" customWidth="1"/>
    <col min="76" max="76" width="5.85546875" style="2" bestFit="1" customWidth="1"/>
    <col min="77" max="77" width="9" style="2" bestFit="1" customWidth="1"/>
    <col min="78" max="78" width="8.5703125" style="2" bestFit="1" customWidth="1"/>
    <col min="79" max="79" width="8" style="2" bestFit="1" customWidth="1"/>
    <col min="80" max="80" width="6.85546875" style="2" bestFit="1" customWidth="1"/>
    <col min="81" max="81" width="5.85546875" style="2" bestFit="1" customWidth="1"/>
    <col min="82" max="82" width="9" style="2" bestFit="1" customWidth="1"/>
    <col min="83" max="83" width="8.5703125" style="2" bestFit="1" customWidth="1"/>
    <col min="84" max="84" width="22" style="2" bestFit="1" customWidth="1"/>
    <col min="85" max="85" width="12.5703125" style="2" bestFit="1" customWidth="1"/>
    <col min="86" max="86" width="7.42578125" style="2" bestFit="1" customWidth="1"/>
    <col min="87" max="87" width="6.85546875" style="2" bestFit="1" customWidth="1"/>
    <col min="88" max="88" width="9" style="2" bestFit="1" customWidth="1"/>
    <col min="89" max="89" width="8.5703125" style="2" bestFit="1" customWidth="1"/>
    <col min="90" max="90" width="11" style="2" bestFit="1" customWidth="1"/>
    <col min="91" max="91" width="9" style="2" bestFit="1" customWidth="1"/>
    <col min="92" max="92" width="5.85546875" style="2" bestFit="1" customWidth="1"/>
    <col min="93" max="93" width="8.5703125" style="2" bestFit="1" customWidth="1"/>
    <col min="94" max="94" width="8" style="2" bestFit="1" customWidth="1"/>
    <col min="95" max="95" width="9" style="2" bestFit="1" customWidth="1"/>
    <col min="96" max="96" width="5.85546875" style="2" bestFit="1" customWidth="1"/>
    <col min="97" max="97" width="8.5703125" style="2" bestFit="1" customWidth="1"/>
    <col min="98" max="98" width="8" style="2" bestFit="1" customWidth="1"/>
    <col min="99" max="99" width="9" style="2" bestFit="1" customWidth="1"/>
    <col min="100" max="100" width="5.85546875" style="2" bestFit="1" customWidth="1"/>
    <col min="101" max="101" width="8.5703125" style="2" bestFit="1" customWidth="1"/>
    <col min="102" max="102" width="9.140625" style="2" customWidth="1"/>
    <col min="103" max="103" width="9.85546875" style="2" bestFit="1" customWidth="1"/>
    <col min="104" max="104" width="11.5703125" style="2" bestFit="1" customWidth="1"/>
    <col min="105" max="105" width="10.85546875" style="2" bestFit="1" customWidth="1"/>
    <col min="106" max="16384" width="9.140625" style="2"/>
  </cols>
  <sheetData>
    <row r="1" spans="1:111" ht="21" customHeight="1" thickBot="1" x14ac:dyDescent="0.25">
      <c r="A1" s="28"/>
      <c r="B1" s="731" t="s">
        <v>0</v>
      </c>
      <c r="C1" s="732"/>
      <c r="D1" s="732"/>
      <c r="E1" s="732"/>
      <c r="F1" s="732"/>
      <c r="G1" s="732"/>
      <c r="H1" s="732"/>
      <c r="I1" s="732"/>
      <c r="J1" s="732"/>
      <c r="K1" s="732"/>
      <c r="L1" s="732"/>
      <c r="M1" s="732"/>
      <c r="N1" s="732"/>
      <c r="O1" s="732"/>
      <c r="P1" s="732"/>
      <c r="Q1" s="733"/>
      <c r="R1" s="754" t="s">
        <v>39</v>
      </c>
      <c r="S1" s="732"/>
      <c r="T1" s="732"/>
      <c r="U1" s="732"/>
      <c r="V1" s="732"/>
      <c r="W1" s="732"/>
      <c r="X1" s="732"/>
      <c r="Y1" s="732"/>
      <c r="Z1" s="732"/>
      <c r="AA1" s="732"/>
      <c r="AB1" s="732"/>
      <c r="AC1" s="732"/>
      <c r="AD1" s="732"/>
      <c r="AE1" s="732"/>
      <c r="AF1" s="732"/>
      <c r="AG1" s="732"/>
      <c r="AH1" s="732"/>
      <c r="AI1" s="755"/>
      <c r="AJ1" s="750" t="s">
        <v>68</v>
      </c>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c r="BJ1" s="751"/>
      <c r="BK1" s="751"/>
      <c r="BL1" s="751"/>
      <c r="BM1" s="751"/>
      <c r="BN1" s="751"/>
      <c r="BO1" s="751"/>
      <c r="BP1" s="751"/>
      <c r="BR1" s="745" t="s">
        <v>67</v>
      </c>
      <c r="BS1" s="745"/>
      <c r="BT1" s="745"/>
      <c r="BU1" s="745"/>
      <c r="BV1" s="745"/>
      <c r="BW1" s="745"/>
      <c r="BX1" s="745"/>
      <c r="BY1" s="745"/>
      <c r="BZ1" s="745"/>
      <c r="CA1" s="745"/>
      <c r="CB1" s="745"/>
      <c r="CC1" s="745"/>
      <c r="CD1" s="745"/>
      <c r="CE1" s="745"/>
      <c r="CF1" s="745"/>
      <c r="CG1" s="745"/>
      <c r="CH1" s="745"/>
      <c r="CI1" s="745"/>
      <c r="CJ1" s="745"/>
      <c r="CK1" s="745"/>
      <c r="CL1" s="745"/>
      <c r="CM1" s="745"/>
      <c r="CN1" s="745"/>
      <c r="CO1" s="745"/>
      <c r="CP1" s="745"/>
      <c r="CQ1" s="745"/>
      <c r="CR1" s="745"/>
      <c r="CS1" s="745"/>
      <c r="CT1" s="745"/>
      <c r="CU1" s="745"/>
      <c r="CV1" s="745"/>
      <c r="CW1" s="745"/>
      <c r="CY1" s="745" t="s">
        <v>94</v>
      </c>
      <c r="CZ1" s="745"/>
      <c r="DA1" s="745"/>
      <c r="DB1" s="23"/>
      <c r="DC1" s="23"/>
      <c r="DD1" s="23"/>
      <c r="DE1" s="23"/>
      <c r="DF1" s="23"/>
      <c r="DG1" s="19"/>
    </row>
    <row r="2" spans="1:111" s="372" customFormat="1" ht="18" customHeight="1" thickTop="1" thickBot="1" x14ac:dyDescent="0.25">
      <c r="A2" s="28"/>
      <c r="B2" s="738" t="s">
        <v>1</v>
      </c>
      <c r="C2" s="734" t="s">
        <v>2</v>
      </c>
      <c r="D2" s="740" t="s">
        <v>3</v>
      </c>
      <c r="E2" s="734" t="s">
        <v>102</v>
      </c>
      <c r="F2" s="734" t="s">
        <v>573</v>
      </c>
      <c r="G2" s="734" t="s">
        <v>170</v>
      </c>
      <c r="H2" s="734" t="s">
        <v>574</v>
      </c>
      <c r="I2" s="734" t="s">
        <v>575</v>
      </c>
      <c r="J2" s="734" t="s">
        <v>134</v>
      </c>
      <c r="K2" s="740" t="s">
        <v>169</v>
      </c>
      <c r="L2" s="734" t="s">
        <v>576</v>
      </c>
      <c r="M2" s="734" t="s">
        <v>577</v>
      </c>
      <c r="N2" s="734" t="s">
        <v>578</v>
      </c>
      <c r="O2" s="734" t="s">
        <v>580</v>
      </c>
      <c r="P2" s="734" t="s">
        <v>581</v>
      </c>
      <c r="Q2" s="736" t="s">
        <v>579</v>
      </c>
      <c r="R2" s="742" t="s">
        <v>49</v>
      </c>
      <c r="S2" s="734" t="s">
        <v>582</v>
      </c>
      <c r="T2" s="734" t="s">
        <v>583</v>
      </c>
      <c r="U2" s="734"/>
      <c r="V2" s="734" t="s">
        <v>584</v>
      </c>
      <c r="W2" s="734" t="s">
        <v>301</v>
      </c>
      <c r="X2" s="734" t="s">
        <v>585</v>
      </c>
      <c r="Y2" s="734" t="s">
        <v>586</v>
      </c>
      <c r="Z2" s="734" t="s">
        <v>587</v>
      </c>
      <c r="AA2" s="734" t="s">
        <v>588</v>
      </c>
      <c r="AB2" s="734" t="s">
        <v>589</v>
      </c>
      <c r="AC2" s="734" t="s">
        <v>590</v>
      </c>
      <c r="AD2" s="734" t="s">
        <v>591</v>
      </c>
      <c r="AE2" s="734" t="s">
        <v>92</v>
      </c>
      <c r="AF2" s="734" t="s">
        <v>592</v>
      </c>
      <c r="AG2" s="734" t="s">
        <v>593</v>
      </c>
      <c r="AH2" s="734" t="s">
        <v>594</v>
      </c>
      <c r="AI2" s="736" t="s">
        <v>595</v>
      </c>
      <c r="AJ2" s="752" t="s">
        <v>68</v>
      </c>
      <c r="AK2" s="734" t="s">
        <v>49</v>
      </c>
      <c r="AL2" s="734" t="s">
        <v>78</v>
      </c>
      <c r="AM2" s="734" t="s">
        <v>596</v>
      </c>
      <c r="AN2" s="734" t="s">
        <v>597</v>
      </c>
      <c r="AO2" s="734" t="s">
        <v>598</v>
      </c>
      <c r="AP2" s="734" t="s">
        <v>151</v>
      </c>
      <c r="AQ2" s="734" t="s">
        <v>599</v>
      </c>
      <c r="AR2" s="734" t="s">
        <v>600</v>
      </c>
      <c r="AS2" s="734" t="s">
        <v>601</v>
      </c>
      <c r="AT2" s="734" t="s">
        <v>582</v>
      </c>
      <c r="AU2" s="734" t="s">
        <v>583</v>
      </c>
      <c r="AV2" s="734"/>
      <c r="AW2" s="734" t="s">
        <v>584</v>
      </c>
      <c r="AX2" s="734" t="s">
        <v>602</v>
      </c>
      <c r="AY2" s="734" t="s">
        <v>603</v>
      </c>
      <c r="AZ2" s="734" t="s">
        <v>585</v>
      </c>
      <c r="BA2" s="734" t="s">
        <v>604</v>
      </c>
      <c r="BB2" s="734" t="s">
        <v>586</v>
      </c>
      <c r="BC2" s="734" t="s">
        <v>587</v>
      </c>
      <c r="BD2" s="734" t="s">
        <v>588</v>
      </c>
      <c r="BE2" s="734" t="s">
        <v>589</v>
      </c>
      <c r="BF2" s="734" t="s">
        <v>590</v>
      </c>
      <c r="BG2" s="734" t="s">
        <v>591</v>
      </c>
      <c r="BH2" s="734" t="s">
        <v>92</v>
      </c>
      <c r="BI2" s="734" t="s">
        <v>592</v>
      </c>
      <c r="BJ2" s="734" t="s">
        <v>593</v>
      </c>
      <c r="BK2" s="734" t="s">
        <v>605</v>
      </c>
      <c r="BL2" s="734" t="s">
        <v>606</v>
      </c>
      <c r="BM2" s="734" t="s">
        <v>607</v>
      </c>
      <c r="BN2" s="734" t="s">
        <v>608</v>
      </c>
      <c r="BO2" s="734" t="s">
        <v>609</v>
      </c>
      <c r="BP2" s="734" t="s">
        <v>610</v>
      </c>
      <c r="BR2" s="745" t="s">
        <v>39</v>
      </c>
      <c r="BS2" s="745"/>
      <c r="BT2" s="745"/>
      <c r="BU2" s="745"/>
      <c r="BV2" s="745" t="s">
        <v>145</v>
      </c>
      <c r="BW2" s="745"/>
      <c r="BX2" s="745"/>
      <c r="BY2" s="745"/>
      <c r="BZ2" s="745"/>
      <c r="CA2" s="745" t="s">
        <v>150</v>
      </c>
      <c r="CB2" s="745"/>
      <c r="CC2" s="745"/>
      <c r="CD2" s="745"/>
      <c r="CE2" s="745"/>
      <c r="CF2" s="745"/>
      <c r="CG2" s="745" t="s">
        <v>553</v>
      </c>
      <c r="CH2" s="745"/>
      <c r="CI2" s="745"/>
      <c r="CJ2" s="745"/>
      <c r="CK2" s="745"/>
      <c r="CL2" s="745" t="s">
        <v>146</v>
      </c>
      <c r="CM2" s="745"/>
      <c r="CN2" s="745"/>
      <c r="CO2" s="745"/>
      <c r="CP2" s="745" t="s">
        <v>554</v>
      </c>
      <c r="CQ2" s="745"/>
      <c r="CR2" s="745"/>
      <c r="CS2" s="745"/>
      <c r="CT2" s="745" t="s">
        <v>70</v>
      </c>
      <c r="CU2" s="745"/>
      <c r="CV2" s="745"/>
      <c r="CW2" s="745"/>
      <c r="CY2" s="745" t="s">
        <v>96</v>
      </c>
      <c r="CZ2" s="745"/>
      <c r="DA2" s="745"/>
      <c r="DB2" s="351"/>
      <c r="DC2" s="352"/>
      <c r="DD2" s="353"/>
      <c r="DE2" s="354"/>
      <c r="DF2" s="354"/>
      <c r="DG2" s="351"/>
    </row>
    <row r="3" spans="1:111" s="374" customFormat="1" ht="19.5" customHeight="1" x14ac:dyDescent="0.2">
      <c r="A3" s="28"/>
      <c r="B3" s="739"/>
      <c r="C3" s="735"/>
      <c r="D3" s="741"/>
      <c r="E3" s="735"/>
      <c r="F3" s="735"/>
      <c r="G3" s="735"/>
      <c r="H3" s="735"/>
      <c r="I3" s="735"/>
      <c r="J3" s="735"/>
      <c r="K3" s="741"/>
      <c r="L3" s="735"/>
      <c r="M3" s="735"/>
      <c r="N3" s="735"/>
      <c r="O3" s="735"/>
      <c r="P3" s="735"/>
      <c r="Q3" s="737"/>
      <c r="R3" s="743"/>
      <c r="S3" s="735"/>
      <c r="T3" s="373" t="s">
        <v>43</v>
      </c>
      <c r="U3" s="373" t="s">
        <v>63</v>
      </c>
      <c r="V3" s="735"/>
      <c r="W3" s="735"/>
      <c r="X3" s="735"/>
      <c r="Y3" s="735"/>
      <c r="Z3" s="735"/>
      <c r="AA3" s="735"/>
      <c r="AB3" s="735"/>
      <c r="AC3" s="735"/>
      <c r="AD3" s="735"/>
      <c r="AE3" s="735"/>
      <c r="AF3" s="735"/>
      <c r="AG3" s="735"/>
      <c r="AH3" s="735"/>
      <c r="AI3" s="737"/>
      <c r="AJ3" s="743"/>
      <c r="AK3" s="735"/>
      <c r="AL3" s="735"/>
      <c r="AM3" s="735"/>
      <c r="AN3" s="735"/>
      <c r="AO3" s="735"/>
      <c r="AP3" s="735"/>
      <c r="AQ3" s="735"/>
      <c r="AR3" s="735"/>
      <c r="AS3" s="735"/>
      <c r="AT3" s="735"/>
      <c r="AU3" s="373" t="s">
        <v>80</v>
      </c>
      <c r="AV3" s="373" t="s">
        <v>44</v>
      </c>
      <c r="AW3" s="735"/>
      <c r="AX3" s="735"/>
      <c r="AY3" s="735"/>
      <c r="AZ3" s="735"/>
      <c r="BA3" s="735"/>
      <c r="BB3" s="735"/>
      <c r="BC3" s="735"/>
      <c r="BD3" s="735"/>
      <c r="BE3" s="735"/>
      <c r="BF3" s="735"/>
      <c r="BG3" s="735"/>
      <c r="BH3" s="735"/>
      <c r="BI3" s="735"/>
      <c r="BJ3" s="735"/>
      <c r="BK3" s="735"/>
      <c r="BL3" s="735"/>
      <c r="BM3" s="735"/>
      <c r="BN3" s="735"/>
      <c r="BO3" s="735"/>
      <c r="BP3" s="735"/>
      <c r="BR3" s="361" t="s">
        <v>49</v>
      </c>
      <c r="BS3" s="361" t="s">
        <v>50</v>
      </c>
      <c r="BT3" s="361" t="s">
        <v>61</v>
      </c>
      <c r="BU3" s="361" t="s">
        <v>64</v>
      </c>
      <c r="BV3" s="361" t="s">
        <v>49</v>
      </c>
      <c r="BW3" s="361" t="s">
        <v>50</v>
      </c>
      <c r="BX3" s="361" t="s">
        <v>61</v>
      </c>
      <c r="BY3" s="361" t="s">
        <v>64</v>
      </c>
      <c r="BZ3" s="361" t="s">
        <v>72</v>
      </c>
      <c r="CA3" s="361" t="s">
        <v>49</v>
      </c>
      <c r="CB3" s="361" t="s">
        <v>50</v>
      </c>
      <c r="CC3" s="361" t="s">
        <v>61</v>
      </c>
      <c r="CD3" s="361" t="s">
        <v>64</v>
      </c>
      <c r="CE3" s="361" t="s">
        <v>72</v>
      </c>
      <c r="CF3" s="361" t="s">
        <v>611</v>
      </c>
      <c r="CG3" s="361" t="s">
        <v>49</v>
      </c>
      <c r="CH3" s="361" t="s">
        <v>50</v>
      </c>
      <c r="CI3" s="361" t="s">
        <v>61</v>
      </c>
      <c r="CJ3" s="361" t="s">
        <v>64</v>
      </c>
      <c r="CK3" s="361" t="s">
        <v>72</v>
      </c>
      <c r="CL3" s="361" t="s">
        <v>49</v>
      </c>
      <c r="CM3" s="361" t="s">
        <v>50</v>
      </c>
      <c r="CN3" s="361" t="s">
        <v>61</v>
      </c>
      <c r="CO3" s="361" t="s">
        <v>72</v>
      </c>
      <c r="CP3" s="361" t="s">
        <v>49</v>
      </c>
      <c r="CQ3" s="361" t="s">
        <v>50</v>
      </c>
      <c r="CR3" s="361" t="s">
        <v>61</v>
      </c>
      <c r="CS3" s="361" t="s">
        <v>72</v>
      </c>
      <c r="CT3" s="361" t="s">
        <v>49</v>
      </c>
      <c r="CU3" s="361" t="s">
        <v>50</v>
      </c>
      <c r="CV3" s="361" t="s">
        <v>61</v>
      </c>
      <c r="CW3" s="361" t="s">
        <v>72</v>
      </c>
      <c r="CY3" s="361" t="s">
        <v>95</v>
      </c>
      <c r="CZ3" s="361" t="s">
        <v>97</v>
      </c>
      <c r="DA3" s="361" t="s">
        <v>98</v>
      </c>
      <c r="DB3" s="375"/>
      <c r="DC3" s="375"/>
      <c r="DD3" s="375"/>
      <c r="DE3" s="375"/>
      <c r="DF3" s="375"/>
      <c r="DG3" s="375"/>
    </row>
    <row r="4" spans="1:111" ht="13.5" thickBot="1" x14ac:dyDescent="0.25">
      <c r="B4" s="362"/>
      <c r="C4" s="362"/>
      <c r="D4" s="363"/>
      <c r="E4" s="364" t="str">
        <f>IFERROR(VLOOKUP(D4,$CZ$4:$DA$51,2),"")</f>
        <v/>
      </c>
      <c r="F4" s="363"/>
      <c r="G4" s="365">
        <f>(D4-(F4/2))*PI()</f>
        <v>0</v>
      </c>
      <c r="H4" s="364">
        <f>7.85*(G4/1000)*F4</f>
        <v>0</v>
      </c>
      <c r="I4" s="364">
        <f>(PI()*7.85*(D4-F4)*F4)/1000</f>
        <v>0</v>
      </c>
      <c r="J4" s="362"/>
      <c r="K4" s="362"/>
      <c r="L4" s="364">
        <f>I4*J4/1000</f>
        <v>0</v>
      </c>
      <c r="M4" s="364">
        <f>I4*J4/1000-K4</f>
        <v>0</v>
      </c>
      <c r="N4" s="364" t="str">
        <f>IFERROR(K4/M4*100,"")</f>
        <v/>
      </c>
      <c r="O4" s="366"/>
      <c r="P4" s="366"/>
      <c r="Q4" s="362"/>
      <c r="R4" s="367"/>
      <c r="S4" s="364" t="str">
        <f>IFERROR(VLOOKUP(R4,$BR$4:$BT$10,3),"")</f>
        <v/>
      </c>
      <c r="T4" s="359"/>
      <c r="U4" s="359"/>
      <c r="V4" s="356" t="str">
        <f>IFERROR(S4+U4,"")</f>
        <v/>
      </c>
      <c r="W4" s="1"/>
      <c r="X4" s="356" t="str">
        <f>IFERROR(VLOOKUP(R4,$BR$4:$BU$10,4),"")</f>
        <v/>
      </c>
      <c r="Y4" s="377">
        <v>5</v>
      </c>
      <c r="Z4" s="356" t="str">
        <f>IFERROR(H4*T4/Q4/1000*100,"")</f>
        <v/>
      </c>
      <c r="AA4" s="356" t="str">
        <f>IFERROR(Y4+Z4,"")</f>
        <v/>
      </c>
      <c r="AB4" s="356" t="str">
        <f>IFERROR(((W4*H4/1000)^(-1))*((1+(100-X4)/100)),"")</f>
        <v/>
      </c>
      <c r="AC4" s="356" t="str">
        <f>IFERROR((V4*60)/Q4,"")</f>
        <v/>
      </c>
      <c r="AD4" s="359"/>
      <c r="AE4" s="359"/>
      <c r="AF4" s="356" t="str">
        <f>IFERROR(AB4*Q4/60,"")</f>
        <v/>
      </c>
      <c r="AG4" s="356" t="str">
        <f>IFERROR(AF4/(AD4*AE4),"")</f>
        <v/>
      </c>
      <c r="AH4" s="356" t="str">
        <f>IFERROR((AF4+V4)/(AD4*AE4),"")</f>
        <v/>
      </c>
      <c r="AI4" s="356" t="str">
        <f>IFERROR((AB4^-1)*AD4*60*AE4,"")</f>
        <v/>
      </c>
      <c r="AJ4" s="368" t="s">
        <v>145</v>
      </c>
      <c r="AK4" s="360" t="s">
        <v>418</v>
      </c>
      <c r="AL4" s="360"/>
      <c r="AM4" s="1" t="str">
        <f>IF(J4=0,"",J4)</f>
        <v/>
      </c>
      <c r="AN4"/>
      <c r="AO4" s="1"/>
      <c r="AP4"/>
      <c r="AQ4"/>
      <c r="AR4" s="1">
        <f>IFERROR(VLOOKUP(AK4,BV4:BZ8,5),"")</f>
        <v>50</v>
      </c>
      <c r="AS4" s="1" t="str">
        <f t="shared" ref="AS4:AS9" si="0">IFERROR(AO4*AM4+AR4,"")</f>
        <v/>
      </c>
      <c r="AT4" s="356">
        <f>IFERROR(VLOOKUP(AK4,BV4:BZ8,3),"")</f>
        <v>0.25</v>
      </c>
      <c r="AU4" s="1"/>
      <c r="AV4" s="1"/>
      <c r="AW4" s="356">
        <f t="shared" ref="AW4:AW9" si="1">IFERROR(AT4+AV4/60,"")</f>
        <v>0.25</v>
      </c>
      <c r="AX4" s="356" t="str">
        <f>IFERROR(VLOOKUP(AL4,BV11:BW14,2),"")</f>
        <v/>
      </c>
      <c r="AY4" s="356" t="str">
        <f t="shared" ref="AY4:AY9" si="2">IFERROR(AX4/60,"")</f>
        <v/>
      </c>
      <c r="AZ4" s="356">
        <f>IFERROR(VLOOKUP(AK4,BV4:BZ8,4),"")</f>
        <v>90</v>
      </c>
      <c r="BA4"/>
      <c r="BB4" s="356" t="str">
        <f>IFERROR((AS4-AM4*AO4)/AS4*100,"")</f>
        <v/>
      </c>
      <c r="BC4" s="356" t="str">
        <f>IFERROR((H4*AM4*AU4/1000)/1000/Q4*100,"")</f>
        <v/>
      </c>
      <c r="BD4" s="356" t="str">
        <f t="shared" ref="BD4:BD9" si="3">IFERROR(BA4+BB4+BC4,"")</f>
        <v/>
      </c>
      <c r="BE4" s="356" t="str">
        <f>IFERROR(AX4/(H4*AM4/1000)/60*1000*((1+(100-AZ4)/100)),"")</f>
        <v/>
      </c>
      <c r="BF4" s="356" t="str">
        <f>IFERROR(AW4*60/Q4,"")</f>
        <v/>
      </c>
      <c r="BG4" s="359"/>
      <c r="BH4" s="359"/>
      <c r="BI4" s="356" t="str">
        <f>IFERROR(BE4*O4/60+AW4,"")</f>
        <v/>
      </c>
      <c r="BJ4" s="356" t="str">
        <f t="shared" ref="BJ4:BJ9" si="4">IFERROR(BI4/(BG4*BH4),"")</f>
        <v/>
      </c>
      <c r="BK4" s="357"/>
      <c r="BL4" s="357"/>
      <c r="BM4" s="356" t="str">
        <f t="shared" ref="BM4:BM9" si="5">IFERROR(BD4/100*BL4,"")</f>
        <v/>
      </c>
      <c r="BN4" s="356" t="str">
        <f t="shared" ref="BN4:BN9" si="6">IFERROR(BF4/60*BK4,"")</f>
        <v/>
      </c>
      <c r="BO4" s="356" t="str">
        <f t="shared" ref="BO4:BO9" si="7">IFERROR(BE4/60*BK4,"")</f>
        <v/>
      </c>
      <c r="BP4" s="356" t="str">
        <f t="shared" ref="BP4:BP9" si="8">IFERROR(BM4+BN4+BO4,"")</f>
        <v/>
      </c>
      <c r="BR4" s="376" t="s">
        <v>51</v>
      </c>
      <c r="BS4" s="355">
        <v>2.9</v>
      </c>
      <c r="BT4" s="355">
        <v>1.5</v>
      </c>
      <c r="BU4" s="378">
        <v>70</v>
      </c>
      <c r="BV4" s="376" t="s">
        <v>418</v>
      </c>
      <c r="BW4" s="376">
        <v>1.5</v>
      </c>
      <c r="BX4" s="356">
        <f>15/60</f>
        <v>0.25</v>
      </c>
      <c r="BY4" s="1">
        <v>90</v>
      </c>
      <c r="BZ4" s="1">
        <v>50</v>
      </c>
      <c r="CA4" s="1" t="s">
        <v>413</v>
      </c>
      <c r="CB4" s="1">
        <v>1</v>
      </c>
      <c r="CC4" s="356">
        <f>15/60</f>
        <v>0.25</v>
      </c>
      <c r="CD4" s="376">
        <v>65</v>
      </c>
      <c r="CE4" s="376">
        <v>50</v>
      </c>
      <c r="CF4" s="376">
        <v>2.5</v>
      </c>
      <c r="CG4" s="376" t="s">
        <v>557</v>
      </c>
      <c r="CH4" s="376"/>
      <c r="CI4" s="376">
        <v>0.75</v>
      </c>
      <c r="CJ4" s="376">
        <v>80</v>
      </c>
      <c r="CK4" s="376">
        <v>400</v>
      </c>
      <c r="CL4" s="376" t="s">
        <v>556</v>
      </c>
      <c r="CM4" s="376"/>
      <c r="CN4" s="358">
        <v>0.35</v>
      </c>
      <c r="CO4" s="378">
        <v>120</v>
      </c>
      <c r="CP4" s="376" t="s">
        <v>408</v>
      </c>
      <c r="CQ4" s="376">
        <v>3</v>
      </c>
      <c r="CR4" s="376">
        <v>1</v>
      </c>
      <c r="CS4" s="376"/>
      <c r="CT4" s="376" t="s">
        <v>70</v>
      </c>
      <c r="CU4" s="376"/>
      <c r="CV4" s="376">
        <v>0.5</v>
      </c>
      <c r="CW4" s="376"/>
      <c r="CY4" s="369">
        <v>0.6</v>
      </c>
      <c r="CZ4" s="369">
        <v>9.5299999999999994</v>
      </c>
      <c r="DA4" s="369" t="s">
        <v>10</v>
      </c>
      <c r="DB4" s="370"/>
      <c r="DC4" s="370"/>
      <c r="DD4" s="371"/>
      <c r="DE4" s="371"/>
      <c r="DF4" s="371"/>
      <c r="DG4" s="371"/>
    </row>
    <row r="5" spans="1:111" s="425" customFormat="1" ht="13.5" thickBot="1" x14ac:dyDescent="0.25">
      <c r="S5" s="425" t="s">
        <v>685</v>
      </c>
      <c r="V5" s="425" t="s">
        <v>685</v>
      </c>
      <c r="X5" s="425" t="s">
        <v>685</v>
      </c>
      <c r="Y5" s="214"/>
      <c r="Z5" s="214" t="s">
        <v>685</v>
      </c>
      <c r="AA5" s="214" t="s">
        <v>685</v>
      </c>
      <c r="AB5" s="425" t="s">
        <v>685</v>
      </c>
      <c r="AC5" s="425" t="s">
        <v>685</v>
      </c>
      <c r="AF5" s="425" t="s">
        <v>685</v>
      </c>
      <c r="AG5" s="426" t="s">
        <v>685</v>
      </c>
      <c r="AH5" s="426" t="s">
        <v>685</v>
      </c>
      <c r="AI5" s="426"/>
      <c r="AJ5" s="427" t="s">
        <v>150</v>
      </c>
      <c r="AK5" s="422"/>
      <c r="AL5" s="428"/>
      <c r="AM5" s="377" t="str">
        <f>IF(J4=0,"",J4)</f>
        <v/>
      </c>
      <c r="AN5" s="421"/>
      <c r="AO5" s="377"/>
      <c r="AP5" s="377"/>
      <c r="AQ5" s="377"/>
      <c r="AR5" s="377" t="str">
        <f>IFERROR(VLOOKUP(AK5,BV4:BZ8,5),"")</f>
        <v/>
      </c>
      <c r="AS5" s="377" t="str">
        <f t="shared" si="0"/>
        <v/>
      </c>
      <c r="AT5" s="429" t="str">
        <f>IFERROR(VLOOKUP(AK5,BV4:BZ8,3),"")</f>
        <v/>
      </c>
      <c r="AU5" s="377"/>
      <c r="AV5" s="377"/>
      <c r="AW5" s="429" t="str">
        <f t="shared" si="1"/>
        <v/>
      </c>
      <c r="AX5" s="429" t="str">
        <f>IFERROR((VLOOKUP(AK5,CA4:CF4,6)*AQ5*(AO5+1))/(AO5*AP5),"")</f>
        <v/>
      </c>
      <c r="AY5" s="429" t="str">
        <f t="shared" si="2"/>
        <v/>
      </c>
      <c r="AZ5" s="429" t="str">
        <f>IFERROR(VLOOKUP(AK5,BV4:BZ8,4),"")</f>
        <v/>
      </c>
      <c r="BA5" s="421"/>
      <c r="BB5" s="429" t="str">
        <f>IFERROR((AS5-AM5*AO5)/AS5*100,"")</f>
        <v/>
      </c>
      <c r="BC5" s="429" t="str">
        <f>IFERROR((H5*AM5*AU5/1000)/1000/Q4*100,"")</f>
        <v/>
      </c>
      <c r="BD5" s="429" t="str">
        <f t="shared" si="3"/>
        <v/>
      </c>
      <c r="BE5" s="429" t="str">
        <f>IFERROR(AX5/(H4*AM5/1000)/60*1000*((1+(100-AZ5)/100)),"")</f>
        <v/>
      </c>
      <c r="BF5" s="429" t="str">
        <f>IFERROR(AW5*60/Q4,"")</f>
        <v/>
      </c>
      <c r="BG5" s="430"/>
      <c r="BH5" s="430"/>
      <c r="BI5" s="429" t="str">
        <f>IFERROR(BE5*O4/60+AW5,"")</f>
        <v/>
      </c>
      <c r="BJ5" s="429" t="str">
        <f t="shared" si="4"/>
        <v/>
      </c>
      <c r="BK5" s="431"/>
      <c r="BL5" s="431"/>
      <c r="BM5" s="429" t="str">
        <f t="shared" si="5"/>
        <v/>
      </c>
      <c r="BN5" s="429" t="str">
        <f t="shared" si="6"/>
        <v/>
      </c>
      <c r="BO5" s="429" t="str">
        <f t="shared" si="7"/>
        <v/>
      </c>
      <c r="BP5" s="429" t="str">
        <f t="shared" si="8"/>
        <v/>
      </c>
      <c r="BR5" s="423" t="s">
        <v>52</v>
      </c>
      <c r="BS5" s="427">
        <v>3.2</v>
      </c>
      <c r="BT5" s="427">
        <v>2.5</v>
      </c>
      <c r="BU5" s="432">
        <v>70</v>
      </c>
      <c r="BX5" s="421"/>
      <c r="BY5" s="214"/>
      <c r="BZ5" s="214"/>
      <c r="CA5" s="377" t="s">
        <v>551</v>
      </c>
      <c r="CB5" s="377">
        <v>1</v>
      </c>
      <c r="CC5" s="429">
        <f>15/60</f>
        <v>0.25</v>
      </c>
      <c r="CD5" s="423">
        <v>65</v>
      </c>
      <c r="CE5" s="423">
        <v>50</v>
      </c>
      <c r="CF5" s="423">
        <v>2.5</v>
      </c>
      <c r="CG5" s="423" t="s">
        <v>558</v>
      </c>
      <c r="CH5" s="423"/>
      <c r="CI5" s="423">
        <v>0.75</v>
      </c>
      <c r="CJ5" s="423">
        <v>80</v>
      </c>
      <c r="CK5" s="423">
        <v>400</v>
      </c>
      <c r="CL5" s="423" t="s">
        <v>555</v>
      </c>
      <c r="CM5" s="423"/>
      <c r="CN5" s="433">
        <v>0.35</v>
      </c>
      <c r="CO5" s="432">
        <v>120</v>
      </c>
      <c r="CP5" s="423" t="s">
        <v>409</v>
      </c>
      <c r="CQ5" s="423">
        <v>3</v>
      </c>
      <c r="CR5" s="423">
        <v>1</v>
      </c>
      <c r="CS5" s="421"/>
      <c r="CT5" s="421"/>
      <c r="CU5" s="421"/>
      <c r="CV5" s="421"/>
      <c r="CW5" s="421"/>
      <c r="CY5" s="333">
        <v>0.75</v>
      </c>
      <c r="CZ5" s="333">
        <v>10</v>
      </c>
      <c r="DA5" s="333" t="s">
        <v>116</v>
      </c>
      <c r="DB5" s="424"/>
      <c r="DC5" s="424"/>
      <c r="DD5" s="341"/>
      <c r="DE5" s="341"/>
      <c r="DF5" s="341"/>
      <c r="DG5" s="341"/>
    </row>
    <row r="6" spans="1:111" ht="13.5" thickBot="1" x14ac:dyDescent="0.25">
      <c r="N6" s="53"/>
      <c r="AJ6" s="355" t="s">
        <v>553</v>
      </c>
      <c r="AK6" s="360"/>
      <c r="AL6" s="360"/>
      <c r="AM6" s="1" t="str">
        <f>IF(J4=0,"",J4)</f>
        <v/>
      </c>
      <c r="AN6" s="356" t="str">
        <f>IF(L4-M4=0,"",L4-M4)</f>
        <v/>
      </c>
      <c r="AO6" s="1"/>
      <c r="AP6"/>
      <c r="AQ6"/>
      <c r="AR6" s="1" t="str">
        <f>IFERROR(VLOOKUP(AK6,BV4:BZ8,5),"")</f>
        <v/>
      </c>
      <c r="AS6" s="1" t="str">
        <f t="shared" si="0"/>
        <v/>
      </c>
      <c r="AT6" s="356" t="str">
        <f>IFERROR(VLOOKUP(AK6,BV4:BZ8,3),"")</f>
        <v/>
      </c>
      <c r="AU6" s="1"/>
      <c r="AV6" s="1"/>
      <c r="AW6" s="356" t="str">
        <f t="shared" si="1"/>
        <v/>
      </c>
      <c r="AX6" s="1"/>
      <c r="AY6" s="356">
        <f t="shared" si="2"/>
        <v>0</v>
      </c>
      <c r="AZ6" s="356" t="str">
        <f>IFERROR(VLOOKUP(AK6,BV4:BZ8,4),"")</f>
        <v/>
      </c>
      <c r="BA6" s="356" t="str">
        <f>IFERROR(AN6/M4*100,"")</f>
        <v/>
      </c>
      <c r="BB6" s="356" t="str">
        <f>IFERROR((AS6-AM6*AO6)/AS6*100,"")</f>
        <v/>
      </c>
      <c r="BC6" s="356" t="str">
        <f>IFERROR((H6*AM6*AU6/1000)/1000/Q4*100,"")</f>
        <v/>
      </c>
      <c r="BD6" s="356" t="str">
        <f t="shared" si="3"/>
        <v/>
      </c>
      <c r="BE6" s="356" t="str">
        <f>IFERROR(AX6/(H4*AM6/1000)/60*1000*((1+(100-AZ6)/100)),"")</f>
        <v/>
      </c>
      <c r="BF6" s="356" t="str">
        <f>IFERROR(AW6*60/Q4,"")</f>
        <v/>
      </c>
      <c r="BG6" s="359"/>
      <c r="BH6" s="359"/>
      <c r="BI6" s="356" t="str">
        <f>IFERROR(BE6*O4/60+AW6,"")</f>
        <v/>
      </c>
      <c r="BJ6" s="356" t="str">
        <f t="shared" si="4"/>
        <v/>
      </c>
      <c r="BK6" s="357"/>
      <c r="BL6" s="357"/>
      <c r="BM6" s="356" t="str">
        <f t="shared" si="5"/>
        <v/>
      </c>
      <c r="BN6" s="356" t="str">
        <f t="shared" si="6"/>
        <v/>
      </c>
      <c r="BO6" s="356" t="str">
        <f t="shared" si="7"/>
        <v/>
      </c>
      <c r="BP6" s="356" t="str">
        <f t="shared" si="8"/>
        <v/>
      </c>
      <c r="BR6" s="376" t="s">
        <v>53</v>
      </c>
      <c r="BS6" s="355">
        <v>4.5</v>
      </c>
      <c r="BT6" s="355">
        <v>2.5</v>
      </c>
      <c r="BU6" s="378">
        <v>70</v>
      </c>
      <c r="CA6" s="16"/>
      <c r="CB6" s="16"/>
      <c r="CC6" s="16"/>
      <c r="CD6" s="16"/>
      <c r="CE6" s="16"/>
      <c r="CF6" s="50"/>
      <c r="CJ6"/>
      <c r="CK6"/>
      <c r="CL6" s="376" t="s">
        <v>559</v>
      </c>
      <c r="CM6" s="376"/>
      <c r="CN6" s="358">
        <v>1</v>
      </c>
      <c r="CO6" s="378">
        <v>50</v>
      </c>
      <c r="CP6"/>
      <c r="CQ6"/>
      <c r="CR6"/>
      <c r="CS6"/>
      <c r="CV6" s="16"/>
      <c r="CW6" s="16"/>
      <c r="CY6" s="5">
        <v>0.9</v>
      </c>
      <c r="CZ6" s="5">
        <v>12</v>
      </c>
      <c r="DA6" s="5" t="s">
        <v>116</v>
      </c>
      <c r="DB6" s="18"/>
      <c r="DC6" s="18"/>
      <c r="DD6" s="17"/>
      <c r="DE6" s="17"/>
      <c r="DF6" s="17"/>
      <c r="DG6" s="17"/>
    </row>
    <row r="7" spans="1:111" ht="19.5" thickBot="1" x14ac:dyDescent="0.25">
      <c r="AJ7" s="355" t="s">
        <v>146</v>
      </c>
      <c r="AK7" s="360" t="s">
        <v>559</v>
      </c>
      <c r="AL7" s="360"/>
      <c r="AM7" s="1" t="str">
        <f>IF(J4=0,"",J4)</f>
        <v/>
      </c>
      <c r="AN7" s="356" t="str">
        <f>IF(L4-M4=0,"",L4-M4)</f>
        <v/>
      </c>
      <c r="AO7" s="1"/>
      <c r="AP7"/>
      <c r="AQ7"/>
      <c r="AR7" s="1">
        <f>IFERROR(VLOOKUP(AK7,BV4:BZ8,5),"")</f>
        <v>50</v>
      </c>
      <c r="AS7" s="1" t="str">
        <f t="shared" si="0"/>
        <v/>
      </c>
      <c r="AT7" s="356">
        <f>IFERROR(VLOOKUP(AK7,BV4:BZ8,3),"")</f>
        <v>0.25</v>
      </c>
      <c r="AU7" s="1"/>
      <c r="AV7" s="1"/>
      <c r="AW7" s="356">
        <f t="shared" si="1"/>
        <v>0.25</v>
      </c>
      <c r="AX7" s="1"/>
      <c r="AY7" s="356">
        <f t="shared" si="2"/>
        <v>0</v>
      </c>
      <c r="AZ7" s="356">
        <f>IFERROR(VLOOKUP(AK7,BV4:BZ8,4),"")</f>
        <v>90</v>
      </c>
      <c r="BA7" s="356" t="str">
        <f>IFERROR(AN7/M4*100,"")</f>
        <v/>
      </c>
      <c r="BB7" s="356" t="str">
        <f>IFERROR((AS7-AM7*AO7)/AS7*100,"")</f>
        <v/>
      </c>
      <c r="BC7" s="356" t="str">
        <f>IFERROR((H7*AM7*AU7/1000)/1000/Q4*100,"")</f>
        <v/>
      </c>
      <c r="BD7" s="356" t="str">
        <f t="shared" si="3"/>
        <v/>
      </c>
      <c r="BE7" s="356" t="str">
        <f>IFERROR(AX7/(H4*AM7/1000)/60*1000*((1+(100-AZ7)/100)),"")</f>
        <v/>
      </c>
      <c r="BF7" s="356" t="str">
        <f>IFERROR(AW7*60/Q4,"")</f>
        <v/>
      </c>
      <c r="BG7" s="359"/>
      <c r="BH7" s="359"/>
      <c r="BI7" s="356" t="str">
        <f>IFERROR(BE7*O4/60+AW7,"")</f>
        <v/>
      </c>
      <c r="BJ7" s="356" t="str">
        <f t="shared" si="4"/>
        <v/>
      </c>
      <c r="BK7" s="357"/>
      <c r="BL7" s="357"/>
      <c r="BM7" s="356" t="str">
        <f t="shared" si="5"/>
        <v/>
      </c>
      <c r="BN7" s="356" t="str">
        <f t="shared" si="6"/>
        <v/>
      </c>
      <c r="BO7" s="356" t="str">
        <f t="shared" si="7"/>
        <v/>
      </c>
      <c r="BP7" s="356" t="str">
        <f t="shared" si="8"/>
        <v/>
      </c>
      <c r="BR7" s="376" t="s">
        <v>54</v>
      </c>
      <c r="BS7" s="355">
        <v>3.7</v>
      </c>
      <c r="BT7" s="355">
        <v>2.4</v>
      </c>
      <c r="BU7" s="378">
        <v>70</v>
      </c>
      <c r="BX7" s="20"/>
      <c r="BY7" s="339"/>
      <c r="BZ7" s="339"/>
      <c r="CA7" s="16"/>
      <c r="CB7" s="16"/>
      <c r="CC7" s="16"/>
      <c r="CD7" s="16"/>
      <c r="CE7" s="16"/>
      <c r="CF7" s="50"/>
      <c r="CG7" s="745" t="s">
        <v>81</v>
      </c>
      <c r="CH7" s="745"/>
      <c r="CI7" s="745"/>
      <c r="CJ7"/>
      <c r="CK7"/>
      <c r="CL7" s="745" t="s">
        <v>81</v>
      </c>
      <c r="CM7" s="745"/>
      <c r="CN7"/>
      <c r="CO7"/>
      <c r="CP7" s="745" t="s">
        <v>81</v>
      </c>
      <c r="CQ7" s="745"/>
      <c r="CR7"/>
      <c r="CS7"/>
      <c r="CT7" s="745" t="s">
        <v>81</v>
      </c>
      <c r="CU7" s="745"/>
      <c r="CV7"/>
      <c r="CW7"/>
      <c r="CY7" s="5">
        <v>0.95</v>
      </c>
      <c r="CZ7" s="5">
        <v>12.7</v>
      </c>
      <c r="DA7" s="5" t="s">
        <v>11</v>
      </c>
      <c r="DB7" s="18"/>
      <c r="DC7" s="18"/>
      <c r="DD7" s="17"/>
      <c r="DE7" s="17"/>
      <c r="DF7" s="17"/>
      <c r="DG7" s="17"/>
    </row>
    <row r="8" spans="1:111" ht="19.5" thickBot="1" x14ac:dyDescent="0.25">
      <c r="AJ8" s="355" t="s">
        <v>554</v>
      </c>
      <c r="AK8" s="360" t="s">
        <v>408</v>
      </c>
      <c r="AL8" s="360"/>
      <c r="AM8" s="1" t="str">
        <f>IF(J4=0,"",J4)</f>
        <v/>
      </c>
      <c r="AN8" s="356" t="str">
        <f>IF(L4-M4=0,"",L4-M4)</f>
        <v/>
      </c>
      <c r="AO8" s="1"/>
      <c r="AP8"/>
      <c r="AQ8"/>
      <c r="AR8" s="1">
        <f>IFERROR(VLOOKUP(AK8,BV4:BZ8,5),"")</f>
        <v>50</v>
      </c>
      <c r="AS8" s="1" t="str">
        <f t="shared" si="0"/>
        <v/>
      </c>
      <c r="AT8" s="356">
        <f>IFERROR(VLOOKUP(AK8,BV4:BZ8,3),"")</f>
        <v>0.25</v>
      </c>
      <c r="AU8" s="1"/>
      <c r="AV8" s="1"/>
      <c r="AW8" s="356">
        <f t="shared" si="1"/>
        <v>0.25</v>
      </c>
      <c r="AX8" s="1"/>
      <c r="AY8" s="356">
        <f t="shared" si="2"/>
        <v>0</v>
      </c>
      <c r="AZ8" s="356">
        <f>IFERROR(VLOOKUP(AK8,BV4:BZ8,4),"")</f>
        <v>90</v>
      </c>
      <c r="BA8" s="356" t="str">
        <f>IFERROR(AN8/M4*100,"")</f>
        <v/>
      </c>
      <c r="BB8" s="357"/>
      <c r="BC8" s="356" t="str">
        <f>IFERROR((H8*AM8*AU8/1000)/1000/Q4*100,"")</f>
        <v/>
      </c>
      <c r="BD8" s="356" t="str">
        <f t="shared" si="3"/>
        <v/>
      </c>
      <c r="BE8" s="356" t="str">
        <f>IFERROR(AX8/(H4*AM8/1000)/60*1000*((1+(100-AZ8)/100)),"")</f>
        <v/>
      </c>
      <c r="BF8" s="356" t="str">
        <f>IFERROR(AW8*60/Q4,"")</f>
        <v/>
      </c>
      <c r="BG8" s="359"/>
      <c r="BH8" s="359"/>
      <c r="BI8" s="356" t="str">
        <f>IFERROR(BE8*O4/60+AW8,"")</f>
        <v/>
      </c>
      <c r="BJ8" s="356" t="str">
        <f t="shared" si="4"/>
        <v/>
      </c>
      <c r="BK8" s="357"/>
      <c r="BL8" s="357"/>
      <c r="BM8" s="356" t="str">
        <f t="shared" si="5"/>
        <v/>
      </c>
      <c r="BN8" s="356" t="str">
        <f t="shared" si="6"/>
        <v/>
      </c>
      <c r="BO8" s="356" t="str">
        <f t="shared" si="7"/>
        <v/>
      </c>
      <c r="BP8" s="356" t="str">
        <f t="shared" si="8"/>
        <v/>
      </c>
      <c r="BR8" s="376" t="s">
        <v>55</v>
      </c>
      <c r="BS8" s="355">
        <v>6</v>
      </c>
      <c r="BT8" s="355">
        <v>6</v>
      </c>
      <c r="BU8" s="378">
        <v>65</v>
      </c>
      <c r="CA8" s="16"/>
      <c r="CB8" s="16"/>
      <c r="CC8" s="16"/>
      <c r="CD8" s="16"/>
      <c r="CE8" s="16"/>
      <c r="CF8" s="50"/>
      <c r="CG8" s="361" t="s">
        <v>85</v>
      </c>
      <c r="CH8" s="361" t="s">
        <v>163</v>
      </c>
      <c r="CI8" s="361" t="s">
        <v>50</v>
      </c>
      <c r="CJ8"/>
      <c r="CK8"/>
      <c r="CL8" s="361" t="s">
        <v>85</v>
      </c>
      <c r="CM8" s="361" t="s">
        <v>64</v>
      </c>
      <c r="CN8"/>
      <c r="CO8"/>
      <c r="CP8" s="361" t="s">
        <v>85</v>
      </c>
      <c r="CQ8" s="361" t="s">
        <v>64</v>
      </c>
      <c r="CR8"/>
      <c r="CS8"/>
      <c r="CT8" s="361" t="s">
        <v>85</v>
      </c>
      <c r="CU8" s="361" t="s">
        <v>64</v>
      </c>
      <c r="CV8"/>
      <c r="CW8"/>
      <c r="CY8" s="5">
        <v>1.06</v>
      </c>
      <c r="CZ8" s="5">
        <v>15.88</v>
      </c>
      <c r="DA8" s="5" t="s">
        <v>12</v>
      </c>
      <c r="DB8" s="18"/>
      <c r="DC8" s="18"/>
      <c r="DD8" s="17"/>
      <c r="DE8" s="17"/>
      <c r="DF8" s="17"/>
      <c r="DG8" s="17"/>
    </row>
    <row r="9" spans="1:111" ht="13.5" thickBot="1" x14ac:dyDescent="0.25">
      <c r="AJ9" s="355" t="s">
        <v>70</v>
      </c>
      <c r="AK9" s="360"/>
      <c r="AL9" s="360"/>
      <c r="AM9" s="1" t="str">
        <f>IF(J4=0,"",J4)</f>
        <v/>
      </c>
      <c r="AN9" s="356" t="str">
        <f>IF(L4-M4=0,"",L4-M4)</f>
        <v/>
      </c>
      <c r="AO9" s="1"/>
      <c r="AP9"/>
      <c r="AQ9"/>
      <c r="AR9" s="1" t="str">
        <f>IFERROR(VLOOKUP(AK9,BV4:BZ8,5),"")</f>
        <v/>
      </c>
      <c r="AS9" s="1" t="str">
        <f t="shared" si="0"/>
        <v/>
      </c>
      <c r="AT9" s="356" t="str">
        <f>IFERROR(VLOOKUP(AK9,BV4:BZ8,3),"")</f>
        <v/>
      </c>
      <c r="AU9" s="1"/>
      <c r="AV9" s="1"/>
      <c r="AW9" s="356" t="str">
        <f t="shared" si="1"/>
        <v/>
      </c>
      <c r="AX9" s="1"/>
      <c r="AY9" s="356">
        <f t="shared" si="2"/>
        <v>0</v>
      </c>
      <c r="AZ9" s="356" t="str">
        <f>IFERROR(VLOOKUP(AK9,BV4:BZ8,4),"")</f>
        <v/>
      </c>
      <c r="BA9" s="356" t="str">
        <f>IFERROR(AN9/M4*100,"")</f>
        <v/>
      </c>
      <c r="BB9" s="356" t="str">
        <f>IFERROR((AS9-AM9*AO9)/AS9*100,"")</f>
        <v/>
      </c>
      <c r="BC9" s="356" t="str">
        <f>IFERROR((H9*AM9*AU9/1000)/1000/Q4*100,"")</f>
        <v/>
      </c>
      <c r="BD9" s="356" t="str">
        <f t="shared" si="3"/>
        <v/>
      </c>
      <c r="BE9" s="356" t="str">
        <f>IFERROR(AX9/(H4*AM9/1000)/60*1000*((1+(100-AZ9)/100)),"")</f>
        <v/>
      </c>
      <c r="BF9" s="356" t="str">
        <f>IFERROR(AW9*60/Q4,"")</f>
        <v/>
      </c>
      <c r="BG9" s="359"/>
      <c r="BH9" s="359"/>
      <c r="BI9" s="356" t="str">
        <f>IFERROR(BE9*O4/60+AW9,"")</f>
        <v/>
      </c>
      <c r="BJ9" s="356" t="str">
        <f t="shared" si="4"/>
        <v/>
      </c>
      <c r="BK9" s="357"/>
      <c r="BL9" s="357"/>
      <c r="BM9" s="356" t="str">
        <f t="shared" si="5"/>
        <v/>
      </c>
      <c r="BN9" s="356" t="str">
        <f t="shared" si="6"/>
        <v/>
      </c>
      <c r="BO9" s="356" t="str">
        <f t="shared" si="7"/>
        <v/>
      </c>
      <c r="BP9" s="356" t="str">
        <f t="shared" si="8"/>
        <v/>
      </c>
      <c r="BR9" s="376" t="s">
        <v>56</v>
      </c>
      <c r="BS9" s="355">
        <v>2</v>
      </c>
      <c r="BT9" s="355">
        <v>2.5</v>
      </c>
      <c r="BU9" s="378">
        <v>70</v>
      </c>
      <c r="CA9" s="16"/>
      <c r="CB9" s="16"/>
      <c r="CC9" s="16"/>
      <c r="CD9" s="16"/>
      <c r="CE9" s="16"/>
      <c r="CF9" s="50"/>
      <c r="CG9" s="376" t="s">
        <v>160</v>
      </c>
      <c r="CH9" s="376">
        <v>1</v>
      </c>
      <c r="CI9" s="376">
        <v>0</v>
      </c>
      <c r="CJ9"/>
      <c r="CK9"/>
      <c r="CL9" s="376" t="s">
        <v>82</v>
      </c>
      <c r="CM9" s="376">
        <v>90</v>
      </c>
      <c r="CN9"/>
      <c r="CO9"/>
      <c r="CP9" s="376" t="s">
        <v>82</v>
      </c>
      <c r="CQ9" s="376">
        <v>70</v>
      </c>
      <c r="CR9"/>
      <c r="CS9"/>
      <c r="CT9" s="376" t="s">
        <v>82</v>
      </c>
      <c r="CU9" s="376">
        <v>90</v>
      </c>
      <c r="CV9"/>
      <c r="CW9"/>
      <c r="CY9" s="5">
        <v>1.2</v>
      </c>
      <c r="CZ9" s="5">
        <v>19.05</v>
      </c>
      <c r="DA9" s="5" t="s">
        <v>13</v>
      </c>
      <c r="DB9" s="18"/>
      <c r="DC9" s="18"/>
      <c r="DD9" s="17"/>
      <c r="DE9" s="17"/>
      <c r="DF9" s="17"/>
      <c r="DG9" s="17"/>
    </row>
    <row r="10" spans="1:111" ht="19.5" thickBot="1" x14ac:dyDescent="0.25">
      <c r="BR10"/>
      <c r="BS10"/>
      <c r="BT10"/>
      <c r="BU10"/>
      <c r="BV10" s="361" t="s">
        <v>154</v>
      </c>
      <c r="BW10" s="361" t="s">
        <v>159</v>
      </c>
      <c r="BX10"/>
      <c r="BY10"/>
      <c r="BZ10" s="16"/>
      <c r="CA10" s="16"/>
      <c r="CB10" s="16"/>
      <c r="CC10" s="16"/>
      <c r="CD10" s="16"/>
      <c r="CE10" s="16"/>
      <c r="CF10" s="50"/>
      <c r="CG10" s="376" t="s">
        <v>161</v>
      </c>
      <c r="CH10" s="376">
        <v>2</v>
      </c>
      <c r="CI10" s="376">
        <v>1</v>
      </c>
      <c r="CJ10"/>
      <c r="CK10"/>
      <c r="CL10" s="376" t="s">
        <v>83</v>
      </c>
      <c r="CM10" s="376">
        <v>80</v>
      </c>
      <c r="CN10"/>
      <c r="CO10"/>
      <c r="CP10" s="376" t="s">
        <v>83</v>
      </c>
      <c r="CQ10" s="376">
        <v>65</v>
      </c>
      <c r="CR10"/>
      <c r="CS10"/>
      <c r="CT10" s="376" t="s">
        <v>83</v>
      </c>
      <c r="CU10" s="376">
        <v>80</v>
      </c>
      <c r="CV10"/>
      <c r="CW10"/>
      <c r="CY10" s="5">
        <v>1.25</v>
      </c>
      <c r="CZ10" s="5">
        <v>20.65</v>
      </c>
      <c r="DA10" s="5" t="s">
        <v>116</v>
      </c>
      <c r="DB10" s="18"/>
      <c r="DC10" s="18"/>
      <c r="DD10" s="17"/>
      <c r="DE10" s="17"/>
      <c r="DF10" s="22"/>
      <c r="DG10" s="18"/>
    </row>
    <row r="11" spans="1:111" ht="13.5" thickBot="1" x14ac:dyDescent="0.25">
      <c r="Y11" s="753"/>
      <c r="Z11" s="753"/>
      <c r="AA11" s="34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R11"/>
      <c r="BS11"/>
      <c r="BT11"/>
      <c r="BU11"/>
      <c r="BV11" s="376" t="s">
        <v>155</v>
      </c>
      <c r="BW11" s="376">
        <v>5</v>
      </c>
      <c r="BX11"/>
      <c r="BY11"/>
      <c r="BZ11" s="16"/>
      <c r="CA11" s="16"/>
      <c r="CB11" s="16"/>
      <c r="CC11" s="16"/>
      <c r="CD11" s="16"/>
      <c r="CE11" s="16"/>
      <c r="CF11" s="16"/>
      <c r="CG11"/>
      <c r="CH11"/>
      <c r="CI11"/>
      <c r="CJ11"/>
      <c r="CK11"/>
      <c r="CL11" s="376" t="s">
        <v>84</v>
      </c>
      <c r="CM11" s="376">
        <v>80</v>
      </c>
      <c r="CN11"/>
      <c r="CO11"/>
      <c r="CP11" s="376" t="s">
        <v>84</v>
      </c>
      <c r="CQ11" s="376">
        <v>60</v>
      </c>
      <c r="CR11"/>
      <c r="CS11"/>
      <c r="CT11" s="376" t="s">
        <v>84</v>
      </c>
      <c r="CU11" s="376">
        <v>80</v>
      </c>
      <c r="CV11"/>
      <c r="CW11"/>
      <c r="CY11" s="5">
        <v>1.5</v>
      </c>
      <c r="CZ11" s="5">
        <v>22.22</v>
      </c>
      <c r="DA11" s="5" t="s">
        <v>14</v>
      </c>
      <c r="DB11" s="18"/>
      <c r="DC11" s="18"/>
      <c r="DD11" s="17"/>
      <c r="DE11" s="17"/>
      <c r="DF11" s="22"/>
      <c r="DG11" s="18"/>
    </row>
    <row r="12" spans="1:111" ht="13.5" thickBot="1" x14ac:dyDescent="0.25">
      <c r="N12" s="53"/>
      <c r="BR12"/>
      <c r="BS12"/>
      <c r="BT12"/>
      <c r="BU12"/>
      <c r="BV12" s="376" t="s">
        <v>157</v>
      </c>
      <c r="BW12" s="376">
        <v>10</v>
      </c>
      <c r="BX12"/>
      <c r="BY12"/>
      <c r="BZ12" s="50"/>
      <c r="CA12" s="50"/>
      <c r="CB12" s="50"/>
      <c r="CC12" s="50"/>
      <c r="CD12" s="50"/>
      <c r="CE12" s="50"/>
      <c r="CF12" s="50"/>
      <c r="CG12" s="50"/>
      <c r="CH12" s="50"/>
      <c r="CI12" s="50"/>
      <c r="CJ12"/>
      <c r="CK12"/>
      <c r="CL12" s="376"/>
      <c r="CM12" s="376"/>
      <c r="CN12"/>
      <c r="CO12"/>
      <c r="CP12" s="376"/>
      <c r="CQ12" s="376"/>
      <c r="CR12"/>
      <c r="CS12"/>
      <c r="CT12" s="376"/>
      <c r="CU12" s="376"/>
      <c r="CV12"/>
      <c r="CW12"/>
      <c r="CY12" s="5">
        <v>1.45</v>
      </c>
      <c r="CZ12" s="5"/>
      <c r="DA12" s="5"/>
      <c r="DB12" s="171"/>
      <c r="DC12" s="171"/>
      <c r="DD12" s="170"/>
      <c r="DE12" s="170"/>
      <c r="DF12" s="172"/>
      <c r="DG12" s="171"/>
    </row>
    <row r="13" spans="1:111" ht="15.75" customHeight="1" thickBot="1" x14ac:dyDescent="0.25">
      <c r="BR13"/>
      <c r="BS13"/>
      <c r="BT13"/>
      <c r="BU13"/>
      <c r="BV13" s="376" t="s">
        <v>158</v>
      </c>
      <c r="BW13" s="376">
        <v>15</v>
      </c>
      <c r="BX13"/>
      <c r="BY13"/>
      <c r="CJ13"/>
      <c r="CK13"/>
      <c r="CN13"/>
      <c r="CO13"/>
      <c r="CP13"/>
      <c r="CQ13"/>
      <c r="CR13"/>
      <c r="CS13"/>
      <c r="CV13"/>
      <c r="CW13"/>
      <c r="CY13" s="5">
        <v>1.55</v>
      </c>
      <c r="CZ13" s="5">
        <v>25.4</v>
      </c>
      <c r="DA13" s="5" t="s">
        <v>15</v>
      </c>
    </row>
    <row r="14" spans="1:111" ht="13.5" thickBot="1" x14ac:dyDescent="0.25">
      <c r="AK14" s="28"/>
      <c r="BR14"/>
      <c r="BS14"/>
      <c r="BT14"/>
      <c r="BU14"/>
      <c r="BV14" s="376" t="s">
        <v>156</v>
      </c>
      <c r="BW14" s="376">
        <v>20</v>
      </c>
      <c r="BX14"/>
      <c r="BY14"/>
      <c r="CJ14"/>
      <c r="CK14"/>
      <c r="CN14"/>
      <c r="CO14"/>
      <c r="CR14"/>
      <c r="CS14"/>
      <c r="CV14"/>
      <c r="CW14"/>
      <c r="CY14" s="5">
        <v>1.8</v>
      </c>
      <c r="CZ14" s="5">
        <v>28.57</v>
      </c>
      <c r="DA14" s="5" t="s">
        <v>16</v>
      </c>
    </row>
    <row r="15" spans="1:111" ht="13.5" thickBot="1" x14ac:dyDescent="0.25">
      <c r="AK15" s="28"/>
      <c r="CJ15"/>
      <c r="CK15"/>
      <c r="CN15"/>
      <c r="CO15"/>
      <c r="CR15"/>
      <c r="CS15"/>
      <c r="CY15" s="5">
        <v>1.9</v>
      </c>
      <c r="CZ15" s="5">
        <v>31.75</v>
      </c>
      <c r="DA15" s="5" t="s">
        <v>17</v>
      </c>
    </row>
    <row r="16" spans="1:111" ht="13.5" thickBot="1" x14ac:dyDescent="0.25">
      <c r="BX16" s="19"/>
      <c r="BY16" s="21"/>
      <c r="BZ16" s="21"/>
      <c r="CN16"/>
      <c r="CO16"/>
      <c r="CR16"/>
      <c r="CS16"/>
      <c r="CY16" s="5">
        <v>1.95</v>
      </c>
      <c r="CZ16" s="5">
        <v>33.4</v>
      </c>
      <c r="DA16" s="5" t="s">
        <v>116</v>
      </c>
    </row>
    <row r="17" spans="12:105" ht="13.5" thickBot="1" x14ac:dyDescent="0.25">
      <c r="BX17" s="20"/>
      <c r="BY17" s="48"/>
      <c r="BZ17" s="6"/>
      <c r="CN17"/>
      <c r="CO17"/>
      <c r="CY17" s="5">
        <v>2</v>
      </c>
      <c r="CZ17" s="5">
        <v>33.700000000000003</v>
      </c>
      <c r="DA17" s="5" t="s">
        <v>116</v>
      </c>
    </row>
    <row r="18" spans="12:105" ht="13.5" thickBot="1" x14ac:dyDescent="0.25">
      <c r="L18" s="348"/>
      <c r="M18" s="348"/>
      <c r="CY18" s="5">
        <v>2.25</v>
      </c>
      <c r="CZ18" s="5">
        <v>34.93</v>
      </c>
      <c r="DA18" s="5" t="s">
        <v>18</v>
      </c>
    </row>
    <row r="19" spans="12:105" ht="13.5" thickBot="1" x14ac:dyDescent="0.25">
      <c r="L19" s="349"/>
      <c r="M19" s="348"/>
      <c r="CY19" s="5">
        <v>2.2999999999999998</v>
      </c>
      <c r="CZ19" s="5">
        <v>38.1</v>
      </c>
      <c r="DA19" s="5" t="s">
        <v>19</v>
      </c>
    </row>
    <row r="20" spans="12:105" ht="13.5" thickBot="1" x14ac:dyDescent="0.25">
      <c r="CY20" s="5">
        <v>2.65</v>
      </c>
      <c r="CZ20" s="5">
        <v>41.27</v>
      </c>
      <c r="DA20" s="5" t="s">
        <v>20</v>
      </c>
    </row>
    <row r="21" spans="12:105" ht="13.5" thickBot="1" x14ac:dyDescent="0.25">
      <c r="BV21" s="746"/>
      <c r="BW21" s="747"/>
      <c r="CY21" s="5">
        <v>2.7</v>
      </c>
      <c r="CZ21" s="5">
        <v>42.2</v>
      </c>
      <c r="DA21" s="5" t="s">
        <v>116</v>
      </c>
    </row>
    <row r="22" spans="12:105" ht="13.5" thickBot="1" x14ac:dyDescent="0.25">
      <c r="BV22" s="748"/>
      <c r="BW22" s="749"/>
      <c r="CY22" s="5">
        <v>3</v>
      </c>
      <c r="CZ22" s="5">
        <v>42.4</v>
      </c>
      <c r="DA22" s="5" t="s">
        <v>116</v>
      </c>
    </row>
    <row r="23" spans="12:105" ht="13.5" thickBot="1" x14ac:dyDescent="0.25">
      <c r="BV23" s="40"/>
      <c r="BW23" s="40"/>
      <c r="CY23" s="5">
        <v>3.35</v>
      </c>
      <c r="CZ23" s="5">
        <v>44.45</v>
      </c>
      <c r="DA23" s="5" t="s">
        <v>21</v>
      </c>
    </row>
    <row r="24" spans="12:105" ht="13.5" thickBot="1" x14ac:dyDescent="0.25">
      <c r="BV24" s="40"/>
      <c r="BW24" s="40"/>
      <c r="CY24" s="5">
        <v>3.75</v>
      </c>
      <c r="CZ24" s="5">
        <v>47.62</v>
      </c>
      <c r="DA24" s="5" t="s">
        <v>22</v>
      </c>
    </row>
    <row r="25" spans="12:105" ht="13.5" thickBot="1" x14ac:dyDescent="0.25">
      <c r="BV25" s="17"/>
      <c r="BW25" s="17"/>
      <c r="CY25" s="5">
        <v>4.25</v>
      </c>
      <c r="CZ25" s="5">
        <v>48.3</v>
      </c>
      <c r="DA25" s="5" t="s">
        <v>116</v>
      </c>
    </row>
    <row r="26" spans="12:105" ht="13.5" thickBot="1" x14ac:dyDescent="0.25">
      <c r="CY26" s="5">
        <v>4.5</v>
      </c>
      <c r="CZ26" s="5">
        <v>50.8</v>
      </c>
      <c r="DA26" s="5" t="s">
        <v>23</v>
      </c>
    </row>
    <row r="27" spans="12:105" ht="13.5" thickBot="1" x14ac:dyDescent="0.25">
      <c r="CY27" s="5">
        <v>4.75</v>
      </c>
      <c r="CZ27" s="5">
        <v>53.97</v>
      </c>
      <c r="DA27" s="5" t="s">
        <v>99</v>
      </c>
    </row>
    <row r="28" spans="12:105" ht="13.5" thickBot="1" x14ac:dyDescent="0.25">
      <c r="CY28" s="5">
        <v>5</v>
      </c>
      <c r="CZ28" s="5">
        <v>57.15</v>
      </c>
      <c r="DA28" s="5" t="s">
        <v>24</v>
      </c>
    </row>
    <row r="29" spans="12:105" ht="13.5" thickBot="1" x14ac:dyDescent="0.25">
      <c r="BR29" s="744"/>
      <c r="BS29" s="744"/>
      <c r="BT29" s="744"/>
      <c r="BU29" s="744"/>
      <c r="CY29" s="5">
        <v>5.4</v>
      </c>
      <c r="CZ29" s="5">
        <v>60.3</v>
      </c>
      <c r="DA29" s="5" t="s">
        <v>25</v>
      </c>
    </row>
    <row r="30" spans="12:105" ht="13.5" thickBot="1" x14ac:dyDescent="0.25">
      <c r="BR30" s="17"/>
      <c r="BS30" s="17"/>
      <c r="BT30" s="17"/>
      <c r="BU30" s="17"/>
      <c r="CY30" s="5">
        <v>6.3</v>
      </c>
      <c r="CZ30" s="5">
        <v>63.5</v>
      </c>
      <c r="DA30" s="5" t="s">
        <v>26</v>
      </c>
    </row>
    <row r="31" spans="12:105" ht="13.5" thickBot="1" x14ac:dyDescent="0.25">
      <c r="BR31" s="17"/>
      <c r="BS31" s="17"/>
      <c r="BT31" s="17"/>
      <c r="BU31" s="17"/>
      <c r="CY31" s="5">
        <v>7.3</v>
      </c>
      <c r="CZ31" s="5">
        <v>70</v>
      </c>
      <c r="DA31" s="5" t="s">
        <v>116</v>
      </c>
    </row>
    <row r="32" spans="12:105" ht="13.5" thickBot="1" x14ac:dyDescent="0.25">
      <c r="CY32" s="5">
        <v>8</v>
      </c>
      <c r="CZ32" s="5">
        <v>73.03</v>
      </c>
      <c r="DA32" s="5" t="s">
        <v>100</v>
      </c>
    </row>
    <row r="33" spans="103:105" ht="13.5" thickBot="1" x14ac:dyDescent="0.25">
      <c r="CY33" s="5">
        <v>8.18</v>
      </c>
      <c r="CZ33" s="5">
        <v>76.099999999999994</v>
      </c>
      <c r="DA33" s="5" t="s">
        <v>116</v>
      </c>
    </row>
    <row r="34" spans="103:105" ht="13.5" thickBot="1" x14ac:dyDescent="0.25">
      <c r="CY34" s="5">
        <v>8.56</v>
      </c>
      <c r="CZ34" s="5">
        <v>76.2</v>
      </c>
      <c r="DA34" s="5" t="s">
        <v>27</v>
      </c>
    </row>
    <row r="35" spans="103:105" ht="13.5" thickBot="1" x14ac:dyDescent="0.25">
      <c r="CZ35" s="5">
        <v>80</v>
      </c>
      <c r="DA35" s="5" t="s">
        <v>116</v>
      </c>
    </row>
    <row r="36" spans="103:105" ht="13.5" thickBot="1" x14ac:dyDescent="0.25">
      <c r="CZ36" s="5">
        <v>82.55</v>
      </c>
      <c r="DA36" s="5" t="s">
        <v>28</v>
      </c>
    </row>
    <row r="37" spans="103:105" ht="13.5" thickBot="1" x14ac:dyDescent="0.25">
      <c r="CZ37" s="5">
        <v>88.9</v>
      </c>
      <c r="DA37" s="5" t="s">
        <v>29</v>
      </c>
    </row>
    <row r="38" spans="103:105" ht="13.5" thickBot="1" x14ac:dyDescent="0.25">
      <c r="CZ38" s="5">
        <v>95.25</v>
      </c>
      <c r="DA38" s="5" t="s">
        <v>101</v>
      </c>
    </row>
    <row r="39" spans="103:105" ht="13.5" thickBot="1" x14ac:dyDescent="0.25">
      <c r="CZ39" s="5">
        <v>101.6</v>
      </c>
      <c r="DA39" s="5" t="s">
        <v>30</v>
      </c>
    </row>
    <row r="40" spans="103:105" ht="13.5" thickBot="1" x14ac:dyDescent="0.25">
      <c r="CZ40" s="5">
        <v>111.13</v>
      </c>
      <c r="DA40" s="5" t="s">
        <v>113</v>
      </c>
    </row>
    <row r="41" spans="103:105" ht="13.5" thickBot="1" x14ac:dyDescent="0.25">
      <c r="CZ41" s="5">
        <v>114.3</v>
      </c>
      <c r="DA41" s="5" t="s">
        <v>31</v>
      </c>
    </row>
    <row r="42" spans="103:105" ht="13.5" thickBot="1" x14ac:dyDescent="0.25">
      <c r="CZ42" s="5">
        <v>122</v>
      </c>
      <c r="DA42" s="5" t="s">
        <v>115</v>
      </c>
    </row>
    <row r="43" spans="103:105" ht="13.5" thickBot="1" x14ac:dyDescent="0.25">
      <c r="CZ43" s="5">
        <v>123.83</v>
      </c>
      <c r="DA43" s="5" t="s">
        <v>114</v>
      </c>
    </row>
    <row r="44" spans="103:105" ht="13.5" thickBot="1" x14ac:dyDescent="0.25">
      <c r="CZ44" s="5">
        <v>127</v>
      </c>
      <c r="DA44" s="5" t="s">
        <v>32</v>
      </c>
    </row>
    <row r="45" spans="103:105" ht="13.5" thickBot="1" x14ac:dyDescent="0.25">
      <c r="CZ45" s="5">
        <v>139.69999999999999</v>
      </c>
      <c r="DA45" s="5" t="s">
        <v>33</v>
      </c>
    </row>
    <row r="46" spans="103:105" ht="13.5" thickBot="1" x14ac:dyDescent="0.25">
      <c r="CZ46" s="5">
        <v>152.4</v>
      </c>
      <c r="DA46" s="5" t="s">
        <v>34</v>
      </c>
    </row>
    <row r="47" spans="103:105" ht="13.5" thickBot="1" x14ac:dyDescent="0.25">
      <c r="CZ47" s="5">
        <v>165.1</v>
      </c>
      <c r="DA47" s="5" t="s">
        <v>116</v>
      </c>
    </row>
    <row r="48" spans="103:105" ht="13.5" thickBot="1" x14ac:dyDescent="0.25">
      <c r="CZ48" s="5">
        <v>168.3</v>
      </c>
      <c r="DA48" s="5" t="s">
        <v>35</v>
      </c>
    </row>
    <row r="49" spans="104:105" ht="13.5" thickBot="1" x14ac:dyDescent="0.25">
      <c r="CZ49" s="5">
        <v>193.7</v>
      </c>
      <c r="DA49" s="5" t="s">
        <v>36</v>
      </c>
    </row>
    <row r="50" spans="104:105" ht="13.5" thickBot="1" x14ac:dyDescent="0.25">
      <c r="CZ50" s="5">
        <v>219.1</v>
      </c>
      <c r="DA50" s="5" t="s">
        <v>37</v>
      </c>
    </row>
    <row r="51" spans="104:105" ht="13.5" thickBot="1" x14ac:dyDescent="0.25">
      <c r="CZ51" s="5">
        <v>273.05</v>
      </c>
      <c r="DA51" s="5" t="s">
        <v>38</v>
      </c>
    </row>
  </sheetData>
  <dataConsolidate/>
  <mergeCells count="85">
    <mergeCell ref="Y11:Z11"/>
    <mergeCell ref="BJ2:BJ3"/>
    <mergeCell ref="R1:AI1"/>
    <mergeCell ref="AE2:AE3"/>
    <mergeCell ref="AF2:AF3"/>
    <mergeCell ref="V2:V3"/>
    <mergeCell ref="AC2:AC3"/>
    <mergeCell ref="AI2:AI3"/>
    <mergeCell ref="AR2:AR3"/>
    <mergeCell ref="AA2:AA3"/>
    <mergeCell ref="AD2:AD3"/>
    <mergeCell ref="AB2:AB3"/>
    <mergeCell ref="AM2:AM3"/>
    <mergeCell ref="AP2:AP3"/>
    <mergeCell ref="AH2:AH3"/>
    <mergeCell ref="AG2:AG3"/>
    <mergeCell ref="CT7:CU7"/>
    <mergeCell ref="BM2:BM3"/>
    <mergeCell ref="BB2:BB3"/>
    <mergeCell ref="BC2:BC3"/>
    <mergeCell ref="BD2:BD3"/>
    <mergeCell ref="BL2:BL3"/>
    <mergeCell ref="CP7:CQ7"/>
    <mergeCell ref="BP2:BP3"/>
    <mergeCell ref="BK2:BK3"/>
    <mergeCell ref="AX2:AX3"/>
    <mergeCell ref="CP2:CS2"/>
    <mergeCell ref="CT2:CW2"/>
    <mergeCell ref="AT2:AT3"/>
    <mergeCell ref="BE2:BE3"/>
    <mergeCell ref="BO2:BO3"/>
    <mergeCell ref="AW2:AW3"/>
    <mergeCell ref="BA2:BA3"/>
    <mergeCell ref="BN2:BN3"/>
    <mergeCell ref="BF2:BF3"/>
    <mergeCell ref="AY2:AY3"/>
    <mergeCell ref="AZ2:AZ3"/>
    <mergeCell ref="CY1:DA1"/>
    <mergeCell ref="CY2:DA2"/>
    <mergeCell ref="BG2:BG3"/>
    <mergeCell ref="BH2:BH3"/>
    <mergeCell ref="BI2:BI3"/>
    <mergeCell ref="BR2:BU2"/>
    <mergeCell ref="AJ1:BP1"/>
    <mergeCell ref="AJ2:AJ3"/>
    <mergeCell ref="AS2:AS3"/>
    <mergeCell ref="AQ2:AQ3"/>
    <mergeCell ref="AU2:AV2"/>
    <mergeCell ref="AK2:AK3"/>
    <mergeCell ref="AO2:AO3"/>
    <mergeCell ref="AL2:AL3"/>
    <mergeCell ref="AN2:AN3"/>
    <mergeCell ref="BR1:CW1"/>
    <mergeCell ref="BR29:BU29"/>
    <mergeCell ref="CL7:CM7"/>
    <mergeCell ref="BV2:BZ2"/>
    <mergeCell ref="BV21:BW22"/>
    <mergeCell ref="CG7:CI7"/>
    <mergeCell ref="CA2:CF2"/>
    <mergeCell ref="CG2:CK2"/>
    <mergeCell ref="CL2:CO2"/>
    <mergeCell ref="Z2:Z3"/>
    <mergeCell ref="S2:S3"/>
    <mergeCell ref="K2:K3"/>
    <mergeCell ref="N2:N3"/>
    <mergeCell ref="I2:I3"/>
    <mergeCell ref="M2:M3"/>
    <mergeCell ref="R2:R3"/>
    <mergeCell ref="T2:U2"/>
    <mergeCell ref="W2:W3"/>
    <mergeCell ref="X2:X3"/>
    <mergeCell ref="Y2:Y3"/>
    <mergeCell ref="B1:Q1"/>
    <mergeCell ref="O2:O3"/>
    <mergeCell ref="Q2:Q3"/>
    <mergeCell ref="P2:P3"/>
    <mergeCell ref="E2:E3"/>
    <mergeCell ref="B2:B3"/>
    <mergeCell ref="D2:D3"/>
    <mergeCell ref="F2:F3"/>
    <mergeCell ref="G2:G3"/>
    <mergeCell ref="J2:J3"/>
    <mergeCell ref="L2:L3"/>
    <mergeCell ref="H2:H3"/>
    <mergeCell ref="C2:C3"/>
  </mergeCells>
  <conditionalFormatting sqref="I4 L4:M4 AY4:AY9 BM4:BP9">
    <cfRule type="cellIs" dxfId="132" priority="150" operator="equal">
      <formula>0</formula>
    </cfRule>
  </conditionalFormatting>
  <conditionalFormatting sqref="AM4:AM9">
    <cfRule type="cellIs" dxfId="131" priority="126" operator="lessThan">
      <formula>$J$4</formula>
    </cfRule>
  </conditionalFormatting>
  <conditionalFormatting sqref="AN6:AN9">
    <cfRule type="cellIs" dxfId="130" priority="73" operator="equal">
      <formula>0</formula>
    </cfRule>
  </conditionalFormatting>
  <conditionalFormatting sqref="O4:P4">
    <cfRule type="cellIs" dxfId="129" priority="69" operator="equal">
      <formula>0</formula>
    </cfRule>
    <cfRule type="containsErrors" dxfId="128" priority="154">
      <formula>ISERROR(O4)</formula>
    </cfRule>
  </conditionalFormatting>
  <conditionalFormatting sqref="I4">
    <cfRule type="cellIs" dxfId="127" priority="32" operator="greaterThan">
      <formula>18</formula>
    </cfRule>
  </conditionalFormatting>
  <conditionalFormatting sqref="L4">
    <cfRule type="cellIs" dxfId="126" priority="31" operator="greaterThan">
      <formula>100</formula>
    </cfRule>
  </conditionalFormatting>
  <conditionalFormatting sqref="AJ4:AJ9">
    <cfRule type="containsErrors" dxfId="125" priority="19">
      <formula>ISERROR(AJ4)</formula>
    </cfRule>
  </conditionalFormatting>
  <conditionalFormatting sqref="G4:H4">
    <cfRule type="cellIs" dxfId="124" priority="3" operator="equal">
      <formula>0</formula>
    </cfRule>
  </conditionalFormatting>
  <conditionalFormatting sqref="H4">
    <cfRule type="cellIs" dxfId="123" priority="2" operator="greaterThan">
      <formula>18</formula>
    </cfRule>
  </conditionalFormatting>
  <dataValidations count="16">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M4:AM9">
      <formula1>J4</formula1>
    </dataValidation>
    <dataValidation type="list" allowBlank="1" showInputMessage="1" showErrorMessage="1" sqref="R4">
      <formula1>$BR$4:$BR$9</formula1>
    </dataValidation>
    <dataValidation allowBlank="1" showInputMessage="1" sqref="E4"/>
    <dataValidation type="list" errorStyle="warning" allowBlank="1" showInputMessage="1" showErrorMessage="1" errorTitle="Espessura" error="Esta espessura não esta cadastrada!" sqref="F4">
      <formula1>$CY$4:$CY$34</formula1>
    </dataValidation>
    <dataValidation type="list" errorStyle="warning" allowBlank="1" showInputMessage="1" showErrorMessage="1" errorTitle="Bitola de Origem" error="Esta Bitola de Origem não existe!" sqref="D4">
      <formula1>$CZ$4:$CZ$51</formula1>
    </dataValidation>
    <dataValidation type="list" allowBlank="1" showInputMessage="1" showErrorMessage="1" sqref="AL6:AL7">
      <formula1>$CL$9:$CL$11</formula1>
    </dataValidation>
    <dataValidation type="list" allowBlank="1" showInputMessage="1" showErrorMessage="1" sqref="AK8">
      <formula1>$CP$4:$CP$5</formula1>
    </dataValidation>
    <dataValidation type="list" allowBlank="1" showInputMessage="1" showErrorMessage="1" sqref="AL8">
      <formula1>$CP$9:$CP$11</formula1>
    </dataValidation>
    <dataValidation type="list" allowBlank="1" showInputMessage="1" showErrorMessage="1" sqref="AK9">
      <formula1>$CT$4</formula1>
    </dataValidation>
    <dataValidation type="list" allowBlank="1" showInputMessage="1" showErrorMessage="1" sqref="AL9">
      <formula1>$CT$9:$CT$11</formula1>
    </dataValidation>
    <dataValidation operator="greaterThanOrEqual" allowBlank="1" showInputMessage="1" promptTitle="Sucata de Processo" prompt="Sucata referente a furações, rasgos, corte em ângulo etc." sqref="AN6:AN9"/>
    <dataValidation type="list" allowBlank="1" showInputMessage="1" showErrorMessage="1" sqref="AK7">
      <formula1>$CL$4:$CL$6</formula1>
    </dataValidation>
    <dataValidation type="list" allowBlank="1" showInputMessage="1" showErrorMessage="1" sqref="AK5">
      <formula1>$CA$4:$CA$5</formula1>
    </dataValidation>
    <dataValidation type="list" allowBlank="1" showInputMessage="1" showErrorMessage="1" sqref="AK4">
      <formula1>$BV$4</formula1>
    </dataValidation>
    <dataValidation type="list" allowBlank="1" showInputMessage="1" showErrorMessage="1" sqref="AK6">
      <formula1>$CG$4:$CG$5</formula1>
    </dataValidation>
    <dataValidation type="list" allowBlank="1" showInputMessage="1" showErrorMessage="1" sqref="AL4">
      <formula1>$BV$11:$BV$14</formula1>
    </dataValidation>
  </dataValidations>
  <hyperlinks>
    <hyperlink ref="D2" location="'Bitola de Origem'!A1" display="'Bitola de Origem'!A1"/>
    <hyperlink ref="K2:K3" location="'Estimar Perdas'!A1" display="'Estimar Perdas'!A1"/>
  </hyperlinks>
  <pageMargins left="0.511811024" right="0.511811024" top="0.78740157499999996" bottom="0.78740157499999996" header="0.31496062000000002" footer="0.31496062000000002"/>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4">
    <tabColor theme="0" tint="-0.34998626667073579"/>
  </sheetPr>
  <dimension ref="B1:DE34"/>
  <sheetViews>
    <sheetView showGridLines="0" workbookViewId="0">
      <pane xSplit="3" ySplit="4" topLeftCell="M5" activePane="bottomRight" state="frozen"/>
      <selection activeCell="AQ5" sqref="AQ5:AQ6"/>
      <selection pane="topRight" activeCell="AQ5" sqref="AQ5:AQ6"/>
      <selection pane="bottomLeft" activeCell="AQ5" sqref="AQ5:AQ6"/>
      <selection pane="bottomRight" activeCell="AQ5" sqref="AQ5:AQ6"/>
    </sheetView>
  </sheetViews>
  <sheetFormatPr defaultRowHeight="12.75" x14ac:dyDescent="0.2"/>
  <cols>
    <col min="1" max="1" width="2.140625" style="2" customWidth="1"/>
    <col min="2" max="2" width="9.140625" style="2"/>
    <col min="3" max="3" width="54.140625" style="2" customWidth="1"/>
    <col min="4" max="4" width="11.85546875" style="2" customWidth="1"/>
    <col min="5" max="5" width="15.140625" style="2" customWidth="1"/>
    <col min="6" max="6" width="11.7109375" style="2" customWidth="1"/>
    <col min="7" max="9" width="13.5703125" style="2" customWidth="1"/>
    <col min="10" max="11" width="13.85546875" style="2" customWidth="1"/>
    <col min="12" max="14" width="10.7109375" style="2" customWidth="1"/>
    <col min="15" max="15" width="17.140625" style="2" customWidth="1"/>
    <col min="16" max="16" width="9.7109375" style="2" customWidth="1"/>
    <col min="17" max="17" width="11.140625" style="2" customWidth="1"/>
    <col min="18" max="18" width="13.42578125" style="2" customWidth="1"/>
    <col min="19" max="19" width="15.7109375" style="2" customWidth="1"/>
    <col min="20" max="20" width="13.42578125" style="2" customWidth="1"/>
    <col min="21" max="21" width="13.140625" style="2" customWidth="1"/>
    <col min="22" max="22" width="13.42578125" style="2" customWidth="1"/>
    <col min="23" max="23" width="14.140625" style="2" customWidth="1"/>
    <col min="24" max="24" width="12.85546875" style="2" customWidth="1"/>
    <col min="25" max="25" width="12.140625" style="2" customWidth="1"/>
    <col min="26" max="26" width="10.5703125" style="2" customWidth="1"/>
    <col min="27" max="27" width="19.42578125" style="2" customWidth="1"/>
    <col min="28" max="28" width="13.85546875" style="2" customWidth="1"/>
    <col min="29" max="29" width="18.5703125" style="2" customWidth="1"/>
    <col min="30" max="30" width="16.85546875" style="2" customWidth="1"/>
    <col min="31" max="31" width="11.85546875" style="2" customWidth="1"/>
    <col min="32" max="32" width="14.140625" style="2" customWidth="1"/>
    <col min="33" max="33" width="18.85546875" style="2" customWidth="1"/>
    <col min="34" max="34" width="20.140625" style="2" customWidth="1"/>
    <col min="35" max="37" width="18.85546875" style="2" customWidth="1"/>
    <col min="38" max="40" width="20.85546875" style="2" customWidth="1"/>
    <col min="41" max="41" width="19.85546875" style="2" customWidth="1"/>
    <col min="42" max="42" width="12.5703125" style="2" customWidth="1"/>
    <col min="43" max="43" width="15" style="2" customWidth="1"/>
    <col min="44" max="45" width="24.7109375" style="2" customWidth="1"/>
    <col min="46" max="46" width="11.7109375" style="2" customWidth="1"/>
    <col min="47" max="47" width="15.140625" style="2" customWidth="1"/>
    <col min="48" max="48" width="23.7109375" style="2" customWidth="1"/>
    <col min="49" max="49" width="11.85546875" style="2" customWidth="1"/>
    <col min="50" max="50" width="22.140625" style="2" customWidth="1"/>
    <col min="51" max="51" width="9.5703125" style="2" customWidth="1"/>
    <col min="52" max="52" width="6.85546875" style="2" customWidth="1"/>
    <col min="53" max="53" width="7.42578125" style="2" customWidth="1"/>
    <col min="54" max="54" width="13.42578125" style="2" customWidth="1"/>
    <col min="55" max="55" width="17.28515625" style="2" customWidth="1"/>
    <col min="56" max="56" width="16" style="2" customWidth="1"/>
    <col min="57" max="57" width="10.5703125" style="2" customWidth="1"/>
    <col min="58" max="58" width="14" style="2" customWidth="1"/>
    <col min="59" max="59" width="18.42578125" style="2" customWidth="1"/>
    <col min="60" max="61" width="15.28515625" style="2" customWidth="1"/>
    <col min="62" max="73" width="20.85546875" style="2" customWidth="1"/>
    <col min="74" max="74" width="9.140625" style="2"/>
    <col min="75" max="75" width="16.42578125" style="2" customWidth="1"/>
    <col min="76" max="76" width="0.42578125" style="2" customWidth="1"/>
    <col min="77" max="77" width="13" style="2" customWidth="1"/>
    <col min="78" max="78" width="10.28515625" style="2" customWidth="1"/>
    <col min="79" max="79" width="26.85546875" style="2" customWidth="1"/>
    <col min="80" max="80" width="27.85546875" style="2" customWidth="1"/>
    <col min="81" max="81" width="10.28515625" style="2" customWidth="1"/>
    <col min="82" max="82" width="11.140625" style="2" customWidth="1"/>
    <col min="83" max="83" width="21.42578125" style="2" customWidth="1"/>
    <col min="84" max="90" width="9.140625" style="2"/>
    <col min="91" max="91" width="9.28515625" style="2" customWidth="1"/>
    <col min="92" max="92" width="22.85546875" style="2" customWidth="1"/>
    <col min="93" max="93" width="12.5703125" style="2" customWidth="1"/>
    <col min="94" max="97" width="9.140625" style="2"/>
    <col min="98" max="98" width="10.7109375" style="2" customWidth="1"/>
    <col min="99" max="16384" width="9.140625" style="2"/>
  </cols>
  <sheetData>
    <row r="1" spans="2:109" ht="21" customHeight="1" thickBot="1" x14ac:dyDescent="0.25"/>
    <row r="2" spans="2:109" ht="13.5" thickBot="1" x14ac:dyDescent="0.25">
      <c r="B2" s="766" t="s">
        <v>0</v>
      </c>
      <c r="C2" s="766"/>
      <c r="D2" s="766"/>
      <c r="E2" s="766"/>
      <c r="F2" s="766"/>
      <c r="G2" s="766"/>
      <c r="H2" s="766"/>
      <c r="I2" s="766"/>
      <c r="J2" s="766"/>
      <c r="K2" s="766"/>
      <c r="L2" s="766"/>
      <c r="M2" s="766"/>
      <c r="N2" s="767"/>
      <c r="O2" s="767"/>
      <c r="P2" s="768" t="s">
        <v>39</v>
      </c>
      <c r="Q2" s="766"/>
      <c r="R2" s="766"/>
      <c r="S2" s="766"/>
      <c r="T2" s="766"/>
      <c r="U2" s="766"/>
      <c r="V2" s="766"/>
      <c r="W2" s="766"/>
      <c r="X2" s="766"/>
      <c r="Y2" s="766"/>
      <c r="Z2" s="766"/>
      <c r="AA2" s="766"/>
      <c r="AB2" s="766"/>
      <c r="AC2" s="766"/>
      <c r="AD2" s="766"/>
      <c r="AE2" s="766"/>
      <c r="AF2" s="766"/>
      <c r="AG2" s="766"/>
      <c r="AH2" s="766"/>
      <c r="AI2" s="766"/>
      <c r="AJ2" s="766"/>
      <c r="AK2" s="766"/>
      <c r="AL2" s="767"/>
      <c r="AM2" s="97"/>
      <c r="AN2" s="62"/>
      <c r="AO2" s="769" t="s">
        <v>68</v>
      </c>
      <c r="AP2" s="770"/>
      <c r="AQ2" s="770"/>
      <c r="AR2" s="770"/>
      <c r="AS2" s="770"/>
      <c r="AT2" s="770"/>
      <c r="AU2" s="770"/>
      <c r="AV2" s="770"/>
      <c r="AW2" s="770"/>
      <c r="AX2" s="770"/>
      <c r="AY2" s="770"/>
      <c r="AZ2" s="770"/>
      <c r="BA2" s="770"/>
      <c r="BB2" s="770"/>
      <c r="BC2" s="770"/>
      <c r="BD2" s="770"/>
      <c r="BE2" s="770"/>
      <c r="BF2" s="770"/>
      <c r="BG2" s="770"/>
      <c r="BH2" s="770"/>
      <c r="BI2" s="770"/>
      <c r="BJ2" s="770"/>
      <c r="BK2" s="770"/>
      <c r="BL2" s="770"/>
      <c r="BM2" s="770"/>
      <c r="BN2" s="770"/>
      <c r="BO2" s="770"/>
      <c r="BP2" s="770"/>
      <c r="BQ2" s="770"/>
      <c r="BR2" s="770"/>
      <c r="BS2" s="770"/>
      <c r="BT2" s="770"/>
      <c r="BU2" s="771"/>
      <c r="BW2" s="102" t="s">
        <v>94</v>
      </c>
      <c r="BX2" s="103"/>
      <c r="BY2" s="772" t="s">
        <v>67</v>
      </c>
      <c r="BZ2" s="772"/>
      <c r="CA2" s="772"/>
      <c r="CB2" s="772"/>
      <c r="CC2" s="772"/>
      <c r="CD2" s="772"/>
      <c r="CE2" s="772"/>
      <c r="CF2" s="772"/>
      <c r="CG2" s="772"/>
      <c r="CH2" s="772"/>
      <c r="CI2" s="772"/>
      <c r="CJ2" s="772"/>
      <c r="CK2" s="772"/>
      <c r="CL2" s="772"/>
      <c r="CM2" s="772"/>
      <c r="CN2" s="772"/>
      <c r="CO2" s="772"/>
      <c r="CP2" s="772"/>
      <c r="CQ2" s="772"/>
      <c r="CR2" s="772"/>
      <c r="CS2" s="772"/>
      <c r="CT2" s="772"/>
      <c r="CU2" s="772"/>
      <c r="CV2" s="772"/>
      <c r="CW2" s="772"/>
      <c r="CX2" s="772"/>
      <c r="CY2" s="772"/>
      <c r="CZ2" s="772"/>
      <c r="DA2" s="772"/>
      <c r="DB2" s="772"/>
      <c r="DC2" s="772"/>
      <c r="DD2" s="772"/>
      <c r="DE2" s="772"/>
    </row>
    <row r="3" spans="2:109" ht="18" customHeight="1" thickBot="1" x14ac:dyDescent="0.25">
      <c r="B3" s="765" t="s">
        <v>1</v>
      </c>
      <c r="C3" s="765" t="s">
        <v>2</v>
      </c>
      <c r="D3" s="758" t="s">
        <v>4</v>
      </c>
      <c r="E3" s="758" t="s">
        <v>170</v>
      </c>
      <c r="F3" s="758" t="s">
        <v>5</v>
      </c>
      <c r="G3" s="758" t="s">
        <v>74</v>
      </c>
      <c r="H3" s="758" t="s">
        <v>169</v>
      </c>
      <c r="I3" s="758" t="s">
        <v>76</v>
      </c>
      <c r="J3" s="758" t="s">
        <v>6</v>
      </c>
      <c r="K3" s="758" t="s">
        <v>75</v>
      </c>
      <c r="L3" s="758" t="s">
        <v>7</v>
      </c>
      <c r="M3" s="758" t="s">
        <v>87</v>
      </c>
      <c r="N3" s="758" t="s">
        <v>260</v>
      </c>
      <c r="O3" s="759" t="s">
        <v>8</v>
      </c>
      <c r="P3" s="764" t="s">
        <v>49</v>
      </c>
      <c r="Q3" s="758" t="s">
        <v>104</v>
      </c>
      <c r="R3" s="758" t="s">
        <v>105</v>
      </c>
      <c r="S3" s="774" t="s">
        <v>109</v>
      </c>
      <c r="T3" s="773" t="s">
        <v>106</v>
      </c>
      <c r="U3" s="773" t="s">
        <v>219</v>
      </c>
      <c r="V3" s="758" t="s">
        <v>583</v>
      </c>
      <c r="W3" s="758"/>
      <c r="X3" s="758" t="s">
        <v>66</v>
      </c>
      <c r="Y3" s="758" t="s">
        <v>41</v>
      </c>
      <c r="Z3" s="758" t="s">
        <v>42</v>
      </c>
      <c r="AA3" s="758" t="s">
        <v>108</v>
      </c>
      <c r="AB3" s="758" t="s">
        <v>112</v>
      </c>
      <c r="AC3" s="758" t="s">
        <v>48</v>
      </c>
      <c r="AD3" s="758" t="s">
        <v>45</v>
      </c>
      <c r="AE3" s="758" t="s">
        <v>171</v>
      </c>
      <c r="AF3" s="758" t="s">
        <v>65</v>
      </c>
      <c r="AG3" s="758" t="s">
        <v>46</v>
      </c>
      <c r="AH3" s="758" t="s">
        <v>47</v>
      </c>
      <c r="AI3" s="758" t="s">
        <v>91</v>
      </c>
      <c r="AJ3" s="758" t="s">
        <v>92</v>
      </c>
      <c r="AK3" s="758" t="s">
        <v>90</v>
      </c>
      <c r="AL3" s="759" t="s">
        <v>93</v>
      </c>
      <c r="AM3" s="759" t="s">
        <v>218</v>
      </c>
      <c r="AN3" s="759" t="s">
        <v>256</v>
      </c>
      <c r="AO3" s="760" t="s">
        <v>143</v>
      </c>
      <c r="AP3" s="758" t="s">
        <v>49</v>
      </c>
      <c r="AQ3" s="762" t="s">
        <v>78</v>
      </c>
      <c r="AR3" s="762" t="s">
        <v>152</v>
      </c>
      <c r="AS3" s="762" t="s">
        <v>164</v>
      </c>
      <c r="AT3" s="762" t="s">
        <v>71</v>
      </c>
      <c r="AU3" s="762" t="s">
        <v>151</v>
      </c>
      <c r="AV3" s="762" t="s">
        <v>162</v>
      </c>
      <c r="AW3" s="762" t="s">
        <v>73</v>
      </c>
      <c r="AX3" s="762" t="s">
        <v>77</v>
      </c>
      <c r="AY3" s="758" t="s">
        <v>62</v>
      </c>
      <c r="AZ3" s="758" t="s">
        <v>40</v>
      </c>
      <c r="BA3" s="758"/>
      <c r="BB3" s="758" t="s">
        <v>66</v>
      </c>
      <c r="BC3" s="758" t="s">
        <v>79</v>
      </c>
      <c r="BD3" s="758" t="s">
        <v>86</v>
      </c>
      <c r="BE3" s="758" t="s">
        <v>42</v>
      </c>
      <c r="BF3" s="758" t="s">
        <v>185</v>
      </c>
      <c r="BG3" s="758" t="s">
        <v>48</v>
      </c>
      <c r="BH3" s="758" t="s">
        <v>45</v>
      </c>
      <c r="BI3" s="758" t="s">
        <v>65</v>
      </c>
      <c r="BJ3" s="758" t="s">
        <v>46</v>
      </c>
      <c r="BK3" s="758" t="s">
        <v>47</v>
      </c>
      <c r="BL3" s="758" t="s">
        <v>91</v>
      </c>
      <c r="BM3" s="758" t="s">
        <v>92</v>
      </c>
      <c r="BN3" s="758" t="s">
        <v>90</v>
      </c>
      <c r="BO3" s="758" t="s">
        <v>93</v>
      </c>
      <c r="BP3" s="758" t="s">
        <v>117</v>
      </c>
      <c r="BQ3" s="758" t="s">
        <v>118</v>
      </c>
      <c r="BR3" s="758" t="s">
        <v>119</v>
      </c>
      <c r="BS3" s="758" t="s">
        <v>120</v>
      </c>
      <c r="BT3" s="758" t="s">
        <v>121</v>
      </c>
      <c r="BU3" s="758" t="s">
        <v>122</v>
      </c>
      <c r="BW3" s="104" t="s">
        <v>103</v>
      </c>
      <c r="BX3" s="103"/>
      <c r="BY3" s="756" t="s">
        <v>39</v>
      </c>
      <c r="BZ3" s="756"/>
      <c r="CA3" s="756"/>
      <c r="CB3" s="756"/>
      <c r="CC3" s="756"/>
      <c r="CD3" s="756" t="s">
        <v>145</v>
      </c>
      <c r="CE3" s="756"/>
      <c r="CF3" s="756"/>
      <c r="CG3" s="756"/>
      <c r="CH3" s="756"/>
      <c r="CI3" s="756" t="s">
        <v>150</v>
      </c>
      <c r="CJ3" s="756"/>
      <c r="CK3" s="756"/>
      <c r="CL3" s="756"/>
      <c r="CM3" s="756"/>
      <c r="CN3" s="756"/>
      <c r="CO3" s="756" t="s">
        <v>553</v>
      </c>
      <c r="CP3" s="756"/>
      <c r="CQ3" s="756"/>
      <c r="CR3" s="756"/>
      <c r="CS3" s="756"/>
      <c r="CT3" s="756" t="s">
        <v>146</v>
      </c>
      <c r="CU3" s="756"/>
      <c r="CV3" s="756"/>
      <c r="CW3" s="756"/>
      <c r="CX3" s="756" t="s">
        <v>554</v>
      </c>
      <c r="CY3" s="756"/>
      <c r="CZ3" s="756"/>
      <c r="DA3" s="756"/>
      <c r="DB3" s="756" t="s">
        <v>70</v>
      </c>
      <c r="DC3" s="756"/>
      <c r="DD3" s="756"/>
      <c r="DE3" s="756"/>
    </row>
    <row r="4" spans="2:109" ht="21.75" customHeight="1" thickBot="1" x14ac:dyDescent="0.3">
      <c r="B4" s="765"/>
      <c r="C4" s="765"/>
      <c r="D4" s="758"/>
      <c r="E4" s="758"/>
      <c r="F4" s="758"/>
      <c r="G4" s="758"/>
      <c r="H4" s="758"/>
      <c r="I4" s="758"/>
      <c r="J4" s="758"/>
      <c r="K4" s="758"/>
      <c r="L4" s="758"/>
      <c r="M4" s="758"/>
      <c r="N4" s="758"/>
      <c r="O4" s="759"/>
      <c r="P4" s="764"/>
      <c r="Q4" s="758"/>
      <c r="R4" s="758"/>
      <c r="S4" s="774"/>
      <c r="T4" s="773"/>
      <c r="U4" s="773"/>
      <c r="V4" s="3" t="s">
        <v>43</v>
      </c>
      <c r="W4" s="3" t="s">
        <v>63</v>
      </c>
      <c r="X4" s="758"/>
      <c r="Y4" s="758"/>
      <c r="Z4" s="758"/>
      <c r="AA4" s="758"/>
      <c r="AB4" s="758"/>
      <c r="AC4" s="758"/>
      <c r="AD4" s="758"/>
      <c r="AE4" s="758"/>
      <c r="AF4" s="758"/>
      <c r="AG4" s="758"/>
      <c r="AH4" s="758"/>
      <c r="AI4" s="758"/>
      <c r="AJ4" s="758"/>
      <c r="AK4" s="758"/>
      <c r="AL4" s="759"/>
      <c r="AM4" s="759"/>
      <c r="AN4" s="759"/>
      <c r="AO4" s="761"/>
      <c r="AP4" s="758"/>
      <c r="AQ4" s="763"/>
      <c r="AR4" s="763"/>
      <c r="AS4" s="763"/>
      <c r="AT4" s="763"/>
      <c r="AU4" s="763"/>
      <c r="AV4" s="763"/>
      <c r="AW4" s="763"/>
      <c r="AX4" s="763"/>
      <c r="AY4" s="758"/>
      <c r="AZ4" s="3" t="s">
        <v>80</v>
      </c>
      <c r="BA4" s="3" t="s">
        <v>44</v>
      </c>
      <c r="BB4" s="758"/>
      <c r="BC4" s="758"/>
      <c r="BD4" s="758"/>
      <c r="BE4" s="758"/>
      <c r="BF4" s="758"/>
      <c r="BG4" s="758"/>
      <c r="BH4" s="758"/>
      <c r="BI4" s="758"/>
      <c r="BJ4" s="758"/>
      <c r="BK4" s="758"/>
      <c r="BL4" s="758"/>
      <c r="BM4" s="758"/>
      <c r="BN4" s="758"/>
      <c r="BO4" s="758"/>
      <c r="BP4" s="758"/>
      <c r="BQ4" s="758"/>
      <c r="BR4" s="758"/>
      <c r="BS4" s="758"/>
      <c r="BT4" s="758"/>
      <c r="BU4" s="758"/>
      <c r="BW4" s="104" t="s">
        <v>95</v>
      </c>
      <c r="BX4" s="103"/>
      <c r="BY4" s="104" t="s">
        <v>49</v>
      </c>
      <c r="BZ4" s="104" t="s">
        <v>50</v>
      </c>
      <c r="CA4" s="105" t="s">
        <v>220</v>
      </c>
      <c r="CB4" s="105" t="s">
        <v>221</v>
      </c>
      <c r="CC4" s="104" t="s">
        <v>64</v>
      </c>
      <c r="CD4" s="104" t="s">
        <v>49</v>
      </c>
      <c r="CE4" s="104" t="s">
        <v>50</v>
      </c>
      <c r="CF4" s="104" t="s">
        <v>61</v>
      </c>
      <c r="CG4" s="104" t="s">
        <v>64</v>
      </c>
      <c r="CH4" s="104" t="s">
        <v>72</v>
      </c>
      <c r="CI4" s="104" t="s">
        <v>49</v>
      </c>
      <c r="CJ4" s="104" t="s">
        <v>50</v>
      </c>
      <c r="CK4" s="104" t="s">
        <v>61</v>
      </c>
      <c r="CL4" s="104" t="s">
        <v>64</v>
      </c>
      <c r="CM4" s="104" t="s">
        <v>72</v>
      </c>
      <c r="CN4" s="104" t="s">
        <v>153</v>
      </c>
      <c r="CO4" s="104" t="s">
        <v>49</v>
      </c>
      <c r="CP4" s="104" t="s">
        <v>50</v>
      </c>
      <c r="CQ4" s="104" t="s">
        <v>61</v>
      </c>
      <c r="CR4" s="104" t="s">
        <v>64</v>
      </c>
      <c r="CS4" s="104" t="s">
        <v>72</v>
      </c>
      <c r="CT4" s="104" t="s">
        <v>49</v>
      </c>
      <c r="CU4" s="104" t="s">
        <v>50</v>
      </c>
      <c r="CV4" s="104" t="s">
        <v>61</v>
      </c>
      <c r="CW4" s="104" t="s">
        <v>72</v>
      </c>
      <c r="CX4" s="104" t="s">
        <v>49</v>
      </c>
      <c r="CY4" s="104" t="s">
        <v>50</v>
      </c>
      <c r="CZ4" s="104" t="s">
        <v>61</v>
      </c>
      <c r="DA4" s="104" t="s">
        <v>72</v>
      </c>
      <c r="DB4" s="104" t="s">
        <v>49</v>
      </c>
      <c r="DC4" s="104" t="s">
        <v>50</v>
      </c>
      <c r="DD4" s="104" t="s">
        <v>61</v>
      </c>
      <c r="DE4" s="104" t="s">
        <v>72</v>
      </c>
    </row>
    <row r="5" spans="2:109" ht="15.75" thickBot="1" x14ac:dyDescent="0.3">
      <c r="B5" s="7"/>
      <c r="C5" s="8"/>
      <c r="D5" s="9"/>
      <c r="E5" s="24"/>
      <c r="F5" s="10">
        <f>(D5/1000)*(E5/1000)*7850</f>
        <v>0</v>
      </c>
      <c r="G5" s="11"/>
      <c r="H5" s="11"/>
      <c r="I5" s="10">
        <f>F5*G5/1000</f>
        <v>0</v>
      </c>
      <c r="J5" s="10">
        <f>F5*G5/1000-H5</f>
        <v>0</v>
      </c>
      <c r="K5" s="14" t="e">
        <f>H5/J5*100</f>
        <v>#DIV/0!</v>
      </c>
      <c r="L5" s="9"/>
      <c r="M5" s="24" t="e">
        <f>(L5*1000)/J5</f>
        <v>#DIV/0!</v>
      </c>
      <c r="N5" s="24" t="e">
        <f>L5*1000/F5</f>
        <v>#DIV/0!</v>
      </c>
      <c r="O5" s="57">
        <v>25</v>
      </c>
      <c r="P5" s="59"/>
      <c r="Q5" s="11">
        <v>23</v>
      </c>
      <c r="R5" s="11"/>
      <c r="S5" s="11"/>
      <c r="T5" s="12" t="e">
        <f>VLOOKUP(R5,$BY$8:$CA$9,3)</f>
        <v>#N/A</v>
      </c>
      <c r="U5" s="14" t="e">
        <f>((Q5*(VLOOKUP(P5,$BY$5:$CA$6,3)))+60)/60</f>
        <v>#N/A</v>
      </c>
      <c r="V5" s="11"/>
      <c r="W5" s="26">
        <v>0</v>
      </c>
      <c r="X5" s="15" t="e">
        <f>(T5+U5+W5)</f>
        <v>#N/A</v>
      </c>
      <c r="Y5" s="11"/>
      <c r="Z5" s="12" t="e">
        <f>VLOOKUP(P5,$BY$5:$CC$6,5)</f>
        <v>#N/A</v>
      </c>
      <c r="AA5" s="14" t="e">
        <f>K5</f>
        <v>#DIV/0!</v>
      </c>
      <c r="AB5" s="14" t="e">
        <f>VLOOKUP(S5,$BY$12:$BZ$13,2)/G5*100</f>
        <v>#N/A</v>
      </c>
      <c r="AC5" s="11" t="e">
        <f>VLOOKUP(P5,$BY$5:$BZ$6,2)</f>
        <v>#N/A</v>
      </c>
      <c r="AD5" s="14">
        <f>F5*V5/O5/1000*100</f>
        <v>0</v>
      </c>
      <c r="AE5" s="14" t="e">
        <f>AF5-AA5</f>
        <v>#DIV/0!</v>
      </c>
      <c r="AF5" s="14" t="e">
        <f>AA5+AB5+AC5+AD5</f>
        <v>#DIV/0!</v>
      </c>
      <c r="AG5" s="14" t="e">
        <f>((Y5*F5/1000)^(-1))*((1+(100-Z5)/100))</f>
        <v>#DIV/0!</v>
      </c>
      <c r="AH5" s="14" t="e">
        <f>(X5*60)/O5</f>
        <v>#N/A</v>
      </c>
      <c r="AI5" s="11"/>
      <c r="AJ5" s="11"/>
      <c r="AK5" s="15" t="e">
        <f>AG5*O5/60</f>
        <v>#DIV/0!</v>
      </c>
      <c r="AL5" s="49" t="e">
        <f>AK5/(AI5*AJ5)</f>
        <v>#DIV/0!</v>
      </c>
      <c r="AM5" s="49" t="e">
        <f>(AK5+X5)/(AI5*AJ5)</f>
        <v>#DIV/0!</v>
      </c>
      <c r="AN5" s="49" t="e">
        <f>(AG5^-1)*AI5*60*AJ5</f>
        <v>#DIV/0!</v>
      </c>
      <c r="AO5" s="340" t="s">
        <v>145</v>
      </c>
      <c r="AP5" s="328"/>
      <c r="AQ5" s="328"/>
      <c r="AR5" s="330">
        <f>G5</f>
        <v>0</v>
      </c>
      <c r="AS5" s="342"/>
      <c r="AT5" s="330"/>
      <c r="AU5" s="342"/>
      <c r="AV5" s="342"/>
      <c r="AW5" s="332" t="e">
        <f>VLOOKUP(AP5,$CD$5:$CH$9,5)</f>
        <v>#N/A</v>
      </c>
      <c r="AX5" s="332" t="e">
        <f t="shared" ref="AX5:AX10" si="0">AT5*AR5+AW5</f>
        <v>#N/A</v>
      </c>
      <c r="AY5" s="332" t="e">
        <f>VLOOKUP(AP5,$CD$5:$CH$9,3)</f>
        <v>#N/A</v>
      </c>
      <c r="AZ5" s="330"/>
      <c r="BA5" s="328"/>
      <c r="BB5" s="331" t="e">
        <f t="shared" ref="BB5:BB10" si="1">AY5+BA5/60</f>
        <v>#N/A</v>
      </c>
      <c r="BC5" s="332" t="e">
        <f>VLOOKUP(AQ5,$CD$12:$CE$15,2)</f>
        <v>#N/A</v>
      </c>
      <c r="BD5" s="331" t="e">
        <f t="shared" ref="BD5:BD10" si="2">BC5/60</f>
        <v>#N/A</v>
      </c>
      <c r="BE5" s="332" t="e">
        <f>VLOOKUP(AP5,$CD$5:$CH$9,4)</f>
        <v>#N/A</v>
      </c>
      <c r="BF5" s="342"/>
      <c r="BG5" s="331" t="e">
        <f t="shared" ref="BG5:BG10" si="3">(AX5-AR5*AT5)/AX5*100</f>
        <v>#N/A</v>
      </c>
      <c r="BH5" s="333">
        <f>(F5*AR5*AZ5/1000)/1000/O5*100</f>
        <v>0</v>
      </c>
      <c r="BI5" s="333" t="e">
        <f t="shared" ref="BI5:BI10" si="4">BF5+BG5+BH5</f>
        <v>#N/A</v>
      </c>
      <c r="BJ5" s="329" t="e">
        <f>BC5/(F5*AR5/1000)/60*1000*((1+(100-BE5)/100))</f>
        <v>#N/A</v>
      </c>
      <c r="BK5" s="332" t="e">
        <f>BB5*60/O5</f>
        <v>#N/A</v>
      </c>
      <c r="BL5" s="330"/>
      <c r="BM5" s="330"/>
      <c r="BN5" s="329" t="e">
        <f>BJ5*L5/60+BB5</f>
        <v>#N/A</v>
      </c>
      <c r="BO5" s="329" t="e">
        <f t="shared" ref="BO5:BO10" si="5">BN5/(BL5*BM5)</f>
        <v>#N/A</v>
      </c>
      <c r="BP5" s="334"/>
      <c r="BQ5" s="334"/>
      <c r="BR5" s="331" t="e">
        <f>#REF!/100*BQ5</f>
        <v>#REF!</v>
      </c>
      <c r="BS5" s="331" t="e">
        <f t="shared" ref="BS5:BS10" si="6">BK5/60*BP5</f>
        <v>#N/A</v>
      </c>
      <c r="BT5" s="331" t="e">
        <f t="shared" ref="BT5:BT10" si="7">BJ5/60*BP5</f>
        <v>#N/A</v>
      </c>
      <c r="BU5" s="331" t="e">
        <f t="shared" ref="BU5:BU10" si="8">BR5+BS5+BT5</f>
        <v>#REF!</v>
      </c>
      <c r="BW5" s="106">
        <v>0.6</v>
      </c>
      <c r="BX5" s="103"/>
      <c r="BY5" s="107" t="s">
        <v>57</v>
      </c>
      <c r="BZ5" s="107">
        <v>10</v>
      </c>
      <c r="CA5" s="108">
        <v>4</v>
      </c>
      <c r="CB5" s="108">
        <v>30</v>
      </c>
      <c r="CC5" s="107">
        <v>50</v>
      </c>
      <c r="CD5" s="107" t="s">
        <v>418</v>
      </c>
      <c r="CE5" s="107">
        <v>1.5</v>
      </c>
      <c r="CF5" s="107">
        <f>15/60</f>
        <v>0.25</v>
      </c>
      <c r="CG5" s="107">
        <v>90</v>
      </c>
      <c r="CH5" s="107">
        <v>50</v>
      </c>
      <c r="CI5" s="107" t="s">
        <v>413</v>
      </c>
      <c r="CJ5" s="107">
        <v>1</v>
      </c>
      <c r="CK5" s="107">
        <f>15/60</f>
        <v>0.25</v>
      </c>
      <c r="CL5" s="107">
        <v>65</v>
      </c>
      <c r="CM5" s="107">
        <v>50</v>
      </c>
      <c r="CN5" s="107">
        <v>2.5</v>
      </c>
      <c r="CO5" s="4" t="s">
        <v>557</v>
      </c>
      <c r="CP5" s="4"/>
      <c r="CQ5" s="4">
        <v>0.75</v>
      </c>
      <c r="CR5" s="4">
        <v>80</v>
      </c>
      <c r="CS5" s="4">
        <v>400</v>
      </c>
      <c r="CT5" s="4" t="s">
        <v>556</v>
      </c>
      <c r="CU5" s="343"/>
      <c r="CV5" s="344">
        <v>0.35</v>
      </c>
      <c r="CW5" s="345">
        <v>120</v>
      </c>
      <c r="CX5" s="343" t="s">
        <v>408</v>
      </c>
      <c r="CY5" s="343">
        <v>3</v>
      </c>
      <c r="CZ5" s="343">
        <v>1</v>
      </c>
      <c r="DA5" s="343"/>
      <c r="DB5" s="107" t="s">
        <v>407</v>
      </c>
      <c r="DC5" s="107"/>
      <c r="DD5" s="107">
        <v>0.5</v>
      </c>
      <c r="DE5" s="107"/>
    </row>
    <row r="6" spans="2:109" ht="26.25" thickBot="1" x14ac:dyDescent="0.25">
      <c r="U6" s="63" t="s">
        <v>222</v>
      </c>
      <c r="V6" s="63" t="s">
        <v>223</v>
      </c>
      <c r="W6" s="63" t="s">
        <v>224</v>
      </c>
      <c r="AC6" s="25"/>
      <c r="AD6" s="25"/>
      <c r="AE6" s="21"/>
      <c r="AF6" s="56"/>
      <c r="AO6" s="340" t="s">
        <v>150</v>
      </c>
      <c r="AP6" s="328"/>
      <c r="AQ6" s="341"/>
      <c r="AR6" s="330">
        <f>G5</f>
        <v>0</v>
      </c>
      <c r="AS6" s="342"/>
      <c r="AT6" s="330"/>
      <c r="AU6" s="330"/>
      <c r="AV6" s="330"/>
      <c r="AW6" s="332" t="e">
        <f>VLOOKUP(AP6,$CI$5:$CN$5,5)</f>
        <v>#N/A</v>
      </c>
      <c r="AX6" s="332" t="e">
        <f t="shared" si="0"/>
        <v>#N/A</v>
      </c>
      <c r="AY6" s="332" t="e">
        <f>VLOOKUP(AP6,$CI$5:$CM$5,3)</f>
        <v>#N/A</v>
      </c>
      <c r="AZ6" s="330"/>
      <c r="BA6" s="328"/>
      <c r="BB6" s="331" t="e">
        <f t="shared" si="1"/>
        <v>#N/A</v>
      </c>
      <c r="BC6" s="329" t="e">
        <f>(VLOOKUP(AP6,$CI$5:$CN$5,6)*AV6*(AT6+1))/(AT6*AU6)</f>
        <v>#N/A</v>
      </c>
      <c r="BD6" s="331" t="e">
        <f t="shared" si="2"/>
        <v>#N/A</v>
      </c>
      <c r="BE6" s="332" t="e">
        <f>VLOOKUP(AP6,$CI$5:$CM$5,4)</f>
        <v>#N/A</v>
      </c>
      <c r="BF6" s="342"/>
      <c r="BG6" s="331" t="e">
        <f t="shared" si="3"/>
        <v>#N/A</v>
      </c>
      <c r="BH6" s="333">
        <f>(F5*AR6*AZ6/1000)/1000/O5*100</f>
        <v>0</v>
      </c>
      <c r="BI6" s="333" t="e">
        <f t="shared" si="4"/>
        <v>#N/A</v>
      </c>
      <c r="BJ6" s="329" t="e">
        <f>BC6/(F5*AR6/1000)/60*1000*((1+(100-BE6)/100))</f>
        <v>#N/A</v>
      </c>
      <c r="BK6" s="332" t="e">
        <f>BB6*60/O5</f>
        <v>#N/A</v>
      </c>
      <c r="BL6" s="330"/>
      <c r="BM6" s="330"/>
      <c r="BN6" s="329" t="e">
        <f>BJ6*L5/60+BB6</f>
        <v>#N/A</v>
      </c>
      <c r="BO6" s="329" t="e">
        <f t="shared" si="5"/>
        <v>#N/A</v>
      </c>
      <c r="BP6" s="334"/>
      <c r="BQ6" s="334"/>
      <c r="BR6" s="331" t="e">
        <f>#REF!/100*BQ6</f>
        <v>#REF!</v>
      </c>
      <c r="BS6" s="331" t="e">
        <f t="shared" si="6"/>
        <v>#N/A</v>
      </c>
      <c r="BT6" s="331" t="e">
        <f t="shared" si="7"/>
        <v>#N/A</v>
      </c>
      <c r="BU6" s="331" t="e">
        <f t="shared" si="8"/>
        <v>#REF!</v>
      </c>
      <c r="BW6" s="106">
        <v>0.75</v>
      </c>
      <c r="BX6" s="103"/>
      <c r="BY6" s="103"/>
      <c r="BZ6" s="112"/>
      <c r="CA6" s="103"/>
      <c r="CB6" s="103"/>
      <c r="CC6" s="103"/>
      <c r="CD6" s="103"/>
      <c r="CE6" s="103"/>
      <c r="CF6" s="103"/>
      <c r="CG6" s="103"/>
      <c r="CH6" s="103"/>
      <c r="CI6" s="107" t="s">
        <v>551</v>
      </c>
      <c r="CJ6" s="107">
        <v>1</v>
      </c>
      <c r="CK6" s="107">
        <f>15/60</f>
        <v>0.25</v>
      </c>
      <c r="CL6" s="107">
        <v>65</v>
      </c>
      <c r="CM6" s="107">
        <v>50</v>
      </c>
      <c r="CN6" s="107">
        <v>2.5</v>
      </c>
      <c r="CO6" s="4" t="s">
        <v>558</v>
      </c>
      <c r="CP6" s="4"/>
      <c r="CQ6" s="4">
        <v>0.75</v>
      </c>
      <c r="CR6" s="4">
        <v>80</v>
      </c>
      <c r="CS6" s="4">
        <v>400</v>
      </c>
      <c r="CT6" s="4" t="s">
        <v>555</v>
      </c>
      <c r="CU6" s="343"/>
      <c r="CV6" s="344">
        <v>0.35</v>
      </c>
      <c r="CW6" s="345">
        <v>120</v>
      </c>
      <c r="CX6" s="343" t="s">
        <v>409</v>
      </c>
      <c r="CY6" s="343">
        <v>3</v>
      </c>
      <c r="CZ6" s="343">
        <v>1</v>
      </c>
      <c r="DA6" s="343"/>
      <c r="DB6" s="103"/>
      <c r="DC6" s="103"/>
      <c r="DD6" s="103"/>
      <c r="DE6" s="103"/>
    </row>
    <row r="7" spans="2:109" ht="18.75" customHeight="1" thickBot="1" x14ac:dyDescent="0.3">
      <c r="U7" s="14">
        <f>Q5*$CB$5/60</f>
        <v>11.5</v>
      </c>
      <c r="V7" s="64">
        <v>82.38</v>
      </c>
      <c r="W7" s="439">
        <f>U7*V7/O5</f>
        <v>37.894799999999996</v>
      </c>
      <c r="AO7" s="340" t="s">
        <v>553</v>
      </c>
      <c r="AP7" s="328"/>
      <c r="AQ7" s="328"/>
      <c r="AR7" s="330">
        <f>G5</f>
        <v>0</v>
      </c>
      <c r="AS7" s="346">
        <f>H5</f>
        <v>0</v>
      </c>
      <c r="AT7" s="330"/>
      <c r="AU7" s="342"/>
      <c r="AV7" s="342"/>
      <c r="AW7" s="332" t="e">
        <f>VLOOKUP(AP7,$CO$5:$CS$6,5)</f>
        <v>#N/A</v>
      </c>
      <c r="AX7" s="332" t="e">
        <f t="shared" si="0"/>
        <v>#N/A</v>
      </c>
      <c r="AY7" s="332" t="e">
        <f>VLOOKUP(AP7,$CI$5:$CM$5,3)</f>
        <v>#N/A</v>
      </c>
      <c r="AZ7" s="330"/>
      <c r="BA7" s="328"/>
      <c r="BB7" s="331" t="e">
        <f t="shared" si="1"/>
        <v>#N/A</v>
      </c>
      <c r="BC7" s="330"/>
      <c r="BD7" s="331">
        <f t="shared" si="2"/>
        <v>0</v>
      </c>
      <c r="BE7" s="332" t="e">
        <f>VLOOKUP(AP7,$CO$5:$CS$5,4)</f>
        <v>#N/A</v>
      </c>
      <c r="BF7" s="332" t="e">
        <f>AS7/J5*100</f>
        <v>#DIV/0!</v>
      </c>
      <c r="BG7" s="331" t="e">
        <f t="shared" si="3"/>
        <v>#N/A</v>
      </c>
      <c r="BH7" s="333">
        <f>(F5*AR7*AZ7/1000)/1000/O5*100</f>
        <v>0</v>
      </c>
      <c r="BI7" s="333" t="e">
        <f t="shared" si="4"/>
        <v>#DIV/0!</v>
      </c>
      <c r="BJ7" s="329" t="e">
        <f>BC7/(F5*AR7/1000)/60*1000*((1+(100-BE7)/100))</f>
        <v>#DIV/0!</v>
      </c>
      <c r="BK7" s="332" t="e">
        <f>BB7*60/O5</f>
        <v>#N/A</v>
      </c>
      <c r="BL7" s="330"/>
      <c r="BM7" s="330"/>
      <c r="BN7" s="329" t="e">
        <f>BJ7*L5/60+BB7</f>
        <v>#DIV/0!</v>
      </c>
      <c r="BO7" s="329" t="e">
        <f t="shared" si="5"/>
        <v>#DIV/0!</v>
      </c>
      <c r="BP7" s="334"/>
      <c r="BQ7" s="334"/>
      <c r="BR7" s="331" t="e">
        <f>#REF!/100*BQ7</f>
        <v>#REF!</v>
      </c>
      <c r="BS7" s="331" t="e">
        <f t="shared" si="6"/>
        <v>#N/A</v>
      </c>
      <c r="BT7" s="331" t="e">
        <f t="shared" si="7"/>
        <v>#DIV/0!</v>
      </c>
      <c r="BU7" s="331" t="e">
        <f t="shared" si="8"/>
        <v>#REF!</v>
      </c>
      <c r="BW7" s="106">
        <v>0.9</v>
      </c>
      <c r="BX7" s="103"/>
      <c r="BY7" s="756" t="s">
        <v>105</v>
      </c>
      <c r="BZ7" s="756"/>
      <c r="CA7" s="756"/>
      <c r="CB7" s="756"/>
      <c r="CC7" s="756"/>
      <c r="CD7" s="103"/>
      <c r="CE7" s="103"/>
      <c r="CF7" s="103"/>
      <c r="CG7" s="103"/>
      <c r="CH7" s="103"/>
      <c r="CI7" s="103"/>
      <c r="CJ7" s="103"/>
      <c r="CK7" s="103"/>
      <c r="CL7" s="103"/>
      <c r="CM7" s="103"/>
      <c r="CN7" s="103"/>
      <c r="CR7" s="103"/>
      <c r="CS7" s="103"/>
      <c r="CT7" s="343" t="s">
        <v>552</v>
      </c>
      <c r="CU7" s="343"/>
      <c r="CV7" s="344">
        <v>1</v>
      </c>
      <c r="CW7" s="345">
        <v>50</v>
      </c>
      <c r="DD7" s="103"/>
      <c r="DE7" s="103"/>
    </row>
    <row r="8" spans="2:109" ht="13.5" thickBot="1" x14ac:dyDescent="0.25">
      <c r="AO8" s="340" t="s">
        <v>146</v>
      </c>
      <c r="AP8" s="328"/>
      <c r="AQ8" s="328"/>
      <c r="AR8" s="330">
        <f>G5</f>
        <v>0</v>
      </c>
      <c r="AS8" s="346">
        <f>H5</f>
        <v>0</v>
      </c>
      <c r="AT8" s="330"/>
      <c r="AU8" s="214"/>
      <c r="AV8" s="214"/>
      <c r="AW8" s="332" t="e">
        <f>VLOOKUP(AP8,$CT$5:$CW$7,4)</f>
        <v>#N/A</v>
      </c>
      <c r="AX8" s="332" t="e">
        <f t="shared" si="0"/>
        <v>#N/A</v>
      </c>
      <c r="AY8" s="332" t="e">
        <f>VLOOKUP(AP8,$CT$5:$CW$7,3)</f>
        <v>#N/A</v>
      </c>
      <c r="AZ8" s="330"/>
      <c r="BA8" s="328"/>
      <c r="BB8" s="331" t="e">
        <f t="shared" si="1"/>
        <v>#N/A</v>
      </c>
      <c r="BC8" s="330"/>
      <c r="BD8" s="331">
        <f t="shared" si="2"/>
        <v>0</v>
      </c>
      <c r="BE8" s="332" t="e">
        <f>VLOOKUP(AQ8,$CT$10:$CU$12,2)</f>
        <v>#N/A</v>
      </c>
      <c r="BF8" s="332" t="e">
        <f>AS8/J5*100</f>
        <v>#DIV/0!</v>
      </c>
      <c r="BG8" s="331" t="e">
        <f t="shared" si="3"/>
        <v>#N/A</v>
      </c>
      <c r="BH8" s="333">
        <f>(F5*AR8*AZ8/1000)/1000/O5*100</f>
        <v>0</v>
      </c>
      <c r="BI8" s="333" t="e">
        <f t="shared" si="4"/>
        <v>#DIV/0!</v>
      </c>
      <c r="BJ8" s="329" t="e">
        <f>BC8/(F5*AR8/1000)/60*1000*((1+(100-BE8)/100))</f>
        <v>#DIV/0!</v>
      </c>
      <c r="BK8" s="332" t="e">
        <f>BB8*60/O5</f>
        <v>#N/A</v>
      </c>
      <c r="BL8" s="330"/>
      <c r="BM8" s="330"/>
      <c r="BN8" s="329" t="e">
        <f>BJ8*L5/60+BB8</f>
        <v>#DIV/0!</v>
      </c>
      <c r="BO8" s="329" t="e">
        <f t="shared" si="5"/>
        <v>#DIV/0!</v>
      </c>
      <c r="BP8" s="334"/>
      <c r="BQ8" s="334"/>
      <c r="BR8" s="331" t="e">
        <f>#REF!/100*BQ8</f>
        <v>#REF!</v>
      </c>
      <c r="BS8" s="331" t="e">
        <f t="shared" si="6"/>
        <v>#N/A</v>
      </c>
      <c r="BT8" s="331" t="e">
        <f t="shared" si="7"/>
        <v>#DIV/0!</v>
      </c>
      <c r="BU8" s="331" t="e">
        <f t="shared" si="8"/>
        <v>#REF!</v>
      </c>
      <c r="BW8" s="106">
        <v>0.95</v>
      </c>
      <c r="BX8" s="103"/>
      <c r="BY8" s="107" t="s">
        <v>89</v>
      </c>
      <c r="BZ8" s="107">
        <v>0</v>
      </c>
      <c r="CA8" s="107">
        <v>0</v>
      </c>
      <c r="CB8" s="114"/>
      <c r="CC8" s="109"/>
      <c r="CD8" s="103"/>
      <c r="CE8" s="103"/>
      <c r="CF8" s="103"/>
      <c r="CG8" s="103"/>
      <c r="CH8" s="103"/>
      <c r="CI8" s="103"/>
      <c r="CJ8" s="103"/>
      <c r="CK8" s="103"/>
      <c r="CL8" s="103"/>
      <c r="CM8" s="103"/>
      <c r="CN8" s="103"/>
      <c r="CO8" s="756" t="s">
        <v>81</v>
      </c>
      <c r="CP8" s="756"/>
      <c r="CQ8" s="756"/>
      <c r="CR8" s="103"/>
      <c r="CS8" s="103"/>
      <c r="CT8" s="756" t="s">
        <v>81</v>
      </c>
      <c r="CU8" s="756"/>
      <c r="CV8" s="103"/>
      <c r="CW8" s="103"/>
      <c r="CX8" s="756" t="s">
        <v>81</v>
      </c>
      <c r="CY8" s="756"/>
      <c r="CZ8" s="103"/>
      <c r="DA8" s="103"/>
      <c r="DB8" s="756" t="s">
        <v>81</v>
      </c>
      <c r="DC8" s="756"/>
      <c r="DD8" s="103"/>
      <c r="DE8" s="103"/>
    </row>
    <row r="9" spans="2:109" ht="13.5" thickBot="1" x14ac:dyDescent="0.25">
      <c r="AO9" s="340" t="s">
        <v>554</v>
      </c>
      <c r="AP9" s="328"/>
      <c r="AQ9" s="328"/>
      <c r="AR9" s="330">
        <f>G5</f>
        <v>0</v>
      </c>
      <c r="AS9" s="346">
        <f>H5</f>
        <v>0</v>
      </c>
      <c r="AT9" s="330"/>
      <c r="AU9" s="214"/>
      <c r="AV9" s="214"/>
      <c r="AW9" s="332" t="e">
        <f>VLOOKUP(AP9,$CX$5:$DA$6,4)</f>
        <v>#N/A</v>
      </c>
      <c r="AX9" s="332" t="e">
        <f t="shared" si="0"/>
        <v>#N/A</v>
      </c>
      <c r="AY9" s="332" t="e">
        <f>VLOOKUP(AP9,$CX$5:$DA$6,3)</f>
        <v>#N/A</v>
      </c>
      <c r="AZ9" s="330"/>
      <c r="BA9" s="328"/>
      <c r="BB9" s="331" t="e">
        <f t="shared" si="1"/>
        <v>#N/A</v>
      </c>
      <c r="BC9" s="330"/>
      <c r="BD9" s="331">
        <f t="shared" si="2"/>
        <v>0</v>
      </c>
      <c r="BE9" s="332" t="e">
        <f>VLOOKUP(AQ9,$CX$10:$CY$12,2)</f>
        <v>#N/A</v>
      </c>
      <c r="BF9" s="332" t="e">
        <f>AS9/J5*100</f>
        <v>#DIV/0!</v>
      </c>
      <c r="BG9" s="331" t="e">
        <f t="shared" si="3"/>
        <v>#N/A</v>
      </c>
      <c r="BH9" s="333">
        <f>(F5*AR9*AZ9/1000)/1000/O5*100</f>
        <v>0</v>
      </c>
      <c r="BI9" s="333" t="e">
        <f t="shared" si="4"/>
        <v>#DIV/0!</v>
      </c>
      <c r="BJ9" s="329" t="e">
        <f>BC9/(F5*AR9/1000)/60*1000*((1+(100-BE9)/100))</f>
        <v>#DIV/0!</v>
      </c>
      <c r="BK9" s="332" t="e">
        <f>BB9*60/O5</f>
        <v>#N/A</v>
      </c>
      <c r="BL9" s="330"/>
      <c r="BM9" s="330"/>
      <c r="BN9" s="329" t="e">
        <f>BJ9*L5/60+BB9</f>
        <v>#DIV/0!</v>
      </c>
      <c r="BO9" s="329" t="e">
        <f t="shared" si="5"/>
        <v>#DIV/0!</v>
      </c>
      <c r="BP9" s="334"/>
      <c r="BQ9" s="334"/>
      <c r="BR9" s="331" t="e">
        <f>#REF!/100*BQ9</f>
        <v>#REF!</v>
      </c>
      <c r="BS9" s="331" t="e">
        <f t="shared" si="6"/>
        <v>#N/A</v>
      </c>
      <c r="BT9" s="331" t="e">
        <f t="shared" si="7"/>
        <v>#DIV/0!</v>
      </c>
      <c r="BU9" s="331" t="e">
        <f t="shared" si="8"/>
        <v>#REF!</v>
      </c>
      <c r="BW9" s="106">
        <v>1.06</v>
      </c>
      <c r="BX9" s="103"/>
      <c r="BY9" s="107" t="s">
        <v>88</v>
      </c>
      <c r="BZ9" s="106" t="s">
        <v>116</v>
      </c>
      <c r="CA9" s="106">
        <v>2</v>
      </c>
      <c r="CB9" s="115"/>
      <c r="CC9" s="109"/>
      <c r="CD9" s="103"/>
      <c r="CE9" s="103"/>
      <c r="CF9" s="103"/>
      <c r="CG9" s="103"/>
      <c r="CH9" s="103"/>
      <c r="CI9" s="103"/>
      <c r="CJ9" s="103"/>
      <c r="CK9" s="103"/>
      <c r="CL9" s="103"/>
      <c r="CM9" s="103"/>
      <c r="CN9" s="103"/>
      <c r="CO9" s="104" t="s">
        <v>85</v>
      </c>
      <c r="CP9" s="104" t="s">
        <v>163</v>
      </c>
      <c r="CQ9" s="104" t="s">
        <v>50</v>
      </c>
      <c r="CR9" s="103"/>
      <c r="CS9" s="103"/>
      <c r="CT9" s="104" t="s">
        <v>85</v>
      </c>
      <c r="CU9" s="104" t="s">
        <v>64</v>
      </c>
      <c r="CV9" s="103"/>
      <c r="CW9" s="103"/>
      <c r="CX9" s="104" t="s">
        <v>85</v>
      </c>
      <c r="CY9" s="104" t="s">
        <v>64</v>
      </c>
      <c r="CZ9" s="103"/>
      <c r="DA9" s="103"/>
      <c r="DB9" s="104" t="s">
        <v>85</v>
      </c>
      <c r="DC9" s="104" t="s">
        <v>64</v>
      </c>
      <c r="DD9" s="103"/>
      <c r="DE9" s="103"/>
    </row>
    <row r="10" spans="2:109" ht="13.5" thickBot="1" x14ac:dyDescent="0.25">
      <c r="AO10" s="340" t="s">
        <v>70</v>
      </c>
      <c r="AP10" s="328"/>
      <c r="AQ10" s="328"/>
      <c r="AR10" s="330">
        <f>G5</f>
        <v>0</v>
      </c>
      <c r="AS10" s="346">
        <f>H5</f>
        <v>0</v>
      </c>
      <c r="AT10" s="330"/>
      <c r="AU10" s="214"/>
      <c r="AV10" s="214"/>
      <c r="AW10" s="332" t="e">
        <f>VLOOKUP(AP10,$DB$5:$DE$5,4)</f>
        <v>#N/A</v>
      </c>
      <c r="AX10" s="332" t="e">
        <f t="shared" si="0"/>
        <v>#N/A</v>
      </c>
      <c r="AY10" s="332" t="e">
        <f>VLOOKUP(AP10,$DB$5:$DE$5,3)</f>
        <v>#N/A</v>
      </c>
      <c r="AZ10" s="330"/>
      <c r="BA10" s="328"/>
      <c r="BB10" s="331" t="e">
        <f t="shared" si="1"/>
        <v>#N/A</v>
      </c>
      <c r="BC10" s="330"/>
      <c r="BD10" s="331">
        <f t="shared" si="2"/>
        <v>0</v>
      </c>
      <c r="BE10" s="332" t="e">
        <f>VLOOKUP(AQ10,$DB$10:$DC$12,2)</f>
        <v>#N/A</v>
      </c>
      <c r="BF10" s="332" t="e">
        <f>AS10/J5*100</f>
        <v>#DIV/0!</v>
      </c>
      <c r="BG10" s="331" t="e">
        <f t="shared" si="3"/>
        <v>#N/A</v>
      </c>
      <c r="BH10" s="333">
        <f>(F5*AR10*AZ10/1000)/1000/O5*100</f>
        <v>0</v>
      </c>
      <c r="BI10" s="333" t="e">
        <f t="shared" si="4"/>
        <v>#DIV/0!</v>
      </c>
      <c r="BJ10" s="329" t="e">
        <f>BC10/(F5*AR10/1000)/60*1000*((1+(100-BE10)/100))</f>
        <v>#DIV/0!</v>
      </c>
      <c r="BK10" s="332" t="e">
        <f>BB10*60/O5</f>
        <v>#N/A</v>
      </c>
      <c r="BL10" s="330"/>
      <c r="BM10" s="330"/>
      <c r="BN10" s="329" t="e">
        <f>BJ10*L5/60+BB10</f>
        <v>#DIV/0!</v>
      </c>
      <c r="BO10" s="329" t="e">
        <f t="shared" si="5"/>
        <v>#DIV/0!</v>
      </c>
      <c r="BP10" s="334"/>
      <c r="BQ10" s="334"/>
      <c r="BR10" s="331" t="e">
        <f>#REF!/100*BQ10</f>
        <v>#REF!</v>
      </c>
      <c r="BS10" s="331" t="e">
        <f t="shared" si="6"/>
        <v>#N/A</v>
      </c>
      <c r="BT10" s="331" t="e">
        <f t="shared" si="7"/>
        <v>#DIV/0!</v>
      </c>
      <c r="BU10" s="331" t="e">
        <f t="shared" si="8"/>
        <v>#REF!</v>
      </c>
      <c r="BW10" s="106">
        <v>1.2</v>
      </c>
      <c r="BX10" s="103"/>
      <c r="BY10" s="756" t="s">
        <v>109</v>
      </c>
      <c r="BZ10" s="756"/>
      <c r="CA10" s="756"/>
      <c r="CB10" s="756"/>
      <c r="CC10" s="756"/>
      <c r="CD10" s="756" t="s">
        <v>81</v>
      </c>
      <c r="CE10" s="756"/>
      <c r="CF10" s="103"/>
      <c r="CG10" s="103"/>
      <c r="CH10" s="103"/>
      <c r="CI10" s="103"/>
      <c r="CJ10" s="103"/>
      <c r="CK10" s="103"/>
      <c r="CL10" s="103"/>
      <c r="CM10" s="103"/>
      <c r="CN10" s="103"/>
      <c r="CO10" s="107" t="s">
        <v>160</v>
      </c>
      <c r="CP10" s="107">
        <v>1</v>
      </c>
      <c r="CQ10" s="107">
        <v>0</v>
      </c>
      <c r="CR10" s="103"/>
      <c r="CS10" s="103"/>
      <c r="CT10" s="107" t="s">
        <v>82</v>
      </c>
      <c r="CU10" s="107">
        <v>90</v>
      </c>
      <c r="CV10" s="103"/>
      <c r="CW10" s="103"/>
      <c r="CX10" s="107" t="s">
        <v>82</v>
      </c>
      <c r="CY10" s="107">
        <v>70</v>
      </c>
      <c r="CZ10" s="103"/>
      <c r="DA10" s="103"/>
      <c r="DB10" s="107" t="s">
        <v>82</v>
      </c>
      <c r="DC10" s="107">
        <v>90</v>
      </c>
      <c r="DD10" s="103"/>
      <c r="DE10" s="103"/>
    </row>
    <row r="11" spans="2:109" x14ac:dyDescent="0.2">
      <c r="BW11" s="106">
        <v>1.25</v>
      </c>
      <c r="BX11" s="103"/>
      <c r="BY11" s="104" t="s">
        <v>154</v>
      </c>
      <c r="BZ11" s="104" t="s">
        <v>95</v>
      </c>
      <c r="CA11" s="103"/>
      <c r="CB11" s="103"/>
      <c r="CC11" s="109"/>
      <c r="CD11" s="104" t="s">
        <v>154</v>
      </c>
      <c r="CE11" s="104" t="s">
        <v>159</v>
      </c>
      <c r="CF11" s="103"/>
      <c r="CG11" s="103"/>
      <c r="CH11" s="103"/>
      <c r="CI11" s="103"/>
      <c r="CJ11" s="103"/>
      <c r="CK11" s="103"/>
      <c r="CL11" s="103"/>
      <c r="CM11" s="103"/>
      <c r="CN11" s="103"/>
      <c r="CO11" s="107" t="s">
        <v>161</v>
      </c>
      <c r="CP11" s="107">
        <v>2</v>
      </c>
      <c r="CQ11" s="107">
        <v>1</v>
      </c>
      <c r="CR11" s="103"/>
      <c r="CS11" s="103"/>
      <c r="CT11" s="107" t="s">
        <v>83</v>
      </c>
      <c r="CU11" s="107">
        <v>80</v>
      </c>
      <c r="CV11" s="103"/>
      <c r="CW11" s="103"/>
      <c r="CX11" s="107" t="s">
        <v>83</v>
      </c>
      <c r="CY11" s="107">
        <v>65</v>
      </c>
      <c r="CZ11" s="103"/>
      <c r="DA11" s="103"/>
      <c r="DB11" s="107" t="s">
        <v>83</v>
      </c>
      <c r="DC11" s="107">
        <v>80</v>
      </c>
      <c r="DD11" s="103"/>
      <c r="DE11" s="103"/>
    </row>
    <row r="12" spans="2:109" x14ac:dyDescent="0.2">
      <c r="BW12" s="106">
        <v>1.5</v>
      </c>
      <c r="BX12" s="103"/>
      <c r="BY12" s="107" t="s">
        <v>111</v>
      </c>
      <c r="BZ12" s="116">
        <v>8</v>
      </c>
      <c r="CA12" s="103"/>
      <c r="CB12" s="103"/>
      <c r="CC12" s="103"/>
      <c r="CD12" s="107" t="s">
        <v>155</v>
      </c>
      <c r="CE12" s="107">
        <v>5</v>
      </c>
      <c r="CF12" s="103"/>
      <c r="CG12" s="103"/>
      <c r="CH12" s="103"/>
      <c r="CI12" s="103"/>
      <c r="CJ12" s="103"/>
      <c r="CK12" s="103"/>
      <c r="CL12" s="103"/>
      <c r="CM12" s="103"/>
      <c r="CN12" s="103"/>
      <c r="CO12" s="103"/>
      <c r="CP12" s="103"/>
      <c r="CQ12" s="103"/>
      <c r="CR12" s="103"/>
      <c r="CS12" s="103"/>
      <c r="CT12" s="107" t="s">
        <v>84</v>
      </c>
      <c r="CU12" s="107">
        <v>70</v>
      </c>
      <c r="CV12" s="103"/>
      <c r="CW12" s="103"/>
      <c r="CX12" s="107" t="s">
        <v>84</v>
      </c>
      <c r="CY12" s="107">
        <v>60</v>
      </c>
      <c r="CZ12" s="103"/>
      <c r="DA12" s="103"/>
      <c r="DB12" s="107" t="s">
        <v>84</v>
      </c>
      <c r="DC12" s="107">
        <v>70</v>
      </c>
      <c r="DD12" s="103"/>
      <c r="DE12" s="103"/>
    </row>
    <row r="13" spans="2:109" x14ac:dyDescent="0.2">
      <c r="BW13" s="106">
        <v>1.55</v>
      </c>
      <c r="BX13" s="103"/>
      <c r="BY13" s="107" t="s">
        <v>188</v>
      </c>
      <c r="BZ13" s="116">
        <v>3</v>
      </c>
      <c r="CA13" s="103"/>
      <c r="CB13" s="103"/>
      <c r="CC13" s="103"/>
      <c r="CD13" s="107" t="s">
        <v>157</v>
      </c>
      <c r="CE13" s="107">
        <v>10</v>
      </c>
      <c r="CF13" s="103"/>
      <c r="CG13" s="103"/>
      <c r="CH13" s="103"/>
      <c r="CI13" s="103"/>
      <c r="CJ13" s="103"/>
      <c r="CK13" s="103"/>
      <c r="CL13" s="103"/>
      <c r="CM13" s="103"/>
      <c r="CN13" s="103"/>
      <c r="CO13" s="103"/>
      <c r="CP13" s="103"/>
      <c r="CQ13" s="103"/>
      <c r="CR13" s="103"/>
      <c r="CS13" s="103"/>
      <c r="CT13" s="103"/>
      <c r="CU13" s="103"/>
      <c r="CV13" s="103"/>
      <c r="CW13" s="103"/>
      <c r="CX13" s="103"/>
      <c r="CY13" s="103"/>
      <c r="CZ13" s="103"/>
      <c r="DA13" s="103"/>
      <c r="DB13" s="103"/>
      <c r="DC13" s="103"/>
      <c r="DD13" s="103"/>
      <c r="DE13" s="103"/>
    </row>
    <row r="14" spans="2:109" x14ac:dyDescent="0.2">
      <c r="BW14" s="106">
        <v>1.8</v>
      </c>
      <c r="BX14" s="103"/>
      <c r="BY14" s="103"/>
      <c r="BZ14" s="103"/>
      <c r="CA14" s="103"/>
      <c r="CB14" s="103"/>
      <c r="CC14" s="103"/>
      <c r="CD14" s="107" t="s">
        <v>158</v>
      </c>
      <c r="CE14" s="107">
        <v>15</v>
      </c>
      <c r="CF14" s="103"/>
      <c r="CG14" s="103"/>
      <c r="CH14" s="103"/>
      <c r="CI14" s="103"/>
      <c r="CJ14" s="103"/>
      <c r="CK14" s="103"/>
      <c r="CL14" s="103"/>
      <c r="CM14" s="103"/>
      <c r="CN14" s="103"/>
      <c r="CO14" s="103"/>
      <c r="CP14" s="103"/>
      <c r="CQ14" s="103"/>
      <c r="CR14" s="103"/>
      <c r="CS14" s="103"/>
      <c r="CT14" s="103"/>
      <c r="CU14" s="103"/>
      <c r="CV14" s="103"/>
      <c r="CW14" s="103"/>
      <c r="CX14" s="103"/>
      <c r="CY14" s="103"/>
      <c r="CZ14" s="103"/>
      <c r="DA14" s="103"/>
      <c r="DB14" s="103"/>
      <c r="DC14" s="103"/>
      <c r="DD14" s="103"/>
      <c r="DE14" s="103"/>
    </row>
    <row r="15" spans="2:109" x14ac:dyDescent="0.2">
      <c r="BW15" s="106">
        <v>1.9</v>
      </c>
      <c r="BX15" s="103"/>
      <c r="BY15" s="103"/>
      <c r="BZ15" s="103"/>
      <c r="CA15" s="103"/>
      <c r="CB15" s="103"/>
      <c r="CC15" s="103"/>
      <c r="CD15" s="107" t="s">
        <v>156</v>
      </c>
      <c r="CE15" s="107">
        <v>20</v>
      </c>
      <c r="CF15" s="103"/>
      <c r="CG15" s="103"/>
      <c r="CH15" s="103"/>
      <c r="CI15" s="103"/>
      <c r="CJ15" s="103"/>
      <c r="CK15" s="103"/>
      <c r="CL15" s="103"/>
      <c r="CM15" s="103"/>
      <c r="CN15" s="103"/>
      <c r="CO15" s="103"/>
      <c r="CP15" s="103"/>
      <c r="CQ15" s="103"/>
      <c r="CR15" s="103"/>
      <c r="CS15" s="103"/>
      <c r="CT15" s="103"/>
      <c r="CU15" s="103"/>
      <c r="CV15" s="103"/>
      <c r="CW15" s="103"/>
      <c r="CX15" s="103"/>
      <c r="CY15" s="103"/>
      <c r="CZ15" s="103"/>
      <c r="DA15" s="103"/>
      <c r="DB15" s="103"/>
      <c r="DC15" s="103"/>
      <c r="DD15" s="103"/>
      <c r="DE15" s="103"/>
    </row>
    <row r="16" spans="2:109" x14ac:dyDescent="0.2">
      <c r="BW16" s="106">
        <v>1.95</v>
      </c>
      <c r="BX16" s="103"/>
      <c r="BY16" s="103"/>
      <c r="BZ16" s="103"/>
      <c r="CA16" s="103"/>
      <c r="CB16" s="103"/>
      <c r="CC16" s="103"/>
      <c r="CD16" s="103"/>
      <c r="CE16" s="103"/>
      <c r="CF16" s="103"/>
      <c r="CG16" s="103"/>
      <c r="CH16" s="103"/>
      <c r="CI16" s="103"/>
      <c r="CJ16" s="103"/>
      <c r="CK16" s="103"/>
      <c r="CL16" s="103"/>
      <c r="CM16" s="103"/>
      <c r="CN16" s="103"/>
      <c r="CO16" s="103"/>
      <c r="CP16" s="103"/>
      <c r="CQ16" s="103"/>
      <c r="CR16" s="103"/>
      <c r="CS16" s="103"/>
      <c r="CT16" s="103"/>
      <c r="CU16" s="103"/>
      <c r="CV16" s="103"/>
      <c r="CW16" s="103"/>
      <c r="CX16" s="103"/>
      <c r="CY16" s="103"/>
      <c r="CZ16" s="103"/>
      <c r="DA16" s="103"/>
      <c r="DB16" s="103"/>
      <c r="DC16" s="103"/>
      <c r="DD16" s="103"/>
      <c r="DE16" s="103"/>
    </row>
    <row r="17" spans="75:109" x14ac:dyDescent="0.2">
      <c r="BW17" s="106">
        <v>2</v>
      </c>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row>
    <row r="18" spans="75:109" x14ac:dyDescent="0.2">
      <c r="BW18" s="106">
        <v>2.25</v>
      </c>
      <c r="BX18" s="103"/>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row>
    <row r="19" spans="75:109" x14ac:dyDescent="0.2">
      <c r="BW19" s="106">
        <v>2.2999999999999998</v>
      </c>
      <c r="BX19" s="103"/>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row>
    <row r="20" spans="75:109" x14ac:dyDescent="0.2">
      <c r="BW20" s="106">
        <v>2.65</v>
      </c>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row>
    <row r="21" spans="75:109" x14ac:dyDescent="0.2">
      <c r="BW21" s="106">
        <v>2.7</v>
      </c>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row>
    <row r="22" spans="75:109" x14ac:dyDescent="0.2">
      <c r="BW22" s="106">
        <v>3</v>
      </c>
      <c r="BX22" s="103"/>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c r="CY22" s="103"/>
      <c r="CZ22" s="103"/>
      <c r="DA22" s="103"/>
      <c r="DB22" s="103"/>
      <c r="DC22" s="103"/>
      <c r="DD22" s="103"/>
      <c r="DE22" s="103"/>
    </row>
    <row r="23" spans="75:109" x14ac:dyDescent="0.2">
      <c r="BW23" s="106">
        <v>3.35</v>
      </c>
      <c r="BX23" s="103"/>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c r="CY23" s="103"/>
      <c r="CZ23" s="103"/>
      <c r="DA23" s="103"/>
      <c r="DB23" s="103"/>
      <c r="DC23" s="103"/>
      <c r="DD23" s="103"/>
      <c r="DE23" s="103"/>
    </row>
    <row r="24" spans="75:109" x14ac:dyDescent="0.2">
      <c r="BW24" s="106">
        <v>3.75</v>
      </c>
      <c r="BX24" s="103"/>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row>
    <row r="25" spans="75:109" x14ac:dyDescent="0.2">
      <c r="BW25" s="106">
        <v>4.25</v>
      </c>
      <c r="BX25" s="103"/>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row>
    <row r="26" spans="75:109" x14ac:dyDescent="0.2">
      <c r="BW26" s="106">
        <v>4.5</v>
      </c>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row>
    <row r="27" spans="75:109" x14ac:dyDescent="0.2">
      <c r="BW27" s="106">
        <v>4.75</v>
      </c>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row>
    <row r="28" spans="75:109" x14ac:dyDescent="0.2">
      <c r="BW28" s="106">
        <v>5</v>
      </c>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row>
    <row r="29" spans="75:109" x14ac:dyDescent="0.2">
      <c r="BW29" s="103"/>
      <c r="BX29" s="103"/>
      <c r="BY29" s="757"/>
      <c r="BZ29" s="757"/>
      <c r="CA29" s="757"/>
      <c r="CB29" s="757"/>
      <c r="CC29" s="757"/>
      <c r="CD29" s="103"/>
      <c r="CE29" s="11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row>
    <row r="30" spans="75:109" x14ac:dyDescent="0.2">
      <c r="BW30" s="103"/>
      <c r="BX30" s="103"/>
      <c r="BY30" s="112"/>
      <c r="BZ30" s="112"/>
      <c r="CA30" s="112"/>
      <c r="CB30" s="112"/>
      <c r="CC30" s="112"/>
      <c r="CD30" s="103"/>
      <c r="CE30" s="11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row>
    <row r="31" spans="75:109" x14ac:dyDescent="0.2">
      <c r="BW31" s="103"/>
      <c r="BX31" s="103"/>
      <c r="BY31" s="112"/>
      <c r="BZ31" s="112"/>
      <c r="CA31" s="112"/>
      <c r="CB31" s="112"/>
      <c r="CC31" s="112"/>
      <c r="CD31" s="103"/>
      <c r="CE31" s="11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row>
    <row r="32" spans="75:109" ht="13.5" thickBot="1" x14ac:dyDescent="0.25">
      <c r="CE32" s="101"/>
    </row>
    <row r="33" spans="83:83" ht="13.5" thickBot="1" x14ac:dyDescent="0.25">
      <c r="CE33" s="22"/>
    </row>
    <row r="34" spans="83:83" ht="13.5" thickBot="1" x14ac:dyDescent="0.25">
      <c r="CE34" s="22"/>
    </row>
  </sheetData>
  <mergeCells count="89">
    <mergeCell ref="B2:O2"/>
    <mergeCell ref="P2:AL2"/>
    <mergeCell ref="AO2:BU2"/>
    <mergeCell ref="BY2:DE2"/>
    <mergeCell ref="N3:N4"/>
    <mergeCell ref="T3:T4"/>
    <mergeCell ref="S3:S4"/>
    <mergeCell ref="Z3:Z4"/>
    <mergeCell ref="AA3:AA4"/>
    <mergeCell ref="O3:O4"/>
    <mergeCell ref="U3:U4"/>
    <mergeCell ref="L3:L4"/>
    <mergeCell ref="M3:M4"/>
    <mergeCell ref="I3:I4"/>
    <mergeCell ref="J3:J4"/>
    <mergeCell ref="K3:K4"/>
    <mergeCell ref="B3:B4"/>
    <mergeCell ref="C3:C4"/>
    <mergeCell ref="D3:D4"/>
    <mergeCell ref="E3:E4"/>
    <mergeCell ref="H3:H4"/>
    <mergeCell ref="G3:G4"/>
    <mergeCell ref="F3:F4"/>
    <mergeCell ref="AB3:AB4"/>
    <mergeCell ref="AC3:AC4"/>
    <mergeCell ref="AD3:AD4"/>
    <mergeCell ref="AK3:AK4"/>
    <mergeCell ref="P3:P4"/>
    <mergeCell ref="Q3:Q4"/>
    <mergeCell ref="R3:R4"/>
    <mergeCell ref="V3:W3"/>
    <mergeCell ref="X3:X4"/>
    <mergeCell ref="Y3:Y4"/>
    <mergeCell ref="AE3:AE4"/>
    <mergeCell ref="AF3:AF4"/>
    <mergeCell ref="AG3:AG4"/>
    <mergeCell ref="AH3:AH4"/>
    <mergeCell ref="AI3:AI4"/>
    <mergeCell ref="AJ3:AJ4"/>
    <mergeCell ref="AV3:AV4"/>
    <mergeCell ref="AW3:AW4"/>
    <mergeCell ref="AS3:AS4"/>
    <mergeCell ref="AX3:AX4"/>
    <mergeCell ref="AT3:AT4"/>
    <mergeCell ref="AQ3:AQ4"/>
    <mergeCell ref="AR3:AR4"/>
    <mergeCell ref="AN3:AN4"/>
    <mergeCell ref="AM3:AM4"/>
    <mergeCell ref="AP3:AP4"/>
    <mergeCell ref="AL3:AL4"/>
    <mergeCell ref="AO3:AO4"/>
    <mergeCell ref="AU3:AU4"/>
    <mergeCell ref="CI3:CN3"/>
    <mergeCell ref="CO3:CS3"/>
    <mergeCell ref="BC3:BC4"/>
    <mergeCell ref="BT3:BT4"/>
    <mergeCell ref="BI3:BI4"/>
    <mergeCell ref="BJ3:BJ4"/>
    <mergeCell ref="BK3:BK4"/>
    <mergeCell ref="BL3:BL4"/>
    <mergeCell ref="BM3:BM4"/>
    <mergeCell ref="BN3:BN4"/>
    <mergeCell ref="BQ3:BQ4"/>
    <mergeCell ref="BR3:BR4"/>
    <mergeCell ref="BS3:BS4"/>
    <mergeCell ref="AY3:AY4"/>
    <mergeCell ref="AZ3:BA3"/>
    <mergeCell ref="BO3:BO4"/>
    <mergeCell ref="BP3:BP4"/>
    <mergeCell ref="BD3:BD4"/>
    <mergeCell ref="BB3:BB4"/>
    <mergeCell ref="BH3:BH4"/>
    <mergeCell ref="BG3:BG4"/>
    <mergeCell ref="BE3:BE4"/>
    <mergeCell ref="BF3:BF4"/>
    <mergeCell ref="BY29:CC29"/>
    <mergeCell ref="BY7:CC7"/>
    <mergeCell ref="BU3:BU4"/>
    <mergeCell ref="BY3:CC3"/>
    <mergeCell ref="CD3:CH3"/>
    <mergeCell ref="BY10:CC10"/>
    <mergeCell ref="CD10:CE10"/>
    <mergeCell ref="DB3:DE3"/>
    <mergeCell ref="CO8:CQ8"/>
    <mergeCell ref="CT8:CU8"/>
    <mergeCell ref="DB8:DC8"/>
    <mergeCell ref="CT3:CW3"/>
    <mergeCell ref="CX3:DA3"/>
    <mergeCell ref="CX8:CY8"/>
  </mergeCells>
  <conditionalFormatting sqref="BR5:BU10 F5 BD5:BD10 BN5:BN10 BI5:BI10 I5:J5">
    <cfRule type="cellIs" dxfId="122" priority="19" operator="equal">
      <formula>0</formula>
    </cfRule>
  </conditionalFormatting>
  <conditionalFormatting sqref="BR5:BU10 K5 T5:U5 X5 Z5:AH5 BL5:BM5 BP5:BQ5 AO6:AO10 BB6:BB10 BC6:BD6 BN5:BO10 BE5:BK10 AK5:BD5 U7:W7 AW6:AY10">
    <cfRule type="containsErrors" dxfId="121" priority="18">
      <formula>ISERROR(K5)</formula>
    </cfRule>
  </conditionalFormatting>
  <conditionalFormatting sqref="U5 U7:W7">
    <cfRule type="cellIs" dxfId="120" priority="17" operator="lessThanOrEqual">
      <formula>0.67</formula>
    </cfRule>
  </conditionalFormatting>
  <conditionalFormatting sqref="AR5:AR10">
    <cfRule type="cellIs" dxfId="119" priority="15" operator="equal">
      <formula>0</formula>
    </cfRule>
    <cfRule type="cellIs" dxfId="118" priority="16" operator="lessThan">
      <formula>$I$5</formula>
    </cfRule>
  </conditionalFormatting>
  <conditionalFormatting sqref="AS7:AS10">
    <cfRule type="cellIs" dxfId="117" priority="14" operator="equal">
      <formula>0</formula>
    </cfRule>
  </conditionalFormatting>
  <conditionalFormatting sqref="AR8">
    <cfRule type="cellIs" dxfId="116" priority="13" operator="greaterThan">
      <formula>6500</formula>
    </cfRule>
  </conditionalFormatting>
  <conditionalFormatting sqref="L5:N5">
    <cfRule type="cellIs" dxfId="115" priority="11" operator="equal">
      <formula>0</formula>
    </cfRule>
    <cfRule type="containsErrors" dxfId="114" priority="12">
      <formula>ISERROR(L5)</formula>
    </cfRule>
  </conditionalFormatting>
  <conditionalFormatting sqref="F5">
    <cfRule type="cellIs" dxfId="113" priority="2" operator="greaterThan">
      <formula>18</formula>
    </cfRule>
  </conditionalFormatting>
  <conditionalFormatting sqref="I5">
    <cfRule type="cellIs" dxfId="112" priority="1" operator="greaterThan">
      <formula>100</formula>
    </cfRule>
  </conditionalFormatting>
  <dataValidations count="22">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5">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6">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7">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8">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9">
      <formula1>G5</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R10">
      <formula1>G5</formula1>
    </dataValidation>
    <dataValidation type="list" allowBlank="1" showInputMessage="1" showErrorMessage="1" sqref="AP5">
      <formula1>$CD$5</formula1>
    </dataValidation>
    <dataValidation type="list" allowBlank="1" showInputMessage="1" showErrorMessage="1" sqref="AP6">
      <formula1>$CI$5:$CI$6</formula1>
    </dataValidation>
    <dataValidation type="list" allowBlank="1" showInputMessage="1" showErrorMessage="1" sqref="AQ5">
      <formula1>$CD$12:$CD$15</formula1>
    </dataValidation>
    <dataValidation type="list" allowBlank="1" showInputMessage="1" showErrorMessage="1" sqref="AP7">
      <formula1>$CO$5:$CO$6</formula1>
    </dataValidation>
    <dataValidation type="list" allowBlank="1" showInputMessage="1" showErrorMessage="1" sqref="AQ7:AQ8">
      <formula1>$CT$10:$CT$12</formula1>
    </dataValidation>
    <dataValidation type="list" allowBlank="1" showInputMessage="1" showErrorMessage="1" sqref="AQ9">
      <formula1>$CX$10:$CX$12</formula1>
    </dataValidation>
    <dataValidation type="list" allowBlank="1" showInputMessage="1" showErrorMessage="1" sqref="AP10">
      <formula1>$DB$5</formula1>
    </dataValidation>
    <dataValidation type="list" allowBlank="1" showInputMessage="1" showErrorMessage="1" sqref="AQ10">
      <formula1>$DB$10:$DB$12</formula1>
    </dataValidation>
    <dataValidation operator="greaterThanOrEqual" allowBlank="1" sqref="AS5:AS6"/>
    <dataValidation operator="greaterThanOrEqual" allowBlank="1" showInputMessage="1" promptTitle="Sucata de Processo" prompt="Sucata referente a furações, rasgos, corte em ângulo etc." sqref="AS7:AS10"/>
    <dataValidation type="list" allowBlank="1" showInputMessage="1" showErrorMessage="1" sqref="S5">
      <formula1>$BY$12:$BY$13</formula1>
    </dataValidation>
    <dataValidation type="list" allowBlank="1" showInputMessage="1" showErrorMessage="1" sqref="R5">
      <formula1>$BY$8:$BY$9</formula1>
    </dataValidation>
    <dataValidation type="list" allowBlank="1" showInputMessage="1" showErrorMessage="1" sqref="P5">
      <formula1>$BY$5</formula1>
    </dataValidation>
    <dataValidation type="list" errorStyle="warning" allowBlank="1" showInputMessage="1" showErrorMessage="1" errorTitle="Espessura" error="Esta espessura não está cadastrada!" sqref="D5">
      <formula1>$BW$5:$BW$28</formula1>
    </dataValidation>
    <dataValidation type="list" allowBlank="1" showInputMessage="1" showErrorMessage="1" sqref="AP8">
      <formula1>$CT$5:$CT$7</formula1>
    </dataValidation>
    <dataValidation type="list" allowBlank="1" showInputMessage="1" showErrorMessage="1" sqref="AP9">
      <formula1>$CX$5:$CX$6</formula1>
    </dataValidation>
  </dataValidations>
  <hyperlinks>
    <hyperlink ref="H3:H4" location="'Estimar Perdas'!A1" display="'Estimar Perdas'!A1"/>
    <hyperlink ref="E3:E4" location="'Largura de Tira'!A1" display="'Largura de Tira'!A1"/>
  </hyperlinks>
  <pageMargins left="0.511811024" right="0.511811024" top="0.78740157499999996" bottom="0.78740157499999996" header="0.31496062000000002" footer="0.31496062000000002"/>
  <pageSetup paperSize="9" orientation="portrait" r:id="rId1"/>
  <ignoredErrors>
    <ignoredError sqref="T5:U5 M5 K5 AA5 BR5:BU10 AD5:AF5 BO6:BO10 AX7:BH7 BJ10:BK10 AN5 AL5 AK5 AM5 AX5 AZ5:BD5 BF5:BH5 AW10:BE10 AX8 AZ8:BD8 BG8:BH8 AW6:BH6 AW9:BE9 BJ6:BK9 AH5 BK5 BG9:BH9 BG10:BH10" evalError="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3">
    <tabColor theme="0" tint="-0.34998626667073579"/>
  </sheetPr>
  <dimension ref="B2:DE36"/>
  <sheetViews>
    <sheetView showGridLines="0" zoomScaleNormal="100" workbookViewId="0">
      <pane xSplit="3" ySplit="6" topLeftCell="AP7" activePane="bottomRight" state="frozen"/>
      <selection activeCell="AQ5" sqref="AQ5"/>
      <selection pane="topRight" activeCell="AQ5" sqref="AQ5"/>
      <selection pane="bottomLeft" activeCell="AQ5" sqref="AQ5"/>
      <selection pane="bottomRight" activeCell="AQ5" sqref="AQ5:AQ6"/>
    </sheetView>
  </sheetViews>
  <sheetFormatPr defaultRowHeight="12.75" x14ac:dyDescent="0.2"/>
  <cols>
    <col min="1" max="1" width="2.140625" style="2" customWidth="1"/>
    <col min="2" max="2" width="9.140625" style="2"/>
    <col min="3" max="3" width="72.5703125" style="2" customWidth="1"/>
    <col min="4" max="4" width="11.140625" style="2" customWidth="1"/>
    <col min="5" max="5" width="14.42578125" style="2" customWidth="1"/>
    <col min="6" max="6" width="12.28515625" style="2" customWidth="1"/>
    <col min="7" max="7" width="19.42578125" style="2" customWidth="1"/>
    <col min="8" max="8" width="17.140625" style="2" customWidth="1"/>
    <col min="9" max="10" width="13.5703125" style="2" customWidth="1"/>
    <col min="11" max="12" width="13.85546875" style="2" customWidth="1"/>
    <col min="13" max="13" width="10.7109375" style="2" customWidth="1"/>
    <col min="14" max="14" width="10.5703125" style="2" customWidth="1"/>
    <col min="15" max="15" width="12.140625" style="2" customWidth="1"/>
    <col min="16" max="16" width="17.140625" style="2" customWidth="1"/>
    <col min="17" max="17" width="9.7109375" style="2" customWidth="1"/>
    <col min="18" max="18" width="11.140625" style="2" customWidth="1"/>
    <col min="19" max="19" width="13.42578125" style="2" customWidth="1"/>
    <col min="20" max="20" width="15.7109375" style="2" customWidth="1"/>
    <col min="21" max="21" width="13.42578125" style="2" customWidth="1"/>
    <col min="22" max="22" width="11.5703125" style="2" customWidth="1"/>
    <col min="23" max="24" width="9.140625" style="2"/>
    <col min="25" max="25" width="12.85546875" style="2" customWidth="1"/>
    <col min="26" max="26" width="12.140625" style="2" customWidth="1"/>
    <col min="27" max="27" width="10.5703125" style="2" customWidth="1"/>
    <col min="28" max="28" width="19.42578125" style="2" customWidth="1"/>
    <col min="29" max="29" width="13.85546875" style="2" customWidth="1"/>
    <col min="30" max="30" width="18.5703125" style="2" customWidth="1"/>
    <col min="31" max="31" width="16.85546875" style="2" customWidth="1"/>
    <col min="32" max="32" width="11.85546875" style="2" customWidth="1"/>
    <col min="33" max="33" width="14.140625" style="2" customWidth="1"/>
    <col min="34" max="34" width="18.85546875" style="2" customWidth="1"/>
    <col min="35" max="35" width="20.140625" style="2" customWidth="1"/>
    <col min="36" max="38" width="18.85546875" style="2" customWidth="1"/>
    <col min="39" max="41" width="20.85546875" style="2" customWidth="1"/>
    <col min="42" max="42" width="19.85546875" style="2" customWidth="1"/>
    <col min="43" max="43" width="9.85546875" style="2" customWidth="1"/>
    <col min="44" max="44" width="15" style="2" customWidth="1"/>
    <col min="45" max="46" width="24.7109375" style="2" customWidth="1"/>
    <col min="47" max="47" width="11.7109375" style="2" customWidth="1"/>
    <col min="48" max="48" width="15.140625" style="2" customWidth="1"/>
    <col min="49" max="49" width="23.7109375" style="2" customWidth="1"/>
    <col min="50" max="50" width="11.85546875" style="2" customWidth="1"/>
    <col min="51" max="51" width="22.140625" style="2" customWidth="1"/>
    <col min="52" max="52" width="9.5703125" style="2" customWidth="1"/>
    <col min="53" max="53" width="6.85546875" style="2" customWidth="1"/>
    <col min="54" max="54" width="7.42578125" style="2" customWidth="1"/>
    <col min="55" max="55" width="13.42578125" style="2" customWidth="1"/>
    <col min="56" max="56" width="17.28515625" style="2" customWidth="1"/>
    <col min="57" max="57" width="16" style="2" customWidth="1"/>
    <col min="58" max="58" width="10.5703125" style="2" customWidth="1"/>
    <col min="59" max="59" width="14" style="2" customWidth="1"/>
    <col min="60" max="60" width="18.42578125" style="2" customWidth="1"/>
    <col min="61" max="62" width="15.28515625" style="2" customWidth="1"/>
    <col min="63" max="74" width="20.85546875" style="2" customWidth="1"/>
    <col min="75" max="75" width="9.140625" style="2"/>
    <col min="76" max="76" width="16.42578125" style="2" customWidth="1"/>
    <col min="77" max="77" width="0.42578125" style="2" customWidth="1"/>
    <col min="78" max="78" width="13" style="2" customWidth="1"/>
    <col min="79" max="79" width="10.28515625" style="2" customWidth="1"/>
    <col min="80" max="80" width="19.140625" style="2" customWidth="1"/>
    <col min="81" max="81" width="10.28515625" style="2" customWidth="1"/>
    <col min="82" max="82" width="11.140625" style="2" customWidth="1"/>
    <col min="83" max="83" width="21.42578125" style="2" customWidth="1"/>
    <col min="84" max="90" width="9.140625" style="2"/>
    <col min="91" max="91" width="9.28515625" style="2" customWidth="1"/>
    <col min="92" max="92" width="22.85546875" style="2" customWidth="1"/>
    <col min="93" max="93" width="12.5703125" style="2" customWidth="1"/>
    <col min="94" max="16384" width="9.140625" style="2"/>
  </cols>
  <sheetData>
    <row r="2" spans="2:109" ht="13.5" thickBot="1" x14ac:dyDescent="0.25"/>
    <row r="3" spans="2:109" ht="5.0999999999999996" customHeight="1" thickBot="1" x14ac:dyDescent="0.25">
      <c r="B3" s="775"/>
      <c r="C3" s="776"/>
      <c r="D3" s="776"/>
      <c r="E3" s="776"/>
      <c r="F3" s="776"/>
      <c r="G3" s="776"/>
      <c r="H3" s="776"/>
      <c r="I3" s="776"/>
      <c r="J3" s="776"/>
      <c r="K3" s="776"/>
      <c r="L3" s="776"/>
      <c r="M3" s="776"/>
      <c r="N3" s="776"/>
      <c r="O3" s="776"/>
      <c r="P3" s="776"/>
      <c r="Q3" s="777"/>
      <c r="R3" s="776"/>
      <c r="S3" s="776"/>
      <c r="T3" s="776"/>
      <c r="U3" s="776"/>
      <c r="V3" s="776"/>
      <c r="W3" s="776"/>
      <c r="X3" s="776"/>
      <c r="Y3" s="776"/>
      <c r="Z3" s="776"/>
      <c r="AA3" s="776"/>
      <c r="AB3" s="776"/>
      <c r="AC3" s="776"/>
      <c r="AD3" s="776"/>
      <c r="AE3" s="776"/>
      <c r="AF3" s="776"/>
      <c r="AG3" s="776"/>
      <c r="AH3" s="776"/>
      <c r="AI3" s="776"/>
      <c r="AJ3" s="776"/>
      <c r="AK3" s="776"/>
      <c r="AL3" s="776"/>
      <c r="AM3" s="776"/>
      <c r="AN3" s="98"/>
      <c r="AO3" s="61"/>
      <c r="AP3" s="778"/>
      <c r="AQ3" s="779"/>
      <c r="AR3" s="779"/>
      <c r="AS3" s="779"/>
      <c r="AT3" s="779"/>
      <c r="AU3" s="779"/>
      <c r="AV3" s="779"/>
      <c r="AW3" s="779"/>
      <c r="AX3" s="779"/>
      <c r="AY3" s="779"/>
      <c r="AZ3" s="779"/>
      <c r="BA3" s="779"/>
      <c r="BB3" s="779"/>
      <c r="BC3" s="779"/>
      <c r="BD3" s="779"/>
      <c r="BE3" s="779"/>
      <c r="BF3" s="779"/>
      <c r="BG3" s="779"/>
      <c r="BH3" s="779"/>
      <c r="BI3" s="779"/>
      <c r="BJ3" s="779"/>
      <c r="BK3" s="779"/>
      <c r="BL3" s="779"/>
      <c r="BM3" s="779"/>
      <c r="BN3" s="779"/>
      <c r="BO3" s="779"/>
      <c r="BP3" s="779"/>
      <c r="BQ3" s="779"/>
      <c r="BR3" s="779"/>
      <c r="BS3" s="779"/>
      <c r="BT3" s="779"/>
      <c r="BU3" s="779"/>
      <c r="BV3" s="779"/>
      <c r="BX3" s="102"/>
      <c r="BY3" s="103"/>
      <c r="BZ3" s="772"/>
      <c r="CA3" s="772"/>
      <c r="CB3" s="772"/>
      <c r="CC3" s="772"/>
      <c r="CD3" s="772"/>
      <c r="CE3" s="772"/>
      <c r="CF3" s="772"/>
      <c r="CG3" s="772"/>
      <c r="CH3" s="772"/>
      <c r="CI3" s="772"/>
      <c r="CJ3" s="772"/>
      <c r="CK3" s="772"/>
      <c r="CL3" s="772"/>
      <c r="CM3" s="772"/>
      <c r="CN3" s="772"/>
      <c r="CO3" s="772"/>
      <c r="CP3" s="772"/>
      <c r="CQ3" s="772"/>
      <c r="CR3" s="772"/>
      <c r="CS3" s="772"/>
      <c r="CT3" s="772"/>
      <c r="CU3" s="772"/>
      <c r="CV3" s="772"/>
      <c r="CW3" s="772"/>
      <c r="CX3" s="772"/>
      <c r="CY3" s="772"/>
      <c r="CZ3" s="772"/>
      <c r="DA3" s="772"/>
      <c r="DB3" s="772"/>
      <c r="DC3" s="772"/>
      <c r="DD3" s="772"/>
      <c r="DE3" s="772"/>
    </row>
    <row r="4" spans="2:109" ht="13.5" thickBot="1" x14ac:dyDescent="0.25">
      <c r="B4" s="766" t="s">
        <v>0</v>
      </c>
      <c r="C4" s="766"/>
      <c r="D4" s="766"/>
      <c r="E4" s="766"/>
      <c r="F4" s="766"/>
      <c r="G4" s="766"/>
      <c r="H4" s="766"/>
      <c r="I4" s="766"/>
      <c r="J4" s="766"/>
      <c r="K4" s="766"/>
      <c r="L4" s="766"/>
      <c r="M4" s="766"/>
      <c r="N4" s="766"/>
      <c r="O4" s="767"/>
      <c r="P4" s="767"/>
      <c r="Q4" s="768" t="s">
        <v>58</v>
      </c>
      <c r="R4" s="766"/>
      <c r="S4" s="766"/>
      <c r="T4" s="766"/>
      <c r="U4" s="766"/>
      <c r="V4" s="766"/>
      <c r="W4" s="766"/>
      <c r="X4" s="766"/>
      <c r="Y4" s="766"/>
      <c r="Z4" s="766"/>
      <c r="AA4" s="766"/>
      <c r="AB4" s="766"/>
      <c r="AC4" s="766"/>
      <c r="AD4" s="766"/>
      <c r="AE4" s="766"/>
      <c r="AF4" s="766"/>
      <c r="AG4" s="766"/>
      <c r="AH4" s="766"/>
      <c r="AI4" s="766"/>
      <c r="AJ4" s="766"/>
      <c r="AK4" s="766"/>
      <c r="AL4" s="766"/>
      <c r="AM4" s="767"/>
      <c r="AN4" s="97"/>
      <c r="AO4" s="62"/>
      <c r="AP4" s="769" t="s">
        <v>68</v>
      </c>
      <c r="AQ4" s="770"/>
      <c r="AR4" s="770"/>
      <c r="AS4" s="770"/>
      <c r="AT4" s="770"/>
      <c r="AU4" s="770"/>
      <c r="AV4" s="770"/>
      <c r="AW4" s="770"/>
      <c r="AX4" s="770"/>
      <c r="AY4" s="770"/>
      <c r="AZ4" s="770"/>
      <c r="BA4" s="770"/>
      <c r="BB4" s="770"/>
      <c r="BC4" s="770"/>
      <c r="BD4" s="770"/>
      <c r="BE4" s="770"/>
      <c r="BF4" s="770"/>
      <c r="BG4" s="770"/>
      <c r="BH4" s="770"/>
      <c r="BI4" s="770"/>
      <c r="BJ4" s="770"/>
      <c r="BK4" s="770"/>
      <c r="BL4" s="770"/>
      <c r="BM4" s="770"/>
      <c r="BN4" s="770"/>
      <c r="BO4" s="770"/>
      <c r="BP4" s="770"/>
      <c r="BQ4" s="770"/>
      <c r="BR4" s="770"/>
      <c r="BS4" s="770"/>
      <c r="BT4" s="770"/>
      <c r="BU4" s="770"/>
      <c r="BV4" s="771"/>
      <c r="BX4" s="102" t="s">
        <v>94</v>
      </c>
      <c r="BY4" s="103"/>
      <c r="BZ4" s="772" t="s">
        <v>67</v>
      </c>
      <c r="CA4" s="772"/>
      <c r="CB4" s="772"/>
      <c r="CC4" s="772"/>
      <c r="CD4" s="772"/>
      <c r="CE4" s="772"/>
      <c r="CF4" s="772"/>
      <c r="CG4" s="772"/>
      <c r="CH4" s="772"/>
      <c r="CI4" s="772"/>
      <c r="CJ4" s="772"/>
      <c r="CK4" s="772"/>
      <c r="CL4" s="772"/>
      <c r="CM4" s="772"/>
      <c r="CN4" s="772"/>
      <c r="CO4" s="772"/>
      <c r="CP4" s="772"/>
      <c r="CQ4" s="772"/>
      <c r="CR4" s="772"/>
      <c r="CS4" s="772"/>
      <c r="CT4" s="772"/>
      <c r="CU4" s="772"/>
      <c r="CV4" s="772"/>
      <c r="CW4" s="772"/>
      <c r="CX4" s="772"/>
      <c r="CY4" s="772"/>
      <c r="CZ4" s="772"/>
      <c r="DA4" s="772"/>
      <c r="DB4" s="772"/>
      <c r="DC4" s="772"/>
      <c r="DD4" s="772"/>
      <c r="DE4" s="772"/>
    </row>
    <row r="5" spans="2:109" ht="18" customHeight="1" thickBot="1" x14ac:dyDescent="0.25">
      <c r="B5" s="765" t="s">
        <v>1</v>
      </c>
      <c r="C5" s="765" t="s">
        <v>2</v>
      </c>
      <c r="D5" s="758" t="s">
        <v>4</v>
      </c>
      <c r="E5" s="758" t="s">
        <v>170</v>
      </c>
      <c r="F5" s="758" t="s">
        <v>259</v>
      </c>
      <c r="G5" s="758" t="s">
        <v>257</v>
      </c>
      <c r="H5" s="758" t="s">
        <v>258</v>
      </c>
      <c r="I5" s="758" t="s">
        <v>74</v>
      </c>
      <c r="J5" s="762" t="s">
        <v>76</v>
      </c>
      <c r="K5" s="758" t="s">
        <v>6</v>
      </c>
      <c r="L5" s="758" t="s">
        <v>169</v>
      </c>
      <c r="M5" s="758" t="s">
        <v>7</v>
      </c>
      <c r="N5" s="758" t="s">
        <v>87</v>
      </c>
      <c r="O5" s="758" t="s">
        <v>260</v>
      </c>
      <c r="P5" s="759" t="s">
        <v>8</v>
      </c>
      <c r="Q5" s="764" t="s">
        <v>49</v>
      </c>
      <c r="R5" s="758" t="s">
        <v>104</v>
      </c>
      <c r="S5" s="758" t="s">
        <v>105</v>
      </c>
      <c r="T5" s="774" t="s">
        <v>109</v>
      </c>
      <c r="U5" s="773" t="s">
        <v>106</v>
      </c>
      <c r="V5" s="773" t="s">
        <v>107</v>
      </c>
      <c r="W5" s="758" t="s">
        <v>40</v>
      </c>
      <c r="X5" s="758"/>
      <c r="Y5" s="758" t="s">
        <v>66</v>
      </c>
      <c r="Z5" s="758" t="s">
        <v>301</v>
      </c>
      <c r="AA5" s="758" t="s">
        <v>42</v>
      </c>
      <c r="AB5" s="758" t="s">
        <v>108</v>
      </c>
      <c r="AC5" s="758" t="s">
        <v>112</v>
      </c>
      <c r="AD5" s="758" t="s">
        <v>48</v>
      </c>
      <c r="AE5" s="758" t="s">
        <v>45</v>
      </c>
      <c r="AF5" s="758" t="s">
        <v>171</v>
      </c>
      <c r="AG5" s="758" t="s">
        <v>65</v>
      </c>
      <c r="AH5" s="758" t="s">
        <v>46</v>
      </c>
      <c r="AI5" s="758" t="s">
        <v>47</v>
      </c>
      <c r="AJ5" s="758" t="s">
        <v>91</v>
      </c>
      <c r="AK5" s="758" t="s">
        <v>92</v>
      </c>
      <c r="AL5" s="758" t="s">
        <v>90</v>
      </c>
      <c r="AM5" s="759" t="s">
        <v>93</v>
      </c>
      <c r="AN5" s="759" t="s">
        <v>218</v>
      </c>
      <c r="AO5" s="759" t="s">
        <v>256</v>
      </c>
      <c r="AP5" s="760" t="s">
        <v>143</v>
      </c>
      <c r="AQ5" s="758" t="s">
        <v>49</v>
      </c>
      <c r="AR5" s="762" t="s">
        <v>78</v>
      </c>
      <c r="AS5" s="762" t="s">
        <v>152</v>
      </c>
      <c r="AT5" s="762" t="s">
        <v>164</v>
      </c>
      <c r="AU5" s="762" t="s">
        <v>71</v>
      </c>
      <c r="AV5" s="762" t="s">
        <v>151</v>
      </c>
      <c r="AW5" s="762" t="s">
        <v>162</v>
      </c>
      <c r="AX5" s="762" t="s">
        <v>73</v>
      </c>
      <c r="AY5" s="762" t="s">
        <v>77</v>
      </c>
      <c r="AZ5" s="758" t="s">
        <v>62</v>
      </c>
      <c r="BA5" s="758" t="s">
        <v>40</v>
      </c>
      <c r="BB5" s="758"/>
      <c r="BC5" s="758" t="s">
        <v>66</v>
      </c>
      <c r="BD5" s="758" t="s">
        <v>79</v>
      </c>
      <c r="BE5" s="758" t="s">
        <v>86</v>
      </c>
      <c r="BF5" s="758" t="s">
        <v>42</v>
      </c>
      <c r="BG5" s="758" t="s">
        <v>185</v>
      </c>
      <c r="BH5" s="758" t="s">
        <v>48</v>
      </c>
      <c r="BI5" s="758" t="s">
        <v>45</v>
      </c>
      <c r="BJ5" s="758" t="s">
        <v>65</v>
      </c>
      <c r="BK5" s="758" t="s">
        <v>46</v>
      </c>
      <c r="BL5" s="758" t="s">
        <v>47</v>
      </c>
      <c r="BM5" s="758" t="s">
        <v>91</v>
      </c>
      <c r="BN5" s="758" t="s">
        <v>92</v>
      </c>
      <c r="BO5" s="758" t="s">
        <v>90</v>
      </c>
      <c r="BP5" s="758" t="s">
        <v>93</v>
      </c>
      <c r="BQ5" s="758" t="s">
        <v>117</v>
      </c>
      <c r="BR5" s="758" t="s">
        <v>118</v>
      </c>
      <c r="BS5" s="758" t="s">
        <v>119</v>
      </c>
      <c r="BT5" s="758" t="s">
        <v>120</v>
      </c>
      <c r="BU5" s="758" t="s">
        <v>121</v>
      </c>
      <c r="BV5" s="758" t="s">
        <v>122</v>
      </c>
      <c r="BX5" s="104" t="s">
        <v>103</v>
      </c>
      <c r="BY5" s="103"/>
      <c r="BZ5" s="756" t="s">
        <v>58</v>
      </c>
      <c r="CA5" s="756"/>
      <c r="CB5" s="756"/>
      <c r="CC5" s="756"/>
      <c r="CD5" s="756" t="s">
        <v>145</v>
      </c>
      <c r="CE5" s="756"/>
      <c r="CF5" s="756"/>
      <c r="CG5" s="756"/>
      <c r="CH5" s="756"/>
      <c r="CI5" s="756" t="s">
        <v>150</v>
      </c>
      <c r="CJ5" s="756"/>
      <c r="CK5" s="756"/>
      <c r="CL5" s="756"/>
      <c r="CM5" s="756"/>
      <c r="CN5" s="756"/>
      <c r="CO5" s="756" t="s">
        <v>144</v>
      </c>
      <c r="CP5" s="756"/>
      <c r="CQ5" s="756"/>
      <c r="CR5" s="756"/>
      <c r="CS5" s="756"/>
      <c r="CT5" s="756" t="s">
        <v>146</v>
      </c>
      <c r="CU5" s="756"/>
      <c r="CV5" s="756"/>
      <c r="CW5" s="756"/>
      <c r="CX5" s="756" t="s">
        <v>148</v>
      </c>
      <c r="CY5" s="756"/>
      <c r="CZ5" s="756"/>
      <c r="DA5" s="756"/>
      <c r="DB5" s="756" t="s">
        <v>70</v>
      </c>
      <c r="DC5" s="756"/>
      <c r="DD5" s="756"/>
      <c r="DE5" s="756"/>
    </row>
    <row r="6" spans="2:109" ht="21.75" customHeight="1" thickBot="1" x14ac:dyDescent="0.3">
      <c r="B6" s="765"/>
      <c r="C6" s="765"/>
      <c r="D6" s="758"/>
      <c r="E6" s="758"/>
      <c r="F6" s="758"/>
      <c r="G6" s="758"/>
      <c r="H6" s="758"/>
      <c r="I6" s="758"/>
      <c r="J6" s="763"/>
      <c r="K6" s="758"/>
      <c r="L6" s="758"/>
      <c r="M6" s="758"/>
      <c r="N6" s="758"/>
      <c r="O6" s="758"/>
      <c r="P6" s="759"/>
      <c r="Q6" s="764"/>
      <c r="R6" s="758"/>
      <c r="S6" s="758"/>
      <c r="T6" s="774"/>
      <c r="U6" s="773"/>
      <c r="V6" s="773"/>
      <c r="W6" s="3" t="s">
        <v>43</v>
      </c>
      <c r="X6" s="3" t="s">
        <v>63</v>
      </c>
      <c r="Y6" s="758"/>
      <c r="Z6" s="758"/>
      <c r="AA6" s="758"/>
      <c r="AB6" s="758"/>
      <c r="AC6" s="758"/>
      <c r="AD6" s="758"/>
      <c r="AE6" s="758"/>
      <c r="AF6" s="758"/>
      <c r="AG6" s="758"/>
      <c r="AH6" s="758"/>
      <c r="AI6" s="758"/>
      <c r="AJ6" s="758"/>
      <c r="AK6" s="758"/>
      <c r="AL6" s="758"/>
      <c r="AM6" s="759"/>
      <c r="AN6" s="759"/>
      <c r="AO6" s="759"/>
      <c r="AP6" s="761"/>
      <c r="AQ6" s="758"/>
      <c r="AR6" s="763"/>
      <c r="AS6" s="763"/>
      <c r="AT6" s="763"/>
      <c r="AU6" s="763"/>
      <c r="AV6" s="763"/>
      <c r="AW6" s="763"/>
      <c r="AX6" s="763"/>
      <c r="AY6" s="763"/>
      <c r="AZ6" s="758"/>
      <c r="BA6" s="3" t="s">
        <v>80</v>
      </c>
      <c r="BB6" s="3" t="s">
        <v>44</v>
      </c>
      <c r="BC6" s="758"/>
      <c r="BD6" s="758"/>
      <c r="BE6" s="758"/>
      <c r="BF6" s="758"/>
      <c r="BG6" s="758"/>
      <c r="BH6" s="758"/>
      <c r="BI6" s="758"/>
      <c r="BJ6" s="758"/>
      <c r="BK6" s="758"/>
      <c r="BL6" s="758"/>
      <c r="BM6" s="758"/>
      <c r="BN6" s="758"/>
      <c r="BO6" s="758"/>
      <c r="BP6" s="758"/>
      <c r="BQ6" s="758"/>
      <c r="BR6" s="758"/>
      <c r="BS6" s="758"/>
      <c r="BT6" s="758"/>
      <c r="BU6" s="758"/>
      <c r="BV6" s="758"/>
      <c r="BX6" s="104" t="s">
        <v>95</v>
      </c>
      <c r="BY6" s="103"/>
      <c r="BZ6" s="104" t="s">
        <v>49</v>
      </c>
      <c r="CA6" s="104" t="s">
        <v>50</v>
      </c>
      <c r="CB6" s="105" t="s">
        <v>130</v>
      </c>
      <c r="CC6" s="104" t="s">
        <v>64</v>
      </c>
      <c r="CD6" s="104" t="s">
        <v>49</v>
      </c>
      <c r="CE6" s="104" t="s">
        <v>50</v>
      </c>
      <c r="CF6" s="104" t="s">
        <v>61</v>
      </c>
      <c r="CG6" s="104" t="s">
        <v>64</v>
      </c>
      <c r="CH6" s="104" t="s">
        <v>72</v>
      </c>
      <c r="CI6" s="104" t="s">
        <v>49</v>
      </c>
      <c r="CJ6" s="104" t="s">
        <v>50</v>
      </c>
      <c r="CK6" s="104" t="s">
        <v>61</v>
      </c>
      <c r="CL6" s="104" t="s">
        <v>64</v>
      </c>
      <c r="CM6" s="104" t="s">
        <v>72</v>
      </c>
      <c r="CN6" s="104" t="s">
        <v>153</v>
      </c>
      <c r="CO6" s="104" t="s">
        <v>49</v>
      </c>
      <c r="CP6" s="104" t="s">
        <v>50</v>
      </c>
      <c r="CQ6" s="104" t="s">
        <v>61</v>
      </c>
      <c r="CR6" s="104" t="s">
        <v>64</v>
      </c>
      <c r="CS6" s="104" t="s">
        <v>72</v>
      </c>
      <c r="CT6" s="104" t="s">
        <v>49</v>
      </c>
      <c r="CU6" s="104" t="s">
        <v>50</v>
      </c>
      <c r="CV6" s="104" t="s">
        <v>61</v>
      </c>
      <c r="CW6" s="104" t="s">
        <v>72</v>
      </c>
      <c r="CX6" s="104" t="s">
        <v>49</v>
      </c>
      <c r="CY6" s="104" t="s">
        <v>50</v>
      </c>
      <c r="CZ6" s="104" t="s">
        <v>61</v>
      </c>
      <c r="DA6" s="104" t="s">
        <v>72</v>
      </c>
      <c r="DB6" s="104" t="s">
        <v>49</v>
      </c>
      <c r="DC6" s="104" t="s">
        <v>50</v>
      </c>
      <c r="DD6" s="104" t="s">
        <v>61</v>
      </c>
      <c r="DE6" s="104" t="s">
        <v>72</v>
      </c>
    </row>
    <row r="7" spans="2:109" ht="15.75" thickBot="1" x14ac:dyDescent="0.3">
      <c r="B7" s="7"/>
      <c r="C7" s="8"/>
      <c r="D7" s="9"/>
      <c r="E7" s="24"/>
      <c r="F7" s="173"/>
      <c r="G7" s="10">
        <f>(D7/1000)*(E7/1000)*7850</f>
        <v>0</v>
      </c>
      <c r="H7" s="10">
        <f>G7*(1-F7)</f>
        <v>0</v>
      </c>
      <c r="I7" s="11"/>
      <c r="J7" s="10">
        <f>G7*I7/1000</f>
        <v>0</v>
      </c>
      <c r="K7" s="10">
        <f>G7*I7/1000-L7</f>
        <v>0</v>
      </c>
      <c r="L7" s="10">
        <f>G7*I7/1000-H7*I7/1000</f>
        <v>0</v>
      </c>
      <c r="M7" s="54"/>
      <c r="N7" s="100" t="e">
        <f>(M7*1000)/K7</f>
        <v>#DIV/0!</v>
      </c>
      <c r="O7" s="100" t="e">
        <f>M7*1000/H7</f>
        <v>#DIV/0!</v>
      </c>
      <c r="P7" s="57"/>
      <c r="Q7" s="59"/>
      <c r="R7" s="11"/>
      <c r="S7" s="11" t="s">
        <v>88</v>
      </c>
      <c r="T7" s="11" t="s">
        <v>111</v>
      </c>
      <c r="U7" s="12">
        <f>VLOOKUP(S7,$BZ$10:$CB$11,3)</f>
        <v>2</v>
      </c>
      <c r="V7" s="14" t="e">
        <f>((R7*(VLOOKUP(Q7,$BZ$7:$CB$8,3)))+(30+30))/60</f>
        <v>#N/A</v>
      </c>
      <c r="W7" s="11"/>
      <c r="X7" s="26"/>
      <c r="Y7" s="15" t="e">
        <f>(U7+V7+X7)</f>
        <v>#N/A</v>
      </c>
      <c r="Z7" s="11"/>
      <c r="AA7" s="12" t="e">
        <f>VLOOKUP(Q7,$BZ$7:$CC$8,4)</f>
        <v>#N/A</v>
      </c>
      <c r="AB7" s="15">
        <f>F7*100</f>
        <v>0</v>
      </c>
      <c r="AC7" s="14" t="e">
        <f>8/I7*100*(VLOOKUP(T7,$BZ$13:$CA$14,2))</f>
        <v>#DIV/0!</v>
      </c>
      <c r="AD7" s="11" t="e">
        <f>VLOOKUP(Q7,$BZ$7:$CA$8,2)</f>
        <v>#N/A</v>
      </c>
      <c r="AE7" s="14" t="e">
        <f>H7*W7/P7/1000*100</f>
        <v>#DIV/0!</v>
      </c>
      <c r="AF7" s="14" t="e">
        <f>AG7-AB7</f>
        <v>#DIV/0!</v>
      </c>
      <c r="AG7" s="14" t="e">
        <f>AB7+AC7+AD7+AE7</f>
        <v>#DIV/0!</v>
      </c>
      <c r="AH7" s="14" t="e">
        <f>((Z7*H7/1000)^(-1))*((1+(100-AA7)/100))</f>
        <v>#DIV/0!</v>
      </c>
      <c r="AI7" s="14" t="e">
        <f>(Y7*60)/P7</f>
        <v>#N/A</v>
      </c>
      <c r="AJ7" s="11"/>
      <c r="AK7" s="11"/>
      <c r="AL7" s="15" t="e">
        <f>AH7*P7/60</f>
        <v>#DIV/0!</v>
      </c>
      <c r="AM7" s="49" t="e">
        <f>AL7/(AJ7*AK7)</f>
        <v>#DIV/0!</v>
      </c>
      <c r="AN7" s="49" t="e">
        <f>(AL7+Y7)/(AJ7*AK7)</f>
        <v>#DIV/0!</v>
      </c>
      <c r="AO7" s="49" t="e">
        <f>(AH7^-1)*AJ7*60*AK7</f>
        <v>#DIV/0!</v>
      </c>
      <c r="AP7" s="58" t="s">
        <v>145</v>
      </c>
      <c r="AQ7" s="13"/>
      <c r="AR7" s="13"/>
      <c r="AS7" s="11">
        <f>I7</f>
        <v>0</v>
      </c>
      <c r="AT7" s="41"/>
      <c r="AU7" s="11"/>
      <c r="AV7" s="41"/>
      <c r="AW7" s="41"/>
      <c r="AX7" s="12" t="e">
        <f>VLOOKUP(AQ7,$CD$7:$CH$11,5)</f>
        <v>#N/A</v>
      </c>
      <c r="AY7" s="12" t="e">
        <f t="shared" ref="AY7:AY12" si="0">AU7*AS7+AX7</f>
        <v>#N/A</v>
      </c>
      <c r="AZ7" s="12" t="e">
        <f>VLOOKUP(AQ7,$CD$7:$CH$11,3)</f>
        <v>#N/A</v>
      </c>
      <c r="BA7" s="11"/>
      <c r="BB7" s="13"/>
      <c r="BC7" s="14" t="e">
        <f t="shared" ref="BC7:BC12" si="1">AZ7+BB7/60</f>
        <v>#N/A</v>
      </c>
      <c r="BD7" s="12" t="e">
        <f>VLOOKUP(AR7,$CD$14:$CE$17,2)</f>
        <v>#N/A</v>
      </c>
      <c r="BE7" s="14" t="e">
        <f t="shared" ref="BE7:BE12" si="2">BD7/60</f>
        <v>#N/A</v>
      </c>
      <c r="BF7" s="12" t="e">
        <f>VLOOKUP(AQ7,$CD$7:$CH$11,4)</f>
        <v>#N/A</v>
      </c>
      <c r="BG7" s="41"/>
      <c r="BH7" s="14" t="e">
        <f t="shared" ref="BH7:BH12" si="3">(AY7-AS7*AU7)/AY7*100</f>
        <v>#N/A</v>
      </c>
      <c r="BI7" s="5" t="e">
        <f>(G7*AS7*BA7/1000)/1000/M7*100</f>
        <v>#DIV/0!</v>
      </c>
      <c r="BJ7" s="5" t="e">
        <f t="shared" ref="BJ7:BJ12" si="4">BG7+BH7+BI7</f>
        <v>#N/A</v>
      </c>
      <c r="BK7" s="15" t="e">
        <f>BD7/(G7*AS7/1000)/60*1000*((1+(100-BF7)/100))</f>
        <v>#N/A</v>
      </c>
      <c r="BL7" s="12" t="e">
        <f>BC7*60/M7</f>
        <v>#N/A</v>
      </c>
      <c r="BM7" s="11"/>
      <c r="BN7" s="11"/>
      <c r="BO7" s="15" t="e">
        <f>BK7*M7/60+BC7</f>
        <v>#N/A</v>
      </c>
      <c r="BP7" s="15" t="e">
        <f t="shared" ref="BP7:BP12" si="5">BO7/(BM7*BN7)</f>
        <v>#N/A</v>
      </c>
      <c r="BQ7" s="9"/>
      <c r="BR7" s="9"/>
      <c r="BS7" s="14" t="e">
        <f>#REF!/100*BR7</f>
        <v>#REF!</v>
      </c>
      <c r="BT7" s="14" t="e">
        <f t="shared" ref="BT7:BT12" si="6">BL7/60*BQ7</f>
        <v>#N/A</v>
      </c>
      <c r="BU7" s="14" t="e">
        <f t="shared" ref="BU7:BU12" si="7">BK7/60*BQ7</f>
        <v>#N/A</v>
      </c>
      <c r="BV7" s="14" t="e">
        <f t="shared" ref="BV7:BV12" si="8">BS7+BT7+BU7</f>
        <v>#REF!</v>
      </c>
      <c r="BX7" s="106">
        <v>0.6</v>
      </c>
      <c r="BY7" s="103"/>
      <c r="BZ7" s="107" t="s">
        <v>59</v>
      </c>
      <c r="CA7" s="107">
        <v>1.8</v>
      </c>
      <c r="CB7" s="108">
        <v>30</v>
      </c>
      <c r="CC7" s="107">
        <v>50</v>
      </c>
      <c r="CD7" s="107" t="s">
        <v>414</v>
      </c>
      <c r="CE7" s="107">
        <v>1.5</v>
      </c>
      <c r="CF7" s="107">
        <f>15/60</f>
        <v>0.25</v>
      </c>
      <c r="CG7" s="107">
        <v>90</v>
      </c>
      <c r="CH7" s="107">
        <v>50</v>
      </c>
      <c r="CI7" s="107" t="s">
        <v>413</v>
      </c>
      <c r="CJ7" s="107">
        <v>1</v>
      </c>
      <c r="CK7" s="107">
        <f>15/60</f>
        <v>0.25</v>
      </c>
      <c r="CL7" s="107">
        <v>65</v>
      </c>
      <c r="CM7" s="107">
        <v>50</v>
      </c>
      <c r="CN7" s="107">
        <v>2.5</v>
      </c>
      <c r="CO7" s="107" t="s">
        <v>412</v>
      </c>
      <c r="CP7" s="107"/>
      <c r="CQ7" s="107">
        <v>0.25</v>
      </c>
      <c r="CR7" s="107">
        <v>70</v>
      </c>
      <c r="CS7" s="107">
        <v>50</v>
      </c>
      <c r="CT7" s="107" t="s">
        <v>411</v>
      </c>
      <c r="CU7" s="107"/>
      <c r="CV7" s="106">
        <v>0.35</v>
      </c>
      <c r="CW7" s="108">
        <v>100</v>
      </c>
      <c r="CX7" s="107" t="s">
        <v>408</v>
      </c>
      <c r="CY7" s="107">
        <v>3</v>
      </c>
      <c r="CZ7" s="107">
        <v>1</v>
      </c>
      <c r="DA7" s="107"/>
      <c r="DB7" s="107" t="s">
        <v>407</v>
      </c>
      <c r="DC7" s="107"/>
      <c r="DD7" s="107">
        <v>0.5</v>
      </c>
      <c r="DE7" s="107"/>
    </row>
    <row r="8" spans="2:109" ht="13.5" thickBot="1" x14ac:dyDescent="0.25">
      <c r="V8" s="42"/>
      <c r="AD8" s="25"/>
      <c r="AE8" s="25"/>
      <c r="AF8" s="21"/>
      <c r="AG8" s="6"/>
      <c r="AP8" s="58" t="s">
        <v>149</v>
      </c>
      <c r="AQ8" s="13"/>
      <c r="AR8" s="55"/>
      <c r="AS8" s="11">
        <f>I7</f>
        <v>0</v>
      </c>
      <c r="AT8" s="41"/>
      <c r="AU8" s="11"/>
      <c r="AV8" s="11"/>
      <c r="AW8" s="11"/>
      <c r="AX8" s="12" t="e">
        <f>VLOOKUP(AQ8,$CI$7:$CN$7,5)</f>
        <v>#N/A</v>
      </c>
      <c r="AY8" s="12" t="e">
        <f t="shared" si="0"/>
        <v>#N/A</v>
      </c>
      <c r="AZ8" s="12" t="e">
        <f>VLOOKUP(AQ8,$CI$7:$CM$7,3)</f>
        <v>#N/A</v>
      </c>
      <c r="BA8" s="11"/>
      <c r="BB8" s="13"/>
      <c r="BC8" s="14" t="e">
        <f t="shared" si="1"/>
        <v>#N/A</v>
      </c>
      <c r="BD8" s="15" t="e">
        <f>(VLOOKUP(AQ8,$CI$7:$CN$7,6)*AW8*(AU8+1))/(AU8*AV8)</f>
        <v>#N/A</v>
      </c>
      <c r="BE8" s="14" t="e">
        <f t="shared" si="2"/>
        <v>#N/A</v>
      </c>
      <c r="BF8" s="12" t="e">
        <f>VLOOKUP(AQ8,$CI$7:$CM$7,4)</f>
        <v>#N/A</v>
      </c>
      <c r="BG8" s="41"/>
      <c r="BH8" s="14" t="e">
        <f t="shared" si="3"/>
        <v>#N/A</v>
      </c>
      <c r="BI8" s="5" t="e">
        <f>(G7*AS8*BA8/1000)/1000/M7*100</f>
        <v>#DIV/0!</v>
      </c>
      <c r="BJ8" s="5" t="e">
        <f t="shared" si="4"/>
        <v>#N/A</v>
      </c>
      <c r="BK8" s="15" t="e">
        <f>BD8/(G7*AS8/1000)/60*1000*((1+(100-BF8)/100))</f>
        <v>#N/A</v>
      </c>
      <c r="BL8" s="12" t="e">
        <f>BC8*60/M7</f>
        <v>#N/A</v>
      </c>
      <c r="BM8" s="11"/>
      <c r="BN8" s="11"/>
      <c r="BO8" s="15" t="e">
        <f>BK8*M7/60+BC8</f>
        <v>#N/A</v>
      </c>
      <c r="BP8" s="15" t="e">
        <f t="shared" si="5"/>
        <v>#N/A</v>
      </c>
      <c r="BQ8" s="9"/>
      <c r="BR8" s="9"/>
      <c r="BS8" s="14" t="e">
        <f>#REF!/100*BR8</f>
        <v>#REF!</v>
      </c>
      <c r="BT8" s="14" t="e">
        <f t="shared" si="6"/>
        <v>#N/A</v>
      </c>
      <c r="BU8" s="14" t="e">
        <f t="shared" si="7"/>
        <v>#N/A</v>
      </c>
      <c r="BV8" s="14" t="e">
        <f t="shared" si="8"/>
        <v>#REF!</v>
      </c>
      <c r="BX8" s="106">
        <v>0.75</v>
      </c>
      <c r="BY8" s="103"/>
      <c r="BZ8" s="107" t="s">
        <v>60</v>
      </c>
      <c r="CA8" s="107">
        <v>1.8</v>
      </c>
      <c r="CB8" s="108">
        <v>30</v>
      </c>
      <c r="CC8" s="107">
        <v>50</v>
      </c>
      <c r="CD8" s="107" t="s">
        <v>415</v>
      </c>
      <c r="CE8" s="107">
        <v>1.5</v>
      </c>
      <c r="CF8" s="107">
        <f>15/60</f>
        <v>0.25</v>
      </c>
      <c r="CG8" s="107">
        <v>90</v>
      </c>
      <c r="CH8" s="107">
        <v>50</v>
      </c>
      <c r="CI8" s="103"/>
      <c r="CJ8" s="103"/>
      <c r="CK8" s="103"/>
      <c r="CL8" s="103"/>
      <c r="CM8" s="103"/>
      <c r="CN8" s="103"/>
      <c r="CO8" s="103"/>
      <c r="CP8" s="103"/>
      <c r="CQ8" s="103"/>
      <c r="CR8" s="103"/>
      <c r="CS8" s="103"/>
      <c r="CT8" s="107" t="s">
        <v>410</v>
      </c>
      <c r="CU8" s="107"/>
      <c r="CV8" s="106">
        <v>1</v>
      </c>
      <c r="CW8" s="108">
        <v>50</v>
      </c>
      <c r="CX8" s="107" t="s">
        <v>409</v>
      </c>
      <c r="CY8" s="107">
        <v>3</v>
      </c>
      <c r="CZ8" s="107">
        <v>0.5</v>
      </c>
      <c r="DA8" s="107">
        <v>400</v>
      </c>
      <c r="DB8" s="103"/>
      <c r="DC8" s="103"/>
      <c r="DD8" s="103"/>
      <c r="DE8" s="103"/>
    </row>
    <row r="9" spans="2:109" ht="13.5" thickBot="1" x14ac:dyDescent="0.25">
      <c r="AP9" s="58" t="s">
        <v>147</v>
      </c>
      <c r="AQ9" s="13"/>
      <c r="AR9" s="13"/>
      <c r="AS9" s="11">
        <f>I7</f>
        <v>0</v>
      </c>
      <c r="AT9" s="51"/>
      <c r="AU9" s="11"/>
      <c r="AV9" s="41"/>
      <c r="AW9" s="41"/>
      <c r="AX9" s="12" t="e">
        <f>VLOOKUP(AQ9,$CO$7:$CS$7,5)+(3*(AU9+1)*VLOOKUP(AR9,$CO$12:$CP$13,2))</f>
        <v>#N/A</v>
      </c>
      <c r="AY9" s="12" t="e">
        <f t="shared" si="0"/>
        <v>#N/A</v>
      </c>
      <c r="AZ9" s="12" t="e">
        <f>VLOOKUP(AQ9,$CI$7:$CM$7,3)</f>
        <v>#N/A</v>
      </c>
      <c r="BA9" s="11"/>
      <c r="BB9" s="13"/>
      <c r="BC9" s="14" t="e">
        <f t="shared" si="1"/>
        <v>#N/A</v>
      </c>
      <c r="BD9" s="11"/>
      <c r="BE9" s="14">
        <f t="shared" si="2"/>
        <v>0</v>
      </c>
      <c r="BF9" s="12" t="e">
        <f>VLOOKUP(AQ9,$CO$7:$CS$7,4)</f>
        <v>#N/A</v>
      </c>
      <c r="BG9" s="12" t="e">
        <f>AT9/K7*100</f>
        <v>#DIV/0!</v>
      </c>
      <c r="BH9" s="14" t="e">
        <f t="shared" si="3"/>
        <v>#N/A</v>
      </c>
      <c r="BI9" s="5" t="e">
        <f>(G7*AS9*BA9/1000)/1000/M7*100</f>
        <v>#DIV/0!</v>
      </c>
      <c r="BJ9" s="5" t="e">
        <f t="shared" si="4"/>
        <v>#DIV/0!</v>
      </c>
      <c r="BK9" s="15" t="e">
        <f>BD9/(G7*AS9/1000)/60*1000*((1+(100-BF9)/100))</f>
        <v>#DIV/0!</v>
      </c>
      <c r="BL9" s="12" t="e">
        <f>BC9*60/M7</f>
        <v>#N/A</v>
      </c>
      <c r="BM9" s="11"/>
      <c r="BN9" s="11"/>
      <c r="BO9" s="15" t="e">
        <f>BK9*M7/60+BC9</f>
        <v>#DIV/0!</v>
      </c>
      <c r="BP9" s="15" t="e">
        <f t="shared" si="5"/>
        <v>#DIV/0!</v>
      </c>
      <c r="BQ9" s="9"/>
      <c r="BR9" s="9"/>
      <c r="BS9" s="14" t="e">
        <f>#REF!/100*BR9</f>
        <v>#REF!</v>
      </c>
      <c r="BT9" s="14" t="e">
        <f t="shared" si="6"/>
        <v>#N/A</v>
      </c>
      <c r="BU9" s="14" t="e">
        <f t="shared" si="7"/>
        <v>#DIV/0!</v>
      </c>
      <c r="BV9" s="14" t="e">
        <f t="shared" si="8"/>
        <v>#REF!</v>
      </c>
      <c r="BX9" s="106">
        <v>0.9</v>
      </c>
      <c r="BY9" s="103"/>
      <c r="BZ9" s="756" t="s">
        <v>105</v>
      </c>
      <c r="CA9" s="756"/>
      <c r="CB9" s="756"/>
      <c r="CC9" s="756"/>
      <c r="CD9" s="107" t="s">
        <v>416</v>
      </c>
      <c r="CE9" s="107">
        <v>1.5</v>
      </c>
      <c r="CF9" s="107">
        <f>15/60</f>
        <v>0.25</v>
      </c>
      <c r="CG9" s="107">
        <v>90</v>
      </c>
      <c r="CH9" s="107">
        <v>50</v>
      </c>
      <c r="CI9" s="103"/>
      <c r="CJ9" s="103"/>
      <c r="CK9" s="103"/>
      <c r="CL9" s="103"/>
      <c r="CM9" s="103"/>
      <c r="CN9" s="103"/>
      <c r="CR9" s="103"/>
      <c r="CS9" s="103"/>
      <c r="CV9" s="103"/>
      <c r="CW9" s="103"/>
      <c r="CX9" s="103"/>
      <c r="CY9" s="103"/>
      <c r="CZ9" s="103"/>
      <c r="DA9" s="103"/>
      <c r="DD9" s="103"/>
      <c r="DE9" s="103"/>
    </row>
    <row r="10" spans="2:109" ht="13.5" thickBot="1" x14ac:dyDescent="0.25">
      <c r="AP10" s="58" t="s">
        <v>146</v>
      </c>
      <c r="AQ10" s="13"/>
      <c r="AR10" s="13"/>
      <c r="AS10" s="11">
        <f>I7</f>
        <v>0</v>
      </c>
      <c r="AT10" s="51"/>
      <c r="AU10" s="11"/>
      <c r="AV10" s="50"/>
      <c r="AW10" s="50"/>
      <c r="AX10" s="12" t="e">
        <f>VLOOKUP(AQ10,$CT$7:$CW$8,4)</f>
        <v>#N/A</v>
      </c>
      <c r="AY10" s="12" t="e">
        <f t="shared" si="0"/>
        <v>#N/A</v>
      </c>
      <c r="AZ10" s="12" t="e">
        <f>VLOOKUP(AQ10,$CT$7:$CW$8,3)</f>
        <v>#N/A</v>
      </c>
      <c r="BA10" s="11"/>
      <c r="BB10" s="13"/>
      <c r="BC10" s="14" t="e">
        <f t="shared" si="1"/>
        <v>#N/A</v>
      </c>
      <c r="BD10" s="11"/>
      <c r="BE10" s="14">
        <f t="shared" si="2"/>
        <v>0</v>
      </c>
      <c r="BF10" s="12" t="e">
        <f>VLOOKUP(AR10,$CT$12:$CU$14,2)</f>
        <v>#N/A</v>
      </c>
      <c r="BG10" s="12" t="e">
        <f>AT10/K7*100</f>
        <v>#DIV/0!</v>
      </c>
      <c r="BH10" s="14" t="e">
        <f t="shared" si="3"/>
        <v>#N/A</v>
      </c>
      <c r="BI10" s="5" t="e">
        <f>(G7*AS10*BA10/1000)/1000/M7*100</f>
        <v>#DIV/0!</v>
      </c>
      <c r="BJ10" s="5" t="e">
        <f t="shared" si="4"/>
        <v>#DIV/0!</v>
      </c>
      <c r="BK10" s="15" t="e">
        <f>BD10/(G7*AS10/1000)/60*1000*((1+(100-BF10)/100))</f>
        <v>#DIV/0!</v>
      </c>
      <c r="BL10" s="12" t="e">
        <f>BC10*60/M7</f>
        <v>#N/A</v>
      </c>
      <c r="BM10" s="11"/>
      <c r="BN10" s="11"/>
      <c r="BO10" s="15" t="e">
        <f>BK10*M7/60+BC10</f>
        <v>#DIV/0!</v>
      </c>
      <c r="BP10" s="15" t="e">
        <f t="shared" si="5"/>
        <v>#DIV/0!</v>
      </c>
      <c r="BQ10" s="9"/>
      <c r="BR10" s="9"/>
      <c r="BS10" s="14" t="e">
        <f>#REF!/100*BR10</f>
        <v>#REF!</v>
      </c>
      <c r="BT10" s="14" t="e">
        <f t="shared" si="6"/>
        <v>#N/A</v>
      </c>
      <c r="BU10" s="14" t="e">
        <f t="shared" si="7"/>
        <v>#DIV/0!</v>
      </c>
      <c r="BV10" s="14" t="e">
        <f t="shared" si="8"/>
        <v>#REF!</v>
      </c>
      <c r="BX10" s="106">
        <v>0.95</v>
      </c>
      <c r="BY10" s="103"/>
      <c r="BZ10" s="107" t="s">
        <v>89</v>
      </c>
      <c r="CA10" s="107">
        <v>0</v>
      </c>
      <c r="CB10" s="107">
        <v>0</v>
      </c>
      <c r="CC10" s="109"/>
      <c r="CD10" s="107" t="s">
        <v>417</v>
      </c>
      <c r="CE10" s="107">
        <v>1.5</v>
      </c>
      <c r="CF10" s="107">
        <f>15/60</f>
        <v>0.25</v>
      </c>
      <c r="CG10" s="107">
        <v>90</v>
      </c>
      <c r="CH10" s="107">
        <v>50</v>
      </c>
      <c r="CI10" s="103"/>
      <c r="CJ10" s="103"/>
      <c r="CK10" s="103"/>
      <c r="CL10" s="103"/>
      <c r="CM10" s="103"/>
      <c r="CN10" s="103"/>
      <c r="CO10" s="756" t="s">
        <v>81</v>
      </c>
      <c r="CP10" s="756"/>
      <c r="CQ10" s="756"/>
      <c r="CR10" s="103"/>
      <c r="CS10" s="103"/>
      <c r="CT10" s="756" t="s">
        <v>81</v>
      </c>
      <c r="CU10" s="756"/>
      <c r="CV10" s="103"/>
      <c r="CW10" s="103"/>
      <c r="CX10" s="756" t="s">
        <v>81</v>
      </c>
      <c r="CY10" s="756"/>
      <c r="CZ10" s="103"/>
      <c r="DA10" s="103"/>
      <c r="DB10" s="756" t="s">
        <v>81</v>
      </c>
      <c r="DC10" s="756"/>
      <c r="DD10" s="103"/>
      <c r="DE10" s="103"/>
    </row>
    <row r="11" spans="2:109" ht="13.5" thickBot="1" x14ac:dyDescent="0.25">
      <c r="AP11" s="58" t="s">
        <v>165</v>
      </c>
      <c r="AQ11" s="13"/>
      <c r="AR11" s="13"/>
      <c r="AS11" s="11">
        <f>I7</f>
        <v>0</v>
      </c>
      <c r="AT11" s="51"/>
      <c r="AU11" s="11"/>
      <c r="AV11" s="50"/>
      <c r="AW11" s="50"/>
      <c r="AX11" s="12" t="e">
        <f>VLOOKUP(AQ11,$CX$7:$DA$8,4)</f>
        <v>#N/A</v>
      </c>
      <c r="AY11" s="12" t="e">
        <f t="shared" si="0"/>
        <v>#N/A</v>
      </c>
      <c r="AZ11" s="12" t="e">
        <f>VLOOKUP(AQ11,$CX$7:$DA$8,3)</f>
        <v>#N/A</v>
      </c>
      <c r="BA11" s="11"/>
      <c r="BB11" s="13"/>
      <c r="BC11" s="14" t="e">
        <f t="shared" si="1"/>
        <v>#N/A</v>
      </c>
      <c r="BD11" s="11"/>
      <c r="BE11" s="14">
        <f t="shared" si="2"/>
        <v>0</v>
      </c>
      <c r="BF11" s="12" t="e">
        <f>VLOOKUP(AR11,$CX$12:$CY$14,2)</f>
        <v>#N/A</v>
      </c>
      <c r="BG11" s="12" t="e">
        <f>AT11/K9*100</f>
        <v>#DIV/0!</v>
      </c>
      <c r="BH11" s="14" t="e">
        <f t="shared" si="3"/>
        <v>#N/A</v>
      </c>
      <c r="BI11" s="5" t="e">
        <f>(G7*AS11*BA11/1000)/1000/M7*100</f>
        <v>#DIV/0!</v>
      </c>
      <c r="BJ11" s="5" t="e">
        <f t="shared" si="4"/>
        <v>#DIV/0!</v>
      </c>
      <c r="BK11" s="15" t="e">
        <f>BD11/(G7*AS11/1000)/60*1000*((1+(100-BF11)/100))</f>
        <v>#DIV/0!</v>
      </c>
      <c r="BL11" s="12" t="e">
        <f>BC11*60/M7</f>
        <v>#N/A</v>
      </c>
      <c r="BM11" s="11"/>
      <c r="BN11" s="11"/>
      <c r="BO11" s="15" t="e">
        <f>BK11*M7/60+BC11</f>
        <v>#DIV/0!</v>
      </c>
      <c r="BP11" s="15" t="e">
        <f t="shared" si="5"/>
        <v>#DIV/0!</v>
      </c>
      <c r="BQ11" s="9"/>
      <c r="BR11" s="9"/>
      <c r="BS11" s="14" t="e">
        <f>#REF!/100*BR11</f>
        <v>#REF!</v>
      </c>
      <c r="BT11" s="14" t="e">
        <f t="shared" si="6"/>
        <v>#N/A</v>
      </c>
      <c r="BU11" s="14" t="e">
        <f t="shared" si="7"/>
        <v>#DIV/0!</v>
      </c>
      <c r="BV11" s="14" t="e">
        <f t="shared" si="8"/>
        <v>#REF!</v>
      </c>
      <c r="BX11" s="106">
        <v>1.06</v>
      </c>
      <c r="BY11" s="103"/>
      <c r="BZ11" s="107" t="s">
        <v>88</v>
      </c>
      <c r="CA11" s="106" t="s">
        <v>116</v>
      </c>
      <c r="CB11" s="106">
        <v>2</v>
      </c>
      <c r="CC11" s="109"/>
      <c r="CD11" s="107" t="s">
        <v>418</v>
      </c>
      <c r="CE11" s="107">
        <v>1.5</v>
      </c>
      <c r="CF11" s="107">
        <f>15/60</f>
        <v>0.25</v>
      </c>
      <c r="CG11" s="107">
        <v>90</v>
      </c>
      <c r="CH11" s="107">
        <v>50</v>
      </c>
      <c r="CI11" s="103"/>
      <c r="CJ11" s="103"/>
      <c r="CK11" s="103"/>
      <c r="CL11" s="103"/>
      <c r="CM11" s="103"/>
      <c r="CN11" s="103"/>
      <c r="CO11" s="104" t="s">
        <v>85</v>
      </c>
      <c r="CP11" s="104" t="s">
        <v>163</v>
      </c>
      <c r="CQ11" s="104" t="s">
        <v>50</v>
      </c>
      <c r="CR11" s="103"/>
      <c r="CS11" s="103"/>
      <c r="CT11" s="104" t="s">
        <v>85</v>
      </c>
      <c r="CU11" s="104" t="s">
        <v>64</v>
      </c>
      <c r="CV11" s="103"/>
      <c r="CW11" s="103"/>
      <c r="CX11" s="104" t="s">
        <v>85</v>
      </c>
      <c r="CY11" s="104" t="s">
        <v>64</v>
      </c>
      <c r="CZ11" s="103"/>
      <c r="DA11" s="103"/>
      <c r="DB11" s="104" t="s">
        <v>85</v>
      </c>
      <c r="DC11" s="104" t="s">
        <v>64</v>
      </c>
      <c r="DD11" s="103"/>
      <c r="DE11" s="103"/>
    </row>
    <row r="12" spans="2:109" ht="13.5" thickBot="1" x14ac:dyDescent="0.25">
      <c r="B12" s="99"/>
      <c r="C12" s="99"/>
      <c r="D12" s="99"/>
      <c r="E12" s="99"/>
      <c r="F12" s="99"/>
      <c r="G12" s="99"/>
      <c r="H12" s="99"/>
      <c r="I12" s="99"/>
      <c r="J12" s="99"/>
      <c r="K12" s="99"/>
      <c r="L12" s="99"/>
      <c r="M12" s="99"/>
      <c r="N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58" t="s">
        <v>70</v>
      </c>
      <c r="AQ12" s="13"/>
      <c r="AR12" s="13"/>
      <c r="AS12" s="11">
        <f>I7</f>
        <v>0</v>
      </c>
      <c r="AT12" s="51"/>
      <c r="AU12" s="11"/>
      <c r="AV12" s="50"/>
      <c r="AW12" s="50"/>
      <c r="AX12" s="12" t="e">
        <f>VLOOKUP(AQ12,$DB$7:$DE$7,4)</f>
        <v>#N/A</v>
      </c>
      <c r="AY12" s="12" t="e">
        <f t="shared" si="0"/>
        <v>#N/A</v>
      </c>
      <c r="AZ12" s="12" t="e">
        <f>VLOOKUP(AQ12,$DB$7:$DE$7,3)</f>
        <v>#N/A</v>
      </c>
      <c r="BA12" s="11"/>
      <c r="BB12" s="13"/>
      <c r="BC12" s="14" t="e">
        <f t="shared" si="1"/>
        <v>#N/A</v>
      </c>
      <c r="BD12" s="11"/>
      <c r="BE12" s="14">
        <f t="shared" si="2"/>
        <v>0</v>
      </c>
      <c r="BF12" s="12" t="e">
        <f>VLOOKUP(AR12,$DB$12:$DC$14,2)</f>
        <v>#N/A</v>
      </c>
      <c r="BG12" s="12" t="e">
        <f>AT12/K10*100</f>
        <v>#DIV/0!</v>
      </c>
      <c r="BH12" s="14" t="e">
        <f t="shared" si="3"/>
        <v>#N/A</v>
      </c>
      <c r="BI12" s="5" t="e">
        <f>(G7*AS12*BA12/1000)/1000/M7*100</f>
        <v>#DIV/0!</v>
      </c>
      <c r="BJ12" s="5" t="e">
        <f t="shared" si="4"/>
        <v>#DIV/0!</v>
      </c>
      <c r="BK12" s="15" t="e">
        <f>BD12/(G7*AS12/1000)/60*1000*((1+(100-BF12)/100))</f>
        <v>#DIV/0!</v>
      </c>
      <c r="BL12" s="12" t="e">
        <f>BC12*60/M7</f>
        <v>#N/A</v>
      </c>
      <c r="BM12" s="11"/>
      <c r="BN12" s="11"/>
      <c r="BO12" s="15" t="e">
        <f>BK12*M7/60+BC12</f>
        <v>#DIV/0!</v>
      </c>
      <c r="BP12" s="15" t="e">
        <f t="shared" si="5"/>
        <v>#DIV/0!</v>
      </c>
      <c r="BQ12" s="9"/>
      <c r="BR12" s="9"/>
      <c r="BS12" s="14" t="e">
        <f>#REF!/100*BR12</f>
        <v>#REF!</v>
      </c>
      <c r="BT12" s="14" t="e">
        <f t="shared" si="6"/>
        <v>#N/A</v>
      </c>
      <c r="BU12" s="14" t="e">
        <f t="shared" si="7"/>
        <v>#DIV/0!</v>
      </c>
      <c r="BV12" s="14" t="e">
        <f t="shared" si="8"/>
        <v>#REF!</v>
      </c>
      <c r="BX12" s="106">
        <v>1.2</v>
      </c>
      <c r="BY12" s="103"/>
      <c r="BZ12" s="756" t="s">
        <v>109</v>
      </c>
      <c r="CA12" s="756"/>
      <c r="CB12" s="756"/>
      <c r="CC12" s="756"/>
      <c r="CD12" s="756" t="s">
        <v>81</v>
      </c>
      <c r="CE12" s="756"/>
      <c r="CF12" s="103"/>
      <c r="CG12" s="103"/>
      <c r="CH12" s="103"/>
      <c r="CI12" s="103"/>
      <c r="CJ12" s="103"/>
      <c r="CK12" s="103"/>
      <c r="CL12" s="103"/>
      <c r="CM12" s="103"/>
      <c r="CN12" s="103"/>
      <c r="CO12" s="107" t="s">
        <v>160</v>
      </c>
      <c r="CP12" s="107">
        <v>1</v>
      </c>
      <c r="CQ12" s="107">
        <v>0</v>
      </c>
      <c r="CR12" s="103"/>
      <c r="CS12" s="103"/>
      <c r="CT12" s="107" t="s">
        <v>82</v>
      </c>
      <c r="CU12" s="107">
        <v>90</v>
      </c>
      <c r="CV12" s="103"/>
      <c r="CW12" s="103"/>
      <c r="CX12" s="107" t="s">
        <v>82</v>
      </c>
      <c r="CY12" s="107">
        <v>70</v>
      </c>
      <c r="CZ12" s="103"/>
      <c r="DA12" s="103"/>
      <c r="DB12" s="107" t="s">
        <v>82</v>
      </c>
      <c r="DC12" s="107">
        <v>90</v>
      </c>
      <c r="DD12" s="103"/>
      <c r="DE12" s="103"/>
    </row>
    <row r="13" spans="2:109" ht="15.75" thickBot="1" x14ac:dyDescent="0.3">
      <c r="B13" s="177"/>
      <c r="C13" s="178"/>
      <c r="D13" s="179"/>
      <c r="E13" s="180"/>
      <c r="F13" s="181"/>
      <c r="G13" s="182"/>
      <c r="H13" s="182"/>
      <c r="I13" s="41"/>
      <c r="J13" s="182"/>
      <c r="K13" s="182"/>
      <c r="L13" s="182"/>
      <c r="M13" s="183"/>
      <c r="N13" s="184"/>
      <c r="S13" s="41"/>
      <c r="T13" s="41"/>
      <c r="U13" s="41"/>
      <c r="V13" s="179"/>
      <c r="W13" s="41"/>
      <c r="X13" s="185"/>
      <c r="Y13" s="183"/>
      <c r="Z13" s="41"/>
      <c r="AA13" s="41"/>
      <c r="AB13" s="183"/>
      <c r="AC13" s="179"/>
      <c r="AD13" s="41"/>
      <c r="AE13" s="179"/>
      <c r="AF13" s="179"/>
      <c r="AG13" s="179"/>
      <c r="AH13" s="179"/>
      <c r="AI13" s="179"/>
      <c r="AJ13" s="41"/>
      <c r="AK13" s="41"/>
      <c r="AL13" s="183"/>
      <c r="AM13" s="186"/>
      <c r="AN13" s="186"/>
      <c r="AS13" s="41"/>
      <c r="AT13" s="41"/>
      <c r="AU13" s="41"/>
      <c r="AV13" s="41"/>
      <c r="AW13" s="41"/>
      <c r="AX13" s="41"/>
      <c r="AY13" s="41"/>
      <c r="AZ13" s="41"/>
      <c r="BA13" s="41"/>
      <c r="BB13" s="176"/>
      <c r="BC13" s="179"/>
      <c r="BD13" s="41"/>
      <c r="BE13" s="179"/>
      <c r="BF13" s="41"/>
      <c r="BG13" s="41"/>
      <c r="BH13" s="179"/>
      <c r="BI13" s="22"/>
      <c r="BJ13" s="22"/>
      <c r="BK13" s="183"/>
      <c r="BL13" s="41"/>
      <c r="BM13" s="41"/>
      <c r="BN13" s="41"/>
      <c r="BO13" s="183"/>
      <c r="BP13" s="183"/>
      <c r="BQ13" s="179"/>
      <c r="BR13" s="179"/>
      <c r="BS13" s="179"/>
      <c r="BT13" s="179"/>
      <c r="BU13" s="179"/>
      <c r="BV13" s="179"/>
      <c r="BX13" s="106">
        <v>1.25</v>
      </c>
      <c r="BY13" s="103"/>
      <c r="BZ13" s="110" t="s">
        <v>110</v>
      </c>
      <c r="CA13" s="107">
        <v>0</v>
      </c>
      <c r="CB13" s="111"/>
      <c r="CC13" s="109"/>
      <c r="CD13" s="104" t="s">
        <v>154</v>
      </c>
      <c r="CE13" s="104" t="s">
        <v>159</v>
      </c>
      <c r="CF13" s="103"/>
      <c r="CG13" s="103"/>
      <c r="CH13" s="103"/>
      <c r="CI13" s="103"/>
      <c r="CJ13" s="103"/>
      <c r="CK13" s="103"/>
      <c r="CL13" s="103"/>
      <c r="CM13" s="103"/>
      <c r="CN13" s="103"/>
      <c r="CO13" s="107" t="s">
        <v>161</v>
      </c>
      <c r="CP13" s="107">
        <v>2</v>
      </c>
      <c r="CQ13" s="107">
        <v>1</v>
      </c>
      <c r="CR13" s="103"/>
      <c r="CS13" s="103"/>
      <c r="CT13" s="107" t="s">
        <v>83</v>
      </c>
      <c r="CU13" s="107">
        <v>80</v>
      </c>
      <c r="CV13" s="103"/>
      <c r="CW13" s="103"/>
      <c r="CX13" s="107" t="s">
        <v>83</v>
      </c>
      <c r="CY13" s="107">
        <v>65</v>
      </c>
      <c r="CZ13" s="103"/>
      <c r="DA13" s="103"/>
      <c r="DB13" s="107" t="s">
        <v>83</v>
      </c>
      <c r="DC13" s="107">
        <v>80</v>
      </c>
      <c r="DD13" s="103"/>
      <c r="DE13" s="103"/>
    </row>
    <row r="14" spans="2:109" ht="13.5" thickBot="1" x14ac:dyDescent="0.25">
      <c r="V14" s="42"/>
      <c r="AD14" s="25"/>
      <c r="AE14" s="25"/>
      <c r="AF14" s="21"/>
      <c r="AG14" s="175"/>
      <c r="AS14" s="41"/>
      <c r="AT14" s="41"/>
      <c r="AU14" s="41"/>
      <c r="AV14" s="41"/>
      <c r="AW14" s="41"/>
      <c r="AX14" s="41"/>
      <c r="AY14" s="41"/>
      <c r="AZ14" s="41"/>
      <c r="BA14" s="41"/>
      <c r="BB14" s="176"/>
      <c r="BC14" s="179"/>
      <c r="BD14" s="183"/>
      <c r="BE14" s="179"/>
      <c r="BF14" s="41"/>
      <c r="BG14" s="41"/>
      <c r="BH14" s="179"/>
      <c r="BI14" s="22"/>
      <c r="BJ14" s="22"/>
      <c r="BK14" s="183"/>
      <c r="BL14" s="41"/>
      <c r="BM14" s="41"/>
      <c r="BN14" s="41"/>
      <c r="BO14" s="183"/>
      <c r="BP14" s="183"/>
      <c r="BQ14" s="179"/>
      <c r="BR14" s="179"/>
      <c r="BS14" s="179"/>
      <c r="BT14" s="179"/>
      <c r="BU14" s="179"/>
      <c r="BV14" s="179"/>
      <c r="BX14" s="106">
        <v>1.5</v>
      </c>
      <c r="BY14" s="103"/>
      <c r="BZ14" s="107" t="s">
        <v>111</v>
      </c>
      <c r="CA14" s="108">
        <v>1</v>
      </c>
      <c r="CB14" s="103"/>
      <c r="CC14" s="103"/>
      <c r="CD14" s="107" t="s">
        <v>155</v>
      </c>
      <c r="CE14" s="107">
        <v>5</v>
      </c>
      <c r="CF14" s="103"/>
      <c r="CG14" s="103"/>
      <c r="CH14" s="103"/>
      <c r="CI14" s="103"/>
      <c r="CJ14" s="103"/>
      <c r="CK14" s="103"/>
      <c r="CL14" s="103"/>
      <c r="CM14" s="103"/>
      <c r="CN14" s="103"/>
      <c r="CO14" s="103"/>
      <c r="CP14" s="103"/>
      <c r="CQ14" s="103"/>
      <c r="CR14" s="103"/>
      <c r="CS14" s="103"/>
      <c r="CT14" s="107" t="s">
        <v>84</v>
      </c>
      <c r="CU14" s="107">
        <v>70</v>
      </c>
      <c r="CV14" s="103"/>
      <c r="CW14" s="103"/>
      <c r="CX14" s="107" t="s">
        <v>84</v>
      </c>
      <c r="CY14" s="107">
        <v>60</v>
      </c>
      <c r="CZ14" s="103"/>
      <c r="DA14" s="103"/>
      <c r="DB14" s="107" t="s">
        <v>84</v>
      </c>
      <c r="DC14" s="107">
        <v>70</v>
      </c>
      <c r="DD14" s="103"/>
      <c r="DE14" s="103"/>
    </row>
    <row r="15" spans="2:109" ht="13.5" thickBot="1" x14ac:dyDescent="0.25">
      <c r="AS15" s="41"/>
      <c r="AT15" s="182"/>
      <c r="AU15" s="41"/>
      <c r="AV15" s="41"/>
      <c r="AW15" s="41"/>
      <c r="AX15" s="41"/>
      <c r="AY15" s="41"/>
      <c r="AZ15" s="41"/>
      <c r="BA15" s="41"/>
      <c r="BB15" s="176"/>
      <c r="BC15" s="179"/>
      <c r="BD15" s="41"/>
      <c r="BE15" s="179"/>
      <c r="BF15" s="41"/>
      <c r="BG15" s="41"/>
      <c r="BH15" s="179"/>
      <c r="BI15" s="22"/>
      <c r="BJ15" s="22"/>
      <c r="BK15" s="183"/>
      <c r="BL15" s="41"/>
      <c r="BM15" s="41"/>
      <c r="BN15" s="41"/>
      <c r="BO15" s="183"/>
      <c r="BP15" s="183"/>
      <c r="BQ15" s="179"/>
      <c r="BR15" s="179"/>
      <c r="BS15" s="179"/>
      <c r="BT15" s="179"/>
      <c r="BU15" s="179"/>
      <c r="BV15" s="179"/>
      <c r="BX15" s="106">
        <v>1.55</v>
      </c>
      <c r="BY15" s="103"/>
      <c r="BZ15" s="103"/>
      <c r="CA15" s="112"/>
      <c r="CB15" s="103"/>
      <c r="CC15" s="103"/>
      <c r="CD15" s="107" t="s">
        <v>157</v>
      </c>
      <c r="CE15" s="107">
        <v>10</v>
      </c>
      <c r="CF15" s="103"/>
      <c r="CG15" s="103"/>
      <c r="CH15" s="103"/>
      <c r="CI15" s="103"/>
      <c r="CJ15" s="103"/>
      <c r="CK15" s="103"/>
      <c r="CL15" s="103"/>
      <c r="CM15" s="103"/>
      <c r="CN15" s="103"/>
      <c r="CO15" s="103"/>
      <c r="CP15" s="103"/>
      <c r="CQ15" s="103"/>
      <c r="CR15" s="103"/>
      <c r="CS15" s="103"/>
      <c r="CT15" s="103"/>
      <c r="CU15" s="103"/>
      <c r="CV15" s="103"/>
      <c r="CW15" s="103"/>
      <c r="CX15" s="103"/>
      <c r="CY15" s="103"/>
      <c r="CZ15" s="103"/>
      <c r="DA15" s="103"/>
      <c r="DB15" s="103"/>
      <c r="DC15" s="103"/>
      <c r="DD15" s="103"/>
      <c r="DE15" s="103"/>
    </row>
    <row r="16" spans="2:109" ht="13.5" thickBot="1" x14ac:dyDescent="0.25">
      <c r="AS16" s="41"/>
      <c r="AT16" s="182"/>
      <c r="AU16" s="41"/>
      <c r="AV16" s="50"/>
      <c r="AW16" s="50"/>
      <c r="AX16" s="41"/>
      <c r="AY16" s="41"/>
      <c r="AZ16" s="41"/>
      <c r="BA16" s="41"/>
      <c r="BB16" s="176"/>
      <c r="BC16" s="179"/>
      <c r="BD16" s="41"/>
      <c r="BE16" s="179"/>
      <c r="BF16" s="41"/>
      <c r="BG16" s="41"/>
      <c r="BH16" s="179"/>
      <c r="BI16" s="22"/>
      <c r="BJ16" s="22"/>
      <c r="BK16" s="183"/>
      <c r="BL16" s="41"/>
      <c r="BM16" s="41"/>
      <c r="BN16" s="41"/>
      <c r="BO16" s="183"/>
      <c r="BP16" s="183"/>
      <c r="BQ16" s="179"/>
      <c r="BR16" s="179"/>
      <c r="BS16" s="179"/>
      <c r="BT16" s="179"/>
      <c r="BU16" s="179"/>
      <c r="BV16" s="179"/>
      <c r="BX16" s="106">
        <v>1.8</v>
      </c>
      <c r="BY16" s="103"/>
      <c r="BZ16" s="103"/>
      <c r="CA16" s="103"/>
      <c r="CB16" s="103"/>
      <c r="CC16" s="103"/>
      <c r="CD16" s="107" t="s">
        <v>158</v>
      </c>
      <c r="CE16" s="107">
        <v>15</v>
      </c>
      <c r="CF16" s="103"/>
      <c r="CG16" s="103"/>
      <c r="CH16" s="103"/>
      <c r="CI16" s="103"/>
      <c r="CJ16" s="103"/>
      <c r="CK16" s="103"/>
      <c r="CL16" s="103"/>
      <c r="CM16" s="103"/>
      <c r="CN16" s="103"/>
      <c r="CO16" s="103"/>
      <c r="CP16" s="103"/>
      <c r="CQ16" s="103"/>
      <c r="CR16" s="103"/>
      <c r="CS16" s="103"/>
      <c r="CT16" s="103"/>
      <c r="CU16" s="103"/>
      <c r="CV16" s="103"/>
      <c r="CW16" s="103"/>
      <c r="CX16" s="103"/>
      <c r="CY16" s="103"/>
      <c r="CZ16" s="103"/>
      <c r="DA16" s="103"/>
      <c r="DB16" s="103"/>
      <c r="DC16" s="103"/>
      <c r="DD16" s="103"/>
      <c r="DE16" s="103"/>
    </row>
    <row r="17" spans="2:109" ht="13.5" thickBot="1" x14ac:dyDescent="0.25">
      <c r="AS17" s="41"/>
      <c r="AT17" s="182"/>
      <c r="AU17" s="41"/>
      <c r="AV17" s="50"/>
      <c r="AW17" s="50"/>
      <c r="AX17" s="41"/>
      <c r="AY17" s="41"/>
      <c r="AZ17" s="41"/>
      <c r="BA17" s="41"/>
      <c r="BB17" s="176"/>
      <c r="BC17" s="179"/>
      <c r="BD17" s="41"/>
      <c r="BE17" s="179"/>
      <c r="BF17" s="41"/>
      <c r="BG17" s="41"/>
      <c r="BH17" s="179"/>
      <c r="BI17" s="22"/>
      <c r="BJ17" s="22"/>
      <c r="BK17" s="183"/>
      <c r="BL17" s="41"/>
      <c r="BM17" s="41"/>
      <c r="BN17" s="41"/>
      <c r="BO17" s="183"/>
      <c r="BP17" s="183"/>
      <c r="BQ17" s="179"/>
      <c r="BR17" s="179"/>
      <c r="BS17" s="179"/>
      <c r="BT17" s="179"/>
      <c r="BU17" s="179"/>
      <c r="BV17" s="179"/>
      <c r="BX17" s="106">
        <v>1.9</v>
      </c>
      <c r="BY17" s="103"/>
      <c r="BZ17" s="103"/>
      <c r="CA17" s="103"/>
      <c r="CB17" s="103"/>
      <c r="CC17" s="103"/>
      <c r="CD17" s="107" t="s">
        <v>156</v>
      </c>
      <c r="CE17" s="107">
        <v>20</v>
      </c>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row>
    <row r="18" spans="2:109" ht="13.5" thickBot="1" x14ac:dyDescent="0.25">
      <c r="AS18" s="41"/>
      <c r="AT18" s="182"/>
      <c r="AU18" s="41"/>
      <c r="AV18" s="50"/>
      <c r="AW18" s="50"/>
      <c r="AX18" s="41"/>
      <c r="AY18" s="41"/>
      <c r="AZ18" s="41"/>
      <c r="BA18" s="41"/>
      <c r="BB18" s="176"/>
      <c r="BC18" s="179"/>
      <c r="BD18" s="41"/>
      <c r="BE18" s="179"/>
      <c r="BF18" s="41"/>
      <c r="BG18" s="41"/>
      <c r="BH18" s="179"/>
      <c r="BI18" s="22"/>
      <c r="BJ18" s="22"/>
      <c r="BK18" s="183"/>
      <c r="BL18" s="41"/>
      <c r="BM18" s="41"/>
      <c r="BN18" s="41"/>
      <c r="BO18" s="183"/>
      <c r="BP18" s="183"/>
      <c r="BQ18" s="179"/>
      <c r="BR18" s="179"/>
      <c r="BS18" s="179"/>
      <c r="BT18" s="179"/>
      <c r="BU18" s="179"/>
      <c r="BV18" s="179"/>
      <c r="BX18" s="106">
        <v>1.95</v>
      </c>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row>
    <row r="19" spans="2:109" ht="15.75" thickBot="1" x14ac:dyDescent="0.3">
      <c r="B19" s="177"/>
      <c r="C19" s="178"/>
      <c r="D19" s="179"/>
      <c r="E19" s="180"/>
      <c r="F19" s="181"/>
      <c r="G19" s="182"/>
      <c r="H19" s="182"/>
      <c r="I19" s="41"/>
      <c r="J19" s="182"/>
      <c r="K19" s="182"/>
      <c r="L19" s="182"/>
      <c r="M19" s="183"/>
      <c r="N19" s="184"/>
      <c r="S19" s="41"/>
      <c r="T19" s="41"/>
      <c r="U19" s="41"/>
      <c r="V19" s="179"/>
      <c r="W19" s="41"/>
      <c r="X19" s="185"/>
      <c r="Y19" s="183"/>
      <c r="Z19" s="41"/>
      <c r="AA19" s="41"/>
      <c r="AB19" s="183"/>
      <c r="AC19" s="179"/>
      <c r="AD19" s="41"/>
      <c r="AE19" s="179"/>
      <c r="AF19" s="179"/>
      <c r="AG19" s="179"/>
      <c r="AH19" s="179"/>
      <c r="AI19" s="179"/>
      <c r="AJ19" s="41"/>
      <c r="AK19" s="41"/>
      <c r="AL19" s="183"/>
      <c r="AM19" s="186"/>
      <c r="AN19" s="186"/>
      <c r="AS19" s="41"/>
      <c r="AT19" s="41"/>
      <c r="AU19" s="41"/>
      <c r="AV19" s="41"/>
      <c r="AW19" s="41"/>
      <c r="AX19" s="41"/>
      <c r="AY19" s="41"/>
      <c r="AZ19" s="41"/>
      <c r="BA19" s="41"/>
      <c r="BB19" s="176"/>
      <c r="BC19" s="179"/>
      <c r="BD19" s="41"/>
      <c r="BE19" s="179"/>
      <c r="BF19" s="41"/>
      <c r="BG19" s="41"/>
      <c r="BH19" s="179"/>
      <c r="BI19" s="22"/>
      <c r="BJ19" s="22"/>
      <c r="BK19" s="183"/>
      <c r="BL19" s="41"/>
      <c r="BM19" s="41"/>
      <c r="BN19" s="41"/>
      <c r="BO19" s="183"/>
      <c r="BP19" s="183"/>
      <c r="BQ19" s="179"/>
      <c r="BR19" s="179"/>
      <c r="BS19" s="179"/>
      <c r="BT19" s="179"/>
      <c r="BU19" s="179"/>
      <c r="BV19" s="179"/>
      <c r="BX19" s="106">
        <v>2</v>
      </c>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row>
    <row r="20" spans="2:109" ht="13.5" thickBot="1" x14ac:dyDescent="0.25">
      <c r="V20" s="42"/>
      <c r="AD20" s="25"/>
      <c r="AE20" s="25"/>
      <c r="AF20" s="21"/>
      <c r="AG20" s="175"/>
      <c r="AS20" s="41"/>
      <c r="AT20" s="41"/>
      <c r="AU20" s="41"/>
      <c r="AV20" s="41"/>
      <c r="AW20" s="41"/>
      <c r="AX20" s="41"/>
      <c r="AY20" s="41"/>
      <c r="AZ20" s="41"/>
      <c r="BA20" s="41"/>
      <c r="BB20" s="176"/>
      <c r="BC20" s="179"/>
      <c r="BD20" s="183"/>
      <c r="BE20" s="179"/>
      <c r="BF20" s="41"/>
      <c r="BG20" s="41"/>
      <c r="BH20" s="179"/>
      <c r="BI20" s="22"/>
      <c r="BJ20" s="22"/>
      <c r="BK20" s="183"/>
      <c r="BL20" s="41"/>
      <c r="BM20" s="41"/>
      <c r="BN20" s="41"/>
      <c r="BO20" s="183"/>
      <c r="BP20" s="183"/>
      <c r="BQ20" s="179"/>
      <c r="BR20" s="179"/>
      <c r="BS20" s="179"/>
      <c r="BT20" s="179"/>
      <c r="BU20" s="179"/>
      <c r="BV20" s="179"/>
      <c r="BX20" s="106">
        <v>2.25</v>
      </c>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row>
    <row r="21" spans="2:109" ht="13.5" thickBot="1" x14ac:dyDescent="0.25">
      <c r="AS21" s="41"/>
      <c r="AT21" s="182"/>
      <c r="AU21" s="41"/>
      <c r="AV21" s="41"/>
      <c r="AW21" s="41"/>
      <c r="AX21" s="41"/>
      <c r="AY21" s="41"/>
      <c r="AZ21" s="41"/>
      <c r="BA21" s="41"/>
      <c r="BB21" s="176"/>
      <c r="BC21" s="179"/>
      <c r="BD21" s="41"/>
      <c r="BE21" s="179"/>
      <c r="BF21" s="41"/>
      <c r="BG21" s="41"/>
      <c r="BH21" s="179"/>
      <c r="BI21" s="22"/>
      <c r="BJ21" s="22"/>
      <c r="BK21" s="183"/>
      <c r="BL21" s="41"/>
      <c r="BM21" s="41"/>
      <c r="BN21" s="41"/>
      <c r="BO21" s="183"/>
      <c r="BP21" s="183"/>
      <c r="BQ21" s="179"/>
      <c r="BR21" s="179"/>
      <c r="BS21" s="179"/>
      <c r="BT21" s="179"/>
      <c r="BU21" s="179"/>
      <c r="BV21" s="179"/>
      <c r="BX21" s="106">
        <v>2.2999999999999998</v>
      </c>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row>
    <row r="22" spans="2:109" ht="13.5" thickBot="1" x14ac:dyDescent="0.25">
      <c r="AS22" s="41"/>
      <c r="AT22" s="182"/>
      <c r="AU22" s="41"/>
      <c r="AV22" s="50"/>
      <c r="AW22" s="50"/>
      <c r="AX22" s="41"/>
      <c r="AY22" s="41"/>
      <c r="AZ22" s="41"/>
      <c r="BA22" s="41"/>
      <c r="BB22" s="176"/>
      <c r="BC22" s="179"/>
      <c r="BD22" s="41"/>
      <c r="BE22" s="179"/>
      <c r="BF22" s="41"/>
      <c r="BG22" s="41"/>
      <c r="BH22" s="179"/>
      <c r="BI22" s="22"/>
      <c r="BJ22" s="22"/>
      <c r="BK22" s="183"/>
      <c r="BL22" s="41"/>
      <c r="BM22" s="41"/>
      <c r="BN22" s="41"/>
      <c r="BO22" s="183"/>
      <c r="BP22" s="183"/>
      <c r="BQ22" s="179"/>
      <c r="BR22" s="179"/>
      <c r="BS22" s="179"/>
      <c r="BT22" s="179"/>
      <c r="BU22" s="179"/>
      <c r="BV22" s="179"/>
      <c r="BX22" s="106">
        <v>2.65</v>
      </c>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c r="CY22" s="103"/>
      <c r="CZ22" s="103"/>
      <c r="DA22" s="103"/>
      <c r="DB22" s="103"/>
      <c r="DC22" s="103"/>
      <c r="DD22" s="103"/>
      <c r="DE22" s="103"/>
    </row>
    <row r="23" spans="2:109" ht="13.5" thickBot="1" x14ac:dyDescent="0.25">
      <c r="AS23" s="41"/>
      <c r="AT23" s="182"/>
      <c r="AU23" s="41"/>
      <c r="AV23" s="50"/>
      <c r="AW23" s="50"/>
      <c r="AX23" s="41"/>
      <c r="AY23" s="41"/>
      <c r="AZ23" s="41"/>
      <c r="BA23" s="41"/>
      <c r="BB23" s="176"/>
      <c r="BC23" s="179"/>
      <c r="BD23" s="41"/>
      <c r="BE23" s="179"/>
      <c r="BF23" s="41"/>
      <c r="BG23" s="41"/>
      <c r="BH23" s="179"/>
      <c r="BI23" s="22"/>
      <c r="BJ23" s="22"/>
      <c r="BK23" s="183"/>
      <c r="BL23" s="41"/>
      <c r="BM23" s="41"/>
      <c r="BN23" s="41"/>
      <c r="BO23" s="183"/>
      <c r="BP23" s="183"/>
      <c r="BQ23" s="179"/>
      <c r="BR23" s="179"/>
      <c r="BS23" s="179"/>
      <c r="BT23" s="179"/>
      <c r="BU23" s="179"/>
      <c r="BV23" s="179"/>
      <c r="BX23" s="106">
        <v>2.7</v>
      </c>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c r="CY23" s="103"/>
      <c r="CZ23" s="103"/>
      <c r="DA23" s="103"/>
      <c r="DB23" s="103"/>
      <c r="DC23" s="103"/>
      <c r="DD23" s="103"/>
      <c r="DE23" s="103"/>
    </row>
    <row r="24" spans="2:109" ht="13.5" thickBot="1" x14ac:dyDescent="0.25">
      <c r="AS24" s="41"/>
      <c r="AT24" s="182"/>
      <c r="AU24" s="41"/>
      <c r="AV24" s="50"/>
      <c r="AW24" s="50"/>
      <c r="AX24" s="41"/>
      <c r="AY24" s="41"/>
      <c r="AZ24" s="41"/>
      <c r="BA24" s="41"/>
      <c r="BB24" s="176"/>
      <c r="BC24" s="179"/>
      <c r="BD24" s="41"/>
      <c r="BE24" s="179"/>
      <c r="BF24" s="41"/>
      <c r="BG24" s="41"/>
      <c r="BH24" s="179"/>
      <c r="BI24" s="22"/>
      <c r="BJ24" s="22"/>
      <c r="BK24" s="183"/>
      <c r="BL24" s="41"/>
      <c r="BM24" s="41"/>
      <c r="BN24" s="41"/>
      <c r="BO24" s="183"/>
      <c r="BP24" s="183"/>
      <c r="BQ24" s="179"/>
      <c r="BR24" s="179"/>
      <c r="BS24" s="179"/>
      <c r="BT24" s="179"/>
      <c r="BU24" s="179"/>
      <c r="BV24" s="179"/>
      <c r="BX24" s="106">
        <v>3</v>
      </c>
      <c r="BY24" s="103"/>
      <c r="BZ24" s="103"/>
      <c r="CA24" s="103"/>
      <c r="CB24" s="103"/>
      <c r="CC24" s="103"/>
      <c r="CD24" s="103"/>
      <c r="CE24" s="103"/>
      <c r="CF24" s="103"/>
      <c r="CG24" s="103"/>
      <c r="CH24" s="103"/>
      <c r="CI24" s="103"/>
      <c r="CJ24" s="103"/>
      <c r="CK24" s="103"/>
      <c r="CL24" s="103"/>
      <c r="CM24" s="103"/>
      <c r="CN24" s="103"/>
      <c r="CO24" s="103"/>
      <c r="CP24" s="103"/>
      <c r="CQ24" s="103"/>
      <c r="CR24" s="103"/>
      <c r="CS24" s="103"/>
      <c r="CT24" s="103"/>
      <c r="CU24" s="103"/>
      <c r="CV24" s="103"/>
      <c r="CW24" s="103"/>
      <c r="CX24" s="103"/>
      <c r="CY24" s="103"/>
      <c r="CZ24" s="103"/>
      <c r="DA24" s="103"/>
      <c r="DB24" s="103"/>
      <c r="DC24" s="103"/>
      <c r="DD24" s="103"/>
      <c r="DE24" s="103"/>
    </row>
    <row r="25" spans="2:109" ht="15.75" thickBot="1" x14ac:dyDescent="0.3">
      <c r="B25" s="177"/>
      <c r="C25" s="178"/>
      <c r="D25" s="179"/>
      <c r="E25" s="180"/>
      <c r="F25" s="181"/>
      <c r="G25" s="182"/>
      <c r="H25" s="182"/>
      <c r="I25" s="41"/>
      <c r="J25" s="182"/>
      <c r="K25" s="182"/>
      <c r="L25" s="182"/>
      <c r="M25" s="183"/>
      <c r="N25" s="184"/>
      <c r="S25" s="41"/>
      <c r="T25" s="41"/>
      <c r="U25" s="41"/>
      <c r="V25" s="179"/>
      <c r="W25" s="41"/>
      <c r="X25" s="185"/>
      <c r="Y25" s="183"/>
      <c r="Z25" s="41"/>
      <c r="AA25" s="41"/>
      <c r="AB25" s="183"/>
      <c r="AC25" s="179"/>
      <c r="AD25" s="41"/>
      <c r="AE25" s="179"/>
      <c r="AF25" s="179"/>
      <c r="AG25" s="179"/>
      <c r="AH25" s="179"/>
      <c r="AI25" s="179"/>
      <c r="AJ25" s="41"/>
      <c r="AK25" s="41"/>
      <c r="AL25" s="183"/>
      <c r="AM25" s="186"/>
      <c r="AN25" s="186"/>
      <c r="AS25" s="41"/>
      <c r="AT25" s="41"/>
      <c r="AU25" s="41"/>
      <c r="AV25" s="41"/>
      <c r="AW25" s="41"/>
      <c r="AX25" s="41"/>
      <c r="AY25" s="41"/>
      <c r="AZ25" s="41"/>
      <c r="BA25" s="41"/>
      <c r="BB25" s="176"/>
      <c r="BC25" s="179"/>
      <c r="BD25" s="41"/>
      <c r="BE25" s="179"/>
      <c r="BF25" s="41"/>
      <c r="BG25" s="41"/>
      <c r="BH25" s="179"/>
      <c r="BI25" s="22"/>
      <c r="BJ25" s="22"/>
      <c r="BK25" s="183"/>
      <c r="BL25" s="41"/>
      <c r="BM25" s="41"/>
      <c r="BN25" s="41"/>
      <c r="BO25" s="183"/>
      <c r="BP25" s="183"/>
      <c r="BQ25" s="179"/>
      <c r="BR25" s="179"/>
      <c r="BS25" s="179"/>
      <c r="BT25" s="179"/>
      <c r="BU25" s="179"/>
      <c r="BV25" s="179"/>
      <c r="BX25" s="106">
        <v>3.35</v>
      </c>
      <c r="BY25" s="103"/>
      <c r="BZ25" s="103"/>
      <c r="CA25" s="103"/>
      <c r="CB25" s="103"/>
      <c r="CC25" s="103"/>
      <c r="CD25" s="103"/>
      <c r="CE25" s="103"/>
      <c r="CF25" s="103"/>
      <c r="CG25" s="103"/>
      <c r="CH25" s="103"/>
      <c r="CI25" s="103"/>
      <c r="CJ25" s="103"/>
      <c r="CK25" s="103"/>
      <c r="CL25" s="103"/>
      <c r="CM25" s="103"/>
      <c r="CN25" s="103"/>
      <c r="CO25" s="103"/>
      <c r="CP25" s="103"/>
      <c r="CQ25" s="103"/>
      <c r="CR25" s="103"/>
      <c r="CS25" s="103"/>
      <c r="CT25" s="103"/>
      <c r="CU25" s="103"/>
      <c r="CV25" s="103"/>
      <c r="CW25" s="103"/>
      <c r="CX25" s="103"/>
      <c r="CY25" s="103"/>
      <c r="CZ25" s="103"/>
      <c r="DA25" s="103"/>
      <c r="DB25" s="103"/>
      <c r="DC25" s="103"/>
      <c r="DD25" s="103"/>
      <c r="DE25" s="103"/>
    </row>
    <row r="26" spans="2:109" ht="13.5" thickBot="1" x14ac:dyDescent="0.25">
      <c r="V26" s="42"/>
      <c r="AD26" s="25"/>
      <c r="AE26" s="25"/>
      <c r="AF26" s="21"/>
      <c r="AG26" s="175"/>
      <c r="AS26" s="41"/>
      <c r="AT26" s="41"/>
      <c r="AU26" s="41"/>
      <c r="AV26" s="41"/>
      <c r="AW26" s="41"/>
      <c r="AX26" s="41"/>
      <c r="AY26" s="41"/>
      <c r="AZ26" s="41"/>
      <c r="BA26" s="41"/>
      <c r="BB26" s="176"/>
      <c r="BC26" s="179"/>
      <c r="BD26" s="183"/>
      <c r="BE26" s="179"/>
      <c r="BF26" s="41"/>
      <c r="BG26" s="41"/>
      <c r="BH26" s="179"/>
      <c r="BI26" s="22"/>
      <c r="BJ26" s="22"/>
      <c r="BK26" s="183"/>
      <c r="BL26" s="41"/>
      <c r="BM26" s="41"/>
      <c r="BN26" s="41"/>
      <c r="BO26" s="183"/>
      <c r="BP26" s="183"/>
      <c r="BQ26" s="179"/>
      <c r="BR26" s="179"/>
      <c r="BS26" s="179"/>
      <c r="BT26" s="179"/>
      <c r="BU26" s="179"/>
      <c r="BV26" s="179"/>
      <c r="BX26" s="106">
        <v>3.75</v>
      </c>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row>
    <row r="27" spans="2:109" ht="13.5" thickBot="1" x14ac:dyDescent="0.25">
      <c r="AS27" s="41"/>
      <c r="AT27" s="182"/>
      <c r="AU27" s="41"/>
      <c r="AV27" s="41"/>
      <c r="AW27" s="41"/>
      <c r="AX27" s="41"/>
      <c r="AY27" s="41"/>
      <c r="AZ27" s="41"/>
      <c r="BA27" s="41"/>
      <c r="BB27" s="176"/>
      <c r="BC27" s="179"/>
      <c r="BD27" s="41"/>
      <c r="BE27" s="179"/>
      <c r="BF27" s="41"/>
      <c r="BG27" s="41"/>
      <c r="BH27" s="179"/>
      <c r="BI27" s="22"/>
      <c r="BJ27" s="22"/>
      <c r="BK27" s="183"/>
      <c r="BL27" s="41"/>
      <c r="BM27" s="41"/>
      <c r="BN27" s="41"/>
      <c r="BO27" s="183"/>
      <c r="BP27" s="183"/>
      <c r="BQ27" s="179"/>
      <c r="BR27" s="179"/>
      <c r="BS27" s="179"/>
      <c r="BT27" s="179"/>
      <c r="BU27" s="179"/>
      <c r="BV27" s="179"/>
      <c r="BX27" s="106">
        <v>4.25</v>
      </c>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row>
    <row r="28" spans="2:109" ht="13.5" thickBot="1" x14ac:dyDescent="0.25">
      <c r="AS28" s="41"/>
      <c r="AT28" s="182"/>
      <c r="AU28" s="41"/>
      <c r="AV28" s="50"/>
      <c r="AW28" s="50"/>
      <c r="AX28" s="41"/>
      <c r="AY28" s="41"/>
      <c r="AZ28" s="41"/>
      <c r="BA28" s="41"/>
      <c r="BB28" s="176"/>
      <c r="BC28" s="179"/>
      <c r="BD28" s="41"/>
      <c r="BE28" s="179"/>
      <c r="BF28" s="41"/>
      <c r="BG28" s="41"/>
      <c r="BH28" s="179"/>
      <c r="BI28" s="22"/>
      <c r="BJ28" s="22"/>
      <c r="BK28" s="183"/>
      <c r="BL28" s="41"/>
      <c r="BM28" s="41"/>
      <c r="BN28" s="41"/>
      <c r="BO28" s="183"/>
      <c r="BP28" s="183"/>
      <c r="BQ28" s="179"/>
      <c r="BR28" s="179"/>
      <c r="BS28" s="179"/>
      <c r="BT28" s="179"/>
      <c r="BU28" s="179"/>
      <c r="BV28" s="179"/>
      <c r="BX28" s="106">
        <v>4.5</v>
      </c>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row>
    <row r="29" spans="2:109" ht="13.5" thickBot="1" x14ac:dyDescent="0.25">
      <c r="AS29" s="41"/>
      <c r="AT29" s="182"/>
      <c r="AU29" s="41"/>
      <c r="AV29" s="50"/>
      <c r="AW29" s="50"/>
      <c r="AX29" s="41"/>
      <c r="AY29" s="41"/>
      <c r="AZ29" s="41"/>
      <c r="BA29" s="41"/>
      <c r="BB29" s="176"/>
      <c r="BC29" s="179"/>
      <c r="BD29" s="41"/>
      <c r="BE29" s="179"/>
      <c r="BF29" s="41"/>
      <c r="BG29" s="41"/>
      <c r="BH29" s="179"/>
      <c r="BI29" s="22"/>
      <c r="BJ29" s="22"/>
      <c r="BK29" s="183"/>
      <c r="BL29" s="41"/>
      <c r="BM29" s="41"/>
      <c r="BN29" s="41"/>
      <c r="BO29" s="183"/>
      <c r="BP29" s="183"/>
      <c r="BQ29" s="179"/>
      <c r="BR29" s="179"/>
      <c r="BS29" s="179"/>
      <c r="BT29" s="179"/>
      <c r="BU29" s="179"/>
      <c r="BV29" s="179"/>
      <c r="BX29" s="106">
        <v>4.75</v>
      </c>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row>
    <row r="30" spans="2:109" ht="13.5" thickBot="1" x14ac:dyDescent="0.25">
      <c r="AS30" s="41"/>
      <c r="AT30" s="182"/>
      <c r="AU30" s="41"/>
      <c r="AV30" s="50"/>
      <c r="AW30" s="50"/>
      <c r="AX30" s="41"/>
      <c r="AY30" s="41"/>
      <c r="AZ30" s="41"/>
      <c r="BA30" s="41"/>
      <c r="BB30" s="176"/>
      <c r="BC30" s="179"/>
      <c r="BD30" s="41"/>
      <c r="BE30" s="179"/>
      <c r="BF30" s="41"/>
      <c r="BG30" s="41"/>
      <c r="BH30" s="179"/>
      <c r="BI30" s="22"/>
      <c r="BJ30" s="22"/>
      <c r="BK30" s="183"/>
      <c r="BL30" s="41"/>
      <c r="BM30" s="41"/>
      <c r="BN30" s="41"/>
      <c r="BO30" s="183"/>
      <c r="BP30" s="183"/>
      <c r="BQ30" s="179"/>
      <c r="BR30" s="179"/>
      <c r="BS30" s="179"/>
      <c r="BT30" s="179"/>
      <c r="BU30" s="179"/>
      <c r="BV30" s="179"/>
      <c r="BX30" s="106">
        <v>5</v>
      </c>
      <c r="BY30" s="103"/>
      <c r="BZ30" s="103"/>
      <c r="CA30" s="103"/>
      <c r="CB30" s="103"/>
      <c r="CC30" s="103"/>
      <c r="CD30" s="103"/>
      <c r="CE30" s="103"/>
      <c r="CF30" s="103"/>
      <c r="CG30" s="103"/>
      <c r="CH30" s="103"/>
      <c r="CI30" s="103"/>
      <c r="CJ30" s="103"/>
      <c r="CK30" s="103"/>
      <c r="CL30" s="103"/>
      <c r="CM30" s="103"/>
      <c r="CN30" s="103"/>
      <c r="CO30" s="103"/>
      <c r="CP30" s="103"/>
      <c r="CQ30" s="103"/>
      <c r="CR30" s="103"/>
      <c r="CS30" s="103"/>
      <c r="CT30" s="103"/>
      <c r="CU30" s="103"/>
      <c r="CV30" s="103"/>
      <c r="CW30" s="103"/>
      <c r="CX30" s="103"/>
      <c r="CY30" s="103"/>
      <c r="CZ30" s="103"/>
      <c r="DA30" s="103"/>
      <c r="DB30" s="103"/>
      <c r="DC30" s="103"/>
      <c r="DD30" s="103"/>
      <c r="DE30" s="103"/>
    </row>
    <row r="31" spans="2:109" x14ac:dyDescent="0.2">
      <c r="BX31" s="103"/>
      <c r="BY31" s="103"/>
      <c r="BZ31" s="757"/>
      <c r="CA31" s="757"/>
      <c r="CB31" s="757"/>
      <c r="CC31" s="757"/>
      <c r="CD31" s="103"/>
      <c r="CE31" s="11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row>
    <row r="32" spans="2:109" x14ac:dyDescent="0.2">
      <c r="BX32" s="103"/>
      <c r="BY32" s="103"/>
      <c r="BZ32" s="112"/>
      <c r="CA32" s="112"/>
      <c r="CB32" s="112"/>
      <c r="CC32" s="112"/>
      <c r="CD32" s="103"/>
      <c r="CE32" s="113"/>
      <c r="CF32" s="103"/>
      <c r="CG32" s="103"/>
      <c r="CH32" s="103"/>
      <c r="CI32" s="103"/>
      <c r="CJ32" s="103"/>
      <c r="CK32" s="103"/>
      <c r="CL32" s="103"/>
      <c r="CM32" s="103"/>
      <c r="CN32" s="103"/>
      <c r="CO32" s="103"/>
      <c r="CP32" s="103"/>
      <c r="CQ32" s="103"/>
      <c r="CR32" s="103"/>
      <c r="CS32" s="103"/>
      <c r="CT32" s="103"/>
      <c r="CU32" s="103"/>
      <c r="CV32" s="103"/>
      <c r="CW32" s="103"/>
      <c r="CX32" s="103"/>
      <c r="CY32" s="103"/>
      <c r="CZ32" s="103"/>
      <c r="DA32" s="103"/>
      <c r="DB32" s="103"/>
      <c r="DC32" s="103"/>
      <c r="DD32" s="103"/>
      <c r="DE32" s="103"/>
    </row>
    <row r="33" spans="76:109" x14ac:dyDescent="0.2">
      <c r="BX33" s="103"/>
      <c r="BY33" s="103"/>
      <c r="BZ33" s="112"/>
      <c r="CA33" s="112"/>
      <c r="CB33" s="112"/>
      <c r="CC33" s="112"/>
      <c r="CD33" s="103"/>
      <c r="CE33" s="11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row>
    <row r="34" spans="76:109" ht="13.5" thickBot="1" x14ac:dyDescent="0.25">
      <c r="CE34" s="101"/>
    </row>
    <row r="35" spans="76:109" ht="13.5" thickBot="1" x14ac:dyDescent="0.25">
      <c r="CE35" s="22"/>
    </row>
    <row r="36" spans="76:109" ht="13.5" thickBot="1" x14ac:dyDescent="0.25">
      <c r="CE36" s="22"/>
    </row>
  </sheetData>
  <mergeCells count="94">
    <mergeCell ref="BZ31:CC31"/>
    <mergeCell ref="BZ12:CC12"/>
    <mergeCell ref="BZ9:CC9"/>
    <mergeCell ref="BZ5:CC5"/>
    <mergeCell ref="BQ5:BQ6"/>
    <mergeCell ref="BT5:BT6"/>
    <mergeCell ref="BU5:BU6"/>
    <mergeCell ref="BV5:BV6"/>
    <mergeCell ref="BS5:BS6"/>
    <mergeCell ref="W5:X5"/>
    <mergeCell ref="AK5:AK6"/>
    <mergeCell ref="AC5:AC6"/>
    <mergeCell ref="AZ5:AZ6"/>
    <mergeCell ref="AF5:AF6"/>
    <mergeCell ref="AS5:AS6"/>
    <mergeCell ref="AT5:AT6"/>
    <mergeCell ref="AY5:AY6"/>
    <mergeCell ref="AM5:AM6"/>
    <mergeCell ref="AO5:AO6"/>
    <mergeCell ref="AU5:AU6"/>
    <mergeCell ref="AB5:AB6"/>
    <mergeCell ref="AH5:AH6"/>
    <mergeCell ref="AR5:AR6"/>
    <mergeCell ref="AN5:AN6"/>
    <mergeCell ref="AP5:AP6"/>
    <mergeCell ref="BZ3:DE3"/>
    <mergeCell ref="AP4:BV4"/>
    <mergeCell ref="DB10:DC10"/>
    <mergeCell ref="AV5:AV6"/>
    <mergeCell ref="AW5:AW6"/>
    <mergeCell ref="BA5:BB5"/>
    <mergeCell ref="BR5:BR6"/>
    <mergeCell ref="BG5:BG6"/>
    <mergeCell ref="BD5:BD6"/>
    <mergeCell ref="AQ5:AQ6"/>
    <mergeCell ref="BZ4:DE4"/>
    <mergeCell ref="BF5:BF6"/>
    <mergeCell ref="BH5:BH6"/>
    <mergeCell ref="BI5:BI6"/>
    <mergeCell ref="CO5:CS5"/>
    <mergeCell ref="CT5:CW5"/>
    <mergeCell ref="CI5:CN5"/>
    <mergeCell ref="CX5:DA5"/>
    <mergeCell ref="DB5:DE5"/>
    <mergeCell ref="CO10:CQ10"/>
    <mergeCell ref="CT10:CU10"/>
    <mergeCell ref="CX10:CY10"/>
    <mergeCell ref="CD12:CE12"/>
    <mergeCell ref="CD5:CH5"/>
    <mergeCell ref="Z5:Z6"/>
    <mergeCell ref="AA5:AA6"/>
    <mergeCell ref="AD5:AD6"/>
    <mergeCell ref="AE5:AE6"/>
    <mergeCell ref="AG5:AG6"/>
    <mergeCell ref="BJ5:BJ6"/>
    <mergeCell ref="BK5:BK6"/>
    <mergeCell ref="BC5:BC6"/>
    <mergeCell ref="BE5:BE6"/>
    <mergeCell ref="AL5:AL6"/>
    <mergeCell ref="AX5:AX6"/>
    <mergeCell ref="AI5:AI6"/>
    <mergeCell ref="AJ5:AJ6"/>
    <mergeCell ref="B3:P3"/>
    <mergeCell ref="Q3:AM3"/>
    <mergeCell ref="AP3:BV3"/>
    <mergeCell ref="BL5:BL6"/>
    <mergeCell ref="BM5:BM6"/>
    <mergeCell ref="BN5:BN6"/>
    <mergeCell ref="BO5:BO6"/>
    <mergeCell ref="BP5:BP6"/>
    <mergeCell ref="E5:E6"/>
    <mergeCell ref="G5:G6"/>
    <mergeCell ref="I5:I6"/>
    <mergeCell ref="J5:J6"/>
    <mergeCell ref="K5:K6"/>
    <mergeCell ref="Y5:Y6"/>
    <mergeCell ref="M5:M6"/>
    <mergeCell ref="N5:N6"/>
    <mergeCell ref="B4:P4"/>
    <mergeCell ref="Q4:AM4"/>
    <mergeCell ref="L5:L6"/>
    <mergeCell ref="B5:B6"/>
    <mergeCell ref="C5:C6"/>
    <mergeCell ref="D5:D6"/>
    <mergeCell ref="H5:H6"/>
    <mergeCell ref="F5:F6"/>
    <mergeCell ref="R5:R6"/>
    <mergeCell ref="S5:S6"/>
    <mergeCell ref="P5:P6"/>
    <mergeCell ref="Q5:Q6"/>
    <mergeCell ref="O5:O6"/>
    <mergeCell ref="T5:T6"/>
    <mergeCell ref="U5:U6"/>
    <mergeCell ref="V5:V6"/>
  </mergeCells>
  <conditionalFormatting sqref="BS7:BV12 BE7:BE12 BO7:BO12 BJ7:BJ12 G7:H7 J7:L7">
    <cfRule type="cellIs" dxfId="111" priority="85" operator="equal">
      <formula>0</formula>
    </cfRule>
  </conditionalFormatting>
  <conditionalFormatting sqref="BO7:BP12 BS7:BV12 U7:V7 Y7 AA7:AI7 AP7:AP12 BC7:BC12 AX7:AZ12 BD7:BE8 BF7:BL12 AL7:BV7">
    <cfRule type="containsErrors" dxfId="110" priority="83">
      <formula>ISERROR(U7)</formula>
    </cfRule>
  </conditionalFormatting>
  <conditionalFormatting sqref="V7">
    <cfRule type="cellIs" dxfId="109" priority="72" operator="lessThanOrEqual">
      <formula>0.67</formula>
    </cfRule>
  </conditionalFormatting>
  <conditionalFormatting sqref="AS7:AS12">
    <cfRule type="cellIs" dxfId="108" priority="68" operator="equal">
      <formula>0</formula>
    </cfRule>
    <cfRule type="cellIs" dxfId="107" priority="69" operator="lessThan">
      <formula>$J$7</formula>
    </cfRule>
  </conditionalFormatting>
  <conditionalFormatting sqref="AT9:AT12">
    <cfRule type="cellIs" dxfId="106" priority="60" operator="equal">
      <formula>0</formula>
    </cfRule>
  </conditionalFormatting>
  <conditionalFormatting sqref="AS10">
    <cfRule type="cellIs" dxfId="105" priority="57" operator="greaterThan">
      <formula>6500</formula>
    </cfRule>
  </conditionalFormatting>
  <conditionalFormatting sqref="M7:O7">
    <cfRule type="cellIs" dxfId="104" priority="55" operator="equal">
      <formula>0</formula>
    </cfRule>
    <cfRule type="containsErrors" dxfId="103" priority="56">
      <formula>ISERROR(M7)</formula>
    </cfRule>
  </conditionalFormatting>
  <conditionalFormatting sqref="G7">
    <cfRule type="cellIs" dxfId="102" priority="51" operator="greaterThan">
      <formula>18</formula>
    </cfRule>
  </conditionalFormatting>
  <conditionalFormatting sqref="H7">
    <cfRule type="cellIs" dxfId="101" priority="50" operator="greaterThan">
      <formula>18</formula>
    </cfRule>
  </conditionalFormatting>
  <conditionalFormatting sqref="J7">
    <cfRule type="cellIs" dxfId="100" priority="49" operator="greaterThan">
      <formula>100</formula>
    </cfRule>
  </conditionalFormatting>
  <conditionalFormatting sqref="G7:H7 J7:L7">
    <cfRule type="cellIs" dxfId="99" priority="48" operator="equal">
      <formula>0</formula>
    </cfRule>
  </conditionalFormatting>
  <conditionalFormatting sqref="M7:O7">
    <cfRule type="cellIs" dxfId="98" priority="46" operator="equal">
      <formula>0</formula>
    </cfRule>
    <cfRule type="containsErrors" dxfId="97" priority="47">
      <formula>ISERROR(M7)</formula>
    </cfRule>
  </conditionalFormatting>
  <conditionalFormatting sqref="BS13:BV18 BE13:BE18 BO13:BO18 BJ13:BJ18 G13:H13 J13:L13">
    <cfRule type="cellIs" dxfId="96" priority="45" operator="equal">
      <formula>0</formula>
    </cfRule>
  </conditionalFormatting>
  <conditionalFormatting sqref="BO13:BP18 BS13:BV18 U13:V13 Y13 AA13:AI13 AL13:AN13 BC13:BC18 AX13:AZ18 BD13:BE14 BF13:BL18 AS13:AW13 BQ13:BR13 BA13:BB13 BM13:BN13">
    <cfRule type="containsErrors" dxfId="95" priority="44">
      <formula>ISERROR(U13)</formula>
    </cfRule>
  </conditionalFormatting>
  <conditionalFormatting sqref="V13">
    <cfRule type="cellIs" dxfId="94" priority="43" operator="lessThanOrEqual">
      <formula>0.67</formula>
    </cfRule>
  </conditionalFormatting>
  <conditionalFormatting sqref="AS13:AS18">
    <cfRule type="cellIs" dxfId="93" priority="41" operator="equal">
      <formula>0</formula>
    </cfRule>
    <cfRule type="cellIs" dxfId="92" priority="42" operator="lessThan">
      <formula>$J$7</formula>
    </cfRule>
  </conditionalFormatting>
  <conditionalFormatting sqref="AT15:AT18">
    <cfRule type="cellIs" dxfId="91" priority="40" operator="equal">
      <formula>0</formula>
    </cfRule>
  </conditionalFormatting>
  <conditionalFormatting sqref="AS16">
    <cfRule type="cellIs" dxfId="90" priority="39" operator="greaterThan">
      <formula>6500</formula>
    </cfRule>
  </conditionalFormatting>
  <conditionalFormatting sqref="M13:O13">
    <cfRule type="cellIs" dxfId="89" priority="37" operator="equal">
      <formula>0</formula>
    </cfRule>
    <cfRule type="containsErrors" dxfId="88" priority="38">
      <formula>ISERROR(M13)</formula>
    </cfRule>
  </conditionalFormatting>
  <conditionalFormatting sqref="G13">
    <cfRule type="cellIs" dxfId="87" priority="36" operator="greaterThan">
      <formula>18</formula>
    </cfRule>
  </conditionalFormatting>
  <conditionalFormatting sqref="H13">
    <cfRule type="cellIs" dxfId="86" priority="35" operator="greaterThan">
      <formula>18</formula>
    </cfRule>
  </conditionalFormatting>
  <conditionalFormatting sqref="J13">
    <cfRule type="cellIs" dxfId="85" priority="34" operator="greaterThan">
      <formula>100</formula>
    </cfRule>
  </conditionalFormatting>
  <conditionalFormatting sqref="G13:H13 J13:L13">
    <cfRule type="cellIs" dxfId="84" priority="33" operator="equal">
      <formula>0</formula>
    </cfRule>
  </conditionalFormatting>
  <conditionalFormatting sqref="M13:O13">
    <cfRule type="cellIs" dxfId="83" priority="31" operator="equal">
      <formula>0</formula>
    </cfRule>
    <cfRule type="containsErrors" dxfId="82" priority="32">
      <formula>ISERROR(M13)</formula>
    </cfRule>
  </conditionalFormatting>
  <conditionalFormatting sqref="BS19:BV24 BE19:BE24 BO19:BO24 BJ19:BJ24 G19:H19 J19:L19">
    <cfRule type="cellIs" dxfId="81" priority="30" operator="equal">
      <formula>0</formula>
    </cfRule>
  </conditionalFormatting>
  <conditionalFormatting sqref="BO19:BP24 BS19:BV24 U19:V19 Y19 AA19:AI19 AL19:AN19 BC19:BC24 AX19:AZ24 BD19:BE20 BF19:BL24 AS19:AW19 BQ19:BR19 BA19:BB19 BM19:BN19">
    <cfRule type="containsErrors" dxfId="80" priority="29">
      <formula>ISERROR(U19)</formula>
    </cfRule>
  </conditionalFormatting>
  <conditionalFormatting sqref="V19">
    <cfRule type="cellIs" dxfId="79" priority="28" operator="lessThanOrEqual">
      <formula>0.67</formula>
    </cfRule>
  </conditionalFormatting>
  <conditionalFormatting sqref="AS19:AS24">
    <cfRule type="cellIs" dxfId="78" priority="26" operator="equal">
      <formula>0</formula>
    </cfRule>
    <cfRule type="cellIs" dxfId="77" priority="27" operator="lessThan">
      <formula>$J$7</formula>
    </cfRule>
  </conditionalFormatting>
  <conditionalFormatting sqref="AT21:AT24">
    <cfRule type="cellIs" dxfId="76" priority="25" operator="equal">
      <formula>0</formula>
    </cfRule>
  </conditionalFormatting>
  <conditionalFormatting sqref="AS22">
    <cfRule type="cellIs" dxfId="75" priority="24" operator="greaterThan">
      <formula>6500</formula>
    </cfRule>
  </conditionalFormatting>
  <conditionalFormatting sqref="M19:O19">
    <cfRule type="cellIs" dxfId="74" priority="22" operator="equal">
      <formula>0</formula>
    </cfRule>
    <cfRule type="containsErrors" dxfId="73" priority="23">
      <formula>ISERROR(M19)</formula>
    </cfRule>
  </conditionalFormatting>
  <conditionalFormatting sqref="G19">
    <cfRule type="cellIs" dxfId="72" priority="21" operator="greaterThan">
      <formula>18</formula>
    </cfRule>
  </conditionalFormatting>
  <conditionalFormatting sqref="H19">
    <cfRule type="cellIs" dxfId="71" priority="20" operator="greaterThan">
      <formula>18</formula>
    </cfRule>
  </conditionalFormatting>
  <conditionalFormatting sqref="J19">
    <cfRule type="cellIs" dxfId="70" priority="19" operator="greaterThan">
      <formula>100</formula>
    </cfRule>
  </conditionalFormatting>
  <conditionalFormatting sqref="G19:H19 J19:L19">
    <cfRule type="cellIs" dxfId="69" priority="18" operator="equal">
      <formula>0</formula>
    </cfRule>
  </conditionalFormatting>
  <conditionalFormatting sqref="M19:O19">
    <cfRule type="cellIs" dxfId="68" priority="16" operator="equal">
      <formula>0</formula>
    </cfRule>
    <cfRule type="containsErrors" dxfId="67" priority="17">
      <formula>ISERROR(M19)</formula>
    </cfRule>
  </conditionalFormatting>
  <conditionalFormatting sqref="BS25:BV30 BE25:BE30 BO25:BO30 BJ25:BJ30 G25:H25 J25:L25">
    <cfRule type="cellIs" dxfId="66" priority="15" operator="equal">
      <formula>0</formula>
    </cfRule>
  </conditionalFormatting>
  <conditionalFormatting sqref="BO25:BP30 BS25:BV30 U25:V25 Y25 AA25:AI25 AL25:AN25 BC25:BC30 AX25:AZ30 BD25:BE26 BF25:BL30 AS25:AW25 BQ25:BR25 BA25:BB25 BM25:BN25">
    <cfRule type="containsErrors" dxfId="65" priority="14">
      <formula>ISERROR(U25)</formula>
    </cfRule>
  </conditionalFormatting>
  <conditionalFormatting sqref="V25">
    <cfRule type="cellIs" dxfId="64" priority="13" operator="lessThanOrEqual">
      <formula>0.67</formula>
    </cfRule>
  </conditionalFormatting>
  <conditionalFormatting sqref="AS25:AS30">
    <cfRule type="cellIs" dxfId="63" priority="11" operator="equal">
      <formula>0</formula>
    </cfRule>
    <cfRule type="cellIs" dxfId="62" priority="12" operator="lessThan">
      <formula>$J$7</formula>
    </cfRule>
  </conditionalFormatting>
  <conditionalFormatting sqref="AT27:AT30">
    <cfRule type="cellIs" dxfId="61" priority="10" operator="equal">
      <formula>0</formula>
    </cfRule>
  </conditionalFormatting>
  <conditionalFormatting sqref="AS28">
    <cfRule type="cellIs" dxfId="60" priority="9" operator="greaterThan">
      <formula>6500</formula>
    </cfRule>
  </conditionalFormatting>
  <conditionalFormatting sqref="M25:O25">
    <cfRule type="cellIs" dxfId="59" priority="7" operator="equal">
      <formula>0</formula>
    </cfRule>
    <cfRule type="containsErrors" dxfId="58" priority="8">
      <formula>ISERROR(M25)</formula>
    </cfRule>
  </conditionalFormatting>
  <conditionalFormatting sqref="G25">
    <cfRule type="cellIs" dxfId="57" priority="6" operator="greaterThan">
      <formula>18</formula>
    </cfRule>
  </conditionalFormatting>
  <conditionalFormatting sqref="H25">
    <cfRule type="cellIs" dxfId="56" priority="5" operator="greaterThan">
      <formula>18</formula>
    </cfRule>
  </conditionalFormatting>
  <conditionalFormatting sqref="J25">
    <cfRule type="cellIs" dxfId="55" priority="4" operator="greaterThan">
      <formula>100</formula>
    </cfRule>
  </conditionalFormatting>
  <conditionalFormatting sqref="G25:H25 J25:L25">
    <cfRule type="cellIs" dxfId="54" priority="3" operator="equal">
      <formula>0</formula>
    </cfRule>
  </conditionalFormatting>
  <conditionalFormatting sqref="M25:O25">
    <cfRule type="cellIs" dxfId="53" priority="1" operator="equal">
      <formula>0</formula>
    </cfRule>
    <cfRule type="containsErrors" dxfId="52" priority="2">
      <formula>ISERROR(M25)</formula>
    </cfRule>
  </conditionalFormatting>
  <dataValidations count="23">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2 AS18 AS24 AS30">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1 AS17 AS23 AS29">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10 AS16 AS22 AS28">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9 AS15 AS21 AS27">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8 AS14 AS20 AS26">
      <formula1>I7</formula1>
    </dataValidation>
    <dataValidation type="whole" operator="greaterThanOrEqual" allowBlank="1" showInputMessage="1" showErrorMessage="1" errorTitle="Erro de comprimento" error="Comprimento informado é menor do que o comprimento da peça pronta!" promptTitle="Comprimento de Processo" prompt="Em caso de o comprimento deste processo for o comprimento final da peça, este campo é auto-alimentável. No caso deste processo necessitar cortar com sobre-metal, deverá ser informado o novo valor." sqref="AS7 AS13 AS19 AS25">
      <formula1>I7</formula1>
    </dataValidation>
    <dataValidation type="list" allowBlank="1" showInputMessage="1" showErrorMessage="1" sqref="Q7 Q19 Q13 Q25">
      <formula1>$BZ$7:$BZ$8</formula1>
    </dataValidation>
    <dataValidation type="list" allowBlank="1" showInputMessage="1" showErrorMessage="1" sqref="S7 S19 S13 S25">
      <formula1>$BZ$10:$BZ$11</formula1>
    </dataValidation>
    <dataValidation type="list" allowBlank="1" showInputMessage="1" showErrorMessage="1" sqref="T7 T19 T13 T25">
      <formula1>$BZ$13:$BZ$14</formula1>
    </dataValidation>
    <dataValidation operator="greaterThanOrEqual" allowBlank="1" showInputMessage="1" promptTitle="Sucata de Processo" prompt="Sucata referente a furações, rasgos, corte em ângulo etc." sqref="AT9:AT12 AT15:AT18 AT21:AT24 AT27:AT30"/>
    <dataValidation operator="greaterThanOrEqual" allowBlank="1" sqref="AT7:AT8 AT13:AT14 AT19:AT20 AT25:AT26"/>
    <dataValidation type="list" allowBlank="1" showInputMessage="1" showErrorMessage="1" sqref="AR12 AR18 AR24 AR30">
      <formula1>$DB$12:$DB$14</formula1>
    </dataValidation>
    <dataValidation type="list" allowBlank="1" showInputMessage="1" showErrorMessage="1" sqref="AQ12 AQ18 AQ24 AQ30">
      <formula1>$DB$7</formula1>
    </dataValidation>
    <dataValidation type="list" allowBlank="1" showInputMessage="1" showErrorMessage="1" sqref="AR11 AR17 AR23 AR29">
      <formula1>$CX$12:$CX$14</formula1>
    </dataValidation>
    <dataValidation type="list" allowBlank="1" showInputMessage="1" showErrorMessage="1" sqref="AQ11 AQ17 AQ23 AQ29">
      <formula1>$CX$7:$CX$8</formula1>
    </dataValidation>
    <dataValidation type="list" allowBlank="1" showInputMessage="1" showErrorMessage="1" sqref="AR10 AR16 AR22 AR28">
      <formula1>$CT$12:$CT$14</formula1>
    </dataValidation>
    <dataValidation type="list" allowBlank="1" showInputMessage="1" showErrorMessage="1" sqref="AQ10 AQ16 AQ22 AQ28">
      <formula1>$CT$7:$CT$8</formula1>
    </dataValidation>
    <dataValidation type="list" allowBlank="1" showInputMessage="1" showErrorMessage="1" sqref="AR9 AR15 AR21 AR27">
      <formula1>$CO$12:$CO$13</formula1>
    </dataValidation>
    <dataValidation type="list" allowBlank="1" showInputMessage="1" showErrorMessage="1" sqref="AQ9 AQ15 AQ21 AQ27">
      <formula1>$CO$7</formula1>
    </dataValidation>
    <dataValidation type="list" allowBlank="1" showInputMessage="1" showErrorMessage="1" sqref="AR7 AR13 AR19 AR25">
      <formula1>$CD$14:$CD$17</formula1>
    </dataValidation>
    <dataValidation type="list" allowBlank="1" showInputMessage="1" showErrorMessage="1" sqref="AQ8 AQ14 AQ20 AQ26">
      <formula1>$CI$7</formula1>
    </dataValidation>
    <dataValidation type="list" allowBlank="1" showInputMessage="1" showErrorMessage="1" sqref="AQ7 AQ13 AQ19 AQ25">
      <formula1>$CD$7:$CD$11</formula1>
    </dataValidation>
    <dataValidation type="list" errorStyle="warning" allowBlank="1" showInputMessage="1" showErrorMessage="1" errorTitle="Espessura" error="Esta espessura não está cadastrada!" sqref="D7 D19 D13 D25">
      <formula1>$BX$7:$BX$30</formula1>
    </dataValidation>
  </dataValidations>
  <hyperlinks>
    <hyperlink ref="E5:E6" location="'Largura de Tira'!A1" display="'Largura de Tira'!A1"/>
    <hyperlink ref="L5:L6" location="'Estimar Perdas'!A1" display="'Estimar Perdas'!A1"/>
    <hyperlink ref="F5:F6" location="'Estimar Perdas'!A1" display="Scrap Perfuração"/>
    <hyperlink ref="Z5:Z6" location="'Pre Punching'!A1" display="'Pre Punching'!A1"/>
  </hyperlinks>
  <pageMargins left="0.511811024" right="0.511811024" top="0.78740157499999996" bottom="0.78740157499999996" header="0.31496062000000002" footer="0.31496062000000002"/>
  <pageSetup paperSize="9" orientation="portrait" r:id="rId1"/>
  <ignoredErrors>
    <ignoredError sqref="Y7 U7:V7 BS7:BV12 AX8:BF9 BG9 BH7:BI12 AX12:BF12 AY11 BA11:BF11 AA7 BK7:BL12 BP7:BP12 AC7:AD7 AF7:AI7 AY7 BA7:BC7 BE7 AY10 BA10:BE10 BG11:BG12" evalError="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rojetoCJ">
    <tabColor theme="1"/>
    <pageSetUpPr fitToPage="1"/>
  </sheetPr>
  <dimension ref="B1:Y96"/>
  <sheetViews>
    <sheetView showGridLines="0" showRowColHeaders="0" zoomScaleNormal="100" zoomScaleSheetLayoutView="85" workbookViewId="0">
      <selection activeCell="U58" sqref="U58"/>
    </sheetView>
  </sheetViews>
  <sheetFormatPr defaultColWidth="9.140625" defaultRowHeight="12.75" x14ac:dyDescent="0.2"/>
  <cols>
    <col min="1" max="1" width="55.42578125" style="384" customWidth="1"/>
    <col min="2" max="2" width="1" style="384" customWidth="1"/>
    <col min="3" max="16" width="9.7109375" style="384" customWidth="1"/>
    <col min="17" max="17" width="2.7109375" style="384" customWidth="1"/>
    <col min="18" max="18" width="3.42578125" style="384" customWidth="1"/>
    <col min="19" max="29" width="9.7109375" style="384" customWidth="1"/>
    <col min="30" max="16384" width="9.140625" style="384"/>
  </cols>
  <sheetData>
    <row r="1" spans="2:20" ht="13.5" thickBot="1" x14ac:dyDescent="0.25">
      <c r="B1" s="383"/>
      <c r="C1" s="383"/>
      <c r="D1" s="383"/>
      <c r="E1" s="383"/>
      <c r="F1" s="383"/>
      <c r="G1" s="383"/>
      <c r="H1" s="383"/>
      <c r="I1" s="383"/>
      <c r="J1" s="383"/>
      <c r="K1" s="383"/>
      <c r="L1" s="383"/>
      <c r="M1" s="383"/>
      <c r="N1" s="383"/>
      <c r="O1" s="383"/>
      <c r="P1" s="383"/>
      <c r="Q1" s="383"/>
    </row>
    <row r="2" spans="2:20" ht="13.5" customHeight="1" x14ac:dyDescent="0.2">
      <c r="B2" s="394"/>
      <c r="C2" s="395"/>
      <c r="D2" s="395"/>
      <c r="E2" s="395"/>
      <c r="F2" s="395"/>
      <c r="G2" s="395"/>
      <c r="H2" s="395"/>
      <c r="I2" s="395"/>
      <c r="J2" s="395"/>
      <c r="K2" s="395"/>
      <c r="L2" s="395"/>
      <c r="M2" s="395"/>
      <c r="N2" s="395"/>
      <c r="O2" s="785" t="s">
        <v>633</v>
      </c>
      <c r="P2" s="785"/>
      <c r="Q2" s="396"/>
    </row>
    <row r="3" spans="2:20" ht="15" customHeight="1" x14ac:dyDescent="0.2">
      <c r="B3" s="397"/>
      <c r="C3" s="701"/>
      <c r="D3" s="702"/>
      <c r="E3" s="702"/>
      <c r="F3" s="702"/>
      <c r="G3" s="707" t="s">
        <v>696</v>
      </c>
      <c r="H3" s="707"/>
      <c r="I3" s="707"/>
      <c r="J3" s="707"/>
      <c r="K3" s="707"/>
      <c r="L3" s="707"/>
      <c r="M3" s="707"/>
      <c r="N3" s="707"/>
      <c r="O3" s="707"/>
      <c r="P3" s="707"/>
      <c r="Q3" s="398"/>
    </row>
    <row r="4" spans="2:20" ht="15" customHeight="1" x14ac:dyDescent="0.2">
      <c r="B4" s="397"/>
      <c r="C4" s="703"/>
      <c r="D4" s="704"/>
      <c r="E4" s="704"/>
      <c r="F4" s="704"/>
      <c r="G4" s="707"/>
      <c r="H4" s="707"/>
      <c r="I4" s="707"/>
      <c r="J4" s="707"/>
      <c r="K4" s="707"/>
      <c r="L4" s="707"/>
      <c r="M4" s="707"/>
      <c r="N4" s="707"/>
      <c r="O4" s="707"/>
      <c r="P4" s="707"/>
      <c r="Q4" s="398"/>
    </row>
    <row r="5" spans="2:20" ht="15" customHeight="1" x14ac:dyDescent="0.2">
      <c r="B5" s="397"/>
      <c r="C5" s="705"/>
      <c r="D5" s="706"/>
      <c r="E5" s="706"/>
      <c r="F5" s="706"/>
      <c r="G5" s="707"/>
      <c r="H5" s="707"/>
      <c r="I5" s="707"/>
      <c r="J5" s="707"/>
      <c r="K5" s="707"/>
      <c r="L5" s="707"/>
      <c r="M5" s="707"/>
      <c r="N5" s="707"/>
      <c r="O5" s="707"/>
      <c r="P5" s="707"/>
      <c r="Q5" s="398"/>
    </row>
    <row r="6" spans="2:20" ht="5.0999999999999996" customHeight="1" x14ac:dyDescent="0.2">
      <c r="B6" s="397"/>
      <c r="C6" s="383"/>
      <c r="D6" s="383"/>
      <c r="E6" s="383"/>
      <c r="F6" s="383"/>
      <c r="G6" s="383"/>
      <c r="H6" s="383"/>
      <c r="I6" s="383"/>
      <c r="J6" s="383"/>
      <c r="K6" s="383"/>
      <c r="L6" s="383"/>
      <c r="M6" s="383"/>
      <c r="N6" s="383"/>
      <c r="O6" s="383"/>
      <c r="P6" s="383"/>
      <c r="Q6" s="398"/>
    </row>
    <row r="7" spans="2:20" ht="5.0999999999999996" customHeight="1" x14ac:dyDescent="0.2">
      <c r="B7" s="397"/>
      <c r="C7" s="383"/>
      <c r="D7" s="383"/>
      <c r="E7" s="383"/>
      <c r="F7" s="383"/>
      <c r="G7" s="383"/>
      <c r="H7" s="383"/>
      <c r="I7" s="383"/>
      <c r="J7" s="383"/>
      <c r="K7" s="383"/>
      <c r="L7" s="383"/>
      <c r="M7" s="383"/>
      <c r="N7" s="383"/>
      <c r="O7" s="383"/>
      <c r="P7" s="383"/>
      <c r="Q7" s="398"/>
    </row>
    <row r="8" spans="2:20" ht="15" customHeight="1" x14ac:dyDescent="0.2">
      <c r="B8" s="397"/>
      <c r="C8" s="786" t="s">
        <v>692</v>
      </c>
      <c r="D8" s="786"/>
      <c r="E8" s="711" t="str">
        <f ca="1">IFERROR(MID(CELL("nome.arquivo",A1),FIND("C.S.",CELL("nome.arquivo",A1))+5,LEN(CELL("nome.arquivo",A1) )),"{Salvar Este Arquivo}")</f>
        <v>PJT XXXX</v>
      </c>
      <c r="F8" s="711"/>
      <c r="G8" s="532"/>
      <c r="H8" s="693" t="s">
        <v>695</v>
      </c>
      <c r="I8" s="693"/>
      <c r="J8" s="712"/>
      <c r="K8" s="712"/>
      <c r="L8" s="712"/>
      <c r="M8" s="383"/>
      <c r="N8" s="787" t="s">
        <v>613</v>
      </c>
      <c r="O8" s="788"/>
      <c r="P8" s="789"/>
      <c r="Q8" s="398"/>
    </row>
    <row r="9" spans="2:20" ht="15" customHeight="1" x14ac:dyDescent="0.2">
      <c r="B9" s="397"/>
      <c r="C9" s="383"/>
      <c r="D9" s="383"/>
      <c r="E9" s="711"/>
      <c r="F9" s="711"/>
      <c r="G9" s="532"/>
      <c r="H9" s="383"/>
      <c r="I9" s="383"/>
      <c r="J9" s="712"/>
      <c r="K9" s="712"/>
      <c r="L9" s="712"/>
      <c r="M9" s="383"/>
      <c r="N9" s="410"/>
      <c r="O9" s="419" t="s">
        <v>615</v>
      </c>
      <c r="P9" s="420"/>
      <c r="Q9" s="398"/>
    </row>
    <row r="10" spans="2:20" ht="15" customHeight="1" x14ac:dyDescent="0.2">
      <c r="B10" s="397"/>
      <c r="C10" s="383"/>
      <c r="D10" s="383"/>
      <c r="E10" s="383"/>
      <c r="F10" s="383"/>
      <c r="G10" s="383"/>
      <c r="H10" s="383"/>
      <c r="I10" s="383"/>
      <c r="J10" s="383"/>
      <c r="K10" s="383"/>
      <c r="L10" s="383"/>
      <c r="M10" s="383"/>
      <c r="N10" s="449"/>
      <c r="O10" s="419" t="s">
        <v>693</v>
      </c>
      <c r="P10" s="420"/>
      <c r="Q10" s="398"/>
    </row>
    <row r="11" spans="2:20" ht="15" customHeight="1" x14ac:dyDescent="0.2">
      <c r="B11" s="397"/>
      <c r="C11" s="693" t="s">
        <v>612</v>
      </c>
      <c r="D11" s="693"/>
      <c r="E11" s="694"/>
      <c r="F11" s="694"/>
      <c r="G11" s="694"/>
      <c r="H11" s="694"/>
      <c r="I11" s="694"/>
      <c r="J11" s="694"/>
      <c r="K11" s="383"/>
      <c r="L11" s="534" t="s">
        <v>790</v>
      </c>
      <c r="M11" s="383"/>
      <c r="N11" s="411"/>
      <c r="O11" s="419" t="s">
        <v>694</v>
      </c>
      <c r="P11" s="420"/>
      <c r="Q11" s="398"/>
    </row>
    <row r="12" spans="2:20" ht="15" customHeight="1" x14ac:dyDescent="0.2">
      <c r="B12" s="397"/>
      <c r="C12" s="693" t="s">
        <v>614</v>
      </c>
      <c r="D12" s="693"/>
      <c r="E12" s="694"/>
      <c r="F12" s="694"/>
      <c r="G12" s="694"/>
      <c r="H12" s="694"/>
      <c r="I12" s="694"/>
      <c r="J12" s="694"/>
      <c r="K12" s="383"/>
      <c r="L12" s="430">
        <v>0</v>
      </c>
      <c r="M12" s="383"/>
      <c r="N12" s="412"/>
      <c r="O12" s="383" t="s">
        <v>631</v>
      </c>
      <c r="P12" s="413"/>
      <c r="Q12" s="398"/>
    </row>
    <row r="13" spans="2:20" ht="15" customHeight="1" x14ac:dyDescent="0.2">
      <c r="B13" s="397"/>
      <c r="C13" s="693" t="s">
        <v>616</v>
      </c>
      <c r="D13" s="693"/>
      <c r="E13" s="791"/>
      <c r="F13" s="791"/>
      <c r="G13" s="791"/>
      <c r="H13" s="791"/>
      <c r="I13" s="791"/>
      <c r="J13" s="791"/>
      <c r="K13" s="383"/>
      <c r="L13" s="383"/>
      <c r="M13" s="383"/>
      <c r="N13" s="414"/>
      <c r="O13" s="415" t="s">
        <v>632</v>
      </c>
      <c r="P13" s="408"/>
      <c r="Q13" s="398"/>
    </row>
    <row r="14" spans="2:20" ht="15" customHeight="1" x14ac:dyDescent="0.2">
      <c r="B14" s="397"/>
      <c r="C14" s="383"/>
      <c r="D14" s="383"/>
      <c r="E14" s="383"/>
      <c r="F14" s="383"/>
      <c r="G14" s="383"/>
      <c r="H14" s="383"/>
      <c r="I14" s="383"/>
      <c r="J14" s="383"/>
      <c r="K14" s="383"/>
      <c r="L14" s="383"/>
      <c r="M14" s="383"/>
      <c r="N14" s="383"/>
      <c r="O14" s="383"/>
      <c r="P14" s="383"/>
      <c r="Q14" s="398"/>
    </row>
    <row r="15" spans="2:20" ht="20.100000000000001" customHeight="1" x14ac:dyDescent="0.2">
      <c r="B15" s="397"/>
      <c r="C15" s="697" t="s">
        <v>648</v>
      </c>
      <c r="D15" s="697"/>
      <c r="E15" s="697"/>
      <c r="F15" s="697"/>
      <c r="G15" s="697"/>
      <c r="H15" s="697"/>
      <c r="I15" s="697"/>
      <c r="J15" s="697"/>
      <c r="K15" s="697"/>
      <c r="L15" s="697"/>
      <c r="M15" s="697"/>
      <c r="N15" s="697"/>
      <c r="O15" s="697"/>
      <c r="P15" s="697"/>
      <c r="Q15" s="398"/>
      <c r="R15" s="407"/>
      <c r="S15" s="407"/>
      <c r="T15" s="407"/>
    </row>
    <row r="16" spans="2:20" ht="5.0999999999999996" customHeight="1" x14ac:dyDescent="0.2">
      <c r="B16" s="397"/>
      <c r="C16" s="383"/>
      <c r="D16" s="383"/>
      <c r="E16" s="379"/>
      <c r="F16" s="383"/>
      <c r="G16" s="379"/>
      <c r="H16" s="379"/>
      <c r="I16" s="379"/>
      <c r="J16" s="379"/>
      <c r="K16" s="383"/>
      <c r="L16" s="383"/>
      <c r="M16" s="383"/>
      <c r="N16" s="383"/>
      <c r="O16" s="383"/>
      <c r="P16" s="383"/>
      <c r="Q16" s="398"/>
    </row>
    <row r="17" spans="2:21" ht="15" customHeight="1" x14ac:dyDescent="0.2">
      <c r="B17" s="397"/>
      <c r="C17" s="671" t="s">
        <v>767</v>
      </c>
      <c r="D17" s="672"/>
      <c r="E17" s="672"/>
      <c r="F17" s="450">
        <v>1</v>
      </c>
      <c r="G17" s="451"/>
      <c r="K17" s="685" t="s">
        <v>773</v>
      </c>
      <c r="L17" s="685"/>
      <c r="N17" s="652" t="s">
        <v>865</v>
      </c>
      <c r="O17" s="399"/>
      <c r="P17" s="400" t="s">
        <v>717</v>
      </c>
      <c r="Q17" s="398"/>
      <c r="R17" s="407"/>
      <c r="U17" s="407"/>
    </row>
    <row r="18" spans="2:21" ht="15" customHeight="1" x14ac:dyDescent="0.2">
      <c r="B18" s="397"/>
      <c r="C18"/>
      <c r="D18"/>
      <c r="E18"/>
      <c r="F18"/>
      <c r="G18" s="451"/>
      <c r="K18" s="390">
        <f t="array" ref="K18">SUM(F25:F49*E25:E49)</f>
        <v>0</v>
      </c>
      <c r="L18" s="391" t="s">
        <v>731</v>
      </c>
      <c r="M18" s="383"/>
      <c r="N18" s="383"/>
      <c r="O18" s="401" t="str">
        <f>IFERROR(ROUNDUP((O17*1000)/K18,0),"")</f>
        <v/>
      </c>
      <c r="P18" s="400" t="s">
        <v>619</v>
      </c>
      <c r="Q18" s="398"/>
      <c r="R18" s="407"/>
    </row>
    <row r="19" spans="2:21" ht="15" customHeight="1" x14ac:dyDescent="0.2">
      <c r="B19" s="397"/>
      <c r="C19" s="794" t="s">
        <v>864</v>
      </c>
      <c r="D19" s="795"/>
      <c r="E19" s="796"/>
      <c r="G19" s="651" t="s">
        <v>863</v>
      </c>
      <c r="H19" s="657">
        <v>0</v>
      </c>
      <c r="I19" s="655" t="s">
        <v>774</v>
      </c>
      <c r="J19" s="383"/>
      <c r="K19" s="383"/>
      <c r="L19" s="383"/>
      <c r="M19" s="383"/>
      <c r="N19" s="383"/>
      <c r="Q19" s="398"/>
      <c r="R19" s="407"/>
    </row>
    <row r="20" spans="2:21" ht="15" customHeight="1" x14ac:dyDescent="0.2">
      <c r="B20" s="397"/>
      <c r="C20" s="698" t="s">
        <v>768</v>
      </c>
      <c r="D20" s="698"/>
      <c r="E20" s="654" t="b">
        <v>0</v>
      </c>
      <c r="H20" s="658" t="e">
        <f>IF(I19="R$/PC",ROUNDUP(1000/K18,0)*H19,ROUND((H19/1000)*K18,2))</f>
        <v>#DIV/0!</v>
      </c>
      <c r="I20" s="653" t="str">
        <f>IF(I19="R$/PC","R$/Ton","R$/PC")</f>
        <v>R$/Ton</v>
      </c>
      <c r="K20" s="685" t="s">
        <v>777</v>
      </c>
      <c r="L20" s="685"/>
      <c r="M20" s="383"/>
      <c r="N20" s="530" t="s">
        <v>636</v>
      </c>
      <c r="O20" s="529"/>
      <c r="P20" s="453" t="s">
        <v>716</v>
      </c>
      <c r="Q20" s="398"/>
    </row>
    <row r="21" spans="2:21" ht="15" customHeight="1" x14ac:dyDescent="0.2">
      <c r="B21" s="397"/>
      <c r="C21" s="698" t="s">
        <v>769</v>
      </c>
      <c r="D21" s="698"/>
      <c r="E21" s="654" t="b">
        <v>0</v>
      </c>
      <c r="H21" s="656"/>
      <c r="K21" s="390">
        <f>SUM(M25:M49)</f>
        <v>0</v>
      </c>
      <c r="L21" s="391" t="s">
        <v>781</v>
      </c>
      <c r="M21" s="383"/>
      <c r="O21" s="564">
        <f>IF(P21="Ton/mês",ROUND(O20*K18/1000,3),ROUNDUP(O20*1000/K18,0))</f>
        <v>0</v>
      </c>
      <c r="P21" s="540" t="str">
        <f>IF(P20="Peça/mês","Ton/mês","Peça/mês")</f>
        <v>Ton/mês</v>
      </c>
      <c r="Q21" s="398"/>
    </row>
    <row r="22" spans="2:21" ht="15" customHeight="1" x14ac:dyDescent="0.2">
      <c r="B22" s="397"/>
      <c r="C22"/>
      <c r="D22"/>
      <c r="E22"/>
      <c r="G22"/>
      <c r="H22"/>
      <c r="I22"/>
      <c r="J22"/>
      <c r="K22" s="383"/>
      <c r="L22" s="383"/>
      <c r="M22" s="383"/>
      <c r="N22" s="383"/>
      <c r="O22" s="383"/>
      <c r="P22" s="383"/>
      <c r="Q22" s="398"/>
    </row>
    <row r="23" spans="2:21" ht="15" customHeight="1" x14ac:dyDescent="0.2">
      <c r="B23" s="397"/>
      <c r="C23" s="792" t="s">
        <v>770</v>
      </c>
      <c r="D23" s="793"/>
      <c r="E23" s="793"/>
      <c r="F23" s="793"/>
      <c r="G23" s="793"/>
      <c r="H23" s="793"/>
      <c r="I23" s="793"/>
      <c r="J23" s="793"/>
      <c r="K23" s="793"/>
      <c r="L23" s="793"/>
      <c r="M23" s="793"/>
      <c r="N23" s="793"/>
      <c r="O23" s="793"/>
      <c r="P23" s="793"/>
      <c r="Q23" s="398"/>
    </row>
    <row r="24" spans="2:21" ht="15" customHeight="1" x14ac:dyDescent="0.2">
      <c r="B24" s="397"/>
      <c r="C24" s="689" t="s">
        <v>534</v>
      </c>
      <c r="D24" s="689"/>
      <c r="E24" s="533" t="s">
        <v>535</v>
      </c>
      <c r="F24" s="542" t="s">
        <v>772</v>
      </c>
      <c r="G24" s="689" t="s">
        <v>771</v>
      </c>
      <c r="H24" s="689"/>
      <c r="I24" s="799" t="s">
        <v>775</v>
      </c>
      <c r="J24" s="799"/>
      <c r="K24" s="799" t="s">
        <v>776</v>
      </c>
      <c r="L24" s="799"/>
      <c r="M24" s="799" t="s">
        <v>777</v>
      </c>
      <c r="N24" s="799"/>
      <c r="O24" s="689" t="s">
        <v>778</v>
      </c>
      <c r="P24" s="689"/>
      <c r="Q24" s="398"/>
      <c r="R24" s="407"/>
    </row>
    <row r="25" spans="2:21" ht="15" customHeight="1" x14ac:dyDescent="0.2">
      <c r="B25" s="397"/>
      <c r="C25" s="780"/>
      <c r="D25" s="781"/>
      <c r="E25" s="431"/>
      <c r="F25" s="562"/>
      <c r="G25" s="563"/>
      <c r="H25" s="392" t="s">
        <v>774</v>
      </c>
      <c r="I25" s="435">
        <f t="shared" ref="I25:I49" si="0">IFERROR(G25*(1000/E25),0)</f>
        <v>0</v>
      </c>
      <c r="J25" s="392" t="s">
        <v>781</v>
      </c>
      <c r="K25" s="543"/>
      <c r="L25" s="392" t="s">
        <v>781</v>
      </c>
      <c r="M25" s="390">
        <f>IF(I25&gt;0,PRODUCT(I25,O25),PRODUCT(K25,O25))</f>
        <v>0</v>
      </c>
      <c r="N25" s="392" t="s">
        <v>781</v>
      </c>
      <c r="O25" s="790">
        <f t="shared" ref="O25:O49" si="1">IFERROR(ROUND(F25*E25/$K$18,4),0)</f>
        <v>0</v>
      </c>
      <c r="P25" s="790"/>
      <c r="Q25" s="398"/>
    </row>
    <row r="26" spans="2:21" ht="15" customHeight="1" x14ac:dyDescent="0.2">
      <c r="B26" s="397"/>
      <c r="C26" s="780"/>
      <c r="D26" s="781"/>
      <c r="E26" s="431"/>
      <c r="F26" s="562"/>
      <c r="G26" s="563"/>
      <c r="H26" s="392" t="s">
        <v>774</v>
      </c>
      <c r="I26" s="435">
        <f t="shared" si="0"/>
        <v>0</v>
      </c>
      <c r="J26" s="392" t="s">
        <v>781</v>
      </c>
      <c r="K26" s="543"/>
      <c r="L26" s="392" t="s">
        <v>781</v>
      </c>
      <c r="M26" s="390">
        <f t="shared" ref="M26:M49" si="2">IF(I26&gt;0,PRODUCT(I26,O26),PRODUCT(K26,O26))</f>
        <v>0</v>
      </c>
      <c r="N26" s="392" t="s">
        <v>781</v>
      </c>
      <c r="O26" s="790">
        <f t="shared" si="1"/>
        <v>0</v>
      </c>
      <c r="P26" s="790"/>
      <c r="Q26" s="398"/>
      <c r="R26" s="407"/>
    </row>
    <row r="27" spans="2:21" ht="15" customHeight="1" x14ac:dyDescent="0.2">
      <c r="B27" s="397"/>
      <c r="C27" s="780"/>
      <c r="D27" s="781"/>
      <c r="E27" s="431"/>
      <c r="F27" s="562"/>
      <c r="G27" s="563"/>
      <c r="H27" s="392" t="s">
        <v>774</v>
      </c>
      <c r="I27" s="435">
        <f t="shared" si="0"/>
        <v>0</v>
      </c>
      <c r="J27" s="392" t="s">
        <v>781</v>
      </c>
      <c r="K27" s="543"/>
      <c r="L27" s="392" t="s">
        <v>781</v>
      </c>
      <c r="M27" s="390">
        <f t="shared" si="2"/>
        <v>0</v>
      </c>
      <c r="N27" s="392" t="s">
        <v>781</v>
      </c>
      <c r="O27" s="790">
        <f t="shared" si="1"/>
        <v>0</v>
      </c>
      <c r="P27" s="790"/>
      <c r="Q27" s="398"/>
      <c r="R27" s="407"/>
    </row>
    <row r="28" spans="2:21" ht="15" customHeight="1" x14ac:dyDescent="0.2">
      <c r="B28" s="397"/>
      <c r="C28" s="780"/>
      <c r="D28" s="781"/>
      <c r="E28" s="431"/>
      <c r="F28" s="562"/>
      <c r="G28" s="563"/>
      <c r="H28" s="392" t="s">
        <v>774</v>
      </c>
      <c r="I28" s="435">
        <f t="shared" si="0"/>
        <v>0</v>
      </c>
      <c r="J28" s="392" t="s">
        <v>781</v>
      </c>
      <c r="K28" s="543"/>
      <c r="L28" s="392" t="s">
        <v>781</v>
      </c>
      <c r="M28" s="390">
        <f t="shared" si="2"/>
        <v>0</v>
      </c>
      <c r="N28" s="392" t="s">
        <v>781</v>
      </c>
      <c r="O28" s="790">
        <f t="shared" si="1"/>
        <v>0</v>
      </c>
      <c r="P28" s="790"/>
      <c r="Q28" s="398"/>
      <c r="R28" s="407"/>
    </row>
    <row r="29" spans="2:21" ht="15" customHeight="1" x14ac:dyDescent="0.2">
      <c r="B29" s="397"/>
      <c r="C29" s="780"/>
      <c r="D29" s="781"/>
      <c r="E29" s="431"/>
      <c r="F29" s="562"/>
      <c r="G29" s="563"/>
      <c r="H29" s="392" t="s">
        <v>774</v>
      </c>
      <c r="I29" s="435">
        <f t="shared" si="0"/>
        <v>0</v>
      </c>
      <c r="J29" s="392" t="s">
        <v>781</v>
      </c>
      <c r="K29" s="543"/>
      <c r="L29" s="392" t="s">
        <v>781</v>
      </c>
      <c r="M29" s="390">
        <f t="shared" si="2"/>
        <v>0</v>
      </c>
      <c r="N29" s="392" t="s">
        <v>781</v>
      </c>
      <c r="O29" s="790">
        <f t="shared" si="1"/>
        <v>0</v>
      </c>
      <c r="P29" s="790"/>
      <c r="Q29" s="398"/>
      <c r="R29" s="407"/>
    </row>
    <row r="30" spans="2:21" ht="15" customHeight="1" x14ac:dyDescent="0.2">
      <c r="B30" s="397"/>
      <c r="C30" s="780"/>
      <c r="D30" s="781"/>
      <c r="E30" s="431"/>
      <c r="F30" s="562"/>
      <c r="G30" s="563"/>
      <c r="H30" s="392" t="s">
        <v>774</v>
      </c>
      <c r="I30" s="435">
        <f t="shared" si="0"/>
        <v>0</v>
      </c>
      <c r="J30" s="392" t="s">
        <v>781</v>
      </c>
      <c r="K30" s="543"/>
      <c r="L30" s="392" t="s">
        <v>781</v>
      </c>
      <c r="M30" s="390">
        <f t="shared" si="2"/>
        <v>0</v>
      </c>
      <c r="N30" s="392" t="s">
        <v>781</v>
      </c>
      <c r="O30" s="790">
        <f t="shared" si="1"/>
        <v>0</v>
      </c>
      <c r="P30" s="790"/>
      <c r="Q30" s="398"/>
      <c r="R30" s="407"/>
    </row>
    <row r="31" spans="2:21" ht="15" customHeight="1" x14ac:dyDescent="0.2">
      <c r="B31" s="397"/>
      <c r="C31" s="780"/>
      <c r="D31" s="781"/>
      <c r="E31" s="431"/>
      <c r="F31" s="562"/>
      <c r="G31" s="563"/>
      <c r="H31" s="392" t="s">
        <v>774</v>
      </c>
      <c r="I31" s="435">
        <f t="shared" si="0"/>
        <v>0</v>
      </c>
      <c r="J31" s="392" t="s">
        <v>781</v>
      </c>
      <c r="K31" s="543"/>
      <c r="L31" s="392" t="s">
        <v>781</v>
      </c>
      <c r="M31" s="390">
        <f t="shared" si="2"/>
        <v>0</v>
      </c>
      <c r="N31" s="392" t="s">
        <v>781</v>
      </c>
      <c r="O31" s="790">
        <f t="shared" si="1"/>
        <v>0</v>
      </c>
      <c r="P31" s="790"/>
      <c r="Q31" s="398"/>
      <c r="R31" s="407"/>
    </row>
    <row r="32" spans="2:21" ht="15" customHeight="1" x14ac:dyDescent="0.2">
      <c r="B32" s="397"/>
      <c r="C32" s="780"/>
      <c r="D32" s="781"/>
      <c r="E32" s="431"/>
      <c r="F32" s="562"/>
      <c r="G32" s="563"/>
      <c r="H32" s="392" t="s">
        <v>774</v>
      </c>
      <c r="I32" s="435">
        <f t="shared" si="0"/>
        <v>0</v>
      </c>
      <c r="J32" s="392" t="s">
        <v>781</v>
      </c>
      <c r="K32" s="543"/>
      <c r="L32" s="392" t="s">
        <v>781</v>
      </c>
      <c r="M32" s="390">
        <f t="shared" si="2"/>
        <v>0</v>
      </c>
      <c r="N32" s="392" t="s">
        <v>781</v>
      </c>
      <c r="O32" s="790">
        <f t="shared" si="1"/>
        <v>0</v>
      </c>
      <c r="P32" s="790"/>
      <c r="Q32" s="398"/>
      <c r="R32" s="407"/>
    </row>
    <row r="33" spans="2:18" ht="15" customHeight="1" x14ac:dyDescent="0.2">
      <c r="B33" s="397"/>
      <c r="C33" s="780"/>
      <c r="D33" s="781"/>
      <c r="E33" s="431"/>
      <c r="F33" s="562"/>
      <c r="G33" s="563"/>
      <c r="H33" s="392" t="s">
        <v>774</v>
      </c>
      <c r="I33" s="435">
        <f t="shared" si="0"/>
        <v>0</v>
      </c>
      <c r="J33" s="392" t="s">
        <v>781</v>
      </c>
      <c r="K33" s="543"/>
      <c r="L33" s="392" t="s">
        <v>781</v>
      </c>
      <c r="M33" s="390">
        <f t="shared" si="2"/>
        <v>0</v>
      </c>
      <c r="N33" s="392" t="s">
        <v>781</v>
      </c>
      <c r="O33" s="790">
        <f t="shared" si="1"/>
        <v>0</v>
      </c>
      <c r="P33" s="790"/>
      <c r="Q33" s="398"/>
      <c r="R33" s="407"/>
    </row>
    <row r="34" spans="2:18" ht="15" customHeight="1" x14ac:dyDescent="0.2">
      <c r="B34" s="397"/>
      <c r="C34" s="780"/>
      <c r="D34" s="781"/>
      <c r="E34" s="431"/>
      <c r="F34" s="562"/>
      <c r="G34" s="563"/>
      <c r="H34" s="392" t="s">
        <v>774</v>
      </c>
      <c r="I34" s="435">
        <f t="shared" si="0"/>
        <v>0</v>
      </c>
      <c r="J34" s="392" t="s">
        <v>781</v>
      </c>
      <c r="K34" s="543"/>
      <c r="L34" s="392" t="s">
        <v>781</v>
      </c>
      <c r="M34" s="390">
        <f t="shared" si="2"/>
        <v>0</v>
      </c>
      <c r="N34" s="392" t="s">
        <v>781</v>
      </c>
      <c r="O34" s="790">
        <f t="shared" si="1"/>
        <v>0</v>
      </c>
      <c r="P34" s="790"/>
      <c r="Q34" s="398"/>
      <c r="R34" s="407"/>
    </row>
    <row r="35" spans="2:18" ht="15" customHeight="1" x14ac:dyDescent="0.2">
      <c r="B35" s="397"/>
      <c r="C35" s="780"/>
      <c r="D35" s="781"/>
      <c r="E35" s="431"/>
      <c r="F35" s="562"/>
      <c r="G35" s="563"/>
      <c r="H35" s="392" t="s">
        <v>774</v>
      </c>
      <c r="I35" s="435">
        <f t="shared" si="0"/>
        <v>0</v>
      </c>
      <c r="J35" s="392" t="s">
        <v>781</v>
      </c>
      <c r="K35" s="543"/>
      <c r="L35" s="392" t="s">
        <v>781</v>
      </c>
      <c r="M35" s="390">
        <f t="shared" si="2"/>
        <v>0</v>
      </c>
      <c r="N35" s="392" t="s">
        <v>781</v>
      </c>
      <c r="O35" s="790">
        <f t="shared" si="1"/>
        <v>0</v>
      </c>
      <c r="P35" s="790"/>
      <c r="Q35" s="398"/>
      <c r="R35" s="407"/>
    </row>
    <row r="36" spans="2:18" ht="15" customHeight="1" x14ac:dyDescent="0.2">
      <c r="B36" s="397"/>
      <c r="C36" s="780"/>
      <c r="D36" s="781"/>
      <c r="E36" s="431"/>
      <c r="F36" s="562"/>
      <c r="G36" s="563"/>
      <c r="H36" s="392" t="s">
        <v>774</v>
      </c>
      <c r="I36" s="435">
        <f t="shared" si="0"/>
        <v>0</v>
      </c>
      <c r="J36" s="392" t="s">
        <v>781</v>
      </c>
      <c r="K36" s="543"/>
      <c r="L36" s="392" t="s">
        <v>781</v>
      </c>
      <c r="M36" s="390">
        <f t="shared" si="2"/>
        <v>0</v>
      </c>
      <c r="N36" s="392" t="s">
        <v>781</v>
      </c>
      <c r="O36" s="790">
        <f t="shared" si="1"/>
        <v>0</v>
      </c>
      <c r="P36" s="790"/>
      <c r="Q36" s="398"/>
      <c r="R36" s="407"/>
    </row>
    <row r="37" spans="2:18" ht="15" customHeight="1" x14ac:dyDescent="0.2">
      <c r="B37" s="397"/>
      <c r="C37" s="780"/>
      <c r="D37" s="781"/>
      <c r="E37" s="431"/>
      <c r="F37" s="562"/>
      <c r="G37" s="563"/>
      <c r="H37" s="392" t="s">
        <v>774</v>
      </c>
      <c r="I37" s="435">
        <f t="shared" si="0"/>
        <v>0</v>
      </c>
      <c r="J37" s="392" t="s">
        <v>781</v>
      </c>
      <c r="K37" s="543"/>
      <c r="L37" s="392" t="s">
        <v>781</v>
      </c>
      <c r="M37" s="390">
        <f t="shared" si="2"/>
        <v>0</v>
      </c>
      <c r="N37" s="392" t="s">
        <v>781</v>
      </c>
      <c r="O37" s="790">
        <f t="shared" si="1"/>
        <v>0</v>
      </c>
      <c r="P37" s="790"/>
      <c r="Q37" s="398"/>
      <c r="R37" s="407"/>
    </row>
    <row r="38" spans="2:18" ht="15" customHeight="1" x14ac:dyDescent="0.2">
      <c r="B38" s="397"/>
      <c r="C38" s="780"/>
      <c r="D38" s="781"/>
      <c r="E38" s="431"/>
      <c r="F38" s="562"/>
      <c r="G38" s="563"/>
      <c r="H38" s="392" t="s">
        <v>774</v>
      </c>
      <c r="I38" s="435">
        <f t="shared" si="0"/>
        <v>0</v>
      </c>
      <c r="J38" s="392" t="s">
        <v>781</v>
      </c>
      <c r="K38" s="543"/>
      <c r="L38" s="392" t="s">
        <v>781</v>
      </c>
      <c r="M38" s="390">
        <f t="shared" si="2"/>
        <v>0</v>
      </c>
      <c r="N38" s="392" t="s">
        <v>781</v>
      </c>
      <c r="O38" s="790">
        <f t="shared" si="1"/>
        <v>0</v>
      </c>
      <c r="P38" s="790"/>
      <c r="Q38" s="398"/>
      <c r="R38" s="407"/>
    </row>
    <row r="39" spans="2:18" ht="15" customHeight="1" x14ac:dyDescent="0.2">
      <c r="B39" s="397"/>
      <c r="C39" s="780"/>
      <c r="D39" s="781"/>
      <c r="E39" s="431"/>
      <c r="F39" s="562"/>
      <c r="G39" s="563"/>
      <c r="H39" s="392" t="s">
        <v>774</v>
      </c>
      <c r="I39" s="435">
        <f t="shared" si="0"/>
        <v>0</v>
      </c>
      <c r="J39" s="392" t="s">
        <v>781</v>
      </c>
      <c r="K39" s="543"/>
      <c r="L39" s="392" t="s">
        <v>781</v>
      </c>
      <c r="M39" s="390">
        <f t="shared" si="2"/>
        <v>0</v>
      </c>
      <c r="N39" s="392" t="s">
        <v>781</v>
      </c>
      <c r="O39" s="790">
        <f t="shared" si="1"/>
        <v>0</v>
      </c>
      <c r="P39" s="790"/>
      <c r="Q39" s="398"/>
      <c r="R39" s="407"/>
    </row>
    <row r="40" spans="2:18" ht="15" customHeight="1" x14ac:dyDescent="0.2">
      <c r="B40" s="397"/>
      <c r="C40" s="780"/>
      <c r="D40" s="781"/>
      <c r="E40" s="431"/>
      <c r="F40" s="562"/>
      <c r="G40" s="563"/>
      <c r="H40" s="392" t="s">
        <v>774</v>
      </c>
      <c r="I40" s="435">
        <f t="shared" si="0"/>
        <v>0</v>
      </c>
      <c r="J40" s="392" t="s">
        <v>781</v>
      </c>
      <c r="K40" s="543"/>
      <c r="L40" s="392" t="s">
        <v>781</v>
      </c>
      <c r="M40" s="390">
        <f t="shared" si="2"/>
        <v>0</v>
      </c>
      <c r="N40" s="392" t="s">
        <v>781</v>
      </c>
      <c r="O40" s="790">
        <f t="shared" si="1"/>
        <v>0</v>
      </c>
      <c r="P40" s="790"/>
      <c r="Q40" s="398"/>
      <c r="R40" s="407"/>
    </row>
    <row r="41" spans="2:18" ht="15" customHeight="1" x14ac:dyDescent="0.2">
      <c r="B41" s="397"/>
      <c r="C41" s="780"/>
      <c r="D41" s="781"/>
      <c r="E41" s="431"/>
      <c r="F41" s="562"/>
      <c r="G41" s="563"/>
      <c r="H41" s="392" t="s">
        <v>774</v>
      </c>
      <c r="I41" s="435">
        <f t="shared" si="0"/>
        <v>0</v>
      </c>
      <c r="J41" s="392" t="s">
        <v>781</v>
      </c>
      <c r="K41" s="543"/>
      <c r="L41" s="392" t="s">
        <v>781</v>
      </c>
      <c r="M41" s="390">
        <f t="shared" si="2"/>
        <v>0</v>
      </c>
      <c r="N41" s="392" t="s">
        <v>781</v>
      </c>
      <c r="O41" s="790">
        <f t="shared" si="1"/>
        <v>0</v>
      </c>
      <c r="P41" s="790"/>
      <c r="Q41" s="398"/>
      <c r="R41" s="407"/>
    </row>
    <row r="42" spans="2:18" ht="15" customHeight="1" x14ac:dyDescent="0.2">
      <c r="B42" s="397"/>
      <c r="C42" s="780"/>
      <c r="D42" s="781"/>
      <c r="E42" s="431"/>
      <c r="F42" s="562"/>
      <c r="G42" s="563"/>
      <c r="H42" s="392" t="s">
        <v>774</v>
      </c>
      <c r="I42" s="435">
        <f t="shared" si="0"/>
        <v>0</v>
      </c>
      <c r="J42" s="392" t="s">
        <v>781</v>
      </c>
      <c r="K42" s="543"/>
      <c r="L42" s="392" t="s">
        <v>781</v>
      </c>
      <c r="M42" s="390">
        <f t="shared" si="2"/>
        <v>0</v>
      </c>
      <c r="N42" s="392" t="s">
        <v>781</v>
      </c>
      <c r="O42" s="790">
        <f t="shared" si="1"/>
        <v>0</v>
      </c>
      <c r="P42" s="790"/>
      <c r="Q42" s="398"/>
      <c r="R42" s="407"/>
    </row>
    <row r="43" spans="2:18" ht="15" customHeight="1" x14ac:dyDescent="0.2">
      <c r="B43" s="397"/>
      <c r="C43" s="780"/>
      <c r="D43" s="781"/>
      <c r="E43" s="431"/>
      <c r="F43" s="562"/>
      <c r="G43" s="563"/>
      <c r="H43" s="392" t="s">
        <v>774</v>
      </c>
      <c r="I43" s="435">
        <f t="shared" si="0"/>
        <v>0</v>
      </c>
      <c r="J43" s="392" t="s">
        <v>781</v>
      </c>
      <c r="K43" s="543"/>
      <c r="L43" s="392" t="s">
        <v>781</v>
      </c>
      <c r="M43" s="390">
        <f t="shared" si="2"/>
        <v>0</v>
      </c>
      <c r="N43" s="392" t="s">
        <v>781</v>
      </c>
      <c r="O43" s="790">
        <f t="shared" si="1"/>
        <v>0</v>
      </c>
      <c r="P43" s="790"/>
      <c r="Q43" s="398"/>
      <c r="R43" s="407"/>
    </row>
    <row r="44" spans="2:18" ht="15" customHeight="1" x14ac:dyDescent="0.2">
      <c r="B44" s="397"/>
      <c r="C44" s="780"/>
      <c r="D44" s="781"/>
      <c r="E44" s="431"/>
      <c r="F44" s="562"/>
      <c r="G44" s="563"/>
      <c r="H44" s="392" t="s">
        <v>774</v>
      </c>
      <c r="I44" s="435">
        <f t="shared" si="0"/>
        <v>0</v>
      </c>
      <c r="J44" s="392" t="s">
        <v>781</v>
      </c>
      <c r="K44" s="543"/>
      <c r="L44" s="392" t="s">
        <v>781</v>
      </c>
      <c r="M44" s="390">
        <f t="shared" si="2"/>
        <v>0</v>
      </c>
      <c r="N44" s="392" t="s">
        <v>781</v>
      </c>
      <c r="O44" s="790">
        <f t="shared" si="1"/>
        <v>0</v>
      </c>
      <c r="P44" s="790"/>
      <c r="Q44" s="398"/>
      <c r="R44" s="407"/>
    </row>
    <row r="45" spans="2:18" ht="15" customHeight="1" x14ac:dyDescent="0.2">
      <c r="B45" s="397"/>
      <c r="C45" s="780"/>
      <c r="D45" s="781"/>
      <c r="E45" s="431"/>
      <c r="F45" s="562"/>
      <c r="G45" s="563"/>
      <c r="H45" s="392" t="s">
        <v>774</v>
      </c>
      <c r="I45" s="435">
        <f t="shared" si="0"/>
        <v>0</v>
      </c>
      <c r="J45" s="392" t="s">
        <v>781</v>
      </c>
      <c r="K45" s="543"/>
      <c r="L45" s="392" t="s">
        <v>781</v>
      </c>
      <c r="M45" s="390">
        <f t="shared" si="2"/>
        <v>0</v>
      </c>
      <c r="N45" s="392" t="s">
        <v>781</v>
      </c>
      <c r="O45" s="790">
        <f t="shared" si="1"/>
        <v>0</v>
      </c>
      <c r="P45" s="790"/>
      <c r="Q45" s="398"/>
      <c r="R45" s="407"/>
    </row>
    <row r="46" spans="2:18" ht="15" customHeight="1" x14ac:dyDescent="0.2">
      <c r="B46" s="397"/>
      <c r="C46" s="780"/>
      <c r="D46" s="781"/>
      <c r="E46" s="431"/>
      <c r="F46" s="562"/>
      <c r="G46" s="563"/>
      <c r="H46" s="392" t="s">
        <v>774</v>
      </c>
      <c r="I46" s="435">
        <f t="shared" si="0"/>
        <v>0</v>
      </c>
      <c r="J46" s="392" t="s">
        <v>781</v>
      </c>
      <c r="K46" s="543"/>
      <c r="L46" s="392" t="s">
        <v>781</v>
      </c>
      <c r="M46" s="390">
        <f t="shared" si="2"/>
        <v>0</v>
      </c>
      <c r="N46" s="392" t="s">
        <v>781</v>
      </c>
      <c r="O46" s="790">
        <f t="shared" si="1"/>
        <v>0</v>
      </c>
      <c r="P46" s="790"/>
      <c r="Q46" s="398"/>
      <c r="R46" s="407"/>
    </row>
    <row r="47" spans="2:18" ht="15" customHeight="1" x14ac:dyDescent="0.2">
      <c r="B47" s="397"/>
      <c r="C47" s="780"/>
      <c r="D47" s="781"/>
      <c r="E47" s="431"/>
      <c r="F47" s="562"/>
      <c r="G47" s="563"/>
      <c r="H47" s="392" t="s">
        <v>774</v>
      </c>
      <c r="I47" s="435">
        <f t="shared" si="0"/>
        <v>0</v>
      </c>
      <c r="J47" s="392" t="s">
        <v>781</v>
      </c>
      <c r="K47" s="543"/>
      <c r="L47" s="392" t="s">
        <v>781</v>
      </c>
      <c r="M47" s="390">
        <f t="shared" si="2"/>
        <v>0</v>
      </c>
      <c r="N47" s="392" t="s">
        <v>781</v>
      </c>
      <c r="O47" s="790">
        <f t="shared" si="1"/>
        <v>0</v>
      </c>
      <c r="P47" s="790"/>
      <c r="Q47" s="398"/>
      <c r="R47" s="407"/>
    </row>
    <row r="48" spans="2:18" ht="15" customHeight="1" x14ac:dyDescent="0.2">
      <c r="B48" s="397"/>
      <c r="C48" s="780"/>
      <c r="D48" s="781"/>
      <c r="E48" s="431"/>
      <c r="F48" s="562"/>
      <c r="G48" s="563"/>
      <c r="H48" s="392" t="s">
        <v>774</v>
      </c>
      <c r="I48" s="435">
        <f t="shared" si="0"/>
        <v>0</v>
      </c>
      <c r="J48" s="392" t="s">
        <v>781</v>
      </c>
      <c r="K48" s="543"/>
      <c r="L48" s="392" t="s">
        <v>781</v>
      </c>
      <c r="M48" s="390">
        <f t="shared" si="2"/>
        <v>0</v>
      </c>
      <c r="N48" s="392" t="s">
        <v>781</v>
      </c>
      <c r="O48" s="790">
        <f t="shared" si="1"/>
        <v>0</v>
      </c>
      <c r="P48" s="790"/>
      <c r="Q48" s="398"/>
      <c r="R48" s="407"/>
    </row>
    <row r="49" spans="2:25" ht="15" customHeight="1" x14ac:dyDescent="0.2">
      <c r="B49" s="397"/>
      <c r="C49" s="780"/>
      <c r="D49" s="781"/>
      <c r="E49" s="431"/>
      <c r="F49" s="562"/>
      <c r="G49" s="563"/>
      <c r="H49" s="392" t="s">
        <v>774</v>
      </c>
      <c r="I49" s="435">
        <f t="shared" si="0"/>
        <v>0</v>
      </c>
      <c r="J49" s="392" t="s">
        <v>781</v>
      </c>
      <c r="K49" s="543"/>
      <c r="L49" s="392" t="s">
        <v>781</v>
      </c>
      <c r="M49" s="390">
        <f t="shared" si="2"/>
        <v>0</v>
      </c>
      <c r="N49" s="392" t="s">
        <v>781</v>
      </c>
      <c r="O49" s="790">
        <f t="shared" si="1"/>
        <v>0</v>
      </c>
      <c r="P49" s="790"/>
      <c r="Q49" s="398"/>
      <c r="R49" s="407"/>
    </row>
    <row r="50" spans="2:25" ht="15" customHeight="1" x14ac:dyDescent="0.2">
      <c r="B50" s="397"/>
      <c r="C50" s="532"/>
      <c r="D50" s="532"/>
      <c r="E50" s="532"/>
      <c r="F50" s="532"/>
      <c r="G50" s="379"/>
      <c r="H50" s="379"/>
      <c r="I50" s="379"/>
      <c r="J50" s="379"/>
      <c r="K50" s="383"/>
      <c r="L50" s="383"/>
      <c r="M50" s="383"/>
      <c r="N50" s="383"/>
      <c r="O50" s="383"/>
      <c r="P50" s="383"/>
      <c r="Q50" s="398"/>
      <c r="R50" s="407"/>
    </row>
    <row r="51" spans="2:25" ht="20.100000000000001" customHeight="1" x14ac:dyDescent="0.2">
      <c r="B51" s="397"/>
      <c r="C51" s="697" t="s">
        <v>791</v>
      </c>
      <c r="D51" s="697"/>
      <c r="E51" s="697"/>
      <c r="F51" s="697"/>
      <c r="G51" s="697"/>
      <c r="H51" s="697"/>
      <c r="I51" s="697"/>
      <c r="J51" s="697"/>
      <c r="K51" s="697"/>
      <c r="L51" s="697"/>
      <c r="M51" s="697"/>
      <c r="N51" s="697"/>
      <c r="O51" s="697"/>
      <c r="P51" s="697"/>
      <c r="Q51" s="398"/>
    </row>
    <row r="52" spans="2:25" ht="5.0999999999999996" customHeight="1" x14ac:dyDescent="0.2">
      <c r="B52" s="397"/>
      <c r="C52" s="383"/>
      <c r="D52" s="383"/>
      <c r="E52" s="379"/>
      <c r="F52" s="383"/>
      <c r="G52" s="379"/>
      <c r="H52" s="379"/>
      <c r="I52" s="379"/>
      <c r="J52" s="379"/>
      <c r="K52" s="383"/>
      <c r="L52" s="383"/>
      <c r="M52" s="383"/>
      <c r="N52" s="383"/>
      <c r="O52" s="383"/>
      <c r="P52" s="383"/>
      <c r="Q52" s="398"/>
    </row>
    <row r="53" spans="2:25" ht="15" customHeight="1" x14ac:dyDescent="0.2">
      <c r="B53" s="397"/>
      <c r="C53" s="721" t="s">
        <v>49</v>
      </c>
      <c r="D53" s="722"/>
      <c r="E53" s="383"/>
      <c r="F53" s="383"/>
      <c r="I53" s="685" t="s">
        <v>784</v>
      </c>
      <c r="J53" s="685"/>
      <c r="K53" s="721" t="s">
        <v>786</v>
      </c>
      <c r="L53" s="722"/>
      <c r="M53" s="722"/>
      <c r="N53" s="688" t="s">
        <v>782</v>
      </c>
      <c r="O53" s="689"/>
      <c r="P53" s="689"/>
      <c r="Q53" s="398"/>
    </row>
    <row r="54" spans="2:25" s="385" customFormat="1" ht="15" customHeight="1" x14ac:dyDescent="0.2">
      <c r="B54" s="402"/>
      <c r="C54" s="718"/>
      <c r="D54" s="719"/>
      <c r="E54" s="720"/>
      <c r="F54" s="531"/>
      <c r="I54" s="409"/>
      <c r="J54" s="392" t="s">
        <v>785</v>
      </c>
      <c r="K54" s="782"/>
      <c r="L54" s="783"/>
      <c r="M54" s="556" t="s">
        <v>785</v>
      </c>
      <c r="N54" s="565"/>
      <c r="O54" s="797" t="s">
        <v>783</v>
      </c>
      <c r="P54" s="798"/>
      <c r="Q54" s="403"/>
    </row>
    <row r="55" spans="2:25" s="385" customFormat="1" ht="15" customHeight="1" x14ac:dyDescent="0.2">
      <c r="B55" s="402"/>
      <c r="C55" s="531"/>
      <c r="D55" s="531"/>
      <c r="E55" s="531"/>
      <c r="F55" s="532"/>
      <c r="K55" s="532"/>
      <c r="L55" s="532"/>
      <c r="M55" s="532"/>
      <c r="N55" s="532"/>
      <c r="O55" s="531"/>
      <c r="P55" s="531"/>
      <c r="Q55" s="403"/>
    </row>
    <row r="56" spans="2:25" ht="15" customHeight="1" x14ac:dyDescent="0.2">
      <c r="B56" s="397"/>
      <c r="C56" s="721" t="s">
        <v>698</v>
      </c>
      <c r="D56" s="722"/>
      <c r="E56"/>
      <c r="F56" s="532"/>
      <c r="G56" s="532"/>
      <c r="H56" s="383"/>
      <c r="I56" s="383"/>
      <c r="K56" s="784" t="s">
        <v>64</v>
      </c>
      <c r="L56" s="784"/>
      <c r="M56" s="784" t="s">
        <v>789</v>
      </c>
      <c r="N56" s="784"/>
      <c r="O56" s="689" t="s">
        <v>583</v>
      </c>
      <c r="P56" s="689"/>
      <c r="Q56" s="398"/>
      <c r="W56"/>
      <c r="X56"/>
      <c r="Y56"/>
    </row>
    <row r="57" spans="2:25" ht="15" customHeight="1" x14ac:dyDescent="0.2">
      <c r="B57" s="397"/>
      <c r="E57" s="383"/>
      <c r="F57" s="532"/>
      <c r="G57" s="383"/>
      <c r="H57" s="383"/>
      <c r="I57" s="383"/>
      <c r="K57" s="409"/>
      <c r="L57" s="556" t="s">
        <v>292</v>
      </c>
      <c r="M57" s="409"/>
      <c r="N57" s="556" t="s">
        <v>653</v>
      </c>
      <c r="O57" s="409"/>
      <c r="P57" s="392" t="s">
        <v>728</v>
      </c>
      <c r="Q57" s="398"/>
      <c r="W57"/>
      <c r="X57"/>
      <c r="Y57"/>
    </row>
    <row r="58" spans="2:25" ht="15" customHeight="1" x14ac:dyDescent="0.2">
      <c r="B58" s="397"/>
      <c r="E58" s="532"/>
      <c r="F58" s="532"/>
      <c r="G58" s="383"/>
      <c r="H58" s="383"/>
      <c r="I58" s="383"/>
      <c r="J58" s="552"/>
      <c r="K58" s="552"/>
      <c r="L58" s="552"/>
      <c r="M58" s="552"/>
      <c r="N58" s="552"/>
      <c r="O58" s="409"/>
      <c r="P58" s="392" t="s">
        <v>664</v>
      </c>
      <c r="Q58" s="398"/>
      <c r="S58"/>
      <c r="T58"/>
      <c r="U58"/>
      <c r="V58"/>
      <c r="W58"/>
      <c r="X58"/>
      <c r="Y58"/>
    </row>
    <row r="59" spans="2:25" ht="15" customHeight="1" x14ac:dyDescent="0.2">
      <c r="B59" s="397"/>
      <c r="C59" s="456"/>
      <c r="D59" s="456"/>
      <c r="E59" s="456"/>
      <c r="F59" s="417"/>
      <c r="G59" s="418"/>
      <c r="H59" s="418"/>
      <c r="I59" s="418"/>
      <c r="J59" s="553"/>
      <c r="K59" s="685" t="s">
        <v>814</v>
      </c>
      <c r="L59" s="685"/>
      <c r="M59" s="685" t="s">
        <v>804</v>
      </c>
      <c r="N59" s="685"/>
      <c r="Q59" s="398"/>
      <c r="W59"/>
      <c r="X59"/>
      <c r="Y59"/>
    </row>
    <row r="60" spans="2:25" ht="15" customHeight="1" x14ac:dyDescent="0.2">
      <c r="B60" s="397"/>
      <c r="C60" s="383"/>
      <c r="D60" s="383"/>
      <c r="E60" s="383"/>
      <c r="F60" s="383"/>
      <c r="G60" s="383"/>
      <c r="H60" s="383"/>
      <c r="I60" s="383"/>
      <c r="J60" s="552"/>
      <c r="K60" s="614">
        <v>8.48</v>
      </c>
      <c r="L60" s="556" t="s">
        <v>653</v>
      </c>
      <c r="M60" s="687">
        <v>1</v>
      </c>
      <c r="N60" s="687"/>
      <c r="Q60" s="398"/>
      <c r="W60"/>
      <c r="X60"/>
      <c r="Y60"/>
    </row>
    <row r="61" spans="2:25" ht="15" customHeight="1" x14ac:dyDescent="0.2">
      <c r="B61" s="397"/>
      <c r="C61" s="383"/>
      <c r="D61" s="383"/>
      <c r="E61" s="383"/>
      <c r="F61" s="383"/>
      <c r="G61" s="383"/>
      <c r="H61" s="383"/>
      <c r="I61" s="383"/>
      <c r="J61" s="552"/>
      <c r="K61" s="554"/>
      <c r="L61" s="554"/>
      <c r="M61" s="554"/>
      <c r="N61" s="554"/>
      <c r="O61" s="554"/>
      <c r="P61" s="554"/>
      <c r="Q61" s="398"/>
      <c r="S61"/>
      <c r="T61"/>
      <c r="U61"/>
      <c r="V61"/>
      <c r="W61"/>
      <c r="X61"/>
      <c r="Y61"/>
    </row>
    <row r="62" spans="2:25" ht="15" customHeight="1" x14ac:dyDescent="0.2">
      <c r="B62" s="397"/>
      <c r="C62" s="383"/>
      <c r="D62" s="383"/>
      <c r="E62" s="383"/>
      <c r="F62" s="383"/>
      <c r="G62" s="383"/>
      <c r="H62" s="383"/>
      <c r="I62" s="418"/>
      <c r="J62" s="553"/>
      <c r="K62" s="784" t="s">
        <v>787</v>
      </c>
      <c r="L62" s="784"/>
      <c r="M62" s="784" t="s">
        <v>721</v>
      </c>
      <c r="N62" s="784"/>
      <c r="O62" s="784" t="s">
        <v>721</v>
      </c>
      <c r="P62" s="784"/>
      <c r="Q62" s="398"/>
      <c r="S62"/>
      <c r="T62"/>
      <c r="U62"/>
      <c r="V62"/>
      <c r="W62"/>
      <c r="X62"/>
      <c r="Y62"/>
    </row>
    <row r="63" spans="2:25" ht="15" customHeight="1" x14ac:dyDescent="0.2">
      <c r="B63" s="397"/>
      <c r="C63" s="383"/>
      <c r="D63" s="383"/>
      <c r="E63" s="383"/>
      <c r="F63" s="383"/>
      <c r="G63" s="383"/>
      <c r="H63" s="383"/>
      <c r="I63" s="383"/>
      <c r="J63" s="552"/>
      <c r="K63" s="558">
        <f>(60*N54)/200</f>
        <v>0</v>
      </c>
      <c r="L63" s="556" t="s">
        <v>785</v>
      </c>
      <c r="M63" s="558">
        <f>SUM(K63,K54,I54)</f>
        <v>0</v>
      </c>
      <c r="N63" s="556" t="s">
        <v>785</v>
      </c>
      <c r="O63" s="558">
        <f>M63/60</f>
        <v>0</v>
      </c>
      <c r="P63" s="556" t="s">
        <v>788</v>
      </c>
      <c r="Q63" s="398"/>
      <c r="S63"/>
      <c r="T63"/>
      <c r="U63"/>
      <c r="V63"/>
      <c r="W63"/>
      <c r="X63"/>
      <c r="Y63"/>
    </row>
    <row r="64" spans="2:25" ht="15" customHeight="1" x14ac:dyDescent="0.2">
      <c r="B64" s="397"/>
      <c r="C64" s="383"/>
      <c r="D64" s="383"/>
      <c r="E64" s="383"/>
      <c r="F64" s="383"/>
      <c r="G64" s="383"/>
      <c r="H64" s="383"/>
      <c r="I64" s="383"/>
      <c r="J64" s="552"/>
      <c r="K64" s="554"/>
      <c r="L64" s="554"/>
      <c r="M64" s="554"/>
      <c r="N64" s="554"/>
      <c r="O64" s="553"/>
      <c r="P64" s="553"/>
      <c r="Q64" s="398"/>
      <c r="S64"/>
      <c r="T64"/>
      <c r="U64"/>
      <c r="V64"/>
      <c r="W64"/>
      <c r="X64"/>
      <c r="Y64"/>
    </row>
    <row r="65" spans="2:25" ht="15" customHeight="1" x14ac:dyDescent="0.2">
      <c r="B65" s="397"/>
      <c r="C65" s="383"/>
      <c r="D65" s="383"/>
      <c r="E65" s="383"/>
      <c r="F65" s="383"/>
      <c r="G65" s="383"/>
      <c r="H65" s="383"/>
      <c r="I65" s="379"/>
      <c r="J65" s="555"/>
      <c r="K65" s="784" t="s">
        <v>697</v>
      </c>
      <c r="L65" s="784"/>
      <c r="Q65" s="398"/>
      <c r="S65"/>
      <c r="T65"/>
      <c r="U65"/>
      <c r="V65"/>
      <c r="W65"/>
      <c r="X65"/>
      <c r="Y65"/>
    </row>
    <row r="66" spans="2:25" ht="15" customHeight="1" x14ac:dyDescent="0.2">
      <c r="B66" s="397"/>
      <c r="C66" s="383"/>
      <c r="D66" s="383"/>
      <c r="E66" s="383"/>
      <c r="F66" s="383"/>
      <c r="G66" s="383"/>
      <c r="H66" s="383"/>
      <c r="I66" s="379"/>
      <c r="J66" s="555"/>
      <c r="K66" s="558">
        <f>M57+O58/60</f>
        <v>0</v>
      </c>
      <c r="L66" s="556" t="s">
        <v>653</v>
      </c>
      <c r="Q66" s="398"/>
      <c r="S66"/>
      <c r="T66"/>
      <c r="U66"/>
      <c r="V66"/>
      <c r="W66"/>
      <c r="X66"/>
      <c r="Y66"/>
    </row>
    <row r="67" spans="2:25" ht="15" customHeight="1" x14ac:dyDescent="0.2">
      <c r="B67" s="397"/>
      <c r="C67" s="383"/>
      <c r="D67" s="383"/>
      <c r="E67" s="383"/>
      <c r="F67" s="383"/>
      <c r="G67" s="383"/>
      <c r="H67" s="383"/>
      <c r="I67" s="379"/>
      <c r="J67" s="555"/>
      <c r="K67" s="552"/>
      <c r="L67" s="552"/>
      <c r="M67" s="552"/>
      <c r="N67" s="552"/>
      <c r="O67" s="552"/>
      <c r="P67" s="552"/>
      <c r="Q67" s="398"/>
      <c r="S67"/>
      <c r="T67"/>
      <c r="U67"/>
      <c r="V67"/>
      <c r="W67"/>
      <c r="X67"/>
      <c r="Y67"/>
    </row>
    <row r="68" spans="2:25" ht="15" customHeight="1" x14ac:dyDescent="0.2">
      <c r="B68" s="397"/>
      <c r="C68" s="383"/>
      <c r="D68" s="383"/>
      <c r="E68" s="383"/>
      <c r="F68" s="383"/>
      <c r="G68" s="383"/>
      <c r="H68" s="383"/>
      <c r="I68" s="379"/>
      <c r="J68" s="555"/>
      <c r="K68" s="784" t="s">
        <v>649</v>
      </c>
      <c r="L68" s="784"/>
      <c r="M68" s="784" t="s">
        <v>651</v>
      </c>
      <c r="N68" s="784"/>
      <c r="O68" s="784" t="s">
        <v>686</v>
      </c>
      <c r="P68" s="784"/>
      <c r="Q68" s="398"/>
      <c r="S68"/>
      <c r="T68"/>
      <c r="U68"/>
      <c r="V68"/>
      <c r="W68"/>
      <c r="X68"/>
      <c r="Y68"/>
    </row>
    <row r="69" spans="2:25" ht="15" customHeight="1" x14ac:dyDescent="0.2">
      <c r="B69" s="397"/>
      <c r="C69" s="383"/>
      <c r="D69" s="383"/>
      <c r="E69" s="383"/>
      <c r="F69" s="383"/>
      <c r="G69" s="383"/>
      <c r="H69" s="383"/>
      <c r="I69" s="379"/>
      <c r="J69" s="555"/>
      <c r="K69" s="557">
        <f>IFERROR(VLOOKUP(C54,'Listas de Dados'!I:T,2,0),0)</f>
        <v>0</v>
      </c>
      <c r="L69" s="556" t="s">
        <v>292</v>
      </c>
      <c r="M69" s="557">
        <f>IFERROR(ROUND(K18*O57/O17/1000*100,2),0)</f>
        <v>0</v>
      </c>
      <c r="N69" s="556" t="s">
        <v>292</v>
      </c>
      <c r="O69" s="558">
        <f>SUM(K69,M69)</f>
        <v>0</v>
      </c>
      <c r="P69" s="556" t="s">
        <v>292</v>
      </c>
      <c r="Q69" s="398"/>
      <c r="S69"/>
      <c r="T69"/>
      <c r="U69"/>
      <c r="V69"/>
      <c r="W69"/>
      <c r="X69"/>
      <c r="Y69"/>
    </row>
    <row r="70" spans="2:25" ht="15" customHeight="1" x14ac:dyDescent="0.2">
      <c r="B70" s="397"/>
      <c r="C70" s="383"/>
      <c r="D70" s="383"/>
      <c r="E70" s="383"/>
      <c r="F70" s="383"/>
      <c r="G70" s="383"/>
      <c r="H70" s="383"/>
      <c r="I70" s="379"/>
      <c r="J70" s="555"/>
      <c r="K70" s="552"/>
      <c r="L70" s="552"/>
      <c r="M70" s="555"/>
      <c r="N70" s="552"/>
      <c r="O70" s="555"/>
      <c r="P70" s="555"/>
      <c r="Q70" s="398"/>
    </row>
    <row r="71" spans="2:25" ht="15" customHeight="1" x14ac:dyDescent="0.2">
      <c r="B71" s="397"/>
      <c r="C71" s="383"/>
      <c r="D71" s="383"/>
      <c r="E71" s="383"/>
      <c r="F71" s="383"/>
      <c r="G71" s="383"/>
      <c r="H71" s="383"/>
      <c r="I71" s="379"/>
      <c r="J71" s="555"/>
      <c r="K71" s="784" t="s">
        <v>655</v>
      </c>
      <c r="L71" s="784"/>
      <c r="M71" s="784" t="s">
        <v>652</v>
      </c>
      <c r="N71" s="784"/>
      <c r="Q71" s="398"/>
    </row>
    <row r="72" spans="2:25" ht="15" customHeight="1" x14ac:dyDescent="0.2">
      <c r="B72" s="397"/>
      <c r="C72" s="383"/>
      <c r="D72" s="383"/>
      <c r="E72" s="383"/>
      <c r="F72" s="383"/>
      <c r="G72" s="383"/>
      <c r="H72" s="383"/>
      <c r="I72" s="379"/>
      <c r="J72" s="555"/>
      <c r="K72" s="558">
        <f>IFERROR(K66*60/O17,0)</f>
        <v>0</v>
      </c>
      <c r="L72" s="556" t="s">
        <v>654</v>
      </c>
      <c r="M72" s="558">
        <f>IFERROR(M63/(K18)/60*1000*((1+(100-K57)/100)),0)</f>
        <v>0</v>
      </c>
      <c r="N72" s="556" t="s">
        <v>654</v>
      </c>
      <c r="Q72" s="398"/>
    </row>
    <row r="73" spans="2:25" ht="15" customHeight="1" x14ac:dyDescent="0.2">
      <c r="B73" s="397"/>
      <c r="C73" s="383"/>
      <c r="D73" s="383"/>
      <c r="E73" s="383"/>
      <c r="F73" s="383"/>
      <c r="G73" s="383"/>
      <c r="H73" s="383"/>
      <c r="I73" s="379"/>
      <c r="J73" s="555"/>
      <c r="K73" s="552"/>
      <c r="L73" s="552"/>
      <c r="M73" s="555"/>
      <c r="N73" s="552"/>
      <c r="O73" s="555"/>
      <c r="P73" s="555"/>
      <c r="Q73" s="398"/>
    </row>
    <row r="74" spans="2:25" ht="15" customHeight="1" x14ac:dyDescent="0.2">
      <c r="B74" s="397"/>
      <c r="C74" s="383"/>
      <c r="D74" s="383"/>
      <c r="E74" s="379"/>
      <c r="F74" s="383"/>
      <c r="G74" s="379"/>
      <c r="H74" s="379"/>
      <c r="I74" s="379"/>
      <c r="J74" s="555"/>
      <c r="K74" s="784" t="s">
        <v>656</v>
      </c>
      <c r="L74" s="784"/>
      <c r="M74" s="784" t="s">
        <v>656</v>
      </c>
      <c r="N74" s="784"/>
      <c r="O74" s="784" t="s">
        <v>658</v>
      </c>
      <c r="P74" s="784"/>
      <c r="Q74" s="398"/>
    </row>
    <row r="75" spans="2:25" ht="15" customHeight="1" x14ac:dyDescent="0.2">
      <c r="B75" s="397"/>
      <c r="C75" s="383"/>
      <c r="D75" s="383"/>
      <c r="E75" s="379"/>
      <c r="F75" s="383"/>
      <c r="G75" s="379"/>
      <c r="H75" s="379"/>
      <c r="I75" s="379"/>
      <c r="J75" s="555"/>
      <c r="K75" s="558">
        <f>IFERROR(M72*O17/60,0)</f>
        <v>0</v>
      </c>
      <c r="L75" s="556" t="s">
        <v>653</v>
      </c>
      <c r="M75" s="558">
        <f>IFERROR(K75/(K60*M60),0)</f>
        <v>0</v>
      </c>
      <c r="N75" s="556" t="s">
        <v>657</v>
      </c>
      <c r="O75" s="558">
        <f>IFERROR(((M72*O17/60)+K66)/(K60*M60),0)</f>
        <v>0</v>
      </c>
      <c r="P75" s="556" t="s">
        <v>657</v>
      </c>
      <c r="Q75" s="398"/>
    </row>
    <row r="76" spans="2:25" ht="15" customHeight="1" x14ac:dyDescent="0.2">
      <c r="B76" s="397"/>
      <c r="C76" s="383"/>
      <c r="D76" s="383"/>
      <c r="E76" s="379"/>
      <c r="F76" s="383"/>
      <c r="G76" s="379"/>
      <c r="H76" s="379"/>
      <c r="I76" s="379"/>
      <c r="J76" s="555"/>
      <c r="Q76" s="398"/>
    </row>
    <row r="77" spans="2:25" ht="15" customHeight="1" x14ac:dyDescent="0.2">
      <c r="B77" s="397"/>
      <c r="C77" s="383"/>
      <c r="D77" s="383"/>
      <c r="E77" s="379"/>
      <c r="F77" s="383"/>
      <c r="G77" s="379"/>
      <c r="H77" s="379"/>
      <c r="I77" s="379"/>
      <c r="J77" s="555"/>
      <c r="K77" s="713"/>
      <c r="L77" s="713"/>
      <c r="M77" s="713"/>
      <c r="N77" s="713"/>
      <c r="O77" s="713"/>
      <c r="P77" s="713"/>
      <c r="Q77" s="398"/>
    </row>
    <row r="78" spans="2:25" ht="15" customHeight="1" x14ac:dyDescent="0.2">
      <c r="B78" s="397"/>
      <c r="C78" s="383"/>
      <c r="D78" s="383"/>
      <c r="E78" s="379"/>
      <c r="F78" s="383"/>
      <c r="G78" s="379"/>
      <c r="H78" s="379"/>
      <c r="I78" s="379"/>
      <c r="J78" s="555"/>
      <c r="K78" s="713"/>
      <c r="L78" s="713"/>
      <c r="M78" s="713"/>
      <c r="N78" s="713"/>
      <c r="O78" s="713"/>
      <c r="P78" s="713"/>
      <c r="Q78" s="398"/>
    </row>
    <row r="79" spans="2:25" ht="15" customHeight="1" x14ac:dyDescent="0.2">
      <c r="B79" s="397"/>
      <c r="C79" s="538"/>
      <c r="D79" s="538"/>
      <c r="E79" s="538"/>
      <c r="F79" s="538"/>
      <c r="G79" s="538"/>
      <c r="H79" s="538"/>
      <c r="I79" s="538"/>
      <c r="J79" s="538"/>
      <c r="K79" s="538"/>
      <c r="L79" s="538"/>
      <c r="M79" s="538"/>
      <c r="N79" s="538"/>
      <c r="O79" s="538"/>
      <c r="P79" s="538"/>
      <c r="Q79" s="398"/>
    </row>
    <row r="80" spans="2:25" ht="15" customHeight="1" x14ac:dyDescent="0.2">
      <c r="B80" s="397"/>
      <c r="C80" s="532"/>
      <c r="D80" s="532"/>
      <c r="E80" s="532"/>
      <c r="F80" s="532"/>
      <c r="G80" s="532"/>
      <c r="H80" s="532"/>
      <c r="I80" s="532"/>
      <c r="J80" s="532"/>
      <c r="K80" s="532"/>
      <c r="L80" s="532"/>
      <c r="M80" s="532"/>
      <c r="N80" s="532"/>
      <c r="O80" s="532"/>
      <c r="P80" s="532"/>
      <c r="Q80" s="398"/>
    </row>
    <row r="81" spans="2:17" ht="15" customHeight="1" thickBot="1" x14ac:dyDescent="0.25">
      <c r="B81" s="404"/>
      <c r="C81" s="457"/>
      <c r="D81" s="457"/>
      <c r="E81" s="457"/>
      <c r="F81" s="457"/>
      <c r="G81" s="457"/>
      <c r="H81" s="457"/>
      <c r="I81" s="457"/>
      <c r="J81" s="457"/>
      <c r="K81" s="457"/>
      <c r="L81" s="457"/>
      <c r="M81" s="457"/>
      <c r="N81" s="457"/>
      <c r="O81" s="457"/>
      <c r="P81" s="457"/>
      <c r="Q81" s="406"/>
    </row>
    <row r="85" spans="2:17" x14ac:dyDescent="0.2">
      <c r="B85" s="675" t="s">
        <v>628</v>
      </c>
      <c r="C85" s="676"/>
      <c r="D85" s="678" t="s">
        <v>2</v>
      </c>
      <c r="E85" s="678"/>
      <c r="F85" s="678"/>
      <c r="G85" s="678"/>
      <c r="H85" s="678"/>
      <c r="I85" s="678"/>
      <c r="J85" s="678"/>
      <c r="K85" s="678"/>
      <c r="L85" s="678"/>
      <c r="M85" s="678" t="s">
        <v>629</v>
      </c>
      <c r="N85" s="678"/>
      <c r="O85" s="678"/>
      <c r="P85" s="675" t="s">
        <v>630</v>
      </c>
      <c r="Q85" s="676"/>
    </row>
    <row r="86" spans="2:17" x14ac:dyDescent="0.2">
      <c r="B86" s="675" t="s">
        <v>634</v>
      </c>
      <c r="C86" s="676"/>
      <c r="D86" s="677" t="s">
        <v>747</v>
      </c>
      <c r="E86" s="677"/>
      <c r="F86" s="677"/>
      <c r="G86" s="677"/>
      <c r="H86" s="677"/>
      <c r="I86" s="677"/>
      <c r="J86" s="677"/>
      <c r="K86" s="677"/>
      <c r="L86" s="677"/>
      <c r="M86" s="678" t="s">
        <v>635</v>
      </c>
      <c r="N86" s="678"/>
      <c r="O86" s="678"/>
      <c r="P86" s="679">
        <v>44469</v>
      </c>
      <c r="Q86" s="680"/>
    </row>
    <row r="87" spans="2:17" x14ac:dyDescent="0.2">
      <c r="B87" s="407"/>
      <c r="C87" s="407"/>
      <c r="D87" s="407"/>
      <c r="E87" s="407"/>
      <c r="F87" s="407"/>
      <c r="G87" s="407"/>
      <c r="H87" s="407"/>
      <c r="I87" s="407"/>
      <c r="J87" s="407"/>
      <c r="K87" s="407"/>
      <c r="L87" s="407"/>
      <c r="M87" s="407"/>
      <c r="N87" s="407"/>
      <c r="O87" s="407"/>
      <c r="P87" s="407"/>
      <c r="Q87" s="407"/>
    </row>
    <row r="88" spans="2:17" x14ac:dyDescent="0.2">
      <c r="B88" s="407"/>
      <c r="C88" s="407"/>
      <c r="D88" s="407"/>
      <c r="E88" s="407"/>
      <c r="F88" s="407"/>
      <c r="G88" s="407"/>
      <c r="H88" s="407"/>
      <c r="I88" s="407"/>
      <c r="J88" s="407"/>
      <c r="K88" s="407"/>
      <c r="L88" s="407"/>
      <c r="M88" s="407"/>
      <c r="N88" s="407"/>
      <c r="O88" s="407"/>
      <c r="P88" s="407"/>
      <c r="Q88" s="407"/>
    </row>
    <row r="89" spans="2:17" x14ac:dyDescent="0.2">
      <c r="B89" s="407"/>
      <c r="C89" s="407"/>
      <c r="D89" s="407"/>
      <c r="E89" s="407"/>
      <c r="F89" s="407"/>
      <c r="G89" s="407"/>
      <c r="H89" s="407"/>
      <c r="I89" s="407"/>
      <c r="J89" s="407"/>
      <c r="K89" s="407"/>
      <c r="L89" s="407"/>
      <c r="M89" s="407"/>
      <c r="N89" s="407"/>
      <c r="O89" s="407"/>
      <c r="P89" s="407"/>
      <c r="Q89" s="407"/>
    </row>
    <row r="90" spans="2:17" x14ac:dyDescent="0.2">
      <c r="B90" s="407"/>
      <c r="C90" s="407"/>
      <c r="D90" s="407"/>
      <c r="E90" s="407"/>
      <c r="F90" s="407"/>
      <c r="G90" s="407"/>
      <c r="H90" s="407"/>
      <c r="I90" s="407"/>
      <c r="J90" s="407"/>
      <c r="K90" s="407"/>
      <c r="L90" s="407"/>
      <c r="M90" s="407"/>
      <c r="N90" s="407"/>
      <c r="O90" s="407"/>
      <c r="P90" s="407"/>
      <c r="Q90" s="407"/>
    </row>
    <row r="91" spans="2:17" x14ac:dyDescent="0.2">
      <c r="B91" s="407"/>
      <c r="C91" s="407"/>
      <c r="D91" s="407"/>
      <c r="E91" s="407"/>
      <c r="F91" s="407"/>
      <c r="G91" s="407"/>
      <c r="H91" s="407"/>
      <c r="I91" s="407"/>
      <c r="J91" s="407"/>
      <c r="K91" s="407"/>
      <c r="L91" s="407"/>
      <c r="P91" s="407"/>
      <c r="Q91" s="407"/>
    </row>
    <row r="92" spans="2:17" x14ac:dyDescent="0.2">
      <c r="B92" s="407"/>
      <c r="C92" s="407"/>
      <c r="D92" s="407"/>
      <c r="E92" s="407"/>
      <c r="F92" s="407"/>
      <c r="G92" s="407"/>
      <c r="H92" s="407"/>
      <c r="I92" s="407"/>
      <c r="J92" s="407"/>
      <c r="K92" s="407"/>
      <c r="L92" s="407"/>
      <c r="P92" s="407"/>
      <c r="Q92" s="407"/>
    </row>
    <row r="93" spans="2:17" x14ac:dyDescent="0.2">
      <c r="B93" s="407"/>
      <c r="C93" s="407"/>
      <c r="D93" s="407"/>
      <c r="E93" s="407"/>
      <c r="F93" s="407"/>
      <c r="G93" s="407"/>
      <c r="H93" s="407"/>
      <c r="I93" s="407"/>
      <c r="J93" s="407"/>
      <c r="K93" s="407"/>
      <c r="L93" s="407"/>
      <c r="M93" s="407"/>
      <c r="N93" s="407"/>
      <c r="O93" s="407"/>
      <c r="P93" s="407"/>
      <c r="Q93" s="407"/>
    </row>
    <row r="94" spans="2:17" x14ac:dyDescent="0.2">
      <c r="B94" s="407"/>
      <c r="C94" s="407"/>
      <c r="D94" s="407"/>
      <c r="E94" s="407"/>
      <c r="F94" s="407"/>
      <c r="G94" s="407"/>
      <c r="H94" s="407"/>
      <c r="I94" s="407"/>
      <c r="J94" s="407"/>
      <c r="K94" s="407"/>
      <c r="L94" s="407"/>
      <c r="M94" s="407"/>
      <c r="N94" s="407"/>
      <c r="O94" s="407"/>
      <c r="P94" s="407"/>
      <c r="Q94" s="407"/>
    </row>
    <row r="95" spans="2:17" x14ac:dyDescent="0.2">
      <c r="B95" s="407"/>
      <c r="C95" s="407"/>
      <c r="D95" s="407"/>
      <c r="E95" s="407"/>
      <c r="F95" s="407"/>
      <c r="G95" s="407"/>
      <c r="H95" s="407"/>
      <c r="I95" s="407"/>
      <c r="J95" s="407"/>
      <c r="K95" s="407"/>
      <c r="L95" s="407"/>
      <c r="M95" s="407"/>
      <c r="N95" s="407"/>
      <c r="O95" s="407"/>
      <c r="P95" s="407"/>
      <c r="Q95" s="407"/>
    </row>
    <row r="96" spans="2:17" x14ac:dyDescent="0.2">
      <c r="B96" s="407"/>
      <c r="C96" s="407"/>
      <c r="D96" s="407"/>
      <c r="E96" s="407"/>
      <c r="F96" s="407"/>
      <c r="G96" s="407"/>
      <c r="H96" s="407"/>
      <c r="I96" s="407"/>
      <c r="J96" s="407"/>
      <c r="K96" s="407"/>
      <c r="L96" s="407"/>
      <c r="M96" s="407"/>
      <c r="N96" s="407"/>
      <c r="O96" s="407"/>
      <c r="P96" s="407"/>
      <c r="Q96" s="407"/>
    </row>
  </sheetData>
  <mergeCells count="114">
    <mergeCell ref="C19:E19"/>
    <mergeCell ref="M62:N62"/>
    <mergeCell ref="O62:P62"/>
    <mergeCell ref="M56:N56"/>
    <mergeCell ref="K68:L68"/>
    <mergeCell ref="K77:P78"/>
    <mergeCell ref="O44:P44"/>
    <mergeCell ref="O45:P45"/>
    <mergeCell ref="O46:P46"/>
    <mergeCell ref="O47:P47"/>
    <mergeCell ref="O48:P48"/>
    <mergeCell ref="O49:P49"/>
    <mergeCell ref="K62:L62"/>
    <mergeCell ref="K59:L59"/>
    <mergeCell ref="M59:N59"/>
    <mergeCell ref="M60:N60"/>
    <mergeCell ref="O54:P54"/>
    <mergeCell ref="I53:J53"/>
    <mergeCell ref="C25:D25"/>
    <mergeCell ref="I24:J24"/>
    <mergeCell ref="K24:L24"/>
    <mergeCell ref="M24:N24"/>
    <mergeCell ref="C32:D32"/>
    <mergeCell ref="C33:D33"/>
    <mergeCell ref="O40:P40"/>
    <mergeCell ref="O41:P41"/>
    <mergeCell ref="O42:P42"/>
    <mergeCell ref="O43:P43"/>
    <mergeCell ref="C11:D11"/>
    <mergeCell ref="E11:J11"/>
    <mergeCell ref="C12:D12"/>
    <mergeCell ref="E12:J12"/>
    <mergeCell ref="C13:D13"/>
    <mergeCell ref="E13:J13"/>
    <mergeCell ref="O33:P33"/>
    <mergeCell ref="O34:P34"/>
    <mergeCell ref="G24:H24"/>
    <mergeCell ref="K20:L20"/>
    <mergeCell ref="C23:P23"/>
    <mergeCell ref="C34:D34"/>
    <mergeCell ref="C35:D35"/>
    <mergeCell ref="C36:D36"/>
    <mergeCell ref="C26:D26"/>
    <mergeCell ref="O35:P35"/>
    <mergeCell ref="O36:P36"/>
    <mergeCell ref="O37:P37"/>
    <mergeCell ref="O38:P38"/>
    <mergeCell ref="O39:P39"/>
    <mergeCell ref="O2:P2"/>
    <mergeCell ref="C3:F5"/>
    <mergeCell ref="G3:P5"/>
    <mergeCell ref="C8:D8"/>
    <mergeCell ref="E8:F9"/>
    <mergeCell ref="H8:I8"/>
    <mergeCell ref="J8:L9"/>
    <mergeCell ref="N8:P8"/>
    <mergeCell ref="C51:P51"/>
    <mergeCell ref="C24:D24"/>
    <mergeCell ref="C20:D20"/>
    <mergeCell ref="C21:D21"/>
    <mergeCell ref="C15:P15"/>
    <mergeCell ref="C17:E17"/>
    <mergeCell ref="K17:L17"/>
    <mergeCell ref="O24:P24"/>
    <mergeCell ref="O25:P25"/>
    <mergeCell ref="O26:P26"/>
    <mergeCell ref="O27:P27"/>
    <mergeCell ref="O28:P28"/>
    <mergeCell ref="O29:P29"/>
    <mergeCell ref="O30:P30"/>
    <mergeCell ref="O31:P31"/>
    <mergeCell ref="O32:P32"/>
    <mergeCell ref="C53:D53"/>
    <mergeCell ref="O56:P56"/>
    <mergeCell ref="N53:P53"/>
    <mergeCell ref="C54:E54"/>
    <mergeCell ref="K53:M53"/>
    <mergeCell ref="K54:L54"/>
    <mergeCell ref="B86:C86"/>
    <mergeCell ref="D86:L86"/>
    <mergeCell ref="M86:O86"/>
    <mergeCell ref="P86:Q86"/>
    <mergeCell ref="K74:L74"/>
    <mergeCell ref="M74:N74"/>
    <mergeCell ref="O68:P68"/>
    <mergeCell ref="O74:P74"/>
    <mergeCell ref="K56:L56"/>
    <mergeCell ref="M71:N71"/>
    <mergeCell ref="K71:L71"/>
    <mergeCell ref="B85:C85"/>
    <mergeCell ref="D85:L85"/>
    <mergeCell ref="M85:O85"/>
    <mergeCell ref="P85:Q85"/>
    <mergeCell ref="K65:L65"/>
    <mergeCell ref="M68:N68"/>
    <mergeCell ref="C56:D56"/>
    <mergeCell ref="C48:D48"/>
    <mergeCell ref="C49:D49"/>
    <mergeCell ref="C38:D38"/>
    <mergeCell ref="C39:D39"/>
    <mergeCell ref="C40:D40"/>
    <mergeCell ref="C41:D41"/>
    <mergeCell ref="C42:D42"/>
    <mergeCell ref="C43:D43"/>
    <mergeCell ref="C27:D27"/>
    <mergeCell ref="C28:D28"/>
    <mergeCell ref="C29:D29"/>
    <mergeCell ref="C30:D30"/>
    <mergeCell ref="C31:D31"/>
    <mergeCell ref="C44:D44"/>
    <mergeCell ref="C45:D45"/>
    <mergeCell ref="C46:D46"/>
    <mergeCell ref="C47:D47"/>
    <mergeCell ref="C37:D37"/>
  </mergeCells>
  <conditionalFormatting sqref="O18:P18">
    <cfRule type="containsText" dxfId="51" priority="23" stopIfTrue="1" operator="containsText" text="FALSO">
      <formula>NOT(ISERROR(SEARCH("FALSO",O18)))</formula>
    </cfRule>
  </conditionalFormatting>
  <conditionalFormatting sqref="P20">
    <cfRule type="containsText" dxfId="50" priority="19" stopIfTrue="1" operator="containsText" text="FALSO">
      <formula>NOT(ISERROR(SEARCH("FALSO",P20)))</formula>
    </cfRule>
  </conditionalFormatting>
  <conditionalFormatting sqref="K18:L18">
    <cfRule type="containsText" dxfId="49" priority="17" stopIfTrue="1" operator="containsText" text="FALSO">
      <formula>NOT(ISERROR(SEARCH("FALSO",K18)))</formula>
    </cfRule>
  </conditionalFormatting>
  <conditionalFormatting sqref="P21">
    <cfRule type="containsText" dxfId="48" priority="5" stopIfTrue="1" operator="containsText" text="FALSO">
      <formula>NOT(ISERROR(SEARCH("FALSO",P21)))</formula>
    </cfRule>
  </conditionalFormatting>
  <conditionalFormatting sqref="K21:L21">
    <cfRule type="containsText" dxfId="47" priority="4" stopIfTrue="1" operator="containsText" text="FALSO">
      <formula>NOT(ISERROR(SEARCH("FALSO",K21)))</formula>
    </cfRule>
  </conditionalFormatting>
  <conditionalFormatting sqref="I19">
    <cfRule type="containsText" dxfId="46" priority="3" stopIfTrue="1" operator="containsText" text="FALSO">
      <formula>NOT(ISERROR(SEARCH("FALSO",I19)))</formula>
    </cfRule>
  </conditionalFormatting>
  <conditionalFormatting sqref="I20">
    <cfRule type="containsText" dxfId="45" priority="1" stopIfTrue="1" operator="containsText" text="FALSO">
      <formula>NOT(ISERROR(SEARCH("FALSO",I20)))</formula>
    </cfRule>
  </conditionalFormatting>
  <dataValidations count="3">
    <dataValidation type="list" allowBlank="1" showInputMessage="1" showErrorMessage="1" sqref="P20">
      <formula1>"Peça/mês,Ton/mês"</formula1>
    </dataValidation>
    <dataValidation allowBlank="1" showInputMessage="1" showErrorMessage="1" errorTitle="Erro" sqref="E52:F52 F59 O56 M74 K74 K62 N64 E16:F16 M62 O62"/>
    <dataValidation type="list" allowBlank="1" showInputMessage="1" showErrorMessage="1" sqref="I19">
      <formula1>"R$/PC,R$/Ton"</formula1>
    </dataValidation>
  </dataValidations>
  <pageMargins left="0.51" right="0.23622047244094491" top="0.31" bottom="0.74803149606299213" header="0.31496062992125984" footer="0.31496062992125984"/>
  <pageSetup paperSize="9" scale="67"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41" r:id="rId4" name="Check Box 1">
              <controlPr defaultSize="0" autoFill="0" autoLine="0" autoPict="0">
                <anchor moveWithCells="1">
                  <from>
                    <xdr:col>4</xdr:col>
                    <xdr:colOff>219075</xdr:colOff>
                    <xdr:row>19</xdr:row>
                    <xdr:rowOff>9525</xdr:rowOff>
                  </from>
                  <to>
                    <xdr:col>4</xdr:col>
                    <xdr:colOff>466725</xdr:colOff>
                    <xdr:row>20</xdr:row>
                    <xdr:rowOff>0</xdr:rowOff>
                  </to>
                </anchor>
              </controlPr>
            </control>
          </mc:Choice>
        </mc:AlternateContent>
        <mc:AlternateContent xmlns:mc="http://schemas.openxmlformats.org/markup-compatibility/2006">
          <mc:Choice Requires="x14">
            <control shapeId="163847" r:id="rId5" name="Option Button 7">
              <controlPr defaultSize="0" autoFill="0" autoLine="0" autoPict="0">
                <anchor moveWithCells="1">
                  <from>
                    <xdr:col>5</xdr:col>
                    <xdr:colOff>0</xdr:colOff>
                    <xdr:row>16</xdr:row>
                    <xdr:rowOff>0</xdr:rowOff>
                  </from>
                  <to>
                    <xdr:col>5</xdr:col>
                    <xdr:colOff>619125</xdr:colOff>
                    <xdr:row>17</xdr:row>
                    <xdr:rowOff>0</xdr:rowOff>
                  </to>
                </anchor>
              </controlPr>
            </control>
          </mc:Choice>
        </mc:AlternateContent>
        <mc:AlternateContent xmlns:mc="http://schemas.openxmlformats.org/markup-compatibility/2006">
          <mc:Choice Requires="x14">
            <control shapeId="163869" r:id="rId6" name="Check Box 29">
              <controlPr defaultSize="0" autoFill="0" autoLine="0" autoPict="0">
                <anchor moveWithCells="1">
                  <from>
                    <xdr:col>4</xdr:col>
                    <xdr:colOff>219075</xdr:colOff>
                    <xdr:row>20</xdr:row>
                    <xdr:rowOff>9525</xdr:rowOff>
                  </from>
                  <to>
                    <xdr:col>4</xdr:col>
                    <xdr:colOff>466725</xdr:colOff>
                    <xdr:row>21</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14:formula1>
            <xm:f>'Q:\Trabalhos em Andamento\Cristian Garcia\ESTUDOS CPV\[SIMULADOR DE MARGEM PARA ITEM PADRÃO (Versão 2.9).xlsx]Lista Mestre'!#REF!</xm:f>
          </x14:formula1>
          <xm:sqref>C16 C52</xm:sqref>
        </x14:dataValidation>
        <x14:dataValidation type="list" allowBlank="1" showInputMessage="1" showErrorMessage="1">
          <x14:formula1>
            <xm:f>'Listas de Dados'!$AH$17:$AH$21</xm:f>
          </x14:formula1>
          <xm:sqref>C54:E54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3">
    <tabColor theme="4" tint="0.79998168889431442"/>
  </sheetPr>
  <dimension ref="A2:CF13"/>
  <sheetViews>
    <sheetView showGridLines="0" workbookViewId="0">
      <pane ySplit="5" topLeftCell="A6" activePane="bottomLeft" state="frozen"/>
      <selection activeCell="D8" sqref="D8"/>
      <selection pane="bottomLeft" activeCell="B6" sqref="B6"/>
    </sheetView>
  </sheetViews>
  <sheetFormatPr defaultRowHeight="12.75" x14ac:dyDescent="0.2"/>
  <cols>
    <col min="1" max="1" width="2.140625" style="2" customWidth="1"/>
    <col min="2" max="2" width="13.140625" style="2" customWidth="1"/>
    <col min="3" max="3" width="54.140625" style="2" customWidth="1"/>
    <col min="4" max="4" width="17.5703125" style="2" customWidth="1"/>
    <col min="5" max="6" width="13.5703125" style="2" customWidth="1"/>
    <col min="7" max="9" width="12.85546875" style="2" customWidth="1"/>
    <col min="10" max="11" width="22" style="2" customWidth="1"/>
    <col min="12" max="12" width="19.28515625" style="2" customWidth="1"/>
    <col min="13" max="13" width="20.5703125" style="2" customWidth="1"/>
    <col min="14" max="14" width="20.140625" style="2" customWidth="1"/>
    <col min="15" max="17" width="10.7109375" style="2" customWidth="1"/>
    <col min="18" max="18" width="17.140625" style="2" customWidth="1"/>
    <col min="19" max="19" width="19.85546875" style="2" customWidth="1"/>
    <col min="20" max="20" width="9.85546875" style="2" customWidth="1"/>
    <col min="21" max="21" width="24.7109375" style="2" customWidth="1"/>
    <col min="22" max="22" width="18.140625" style="2" customWidth="1"/>
    <col min="23" max="23" width="22.140625" style="2" customWidth="1"/>
    <col min="24" max="24" width="29.140625" style="2" customWidth="1"/>
    <col min="25" max="25" width="18.85546875" style="2" customWidth="1"/>
    <col min="26" max="26" width="6.85546875" style="2" customWidth="1"/>
    <col min="27" max="27" width="7.42578125" style="2" customWidth="1"/>
    <col min="28" max="28" width="16.140625" style="2" customWidth="1"/>
    <col min="29" max="29" width="17.28515625" style="2" customWidth="1"/>
    <col min="30" max="30" width="16" style="2" customWidth="1"/>
    <col min="31" max="31" width="10.5703125" style="2" customWidth="1"/>
    <col min="32" max="32" width="18.42578125" style="2" customWidth="1"/>
    <col min="33" max="34" width="15.28515625" style="2" customWidth="1"/>
    <col min="35" max="46" width="20.85546875" style="2" customWidth="1"/>
    <col min="47" max="47" width="12.140625" style="2" customWidth="1"/>
    <col min="48" max="48" width="16.42578125" style="2" customWidth="1"/>
    <col min="49" max="49" width="0.42578125" style="2" customWidth="1"/>
    <col min="50" max="50" width="13" style="2" customWidth="1"/>
    <col min="51" max="51" width="10.28515625" style="2" customWidth="1"/>
    <col min="52" max="52" width="26.85546875" style="2" customWidth="1"/>
    <col min="53" max="53" width="27.85546875" style="2" customWidth="1"/>
    <col min="54" max="54" width="10.28515625" style="2" customWidth="1"/>
    <col min="55" max="55" width="11.140625" style="2" customWidth="1"/>
    <col min="56" max="56" width="21.42578125" style="2" customWidth="1"/>
    <col min="57" max="58" width="9.140625" style="2"/>
    <col min="59" max="63" width="9.140625" style="2" customWidth="1"/>
    <col min="64" max="64" width="9.28515625" style="2" customWidth="1"/>
    <col min="65" max="65" width="22.85546875" style="2" customWidth="1"/>
    <col min="66" max="66" width="12.5703125" style="2" customWidth="1"/>
    <col min="67" max="81" width="9.140625" style="2" customWidth="1"/>
    <col min="82" max="82" width="1" style="2" customWidth="1"/>
    <col min="83" max="83" width="1.85546875" style="2" customWidth="1"/>
    <col min="84" max="16384" width="9.140625" style="2"/>
  </cols>
  <sheetData>
    <row r="2" spans="1:84" s="425" customFormat="1" x14ac:dyDescent="0.2">
      <c r="E2" s="425" t="s">
        <v>766</v>
      </c>
      <c r="G2" s="425" t="s">
        <v>766</v>
      </c>
      <c r="H2" s="425" t="s">
        <v>766</v>
      </c>
      <c r="I2" s="425" t="s">
        <v>766</v>
      </c>
      <c r="J2" s="425" t="s">
        <v>766</v>
      </c>
      <c r="K2" s="425" t="s">
        <v>766</v>
      </c>
      <c r="L2" s="425" t="s">
        <v>766</v>
      </c>
      <c r="M2" s="425" t="s">
        <v>766</v>
      </c>
      <c r="N2" s="425" t="s">
        <v>766</v>
      </c>
      <c r="O2" s="425" t="s">
        <v>766</v>
      </c>
      <c r="Q2" s="425" t="s">
        <v>766</v>
      </c>
      <c r="R2" s="425" t="s">
        <v>766</v>
      </c>
      <c r="S2" s="546" t="s">
        <v>766</v>
      </c>
      <c r="T2" s="214" t="s">
        <v>766</v>
      </c>
      <c r="U2" s="214" t="s">
        <v>766</v>
      </c>
      <c r="V2" s="214" t="s">
        <v>766</v>
      </c>
      <c r="W2" s="214" t="s">
        <v>766</v>
      </c>
      <c r="X2" s="214" t="s">
        <v>766</v>
      </c>
      <c r="Y2" s="214" t="s">
        <v>766</v>
      </c>
      <c r="Z2" s="214" t="s">
        <v>766</v>
      </c>
      <c r="AA2" s="214" t="s">
        <v>766</v>
      </c>
      <c r="AB2" s="214" t="s">
        <v>766</v>
      </c>
      <c r="AC2" s="214" t="s">
        <v>766</v>
      </c>
      <c r="AD2" s="214" t="s">
        <v>766</v>
      </c>
      <c r="AE2" s="214" t="s">
        <v>766</v>
      </c>
      <c r="AF2" s="214"/>
      <c r="AG2" s="214"/>
      <c r="AH2" s="214" t="s">
        <v>766</v>
      </c>
      <c r="AI2" s="214" t="s">
        <v>766</v>
      </c>
      <c r="AJ2" s="214" t="s">
        <v>766</v>
      </c>
      <c r="AK2" s="214" t="s">
        <v>766</v>
      </c>
      <c r="AL2" s="214" t="s">
        <v>766</v>
      </c>
      <c r="AM2" s="214" t="s">
        <v>766</v>
      </c>
      <c r="AN2" s="214" t="s">
        <v>766</v>
      </c>
      <c r="AO2" s="214" t="s">
        <v>766</v>
      </c>
      <c r="AP2" s="214" t="s">
        <v>766</v>
      </c>
      <c r="AQ2" s="214" t="s">
        <v>766</v>
      </c>
      <c r="AR2" s="214" t="s">
        <v>766</v>
      </c>
      <c r="AS2" s="214" t="s">
        <v>766</v>
      </c>
      <c r="AT2" s="214" t="s">
        <v>766</v>
      </c>
      <c r="AU2" s="425" t="s">
        <v>766</v>
      </c>
      <c r="BC2" s="425" t="s">
        <v>766</v>
      </c>
      <c r="BD2" s="425" t="s">
        <v>766</v>
      </c>
      <c r="BE2" s="425" t="s">
        <v>766</v>
      </c>
      <c r="BF2" s="425" t="s">
        <v>766</v>
      </c>
      <c r="BG2" s="425" t="s">
        <v>766</v>
      </c>
      <c r="CE2" s="425" t="s">
        <v>766</v>
      </c>
      <c r="CF2" s="425" t="s">
        <v>766</v>
      </c>
    </row>
    <row r="3" spans="1:84" ht="19.5" thickBot="1" x14ac:dyDescent="0.25">
      <c r="B3" s="745" t="s">
        <v>0</v>
      </c>
      <c r="C3" s="745"/>
      <c r="D3" s="745"/>
      <c r="E3" s="745"/>
      <c r="F3" s="745"/>
      <c r="G3" s="745"/>
      <c r="H3" s="745"/>
      <c r="I3" s="745"/>
      <c r="J3" s="745"/>
      <c r="K3" s="745"/>
      <c r="L3" s="745"/>
      <c r="M3" s="745"/>
      <c r="N3" s="745"/>
      <c r="O3" s="745"/>
      <c r="P3" s="745"/>
      <c r="Q3" s="745"/>
      <c r="R3" s="800"/>
      <c r="S3" s="801" t="s">
        <v>68</v>
      </c>
      <c r="T3" s="802"/>
      <c r="U3" s="802"/>
      <c r="V3" s="802"/>
      <c r="W3" s="802"/>
      <c r="X3" s="802"/>
      <c r="Y3" s="802"/>
      <c r="Z3" s="802"/>
      <c r="AA3" s="802"/>
      <c r="AB3" s="802"/>
      <c r="AC3" s="802"/>
      <c r="AD3" s="802"/>
      <c r="AE3" s="802"/>
      <c r="AF3" s="802"/>
      <c r="AG3" s="802"/>
      <c r="AH3" s="802"/>
      <c r="AI3" s="802"/>
      <c r="AJ3" s="802"/>
      <c r="AK3" s="802"/>
      <c r="AL3" s="802"/>
      <c r="AM3" s="802"/>
      <c r="AN3" s="802"/>
      <c r="AO3" s="802"/>
      <c r="AP3" s="802"/>
      <c r="AQ3" s="802"/>
      <c r="AR3" s="802"/>
      <c r="AS3" s="802"/>
      <c r="AT3" s="802"/>
      <c r="AV3" s="324" t="s">
        <v>94</v>
      </c>
      <c r="AW3" s="103"/>
      <c r="AX3" s="745" t="s">
        <v>67</v>
      </c>
      <c r="AY3" s="745"/>
      <c r="AZ3" s="745"/>
      <c r="BA3" s="745"/>
      <c r="BB3" s="745"/>
      <c r="BC3" s="745"/>
      <c r="BD3" s="745"/>
      <c r="BE3" s="745"/>
      <c r="BF3" s="745"/>
      <c r="BG3" s="745"/>
      <c r="BH3" s="745"/>
      <c r="BI3" s="745"/>
      <c r="BJ3" s="745"/>
      <c r="BK3" s="745"/>
      <c r="BL3" s="745"/>
      <c r="BM3" s="745"/>
      <c r="BN3" s="745"/>
      <c r="BO3" s="745"/>
      <c r="BP3" s="745"/>
      <c r="BQ3" s="745"/>
      <c r="BR3" s="745"/>
      <c r="BS3" s="745"/>
      <c r="BT3" s="745"/>
      <c r="BU3" s="745"/>
      <c r="BV3" s="745"/>
      <c r="BW3" s="745"/>
      <c r="BX3" s="745"/>
      <c r="BY3" s="745"/>
      <c r="BZ3" s="745"/>
      <c r="CA3" s="745"/>
      <c r="CB3" s="745"/>
      <c r="CC3" s="745"/>
      <c r="CD3" s="745"/>
    </row>
    <row r="4" spans="1:84" ht="18" customHeight="1" thickBot="1" x14ac:dyDescent="0.25">
      <c r="B4" s="816" t="s">
        <v>1</v>
      </c>
      <c r="C4" s="816" t="s">
        <v>2</v>
      </c>
      <c r="D4" s="810" t="s">
        <v>756</v>
      </c>
      <c r="E4" s="803" t="s">
        <v>526</v>
      </c>
      <c r="F4" s="804"/>
      <c r="G4" s="804"/>
      <c r="H4" s="804"/>
      <c r="I4" s="804"/>
      <c r="J4" s="804"/>
      <c r="K4" s="804"/>
      <c r="L4" s="804"/>
      <c r="M4" s="804"/>
      <c r="N4" s="805"/>
      <c r="O4" s="808" t="s">
        <v>757</v>
      </c>
      <c r="P4" s="810" t="s">
        <v>758</v>
      </c>
      <c r="Q4" s="817" t="s">
        <v>550</v>
      </c>
      <c r="R4" s="811" t="s">
        <v>579</v>
      </c>
      <c r="S4" s="812" t="s">
        <v>143</v>
      </c>
      <c r="T4" s="810" t="s">
        <v>49</v>
      </c>
      <c r="U4" s="817" t="s">
        <v>527</v>
      </c>
      <c r="V4" s="817" t="s">
        <v>528</v>
      </c>
      <c r="W4" s="817" t="s">
        <v>529</v>
      </c>
      <c r="X4" s="817" t="s">
        <v>530</v>
      </c>
      <c r="Y4" s="817" t="s">
        <v>531</v>
      </c>
      <c r="Z4" s="814" t="s">
        <v>532</v>
      </c>
      <c r="AA4" s="815"/>
      <c r="AB4" s="810" t="s">
        <v>584</v>
      </c>
      <c r="AC4" s="810" t="s">
        <v>602</v>
      </c>
      <c r="AD4" s="810" t="s">
        <v>603</v>
      </c>
      <c r="AE4" s="810" t="s">
        <v>585</v>
      </c>
      <c r="AF4" s="810" t="s">
        <v>586</v>
      </c>
      <c r="AG4" s="810" t="s">
        <v>587</v>
      </c>
      <c r="AH4" s="810" t="s">
        <v>588</v>
      </c>
      <c r="AI4" s="810" t="s">
        <v>589</v>
      </c>
      <c r="AJ4" s="810" t="s">
        <v>590</v>
      </c>
      <c r="AK4" s="810" t="s">
        <v>591</v>
      </c>
      <c r="AL4" s="810" t="s">
        <v>92</v>
      </c>
      <c r="AM4" s="810" t="s">
        <v>592</v>
      </c>
      <c r="AN4" s="810" t="s">
        <v>593</v>
      </c>
      <c r="AO4" s="817" t="s">
        <v>605</v>
      </c>
      <c r="AP4" s="817" t="s">
        <v>606</v>
      </c>
      <c r="AQ4" s="817" t="s">
        <v>607</v>
      </c>
      <c r="AR4" s="817" t="s">
        <v>608</v>
      </c>
      <c r="AS4" s="817" t="s">
        <v>609</v>
      </c>
      <c r="AT4" s="817" t="s">
        <v>610</v>
      </c>
      <c r="AV4" s="325" t="s">
        <v>103</v>
      </c>
      <c r="AW4" s="103"/>
      <c r="AX4" s="756" t="s">
        <v>39</v>
      </c>
      <c r="AY4" s="756"/>
      <c r="AZ4" s="756"/>
      <c r="BA4" s="756"/>
      <c r="BB4" s="756"/>
      <c r="BC4" s="822" t="s">
        <v>145</v>
      </c>
      <c r="BD4" s="822"/>
      <c r="BE4" s="822"/>
      <c r="BF4" s="822"/>
      <c r="BG4" s="822"/>
      <c r="BH4" s="819" t="s">
        <v>150</v>
      </c>
      <c r="BI4" s="820"/>
      <c r="BJ4" s="820"/>
      <c r="BK4" s="820"/>
      <c r="BL4" s="820"/>
      <c r="BM4" s="821"/>
      <c r="BN4" s="819" t="s">
        <v>144</v>
      </c>
      <c r="BO4" s="820"/>
      <c r="BP4" s="820"/>
      <c r="BQ4" s="820"/>
      <c r="BR4" s="821"/>
      <c r="BS4" s="819" t="s">
        <v>146</v>
      </c>
      <c r="BT4" s="820"/>
      <c r="BU4" s="820"/>
      <c r="BV4" s="821"/>
      <c r="BW4" s="819" t="s">
        <v>148</v>
      </c>
      <c r="BX4" s="820"/>
      <c r="BY4" s="820"/>
      <c r="BZ4" s="821"/>
      <c r="CA4" s="819" t="s">
        <v>70</v>
      </c>
      <c r="CB4" s="820"/>
      <c r="CC4" s="820"/>
      <c r="CD4" s="821"/>
    </row>
    <row r="5" spans="1:84" ht="21.75" customHeight="1" thickBot="1" x14ac:dyDescent="0.3">
      <c r="B5" s="816"/>
      <c r="C5" s="816"/>
      <c r="D5" s="810"/>
      <c r="E5" s="806"/>
      <c r="F5" s="689"/>
      <c r="G5" s="689"/>
      <c r="H5" s="689"/>
      <c r="I5" s="689"/>
      <c r="J5" s="689"/>
      <c r="K5" s="689"/>
      <c r="L5" s="689"/>
      <c r="M5" s="689"/>
      <c r="N5" s="807"/>
      <c r="O5" s="809"/>
      <c r="P5" s="810"/>
      <c r="Q5" s="818"/>
      <c r="R5" s="811"/>
      <c r="S5" s="813"/>
      <c r="T5" s="810"/>
      <c r="U5" s="818"/>
      <c r="V5" s="818"/>
      <c r="W5" s="818"/>
      <c r="X5" s="818"/>
      <c r="Y5" s="818"/>
      <c r="Z5" s="539" t="s">
        <v>80</v>
      </c>
      <c r="AA5" s="539" t="s">
        <v>44</v>
      </c>
      <c r="AB5" s="810"/>
      <c r="AC5" s="810"/>
      <c r="AD5" s="810"/>
      <c r="AE5" s="810"/>
      <c r="AF5" s="810"/>
      <c r="AG5" s="810"/>
      <c r="AH5" s="810"/>
      <c r="AI5" s="810"/>
      <c r="AJ5" s="810"/>
      <c r="AK5" s="810"/>
      <c r="AL5" s="810"/>
      <c r="AM5" s="810"/>
      <c r="AN5" s="810"/>
      <c r="AO5" s="818"/>
      <c r="AP5" s="818"/>
      <c r="AQ5" s="818"/>
      <c r="AR5" s="818"/>
      <c r="AS5" s="818"/>
      <c r="AT5" s="818"/>
      <c r="AV5" s="325" t="s">
        <v>95</v>
      </c>
      <c r="AW5" s="103"/>
      <c r="AX5" s="325" t="s">
        <v>49</v>
      </c>
      <c r="AY5" s="325" t="s">
        <v>50</v>
      </c>
      <c r="AZ5" s="105" t="s">
        <v>220</v>
      </c>
      <c r="BA5" s="105" t="s">
        <v>221</v>
      </c>
      <c r="BB5" s="325" t="s">
        <v>64</v>
      </c>
      <c r="BC5" s="520" t="s">
        <v>49</v>
      </c>
      <c r="BD5" s="520" t="s">
        <v>50</v>
      </c>
      <c r="BE5" s="520" t="s">
        <v>61</v>
      </c>
      <c r="BF5" s="520" t="s">
        <v>64</v>
      </c>
      <c r="BG5" s="520" t="s">
        <v>533</v>
      </c>
      <c r="BH5" s="325" t="s">
        <v>49</v>
      </c>
      <c r="BI5" s="325" t="s">
        <v>50</v>
      </c>
      <c r="BJ5" s="325" t="s">
        <v>61</v>
      </c>
      <c r="BK5" s="325" t="s">
        <v>64</v>
      </c>
      <c r="BL5" s="325" t="s">
        <v>72</v>
      </c>
      <c r="BM5" s="325" t="s">
        <v>153</v>
      </c>
      <c r="BN5" s="325" t="s">
        <v>49</v>
      </c>
      <c r="BO5" s="325" t="s">
        <v>50</v>
      </c>
      <c r="BP5" s="325" t="s">
        <v>61</v>
      </c>
      <c r="BQ5" s="325" t="s">
        <v>64</v>
      </c>
      <c r="BR5" s="325" t="s">
        <v>72</v>
      </c>
      <c r="BS5" s="325" t="s">
        <v>49</v>
      </c>
      <c r="BT5" s="325" t="s">
        <v>50</v>
      </c>
      <c r="BU5" s="325" t="s">
        <v>61</v>
      </c>
      <c r="BV5" s="325" t="s">
        <v>72</v>
      </c>
      <c r="BW5" s="325" t="s">
        <v>49</v>
      </c>
      <c r="BX5" s="325" t="s">
        <v>50</v>
      </c>
      <c r="BY5" s="325" t="s">
        <v>61</v>
      </c>
      <c r="BZ5" s="325" t="s">
        <v>72</v>
      </c>
      <c r="CA5" s="325" t="s">
        <v>49</v>
      </c>
      <c r="CB5" s="325" t="s">
        <v>50</v>
      </c>
      <c r="CC5" s="325" t="s">
        <v>61</v>
      </c>
      <c r="CD5" s="325" t="s">
        <v>72</v>
      </c>
    </row>
    <row r="6" spans="1:84" s="425" customFormat="1" ht="37.5" customHeight="1" thickBot="1" x14ac:dyDescent="0.25">
      <c r="A6" s="518">
        <v>1000</v>
      </c>
      <c r="B6" s="377"/>
      <c r="C6" s="377"/>
      <c r="D6" s="541">
        <f>F11</f>
        <v>40</v>
      </c>
      <c r="E6" s="513" t="s">
        <v>534</v>
      </c>
      <c r="F6" s="513" t="s">
        <v>549</v>
      </c>
      <c r="G6" s="514" t="s">
        <v>535</v>
      </c>
      <c r="H6" s="515" t="s">
        <v>548</v>
      </c>
      <c r="I6" s="515" t="s">
        <v>546</v>
      </c>
      <c r="J6" s="515" t="s">
        <v>536</v>
      </c>
      <c r="K6" s="515" t="s">
        <v>537</v>
      </c>
      <c r="L6" s="515" t="s">
        <v>538</v>
      </c>
      <c r="M6" s="515" t="s">
        <v>539</v>
      </c>
      <c r="N6" s="515" t="s">
        <v>540</v>
      </c>
      <c r="O6" s="429">
        <f>IFERROR(ROUNDUP(P6,0),0)</f>
        <v>25</v>
      </c>
      <c r="P6" s="327">
        <f>1000/D6</f>
        <v>25</v>
      </c>
      <c r="Q6" s="429">
        <f>IFERROR(R6*1000/D6,0)</f>
        <v>0</v>
      </c>
      <c r="R6" s="537"/>
      <c r="S6" s="547" t="s">
        <v>547</v>
      </c>
      <c r="T6" s="548" t="s">
        <v>541</v>
      </c>
      <c r="U6" s="536"/>
      <c r="V6" s="535">
        <f>(60*U6)/200</f>
        <v>0</v>
      </c>
      <c r="W6" s="536"/>
      <c r="X6" s="536"/>
      <c r="Y6" s="536"/>
      <c r="Z6" s="536"/>
      <c r="AA6" s="536"/>
      <c r="AB6" s="535">
        <f>Y6+AA6/60</f>
        <v>0</v>
      </c>
      <c r="AC6" s="535">
        <f>SUM(V6:X6)</f>
        <v>0</v>
      </c>
      <c r="AD6" s="535">
        <f>AC6/60</f>
        <v>0</v>
      </c>
      <c r="AE6" s="536">
        <v>80</v>
      </c>
      <c r="AF6" s="331" t="e">
        <f>(W6-#REF!*#REF!)/W6*100</f>
        <v>#REF!</v>
      </c>
      <c r="AG6" s="333" t="e">
        <f>(D6*#REF!*Z6/1000)/1000/R6*100</f>
        <v>#REF!</v>
      </c>
      <c r="AH6" s="535" t="e">
        <f>(D6*Z6)/1000/R6*100</f>
        <v>#DIV/0!</v>
      </c>
      <c r="AI6" s="535">
        <f>AC6/(D6)/60*1000*((1+(100-AE6)/100))</f>
        <v>0</v>
      </c>
      <c r="AJ6" s="535" t="e">
        <f>AB6*60/R6</f>
        <v>#DIV/0!</v>
      </c>
      <c r="AK6" s="549"/>
      <c r="AL6" s="549"/>
      <c r="AM6" s="535">
        <f>(AI6*R6)/60+AB6</f>
        <v>0</v>
      </c>
      <c r="AN6" s="535" t="e">
        <f>AM6/(AK6*AL6)</f>
        <v>#DIV/0!</v>
      </c>
      <c r="AO6" s="550"/>
      <c r="AP6" s="550"/>
      <c r="AQ6" s="535" t="e">
        <f>#REF!/100*AP6</f>
        <v>#REF!</v>
      </c>
      <c r="AR6" s="535" t="e">
        <f>AJ6/60*AO6</f>
        <v>#DIV/0!</v>
      </c>
      <c r="AS6" s="535">
        <f>AI6/60*AO6</f>
        <v>0</v>
      </c>
      <c r="AT6" s="535" t="e">
        <f>AQ6+AR6+AS6</f>
        <v>#REF!</v>
      </c>
      <c r="AV6" s="344">
        <v>0.6</v>
      </c>
      <c r="AW6" s="519"/>
      <c r="AX6" s="343" t="s">
        <v>57</v>
      </c>
      <c r="AY6" s="343">
        <v>10</v>
      </c>
      <c r="AZ6" s="345">
        <v>4</v>
      </c>
      <c r="BA6" s="345">
        <v>30</v>
      </c>
      <c r="BB6" s="343">
        <v>50</v>
      </c>
      <c r="BC6" s="444" t="s">
        <v>541</v>
      </c>
      <c r="BD6" s="444">
        <v>1.5</v>
      </c>
      <c r="BE6" s="444">
        <f>15/60</f>
        <v>0.25</v>
      </c>
      <c r="BF6" s="444">
        <v>80</v>
      </c>
      <c r="BG6" s="444">
        <v>0.5</v>
      </c>
      <c r="BH6" s="343" t="s">
        <v>413</v>
      </c>
      <c r="BI6" s="343">
        <v>1</v>
      </c>
      <c r="BJ6" s="343">
        <f>15/60</f>
        <v>0.25</v>
      </c>
      <c r="BK6" s="343">
        <v>65</v>
      </c>
      <c r="BL6" s="343">
        <v>50</v>
      </c>
      <c r="BM6" s="343">
        <v>2.5</v>
      </c>
      <c r="BN6" s="343" t="s">
        <v>412</v>
      </c>
      <c r="BO6" s="343"/>
      <c r="BP6" s="343">
        <v>0.25</v>
      </c>
      <c r="BQ6" s="343">
        <v>70</v>
      </c>
      <c r="BR6" s="343">
        <v>50</v>
      </c>
      <c r="BS6" s="343" t="s">
        <v>411</v>
      </c>
      <c r="BT6" s="343"/>
      <c r="BU6" s="344">
        <v>0.35</v>
      </c>
      <c r="BV6" s="345">
        <v>100</v>
      </c>
      <c r="BW6" s="343" t="s">
        <v>69</v>
      </c>
      <c r="BX6" s="343">
        <v>3</v>
      </c>
      <c r="BY6" s="343">
        <v>1</v>
      </c>
      <c r="BZ6" s="343"/>
      <c r="CA6" s="343" t="s">
        <v>542</v>
      </c>
      <c r="CB6" s="343"/>
      <c r="CC6" s="343">
        <v>0.5</v>
      </c>
      <c r="CD6" s="343"/>
    </row>
    <row r="7" spans="1:84" ht="18" customHeight="1" thickTop="1" thickBot="1" x14ac:dyDescent="0.25">
      <c r="E7" s="516"/>
      <c r="F7" s="335">
        <f>G7*H7</f>
        <v>20</v>
      </c>
      <c r="G7" s="357">
        <v>10</v>
      </c>
      <c r="H7" s="357">
        <v>2</v>
      </c>
      <c r="I7" s="469">
        <f>IFERROR(1000/G7,0)</f>
        <v>100</v>
      </c>
      <c r="J7" s="460" t="s">
        <v>543</v>
      </c>
      <c r="K7" s="469">
        <f>IFERROR(J7*I7,0)</f>
        <v>0</v>
      </c>
      <c r="L7" s="461" t="s">
        <v>543</v>
      </c>
      <c r="M7" s="469">
        <f>IFERROR(H7*G7/$D6,0)</f>
        <v>0.5</v>
      </c>
      <c r="N7" s="469">
        <f>IF(K7&gt;0,PRODUCT(K7,M7),PRODUCT(L7,M7))</f>
        <v>0.5</v>
      </c>
      <c r="S7" s="551"/>
      <c r="T7" s="167"/>
      <c r="U7" s="167" t="s">
        <v>685</v>
      </c>
      <c r="V7" s="167"/>
      <c r="W7" s="167" t="s">
        <v>685</v>
      </c>
      <c r="X7" s="167"/>
      <c r="Y7" s="167"/>
      <c r="Z7" s="167" t="s">
        <v>685</v>
      </c>
      <c r="AA7" s="167" t="s">
        <v>685</v>
      </c>
      <c r="AB7" s="167" t="s">
        <v>685</v>
      </c>
      <c r="AC7" s="167" t="s">
        <v>685</v>
      </c>
      <c r="AD7" s="167" t="s">
        <v>685</v>
      </c>
      <c r="AE7" s="167" t="s">
        <v>685</v>
      </c>
      <c r="AF7" s="167" t="s">
        <v>685</v>
      </c>
      <c r="AG7" s="167" t="s">
        <v>685</v>
      </c>
      <c r="AH7" s="167" t="s">
        <v>685</v>
      </c>
      <c r="AI7" s="167" t="s">
        <v>685</v>
      </c>
      <c r="AJ7" s="167" t="s">
        <v>685</v>
      </c>
      <c r="AK7" s="167" t="s">
        <v>685</v>
      </c>
      <c r="AL7" s="167" t="s">
        <v>685</v>
      </c>
      <c r="AM7" s="167" t="s">
        <v>685</v>
      </c>
      <c r="AN7" s="167" t="s">
        <v>685</v>
      </c>
      <c r="AO7" s="167"/>
      <c r="AP7" s="167"/>
      <c r="AQ7" s="167"/>
      <c r="AR7" s="167"/>
      <c r="AS7" s="167"/>
      <c r="AT7" s="167"/>
      <c r="AV7" s="106">
        <v>0.75</v>
      </c>
      <c r="AW7" s="103"/>
      <c r="AX7" s="103"/>
      <c r="AY7" s="326"/>
      <c r="AZ7" s="103"/>
      <c r="BA7" s="103"/>
      <c r="BB7" s="103"/>
      <c r="BC7" s="444" t="s">
        <v>543</v>
      </c>
      <c r="BD7" s="444">
        <v>1.5</v>
      </c>
      <c r="BE7" s="444">
        <f>15/60</f>
        <v>0.25</v>
      </c>
      <c r="BF7" s="444">
        <v>80</v>
      </c>
      <c r="BG7" s="444">
        <v>50</v>
      </c>
      <c r="BH7" s="103"/>
      <c r="BI7" s="103"/>
      <c r="BJ7" s="103"/>
      <c r="BK7" s="103"/>
      <c r="BL7" s="103"/>
      <c r="BM7" s="103"/>
      <c r="BN7" s="103"/>
      <c r="BO7" s="103"/>
      <c r="BP7" s="103"/>
      <c r="BQ7" s="103"/>
      <c r="BR7" s="103"/>
      <c r="BS7" s="107" t="s">
        <v>410</v>
      </c>
      <c r="BT7" s="107"/>
      <c r="BU7" s="106">
        <v>1</v>
      </c>
      <c r="BV7" s="108">
        <v>50</v>
      </c>
      <c r="BW7" s="107" t="s">
        <v>186</v>
      </c>
      <c r="BX7" s="107">
        <v>3</v>
      </c>
      <c r="BY7" s="107">
        <v>0.5</v>
      </c>
      <c r="BZ7" s="107">
        <v>400</v>
      </c>
      <c r="CA7" s="103"/>
      <c r="CB7" s="103"/>
      <c r="CC7" s="103"/>
      <c r="CD7" s="103"/>
    </row>
    <row r="8" spans="1:84" ht="18" customHeight="1" thickTop="1" thickBot="1" x14ac:dyDescent="0.25">
      <c r="E8" s="516"/>
      <c r="F8" s="335">
        <f>G8*H8</f>
        <v>20</v>
      </c>
      <c r="G8" s="357">
        <v>20</v>
      </c>
      <c r="H8" s="357">
        <v>1</v>
      </c>
      <c r="I8" s="469">
        <f>IFERROR(1000/G8,0)</f>
        <v>50</v>
      </c>
      <c r="J8" s="460" t="s">
        <v>543</v>
      </c>
      <c r="K8" s="469">
        <f>IFERROR(J8*I8,0)</f>
        <v>0</v>
      </c>
      <c r="L8" s="357" t="s">
        <v>544</v>
      </c>
      <c r="M8" s="469">
        <f>IFERROR(H8*G8/$D6,0)</f>
        <v>0.5</v>
      </c>
      <c r="N8" s="469">
        <f>IF(K8&gt;0,PRODUCT(K8,M8),PRODUCT(L8,M8))</f>
        <v>0.5</v>
      </c>
      <c r="S8" s="551"/>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V8" s="106"/>
      <c r="AW8" s="103"/>
      <c r="AX8" s="103"/>
      <c r="AY8" s="326"/>
      <c r="AZ8" s="103"/>
      <c r="BA8" s="103"/>
      <c r="BB8" s="103"/>
      <c r="BC8" s="444"/>
      <c r="BD8" s="444"/>
      <c r="BE8" s="444"/>
      <c r="BF8" s="444"/>
      <c r="BG8" s="444"/>
      <c r="BH8" s="103"/>
      <c r="BI8" s="103"/>
      <c r="BJ8" s="103"/>
      <c r="BK8" s="103"/>
      <c r="BL8" s="103"/>
      <c r="BM8" s="103"/>
      <c r="BN8" s="103"/>
      <c r="BO8" s="103"/>
      <c r="BP8" s="103"/>
      <c r="BQ8" s="103"/>
      <c r="BR8" s="103"/>
      <c r="BS8" s="107"/>
      <c r="BT8" s="107"/>
      <c r="BU8" s="106"/>
      <c r="BV8" s="108"/>
      <c r="BW8" s="107"/>
      <c r="BX8" s="107"/>
      <c r="BY8" s="107"/>
      <c r="BZ8" s="107"/>
      <c r="CA8" s="103"/>
      <c r="CB8" s="103"/>
      <c r="CC8" s="103"/>
      <c r="CD8" s="103"/>
    </row>
    <row r="9" spans="1:84" ht="18" customHeight="1" thickTop="1" thickBot="1" x14ac:dyDescent="0.25">
      <c r="E9" s="516"/>
      <c r="F9" s="335">
        <f>G9*H9</f>
        <v>0</v>
      </c>
      <c r="G9" s="357">
        <v>0</v>
      </c>
      <c r="H9" s="357">
        <v>0</v>
      </c>
      <c r="I9" s="469">
        <f>IFERROR(1000/G9,0)</f>
        <v>0</v>
      </c>
      <c r="J9" s="460" t="s">
        <v>543</v>
      </c>
      <c r="K9" s="469">
        <f>IFERROR(J9*I9,0)</f>
        <v>0</v>
      </c>
      <c r="L9" s="357" t="s">
        <v>543</v>
      </c>
      <c r="M9" s="469">
        <f>IFERROR(H9*G9/$D6,0)</f>
        <v>0</v>
      </c>
      <c r="N9" s="469">
        <f>IF(K9&gt;0,PRODUCT(K9,M9),PRODUCT(L9,M9))</f>
        <v>0</v>
      </c>
      <c r="AV9" s="106"/>
      <c r="AW9" s="103"/>
      <c r="AX9" s="103"/>
      <c r="AY9" s="326"/>
      <c r="AZ9" s="103"/>
      <c r="BA9" s="103"/>
      <c r="BB9" s="103"/>
      <c r="BC9" s="444"/>
      <c r="BD9" s="444"/>
      <c r="BE9" s="444"/>
      <c r="BF9" s="444"/>
      <c r="BG9" s="444"/>
      <c r="BH9" s="103"/>
      <c r="BI9" s="103"/>
      <c r="BJ9" s="103"/>
      <c r="BK9" s="103"/>
      <c r="BL9" s="103"/>
      <c r="BM9" s="103"/>
      <c r="BN9" s="103"/>
      <c r="BO9" s="103"/>
      <c r="BP9" s="103"/>
      <c r="BQ9" s="103"/>
      <c r="BR9" s="103"/>
      <c r="BS9" s="107"/>
      <c r="BT9" s="107"/>
      <c r="BU9" s="106"/>
      <c r="BV9" s="108"/>
      <c r="BW9" s="107"/>
      <c r="BX9" s="107"/>
      <c r="BY9" s="107"/>
      <c r="BZ9" s="107"/>
      <c r="CA9" s="103"/>
      <c r="CB9" s="103"/>
      <c r="CC9" s="103"/>
      <c r="CD9" s="103"/>
    </row>
    <row r="10" spans="1:84" ht="14.25" thickTop="1" thickBot="1" x14ac:dyDescent="0.25">
      <c r="E10" s="516"/>
      <c r="F10" s="335">
        <f>G10*H10</f>
        <v>0</v>
      </c>
      <c r="G10" s="357">
        <v>0</v>
      </c>
      <c r="H10" s="357">
        <v>0</v>
      </c>
      <c r="I10" s="469">
        <f>IFERROR(1000/G10,0)</f>
        <v>0</v>
      </c>
      <c r="J10" s="460" t="s">
        <v>543</v>
      </c>
      <c r="K10" s="469">
        <f>IFERROR(J10*I10,0)</f>
        <v>0</v>
      </c>
      <c r="L10" s="357" t="s">
        <v>543</v>
      </c>
      <c r="M10" s="469">
        <f>IFERROR(H10*G10/$D6,0)</f>
        <v>0</v>
      </c>
      <c r="N10" s="469">
        <f>IF(K10&gt;0,PRODUCT(K10,M10),PRODUCT(L10,M10))</f>
        <v>0</v>
      </c>
      <c r="AU10" s="336"/>
      <c r="AV10" s="106">
        <v>0.95</v>
      </c>
      <c r="AW10" s="103"/>
      <c r="AX10" s="107" t="s">
        <v>89</v>
      </c>
      <c r="AY10" s="107">
        <v>0</v>
      </c>
      <c r="AZ10" s="107">
        <v>0</v>
      </c>
      <c r="BA10" s="114"/>
      <c r="BB10" s="109"/>
      <c r="BC10" s="444"/>
      <c r="BD10" s="444"/>
      <c r="BE10" s="444"/>
      <c r="BF10" s="444"/>
      <c r="BG10" s="444"/>
      <c r="BH10" s="103"/>
      <c r="BI10" s="103"/>
      <c r="BJ10" s="103"/>
      <c r="BK10" s="103"/>
      <c r="BL10" s="103"/>
      <c r="BM10" s="103"/>
      <c r="BN10" s="819" t="s">
        <v>81</v>
      </c>
      <c r="BO10" s="820"/>
      <c r="BP10" s="821"/>
      <c r="BQ10" s="103"/>
      <c r="BR10" s="103"/>
      <c r="BS10" s="819" t="s">
        <v>81</v>
      </c>
      <c r="BT10" s="821"/>
      <c r="BU10" s="103"/>
      <c r="BV10" s="103"/>
      <c r="BW10" s="819" t="s">
        <v>81</v>
      </c>
      <c r="BX10" s="821"/>
      <c r="BY10" s="103"/>
      <c r="BZ10" s="103"/>
      <c r="CA10" s="819" t="s">
        <v>81</v>
      </c>
      <c r="CB10" s="821"/>
      <c r="CC10" s="103"/>
      <c r="CD10" s="103"/>
    </row>
    <row r="11" spans="1:84" ht="18.75" x14ac:dyDescent="0.25">
      <c r="F11" s="544">
        <f>SUM(F7:F10)</f>
        <v>40</v>
      </c>
      <c r="L11" s="517"/>
      <c r="M11" s="517" t="s">
        <v>545</v>
      </c>
      <c r="N11" s="506">
        <f>SUM(N7:N10)</f>
        <v>1</v>
      </c>
      <c r="AU11" s="337"/>
      <c r="AV11" s="106">
        <v>1.2</v>
      </c>
      <c r="AW11" s="103"/>
      <c r="AX11" s="756" t="s">
        <v>109</v>
      </c>
      <c r="AY11" s="756"/>
      <c r="AZ11" s="756"/>
      <c r="BA11" s="756"/>
      <c r="BB11" s="756"/>
      <c r="BC11" s="745" t="s">
        <v>81</v>
      </c>
      <c r="BD11" s="745"/>
      <c r="BE11" s="103"/>
      <c r="BF11" s="103"/>
      <c r="BG11" s="103"/>
      <c r="BH11" s="103"/>
      <c r="BI11" s="103"/>
      <c r="BJ11" s="103"/>
      <c r="BK11" s="103"/>
      <c r="BL11" s="103"/>
      <c r="BM11" s="103"/>
      <c r="BN11" s="107" t="s">
        <v>160</v>
      </c>
      <c r="BO11" s="107">
        <v>1</v>
      </c>
      <c r="BP11" s="107">
        <v>0</v>
      </c>
      <c r="BQ11" s="103"/>
      <c r="BR11" s="103"/>
      <c r="BS11" s="107" t="s">
        <v>82</v>
      </c>
      <c r="BT11" s="107">
        <v>90</v>
      </c>
      <c r="BU11" s="103"/>
      <c r="BV11" s="103"/>
      <c r="BW11" s="107" t="s">
        <v>82</v>
      </c>
      <c r="BX11" s="107">
        <v>70</v>
      </c>
      <c r="BY11" s="103"/>
      <c r="BZ11" s="103"/>
      <c r="CA11" s="107" t="s">
        <v>82</v>
      </c>
      <c r="CB11" s="107">
        <v>85</v>
      </c>
      <c r="CC11" s="103"/>
      <c r="CD11" s="103"/>
    </row>
    <row r="12" spans="1:84" x14ac:dyDescent="0.2">
      <c r="E12" s="50"/>
      <c r="F12" s="50"/>
      <c r="G12" s="50"/>
      <c r="H12" s="50"/>
      <c r="I12" s="50"/>
      <c r="J12" s="50"/>
      <c r="K12" s="50"/>
      <c r="L12" s="50"/>
      <c r="M12" s="50"/>
      <c r="N12" s="50"/>
      <c r="O12" s="50"/>
      <c r="AV12" s="106"/>
      <c r="AW12" s="103"/>
      <c r="AX12" s="325"/>
      <c r="AY12" s="325"/>
      <c r="AZ12" s="325"/>
      <c r="BA12" s="325"/>
      <c r="BB12" s="325"/>
      <c r="BC12" s="444"/>
      <c r="BD12" s="444"/>
      <c r="BE12" s="103"/>
      <c r="BF12" s="103"/>
      <c r="BG12" s="103"/>
      <c r="BH12" s="103"/>
      <c r="BI12" s="103"/>
      <c r="BJ12" s="103"/>
      <c r="BK12" s="103"/>
      <c r="BL12" s="103"/>
      <c r="BM12" s="103"/>
      <c r="BN12" s="107"/>
      <c r="BO12" s="107"/>
      <c r="BP12" s="107"/>
      <c r="BQ12" s="103"/>
      <c r="BR12" s="103"/>
      <c r="BS12" s="107"/>
      <c r="BT12" s="107"/>
      <c r="BU12" s="103"/>
      <c r="BV12" s="103"/>
      <c r="BW12" s="107"/>
      <c r="BX12" s="107"/>
      <c r="BY12" s="103"/>
      <c r="BZ12" s="103"/>
      <c r="CA12" s="107"/>
      <c r="CB12" s="107"/>
      <c r="CC12" s="103"/>
      <c r="CD12" s="103"/>
    </row>
    <row r="13" spans="1:84" x14ac:dyDescent="0.2">
      <c r="D13" s="338"/>
    </row>
  </sheetData>
  <mergeCells count="51">
    <mergeCell ref="AX11:BB11"/>
    <mergeCell ref="BC11:BD11"/>
    <mergeCell ref="BH4:BM4"/>
    <mergeCell ref="BN4:BR4"/>
    <mergeCell ref="BS4:BV4"/>
    <mergeCell ref="BC4:BG4"/>
    <mergeCell ref="AQ4:AQ5"/>
    <mergeCell ref="AR4:AR5"/>
    <mergeCell ref="AS4:AS5"/>
    <mergeCell ref="AT4:AT5"/>
    <mergeCell ref="AX4:BB4"/>
    <mergeCell ref="BW4:BZ4"/>
    <mergeCell ref="CA4:CD4"/>
    <mergeCell ref="BN10:BP10"/>
    <mergeCell ref="BS10:BT10"/>
    <mergeCell ref="BW10:BX10"/>
    <mergeCell ref="CA10:CB10"/>
    <mergeCell ref="AK4:AK5"/>
    <mergeCell ref="AP4:AP5"/>
    <mergeCell ref="AE4:AE5"/>
    <mergeCell ref="AN4:AN5"/>
    <mergeCell ref="AO4:AO5"/>
    <mergeCell ref="AF4:AF5"/>
    <mergeCell ref="AL4:AL5"/>
    <mergeCell ref="AM4:AM5"/>
    <mergeCell ref="Q4:Q5"/>
    <mergeCell ref="AG4:AG5"/>
    <mergeCell ref="AH4:AH5"/>
    <mergeCell ref="AI4:AI5"/>
    <mergeCell ref="AJ4:AJ5"/>
    <mergeCell ref="U4:U5"/>
    <mergeCell ref="V4:V5"/>
    <mergeCell ref="W4:W5"/>
    <mergeCell ref="X4:X5"/>
    <mergeCell ref="Y4:Y5"/>
    <mergeCell ref="B3:R3"/>
    <mergeCell ref="S3:AT3"/>
    <mergeCell ref="AX3:CD3"/>
    <mergeCell ref="E4:N5"/>
    <mergeCell ref="O4:O5"/>
    <mergeCell ref="AD4:AD5"/>
    <mergeCell ref="R4:R5"/>
    <mergeCell ref="S4:S5"/>
    <mergeCell ref="T4:T5"/>
    <mergeCell ref="P4:P5"/>
    <mergeCell ref="Z4:AA4"/>
    <mergeCell ref="AB4:AB5"/>
    <mergeCell ref="AC4:AC5"/>
    <mergeCell ref="B4:B5"/>
    <mergeCell ref="C4:C5"/>
    <mergeCell ref="D4:D5"/>
  </mergeCells>
  <conditionalFormatting sqref="AQ6:AT12 AM6:AM12 AH6:AH12 AD6:AD12">
    <cfRule type="cellIs" dxfId="44" priority="7" operator="equal">
      <formula>0</formula>
    </cfRule>
  </conditionalFormatting>
  <conditionalFormatting sqref="AO6:AP6 AC7:AD9 S7:S12 AB7:AB12 V7:Y12 AQ6:AT12 AM6:AN12 S6:T6 V6 Z6:AD6 AE6:AJ12 AK6:AL6">
    <cfRule type="containsErrors" dxfId="43" priority="6">
      <formula>ISERROR(S6)</formula>
    </cfRule>
  </conditionalFormatting>
  <conditionalFormatting sqref="U10:U12">
    <cfRule type="cellIs" dxfId="42" priority="5" operator="equal">
      <formula>0</formula>
    </cfRule>
  </conditionalFormatting>
  <conditionalFormatting sqref="O6:Q6">
    <cfRule type="cellIs" dxfId="41" priority="3" operator="equal">
      <formula>0</formula>
    </cfRule>
    <cfRule type="containsErrors" dxfId="40" priority="4">
      <formula>ISERROR(O6)</formula>
    </cfRule>
  </conditionalFormatting>
  <conditionalFormatting sqref="L7">
    <cfRule type="cellIs" dxfId="39" priority="1" operator="equal">
      <formula>0</formula>
    </cfRule>
    <cfRule type="containsErrors" dxfId="38" priority="2">
      <formula>ISERROR(L7)</formula>
    </cfRule>
  </conditionalFormatting>
  <dataValidations disablePrompts="1" count="6">
    <dataValidation type="list" allowBlank="1" showInputMessage="1" showErrorMessage="1" sqref="T6">
      <formula1>$BC$6:$BC$10</formula1>
    </dataValidation>
    <dataValidation type="list" allowBlank="1" showInputMessage="1" showErrorMessage="1" sqref="T7:T9">
      <formula1>$BH$6</formula1>
    </dataValidation>
    <dataValidation type="list" allowBlank="1" showInputMessage="1" showErrorMessage="1" sqref="T10">
      <formula1>$BS$6:$BS$7</formula1>
    </dataValidation>
    <dataValidation type="list" allowBlank="1" showInputMessage="1" showErrorMessage="1" sqref="T11:T12">
      <formula1>$CA$6</formula1>
    </dataValidation>
    <dataValidation operator="greaterThanOrEqual" allowBlank="1" sqref="U6:U9"/>
    <dataValidation operator="greaterThanOrEqual" allowBlank="1" showInputMessage="1" promptTitle="Sucata de Processo" prompt="Sucata referente a furações, rasgos, corte em ângulo etc." sqref="U10:U12"/>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theme="1"/>
  </sheetPr>
  <dimension ref="D2:N48"/>
  <sheetViews>
    <sheetView showGridLines="0" showRowColHeaders="0" zoomScaleNormal="100" workbookViewId="0">
      <selection activeCell="F12" sqref="F12"/>
    </sheetView>
  </sheetViews>
  <sheetFormatPr defaultRowHeight="12.75" x14ac:dyDescent="0.2"/>
  <cols>
    <col min="1" max="3" width="13.85546875" style="379" customWidth="1"/>
    <col min="4" max="4" width="15.7109375" style="379" customWidth="1"/>
    <col min="5" max="5" width="3.7109375" style="379" customWidth="1"/>
    <col min="6" max="6" width="15.7109375" style="379" customWidth="1"/>
    <col min="7" max="8" width="3.7109375" style="379" customWidth="1"/>
    <col min="9" max="10" width="11.140625" style="379" customWidth="1"/>
    <col min="11" max="11" width="5.7109375" style="379" customWidth="1"/>
    <col min="12" max="13" width="11.140625" style="379" customWidth="1"/>
    <col min="14" max="14" width="3.7109375" style="379" customWidth="1"/>
    <col min="15" max="16384" width="9.140625" style="379"/>
  </cols>
  <sheetData>
    <row r="2" spans="4:14" ht="12.75" customHeight="1" x14ac:dyDescent="0.2">
      <c r="D2" s="823" t="s">
        <v>748</v>
      </c>
      <c r="E2" s="824"/>
      <c r="F2" s="824"/>
      <c r="G2" s="825"/>
      <c r="H2" s="823" t="s">
        <v>866</v>
      </c>
      <c r="I2" s="824"/>
      <c r="J2" s="824"/>
      <c r="K2" s="824"/>
      <c r="L2" s="824"/>
      <c r="M2" s="824"/>
      <c r="N2" s="825"/>
    </row>
    <row r="3" spans="4:14" ht="12.75" customHeight="1" x14ac:dyDescent="0.2">
      <c r="D3" s="823"/>
      <c r="E3" s="824"/>
      <c r="F3" s="824"/>
      <c r="G3" s="825"/>
      <c r="H3" s="823"/>
      <c r="I3" s="824"/>
      <c r="J3" s="824"/>
      <c r="K3" s="824"/>
      <c r="L3" s="824"/>
      <c r="M3" s="824"/>
      <c r="N3" s="825"/>
    </row>
    <row r="4" spans="4:14" x14ac:dyDescent="0.2">
      <c r="D4" s="648" t="s">
        <v>861</v>
      </c>
      <c r="E4" s="649"/>
      <c r="F4" s="650" t="s">
        <v>862</v>
      </c>
      <c r="G4" s="381"/>
      <c r="H4" s="380"/>
      <c r="I4" s="380"/>
      <c r="J4" s="380"/>
      <c r="K4" s="380"/>
      <c r="L4" s="380"/>
      <c r="M4" s="380"/>
      <c r="N4" s="381"/>
    </row>
    <row r="5" spans="4:14" x14ac:dyDescent="0.2">
      <c r="D5" s="645"/>
      <c r="E5" s="380"/>
      <c r="F5" s="647" t="s">
        <v>877</v>
      </c>
      <c r="G5" s="381"/>
      <c r="H5" s="380"/>
      <c r="I5" s="380"/>
      <c r="J5" s="380"/>
      <c r="K5" s="380"/>
      <c r="L5" s="380"/>
      <c r="M5" s="380"/>
      <c r="N5" s="381"/>
    </row>
    <row r="6" spans="4:14" x14ac:dyDescent="0.2">
      <c r="D6" s="645"/>
      <c r="E6" s="380"/>
      <c r="F6" s="647" t="s">
        <v>885</v>
      </c>
      <c r="G6" s="381"/>
      <c r="H6" s="380"/>
      <c r="I6" s="380"/>
      <c r="J6" s="380"/>
      <c r="K6" s="380"/>
      <c r="L6" s="380"/>
      <c r="M6" s="380"/>
      <c r="N6" s="381"/>
    </row>
    <row r="7" spans="4:14" x14ac:dyDescent="0.2">
      <c r="D7" s="382"/>
      <c r="E7" s="380"/>
      <c r="F7" s="647" t="s">
        <v>889</v>
      </c>
      <c r="G7" s="381"/>
      <c r="H7" s="380"/>
      <c r="I7" s="380"/>
      <c r="J7" s="380"/>
      <c r="K7" s="380"/>
      <c r="L7" s="380"/>
      <c r="M7" s="380"/>
      <c r="N7" s="381"/>
    </row>
    <row r="8" spans="4:14" x14ac:dyDescent="0.2">
      <c r="D8" s="382"/>
      <c r="E8" s="380"/>
      <c r="F8" s="647" t="s">
        <v>893</v>
      </c>
      <c r="G8" s="381"/>
      <c r="H8" s="380"/>
      <c r="I8" s="380"/>
      <c r="J8" s="380"/>
      <c r="K8" s="380"/>
      <c r="L8" s="380"/>
      <c r="M8" s="380"/>
      <c r="N8" s="381"/>
    </row>
    <row r="9" spans="4:14" x14ac:dyDescent="0.2">
      <c r="D9" s="382"/>
      <c r="E9" s="380"/>
      <c r="F9" s="647" t="s">
        <v>894</v>
      </c>
      <c r="G9" s="381"/>
      <c r="H9" s="380"/>
      <c r="I9" s="380"/>
      <c r="J9" s="380"/>
      <c r="K9" s="380"/>
      <c r="L9" s="380"/>
      <c r="M9" s="380"/>
      <c r="N9" s="381"/>
    </row>
    <row r="10" spans="4:14" x14ac:dyDescent="0.2">
      <c r="D10" s="382"/>
      <c r="E10" s="380"/>
      <c r="F10" s="647" t="s">
        <v>897</v>
      </c>
      <c r="G10" s="381"/>
      <c r="H10" s="380"/>
      <c r="I10" s="380"/>
      <c r="J10" s="380"/>
      <c r="K10" s="380"/>
      <c r="L10" s="380"/>
      <c r="M10" s="380"/>
      <c r="N10" s="381"/>
    </row>
    <row r="11" spans="4:14" x14ac:dyDescent="0.2">
      <c r="D11" s="382"/>
      <c r="E11" s="380"/>
      <c r="F11" s="647" t="s">
        <v>900</v>
      </c>
      <c r="G11" s="381"/>
      <c r="H11" s="380"/>
      <c r="I11" s="380"/>
      <c r="J11" s="380"/>
      <c r="K11" s="380"/>
      <c r="L11" s="380"/>
      <c r="M11" s="380"/>
      <c r="N11" s="381"/>
    </row>
    <row r="12" spans="4:14" x14ac:dyDescent="0.2">
      <c r="D12" s="382"/>
      <c r="E12" s="380"/>
      <c r="F12" s="647" t="s">
        <v>906</v>
      </c>
      <c r="G12" s="381"/>
      <c r="H12" s="380"/>
      <c r="I12" s="380"/>
      <c r="J12" s="380"/>
      <c r="K12" s="380"/>
      <c r="L12" s="380"/>
      <c r="M12" s="380"/>
      <c r="N12" s="381"/>
    </row>
    <row r="13" spans="4:14" x14ac:dyDescent="0.2">
      <c r="D13" s="382"/>
      <c r="E13" s="380"/>
      <c r="F13" s="646"/>
      <c r="G13" s="381"/>
      <c r="H13" s="380"/>
      <c r="I13" s="380"/>
      <c r="J13" s="380"/>
      <c r="K13" s="380"/>
      <c r="L13" s="380"/>
      <c r="M13" s="380"/>
      <c r="N13" s="381"/>
    </row>
    <row r="14" spans="4:14" x14ac:dyDescent="0.2">
      <c r="D14" s="382"/>
      <c r="E14" s="380"/>
      <c r="F14" s="646"/>
      <c r="G14" s="381"/>
      <c r="H14" s="380"/>
      <c r="I14" s="380"/>
      <c r="J14" s="380"/>
      <c r="K14" s="380"/>
      <c r="L14" s="380"/>
      <c r="M14" s="380"/>
      <c r="N14" s="381"/>
    </row>
    <row r="15" spans="4:14" x14ac:dyDescent="0.2">
      <c r="D15" s="382"/>
      <c r="E15" s="380"/>
      <c r="F15" s="646"/>
      <c r="G15" s="381"/>
      <c r="H15" s="380"/>
      <c r="I15" s="380"/>
      <c r="J15" s="380"/>
      <c r="K15" s="380"/>
      <c r="L15" s="380"/>
      <c r="M15" s="380"/>
      <c r="N15" s="381"/>
    </row>
    <row r="16" spans="4:14" x14ac:dyDescent="0.2">
      <c r="D16" s="382"/>
      <c r="E16" s="380"/>
      <c r="F16" s="646"/>
      <c r="G16" s="381"/>
      <c r="H16" s="380"/>
      <c r="I16" s="380"/>
      <c r="J16" s="380"/>
      <c r="K16" s="380"/>
      <c r="L16" s="380"/>
      <c r="M16" s="380"/>
      <c r="N16" s="381"/>
    </row>
    <row r="17" spans="4:14" x14ac:dyDescent="0.2">
      <c r="D17" s="382"/>
      <c r="E17" s="380"/>
      <c r="F17" s="646"/>
      <c r="G17" s="381"/>
      <c r="H17" s="380"/>
      <c r="I17" s="380"/>
      <c r="J17" s="380"/>
      <c r="K17" s="380"/>
      <c r="L17" s="380"/>
      <c r="M17" s="380"/>
      <c r="N17" s="381"/>
    </row>
    <row r="18" spans="4:14" x14ac:dyDescent="0.2">
      <c r="D18" s="382"/>
      <c r="E18" s="380"/>
      <c r="F18" s="646"/>
      <c r="G18" s="381"/>
      <c r="H18" s="380"/>
      <c r="I18" s="380"/>
      <c r="J18" s="380"/>
      <c r="K18" s="380"/>
      <c r="L18" s="380"/>
      <c r="M18" s="380"/>
      <c r="N18" s="381"/>
    </row>
    <row r="19" spans="4:14" x14ac:dyDescent="0.2">
      <c r="D19" s="382"/>
      <c r="E19" s="380"/>
      <c r="F19" s="646"/>
      <c r="G19" s="381"/>
      <c r="H19" s="380"/>
      <c r="I19" s="380"/>
      <c r="J19" s="380"/>
      <c r="K19" s="380"/>
      <c r="L19" s="380"/>
      <c r="M19" s="380"/>
      <c r="N19" s="381"/>
    </row>
    <row r="20" spans="4:14" x14ac:dyDescent="0.2">
      <c r="D20" s="382"/>
      <c r="E20" s="380"/>
      <c r="F20" s="646"/>
      <c r="G20" s="381"/>
      <c r="H20" s="380"/>
      <c r="I20" s="380"/>
      <c r="J20" s="380"/>
      <c r="K20" s="380"/>
      <c r="L20" s="380"/>
      <c r="M20" s="380"/>
      <c r="N20" s="381"/>
    </row>
    <row r="21" spans="4:14" x14ac:dyDescent="0.2">
      <c r="D21" s="382"/>
      <c r="E21" s="380"/>
      <c r="F21" s="646"/>
      <c r="G21" s="381"/>
      <c r="H21" s="380"/>
      <c r="I21" s="380"/>
      <c r="J21" s="380"/>
      <c r="K21" s="380"/>
      <c r="L21" s="380"/>
      <c r="M21" s="380"/>
      <c r="N21" s="381"/>
    </row>
    <row r="22" spans="4:14" x14ac:dyDescent="0.2">
      <c r="D22" s="382"/>
      <c r="E22" s="380"/>
      <c r="F22" s="646"/>
      <c r="G22" s="381"/>
      <c r="H22" s="380"/>
      <c r="I22" s="380"/>
      <c r="J22" s="380"/>
      <c r="K22" s="380"/>
      <c r="L22" s="380"/>
      <c r="M22" s="380"/>
      <c r="N22" s="381"/>
    </row>
    <row r="23" spans="4:14" x14ac:dyDescent="0.2">
      <c r="D23"/>
      <c r="E23"/>
      <c r="F23"/>
      <c r="G23"/>
      <c r="H23"/>
      <c r="I23"/>
      <c r="J23"/>
      <c r="K23"/>
      <c r="L23"/>
      <c r="M23"/>
      <c r="N23"/>
    </row>
    <row r="24" spans="4:14" x14ac:dyDescent="0.2">
      <c r="D24"/>
      <c r="E24"/>
      <c r="F24"/>
      <c r="G24"/>
      <c r="H24"/>
      <c r="I24"/>
      <c r="J24"/>
      <c r="K24"/>
      <c r="L24"/>
      <c r="M24"/>
      <c r="N24"/>
    </row>
    <row r="25" spans="4:14" x14ac:dyDescent="0.2">
      <c r="D25"/>
      <c r="E25"/>
      <c r="F25"/>
      <c r="G25"/>
      <c r="H25"/>
      <c r="I25"/>
      <c r="J25"/>
      <c r="K25"/>
      <c r="L25"/>
      <c r="M25"/>
      <c r="N25"/>
    </row>
    <row r="26" spans="4:14" x14ac:dyDescent="0.2">
      <c r="D26"/>
      <c r="E26"/>
      <c r="F26"/>
      <c r="G26"/>
      <c r="H26"/>
      <c r="I26"/>
      <c r="J26"/>
      <c r="K26"/>
      <c r="L26"/>
      <c r="M26"/>
      <c r="N26"/>
    </row>
    <row r="27" spans="4:14" x14ac:dyDescent="0.2">
      <c r="D27"/>
      <c r="E27"/>
      <c r="F27"/>
      <c r="G27"/>
      <c r="H27"/>
      <c r="I27"/>
      <c r="J27"/>
      <c r="K27"/>
      <c r="L27"/>
      <c r="M27"/>
      <c r="N27"/>
    </row>
    <row r="28" spans="4:14" x14ac:dyDescent="0.2">
      <c r="D28"/>
      <c r="E28"/>
      <c r="F28"/>
      <c r="G28"/>
      <c r="H28"/>
      <c r="I28"/>
      <c r="J28"/>
      <c r="K28"/>
      <c r="L28"/>
      <c r="M28"/>
      <c r="N28"/>
    </row>
    <row r="29" spans="4:14" x14ac:dyDescent="0.2">
      <c r="D29"/>
      <c r="E29"/>
      <c r="F29"/>
      <c r="G29"/>
      <c r="H29"/>
      <c r="I29"/>
      <c r="J29"/>
      <c r="K29"/>
      <c r="L29"/>
      <c r="M29"/>
      <c r="N29"/>
    </row>
    <row r="31" spans="4:14" x14ac:dyDescent="0.2">
      <c r="H31" s="663"/>
    </row>
    <row r="32" spans="4:14" x14ac:dyDescent="0.2">
      <c r="H32" s="663"/>
    </row>
    <row r="33" spans="8:8" x14ac:dyDescent="0.2">
      <c r="H33" s="663"/>
    </row>
    <row r="34" spans="8:8" x14ac:dyDescent="0.2">
      <c r="H34" s="663"/>
    </row>
    <row r="35" spans="8:8" x14ac:dyDescent="0.2">
      <c r="H35" s="663"/>
    </row>
    <row r="36" spans="8:8" x14ac:dyDescent="0.2">
      <c r="H36" s="663"/>
    </row>
    <row r="37" spans="8:8" x14ac:dyDescent="0.2">
      <c r="H37" s="663"/>
    </row>
    <row r="38" spans="8:8" x14ac:dyDescent="0.2">
      <c r="H38" s="663"/>
    </row>
    <row r="39" spans="8:8" x14ac:dyDescent="0.2">
      <c r="H39" s="663"/>
    </row>
    <row r="40" spans="8:8" x14ac:dyDescent="0.2">
      <c r="H40" s="663"/>
    </row>
    <row r="41" spans="8:8" x14ac:dyDescent="0.2">
      <c r="H41" s="663"/>
    </row>
    <row r="42" spans="8:8" x14ac:dyDescent="0.2">
      <c r="H42" s="663"/>
    </row>
    <row r="43" spans="8:8" x14ac:dyDescent="0.2">
      <c r="H43" s="663"/>
    </row>
    <row r="44" spans="8:8" x14ac:dyDescent="0.2">
      <c r="H44" s="663"/>
    </row>
    <row r="45" spans="8:8" x14ac:dyDescent="0.2">
      <c r="H45" s="663"/>
    </row>
    <row r="46" spans="8:8" x14ac:dyDescent="0.2">
      <c r="H46" s="663"/>
    </row>
    <row r="47" spans="8:8" x14ac:dyDescent="0.2">
      <c r="H47" s="663"/>
    </row>
    <row r="48" spans="8:8" x14ac:dyDescent="0.2">
      <c r="H48" s="663"/>
    </row>
  </sheetData>
  <mergeCells count="2">
    <mergeCell ref="D2:G3"/>
    <mergeCell ref="H2:N3"/>
  </mergeCells>
  <hyperlinks>
    <hyperlink ref="F5" location="'C.S. PJT 2444.5'!A44" display="C.S. PJT 2444.5"/>
    <hyperlink ref="F6" location="'C.S. PJT 2444.6'!A44" display="C.S. PJT 2444.6"/>
    <hyperlink ref="F7" location="'C.S. PJT 2444.7'!A44" display="C.S. PJT 2444.7"/>
    <hyperlink ref="F8" location="'C.S. PJT 2444.8'!A44" display="C.S. PJT 2444.8"/>
    <hyperlink ref="F9" location="'C.S. PJT 2444.9'!A44" display="C.S. PJT 2444.9"/>
    <hyperlink ref="F10" location="'C.S. PJT 2444.10'!A44" display="C.S. PJT 2444.10"/>
    <hyperlink ref="F11" location="'C.S. PJT 2444.11'!A44" display="C.S. PJT 2444.11"/>
    <hyperlink ref="F12" location="'C.S. PJT 2444.12'!A44" display="C.S. PJT 2444.12"/>
  </hyperlinks>
  <pageMargins left="0.511811024" right="0.511811024" top="0.78740157499999996" bottom="0.78740157499999996" header="0.31496062000000002" footer="0.31496062000000002"/>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ilha2">
    <tabColor theme="1"/>
  </sheetPr>
  <dimension ref="A1:CN51"/>
  <sheetViews>
    <sheetView showGridLines="0" workbookViewId="0">
      <selection activeCell="A26" sqref="A26"/>
    </sheetView>
  </sheetViews>
  <sheetFormatPr defaultRowHeight="12.75" x14ac:dyDescent="0.2"/>
  <cols>
    <col min="1" max="1" width="14" style="167" customWidth="1"/>
    <col min="2" max="2" width="20.7109375" style="167" bestFit="1" customWidth="1"/>
    <col min="3" max="3" width="7.85546875" style="167" bestFit="1" customWidth="1"/>
    <col min="4" max="4" width="12.7109375" style="167" customWidth="1"/>
    <col min="5" max="5" width="13.28515625" style="167" bestFit="1" customWidth="1"/>
    <col min="6" max="8" width="12.140625" style="167" customWidth="1"/>
    <col min="9" max="9" width="33.5703125" style="167" bestFit="1" customWidth="1"/>
    <col min="10" max="10" width="6.7109375" style="167" bestFit="1" customWidth="1"/>
    <col min="11" max="11" width="6" style="167" bestFit="1" customWidth="1"/>
    <col min="12" max="12" width="9.28515625" style="167" bestFit="1" customWidth="1"/>
    <col min="13" max="13" width="9.140625" style="167" bestFit="1" customWidth="1"/>
    <col min="14" max="14" width="21" style="167" bestFit="1" customWidth="1"/>
    <col min="15" max="15" width="5.42578125" style="167" customWidth="1"/>
    <col min="16" max="16" width="33.5703125" style="167" bestFit="1" customWidth="1"/>
    <col min="17" max="17" width="17" style="167" bestFit="1" customWidth="1"/>
    <col min="18" max="18" width="19.5703125" style="167" bestFit="1" customWidth="1"/>
    <col min="19" max="19" width="19.28515625" style="167" bestFit="1" customWidth="1"/>
    <col min="20" max="20" width="20.42578125" style="167" bestFit="1" customWidth="1"/>
    <col min="21" max="21" width="9.140625" style="167" customWidth="1"/>
    <col min="22" max="22" width="9.85546875" style="167" bestFit="1" customWidth="1"/>
    <col min="23" max="23" width="11.5703125" style="167" bestFit="1" customWidth="1"/>
    <col min="24" max="24" width="10.85546875" style="167" bestFit="1" customWidth="1"/>
    <col min="25" max="25" width="9.140625" style="141"/>
    <col min="26" max="26" width="12.85546875" style="141" bestFit="1" customWidth="1"/>
    <col min="27" max="27" width="11.140625" style="141" bestFit="1" customWidth="1"/>
    <col min="28" max="28" width="16.85546875" style="141" bestFit="1" customWidth="1"/>
    <col min="29" max="29" width="9.140625" style="141"/>
    <col min="30" max="30" width="24.140625" style="141" bestFit="1" customWidth="1"/>
    <col min="31" max="31" width="19.7109375" style="141" bestFit="1" customWidth="1"/>
    <col min="32" max="32" width="12.42578125" style="141" bestFit="1" customWidth="1"/>
    <col min="33" max="33" width="9.140625" style="141"/>
    <col min="34" max="34" width="33.85546875" style="141" bestFit="1" customWidth="1"/>
    <col min="35" max="36" width="9.140625" style="141"/>
    <col min="37" max="37" width="12.85546875" style="141" bestFit="1" customWidth="1"/>
    <col min="38" max="38" width="5.85546875" style="141" bestFit="1" customWidth="1"/>
    <col min="39" max="39" width="9.140625" style="141"/>
    <col min="40" max="40" width="12.42578125" style="141" bestFit="1" customWidth="1"/>
    <col min="41" max="41" width="12.28515625" style="141" bestFit="1" customWidth="1"/>
    <col min="42" max="42" width="22.42578125" style="141" bestFit="1" customWidth="1"/>
    <col min="43" max="43" width="9.85546875" style="141" bestFit="1" customWidth="1"/>
    <col min="44" max="44" width="9.140625" style="141"/>
    <col min="45" max="45" width="9.28515625" style="141" bestFit="1" customWidth="1"/>
    <col min="46" max="46" width="9.85546875" style="141" bestFit="1" customWidth="1"/>
    <col min="47" max="47" width="11.140625" style="141" bestFit="1" customWidth="1"/>
    <col min="48" max="48" width="6.7109375" style="141" bestFit="1" customWidth="1"/>
    <col min="49" max="49" width="11.7109375" style="141" bestFit="1" customWidth="1"/>
    <col min="50" max="50" width="9.140625" style="141"/>
    <col min="51" max="51" width="20.140625" style="141" bestFit="1" customWidth="1"/>
    <col min="52" max="52" width="17.140625" style="141" customWidth="1"/>
    <col min="53" max="16384" width="9.140625" style="141"/>
  </cols>
  <sheetData>
    <row r="1" spans="1:92" s="644" customFormat="1" ht="12.75" customHeight="1" x14ac:dyDescent="0.2">
      <c r="A1" s="826" t="s">
        <v>737</v>
      </c>
      <c r="B1" s="826"/>
      <c r="C1" s="826"/>
      <c r="D1" s="826"/>
      <c r="E1" s="826"/>
      <c r="F1" s="826"/>
      <c r="I1" s="826" t="s">
        <v>736</v>
      </c>
      <c r="J1" s="826"/>
      <c r="K1" s="826"/>
      <c r="L1" s="826"/>
      <c r="M1" s="826"/>
      <c r="N1" s="826"/>
      <c r="O1" s="826"/>
      <c r="P1" s="826"/>
      <c r="Q1" s="826"/>
      <c r="R1" s="826"/>
      <c r="S1" s="826"/>
      <c r="T1" s="826"/>
      <c r="V1" s="826" t="s">
        <v>94</v>
      </c>
      <c r="W1" s="826"/>
      <c r="X1" s="826"/>
      <c r="Z1" s="826" t="s">
        <v>94</v>
      </c>
      <c r="AA1" s="826"/>
      <c r="AB1" s="826"/>
      <c r="AU1" s="644" t="s">
        <v>832</v>
      </c>
      <c r="AY1" s="827" t="s">
        <v>855</v>
      </c>
      <c r="AZ1" s="828"/>
    </row>
    <row r="2" spans="1:92" s="644" customFormat="1" ht="12.75" customHeight="1" x14ac:dyDescent="0.2">
      <c r="A2" s="826" t="s">
        <v>735</v>
      </c>
      <c r="B2" s="826"/>
      <c r="C2" s="826"/>
      <c r="D2" s="826"/>
      <c r="E2" s="826"/>
      <c r="F2" s="826"/>
      <c r="I2" s="826" t="s">
        <v>735</v>
      </c>
      <c r="J2" s="826"/>
      <c r="K2" s="826"/>
      <c r="L2" s="826"/>
      <c r="M2" s="826"/>
      <c r="N2" s="826"/>
      <c r="P2" s="826" t="s">
        <v>745</v>
      </c>
      <c r="Q2" s="826"/>
      <c r="R2" s="826"/>
      <c r="S2" s="826"/>
      <c r="T2" s="826"/>
      <c r="V2" s="826" t="s">
        <v>96</v>
      </c>
      <c r="W2" s="826"/>
      <c r="X2" s="826"/>
      <c r="Z2" s="826" t="s">
        <v>109</v>
      </c>
      <c r="AA2" s="826"/>
      <c r="AB2" s="826"/>
      <c r="AD2" s="826" t="s">
        <v>667</v>
      </c>
      <c r="AE2" s="826"/>
      <c r="AF2" s="826"/>
      <c r="AH2" s="826"/>
      <c r="AI2" s="826"/>
      <c r="AK2" s="826" t="s">
        <v>109</v>
      </c>
      <c r="AL2" s="826"/>
      <c r="AN2" s="826" t="s">
        <v>105</v>
      </c>
      <c r="AO2" s="826"/>
      <c r="AP2" s="826"/>
      <c r="AQ2" s="826"/>
      <c r="AS2" s="644" t="s">
        <v>95</v>
      </c>
      <c r="AT2" s="644" t="s">
        <v>822</v>
      </c>
      <c r="AU2" s="644" t="s">
        <v>823</v>
      </c>
      <c r="AV2" s="644" t="s">
        <v>50</v>
      </c>
      <c r="AW2" s="644" t="s">
        <v>509</v>
      </c>
    </row>
    <row r="3" spans="1:92" s="644" customFormat="1" x14ac:dyDescent="0.2">
      <c r="A3" s="644" t="s">
        <v>49</v>
      </c>
      <c r="B3" s="644" t="s">
        <v>689</v>
      </c>
      <c r="C3" s="644" t="s">
        <v>50</v>
      </c>
      <c r="D3" s="644" t="s">
        <v>690</v>
      </c>
      <c r="E3" s="644" t="s">
        <v>691</v>
      </c>
      <c r="F3" s="644" t="s">
        <v>725</v>
      </c>
      <c r="H3" s="644" t="s">
        <v>81</v>
      </c>
      <c r="I3" s="644" t="s">
        <v>49</v>
      </c>
      <c r="J3" s="644" t="s">
        <v>50</v>
      </c>
      <c r="K3" s="644" t="s">
        <v>61</v>
      </c>
      <c r="L3" s="644" t="s">
        <v>64</v>
      </c>
      <c r="M3" s="644" t="s">
        <v>72</v>
      </c>
      <c r="N3" s="644" t="s">
        <v>611</v>
      </c>
      <c r="P3" s="644" t="s">
        <v>49</v>
      </c>
      <c r="Q3" s="644" t="s">
        <v>742</v>
      </c>
      <c r="R3" s="644" t="s">
        <v>743</v>
      </c>
      <c r="S3" s="644" t="s">
        <v>744</v>
      </c>
      <c r="T3" s="644" t="s">
        <v>738</v>
      </c>
      <c r="V3" s="644" t="s">
        <v>95</v>
      </c>
      <c r="W3" s="644" t="s">
        <v>97</v>
      </c>
      <c r="X3" s="644" t="s">
        <v>98</v>
      </c>
      <c r="Z3" s="644" t="s">
        <v>154</v>
      </c>
      <c r="AA3" s="644" t="s">
        <v>95</v>
      </c>
      <c r="AB3" s="644" t="s">
        <v>699</v>
      </c>
      <c r="AD3" s="644" t="s">
        <v>637</v>
      </c>
      <c r="AE3" s="644" t="s">
        <v>665</v>
      </c>
      <c r="AF3" s="644" t="s">
        <v>666</v>
      </c>
      <c r="AH3" s="644" t="s">
        <v>684</v>
      </c>
      <c r="AK3" s="644" t="s">
        <v>154</v>
      </c>
      <c r="AL3" s="644" t="s">
        <v>687</v>
      </c>
      <c r="AN3" s="644" t="s">
        <v>49</v>
      </c>
      <c r="AO3" s="644" t="s">
        <v>81</v>
      </c>
      <c r="AP3" s="644" t="s">
        <v>705</v>
      </c>
      <c r="AQ3" s="644" t="s">
        <v>706</v>
      </c>
      <c r="AS3" s="644" t="s">
        <v>824</v>
      </c>
      <c r="AT3" s="644" t="s">
        <v>825</v>
      </c>
      <c r="AU3" s="644" t="s">
        <v>825</v>
      </c>
      <c r="AV3" s="644" t="s">
        <v>826</v>
      </c>
      <c r="AW3" s="644" t="s">
        <v>827</v>
      </c>
      <c r="AY3" s="644" t="s">
        <v>49</v>
      </c>
      <c r="AZ3" s="644" t="s">
        <v>856</v>
      </c>
      <c r="CN3" s="644">
        <v>1</v>
      </c>
    </row>
    <row r="4" spans="1:92" x14ac:dyDescent="0.2">
      <c r="A4" s="376" t="s">
        <v>638</v>
      </c>
      <c r="B4" s="376">
        <v>1</v>
      </c>
      <c r="C4" s="571">
        <v>2.9000000000000001E-2</v>
      </c>
      <c r="D4" s="355">
        <v>1.5</v>
      </c>
      <c r="E4" s="355"/>
      <c r="F4" s="378">
        <v>70</v>
      </c>
      <c r="G4" s="141"/>
      <c r="H4" s="141"/>
      <c r="I4" s="376" t="s">
        <v>669</v>
      </c>
      <c r="J4" s="376">
        <v>1.5</v>
      </c>
      <c r="K4" s="376">
        <v>0.25</v>
      </c>
      <c r="L4" s="559">
        <v>90</v>
      </c>
      <c r="M4" s="1">
        <v>50</v>
      </c>
      <c r="N4" s="376"/>
      <c r="P4" s="448" t="s">
        <v>675</v>
      </c>
      <c r="Q4" s="445">
        <v>90</v>
      </c>
      <c r="R4" s="445">
        <v>80</v>
      </c>
      <c r="S4" s="445">
        <v>80</v>
      </c>
      <c r="T4" s="376"/>
      <c r="V4" s="358">
        <v>0.6</v>
      </c>
      <c r="W4" s="358">
        <v>9.5299999999999994</v>
      </c>
      <c r="X4" s="358" t="s">
        <v>10</v>
      </c>
      <c r="Z4" s="358" t="s">
        <v>110</v>
      </c>
      <c r="AA4" s="358"/>
      <c r="AB4" s="358">
        <v>1</v>
      </c>
      <c r="AD4" s="376" t="s">
        <v>638</v>
      </c>
      <c r="AE4" s="376" t="s">
        <v>647</v>
      </c>
      <c r="AF4" s="376" t="s">
        <v>644</v>
      </c>
      <c r="AH4" s="376"/>
      <c r="AI4" s="376"/>
      <c r="AK4" s="376" t="s">
        <v>110</v>
      </c>
      <c r="AL4" s="445">
        <v>0</v>
      </c>
      <c r="AN4" s="376" t="s">
        <v>644</v>
      </c>
      <c r="AO4" s="376" t="s">
        <v>82</v>
      </c>
      <c r="AP4" s="356" t="str">
        <f t="shared" ref="AP4:AP9" si="0">AN4&amp;AO4</f>
        <v>Perfiladeira 1Leve</v>
      </c>
      <c r="AQ4" s="445">
        <v>2</v>
      </c>
      <c r="AS4" s="612">
        <v>0</v>
      </c>
      <c r="AT4" s="612">
        <v>0.95</v>
      </c>
      <c r="AU4" s="612">
        <v>3.85</v>
      </c>
      <c r="AV4" s="612">
        <v>1.5</v>
      </c>
      <c r="AW4" s="612">
        <v>0.08</v>
      </c>
      <c r="AY4" s="643" t="s">
        <v>644</v>
      </c>
      <c r="AZ4" s="643" t="s">
        <v>59</v>
      </c>
    </row>
    <row r="5" spans="1:92" x14ac:dyDescent="0.2">
      <c r="A5" s="376" t="s">
        <v>639</v>
      </c>
      <c r="B5" s="376">
        <v>2</v>
      </c>
      <c r="C5" s="571">
        <v>3.2000000000000001E-2</v>
      </c>
      <c r="D5" s="355">
        <v>2.5</v>
      </c>
      <c r="E5" s="355"/>
      <c r="F5" s="378">
        <v>70</v>
      </c>
      <c r="G5" s="141"/>
      <c r="H5" s="141"/>
      <c r="I5" s="376" t="s">
        <v>671</v>
      </c>
      <c r="J5" s="376">
        <v>1</v>
      </c>
      <c r="K5" s="376">
        <v>0.25</v>
      </c>
      <c r="L5" s="560">
        <v>65</v>
      </c>
      <c r="M5" s="376">
        <v>50</v>
      </c>
      <c r="N5" s="376">
        <v>0.9</v>
      </c>
      <c r="P5" s="448" t="s">
        <v>676</v>
      </c>
      <c r="Q5" s="445">
        <v>90</v>
      </c>
      <c r="R5" s="445">
        <v>80</v>
      </c>
      <c r="S5" s="445">
        <v>80</v>
      </c>
      <c r="T5" s="376"/>
      <c r="V5" s="358">
        <v>0.75</v>
      </c>
      <c r="W5" s="358">
        <v>10</v>
      </c>
      <c r="X5" s="358" t="s">
        <v>116</v>
      </c>
      <c r="Z5" s="358" t="s">
        <v>111</v>
      </c>
      <c r="AA5" s="358">
        <v>8</v>
      </c>
      <c r="AB5" s="358">
        <v>1</v>
      </c>
      <c r="AD5" s="376" t="s">
        <v>639</v>
      </c>
      <c r="AE5" s="376"/>
      <c r="AF5" s="376" t="s">
        <v>645</v>
      </c>
      <c r="AH5" s="376" t="s">
        <v>671</v>
      </c>
      <c r="AI5" s="376"/>
      <c r="AK5" s="376" t="s">
        <v>111</v>
      </c>
      <c r="AL5" s="445">
        <v>1</v>
      </c>
      <c r="AN5" s="376" t="s">
        <v>644</v>
      </c>
      <c r="AO5" s="376" t="s">
        <v>700</v>
      </c>
      <c r="AP5" s="356" t="str">
        <f t="shared" si="0"/>
        <v>Perfiladeira 1Média</v>
      </c>
      <c r="AQ5" s="445">
        <v>4</v>
      </c>
      <c r="AS5" s="612">
        <v>3.75</v>
      </c>
      <c r="AT5" s="612">
        <v>0.95</v>
      </c>
      <c r="AU5" s="612">
        <v>3.85</v>
      </c>
      <c r="AV5" s="612">
        <v>1.5</v>
      </c>
      <c r="AW5" s="612">
        <v>0.08</v>
      </c>
      <c r="AY5" s="643" t="s">
        <v>645</v>
      </c>
      <c r="AZ5" s="643" t="s">
        <v>60</v>
      </c>
    </row>
    <row r="6" spans="1:92" x14ac:dyDescent="0.2">
      <c r="A6" s="376" t="s">
        <v>640</v>
      </c>
      <c r="B6" s="376">
        <v>3</v>
      </c>
      <c r="C6" s="571">
        <v>4.4999999999999998E-2</v>
      </c>
      <c r="D6" s="355">
        <v>2.5</v>
      </c>
      <c r="E6" s="355"/>
      <c r="F6" s="378">
        <v>70</v>
      </c>
      <c r="G6" s="141"/>
      <c r="H6" s="141"/>
      <c r="I6" s="376" t="s">
        <v>670</v>
      </c>
      <c r="J6" s="376">
        <v>1</v>
      </c>
      <c r="K6" s="376">
        <v>0.25</v>
      </c>
      <c r="L6" s="560">
        <v>65</v>
      </c>
      <c r="M6" s="376">
        <v>50</v>
      </c>
      <c r="N6" s="376">
        <v>0.9</v>
      </c>
      <c r="P6" s="444" t="s">
        <v>672</v>
      </c>
      <c r="Q6" s="445">
        <v>90</v>
      </c>
      <c r="R6" s="445">
        <v>80</v>
      </c>
      <c r="S6" s="445">
        <v>80</v>
      </c>
      <c r="T6" s="444"/>
      <c r="V6" s="358">
        <v>0.9</v>
      </c>
      <c r="W6" s="358">
        <v>12</v>
      </c>
      <c r="X6" s="358" t="s">
        <v>116</v>
      </c>
      <c r="Z6" s="358" t="s">
        <v>188</v>
      </c>
      <c r="AA6" s="358">
        <v>3</v>
      </c>
      <c r="AB6" s="358">
        <v>1</v>
      </c>
      <c r="AD6" s="376" t="s">
        <v>640</v>
      </c>
      <c r="AE6" s="376"/>
      <c r="AF6" s="376" t="s">
        <v>646</v>
      </c>
      <c r="AH6" s="376" t="s">
        <v>669</v>
      </c>
      <c r="AI6" s="376"/>
      <c r="AN6" s="376" t="s">
        <v>644</v>
      </c>
      <c r="AO6" s="376" t="s">
        <v>84</v>
      </c>
      <c r="AP6" s="356" t="str">
        <f t="shared" si="0"/>
        <v>Perfiladeira 1Pesada</v>
      </c>
      <c r="AQ6" s="445">
        <v>6</v>
      </c>
      <c r="AS6" s="612">
        <v>3.8</v>
      </c>
      <c r="AT6" s="612">
        <v>0.35</v>
      </c>
      <c r="AU6" s="612">
        <v>2.95</v>
      </c>
      <c r="AV6" s="612">
        <v>2.5</v>
      </c>
      <c r="AW6" s="612">
        <v>5.5E-2</v>
      </c>
      <c r="AY6" s="643" t="s">
        <v>646</v>
      </c>
      <c r="AZ6" s="643" t="s">
        <v>857</v>
      </c>
    </row>
    <row r="7" spans="1:92" x14ac:dyDescent="0.2">
      <c r="A7" s="376" t="s">
        <v>641</v>
      </c>
      <c r="B7" s="376">
        <v>4</v>
      </c>
      <c r="C7" s="571">
        <v>3.6999999999999998E-2</v>
      </c>
      <c r="D7" s="355">
        <v>2.4</v>
      </c>
      <c r="E7" s="355"/>
      <c r="F7" s="378">
        <v>70</v>
      </c>
      <c r="G7" s="141"/>
      <c r="H7" s="141"/>
      <c r="I7" s="376" t="s">
        <v>675</v>
      </c>
      <c r="J7" s="376"/>
      <c r="K7" s="376">
        <v>0.75</v>
      </c>
      <c r="L7" s="560">
        <v>80</v>
      </c>
      <c r="M7" s="376">
        <v>400</v>
      </c>
      <c r="N7" s="444"/>
      <c r="P7" s="444" t="s">
        <v>673</v>
      </c>
      <c r="Q7" s="445">
        <v>90</v>
      </c>
      <c r="R7" s="445">
        <v>80</v>
      </c>
      <c r="S7" s="445">
        <v>80</v>
      </c>
      <c r="T7" s="444"/>
      <c r="V7" s="358">
        <v>0.95</v>
      </c>
      <c r="W7" s="358">
        <v>12.7</v>
      </c>
      <c r="X7" s="358" t="s">
        <v>11</v>
      </c>
      <c r="AD7" s="376" t="s">
        <v>641</v>
      </c>
      <c r="AE7" s="376"/>
      <c r="AF7" s="376"/>
      <c r="AH7" s="376" t="s">
        <v>670</v>
      </c>
      <c r="AI7" s="376"/>
      <c r="AN7" s="376" t="s">
        <v>645</v>
      </c>
      <c r="AO7" s="376" t="s">
        <v>704</v>
      </c>
      <c r="AP7" s="356" t="str">
        <f t="shared" si="0"/>
        <v>Perfiladeira 2Indiferente</v>
      </c>
      <c r="AQ7" s="445">
        <v>0.5</v>
      </c>
      <c r="AS7" s="612">
        <v>6.3</v>
      </c>
      <c r="AT7" s="612">
        <v>0.35</v>
      </c>
      <c r="AU7" s="612">
        <v>2.95</v>
      </c>
      <c r="AV7" s="612">
        <v>2.5</v>
      </c>
      <c r="AW7" s="612">
        <v>5.5E-2</v>
      </c>
      <c r="AY7" s="643" t="s">
        <v>638</v>
      </c>
      <c r="AZ7" s="643" t="s">
        <v>51</v>
      </c>
    </row>
    <row r="8" spans="1:92" x14ac:dyDescent="0.2">
      <c r="A8" s="376" t="s">
        <v>642</v>
      </c>
      <c r="B8" s="376">
        <v>5</v>
      </c>
      <c r="C8" s="571">
        <v>0.06</v>
      </c>
      <c r="D8" s="355">
        <v>6</v>
      </c>
      <c r="E8" s="355"/>
      <c r="F8" s="378">
        <v>65</v>
      </c>
      <c r="G8" s="141"/>
      <c r="H8" s="141"/>
      <c r="I8" s="376" t="s">
        <v>676</v>
      </c>
      <c r="J8" s="376"/>
      <c r="K8" s="376">
        <v>0.75</v>
      </c>
      <c r="L8" s="560">
        <v>80</v>
      </c>
      <c r="M8" s="376">
        <v>400</v>
      </c>
      <c r="N8" s="444"/>
      <c r="P8" s="444" t="s">
        <v>681</v>
      </c>
      <c r="Q8" s="445">
        <v>90</v>
      </c>
      <c r="R8" s="445">
        <v>80</v>
      </c>
      <c r="S8" s="445">
        <v>80</v>
      </c>
      <c r="T8" s="444"/>
      <c r="V8" s="358">
        <v>1.06</v>
      </c>
      <c r="W8" s="358">
        <v>15.88</v>
      </c>
      <c r="X8" s="358" t="s">
        <v>12</v>
      </c>
      <c r="AD8" s="376" t="s">
        <v>642</v>
      </c>
      <c r="AE8" s="376"/>
      <c r="AF8" s="376"/>
      <c r="AH8" s="376" t="s">
        <v>672</v>
      </c>
      <c r="AI8" s="376"/>
      <c r="AN8" s="376" t="s">
        <v>646</v>
      </c>
      <c r="AO8" s="376" t="s">
        <v>704</v>
      </c>
      <c r="AP8" s="356" t="str">
        <f t="shared" si="0"/>
        <v>Perfiladeira 3Indiferente</v>
      </c>
      <c r="AQ8" s="445">
        <v>2</v>
      </c>
      <c r="AY8" s="643" t="s">
        <v>639</v>
      </c>
      <c r="AZ8" s="643" t="s">
        <v>52</v>
      </c>
    </row>
    <row r="9" spans="1:92" x14ac:dyDescent="0.2">
      <c r="A9" s="376" t="s">
        <v>643</v>
      </c>
      <c r="B9" s="376">
        <v>6</v>
      </c>
      <c r="C9" s="571">
        <v>0.02</v>
      </c>
      <c r="D9" s="355">
        <v>2.5</v>
      </c>
      <c r="E9" s="355"/>
      <c r="F9" s="378">
        <v>70</v>
      </c>
      <c r="G9" s="141"/>
      <c r="H9" s="141"/>
      <c r="I9" s="376" t="s">
        <v>672</v>
      </c>
      <c r="J9" s="376"/>
      <c r="K9" s="358">
        <v>0.35</v>
      </c>
      <c r="L9" s="561">
        <v>80</v>
      </c>
      <c r="M9" s="378">
        <v>120</v>
      </c>
      <c r="N9" s="444"/>
      <c r="P9" s="444" t="s">
        <v>677</v>
      </c>
      <c r="Q9" s="445">
        <v>70</v>
      </c>
      <c r="R9" s="445">
        <v>65</v>
      </c>
      <c r="S9" s="445">
        <v>60</v>
      </c>
      <c r="T9" s="444"/>
      <c r="V9" s="358">
        <v>1.2</v>
      </c>
      <c r="W9" s="358">
        <v>19.05</v>
      </c>
      <c r="X9" s="358" t="s">
        <v>13</v>
      </c>
      <c r="AD9" s="376" t="s">
        <v>643</v>
      </c>
      <c r="AE9" s="376"/>
      <c r="AF9" s="376"/>
      <c r="AH9" s="376" t="s">
        <v>673</v>
      </c>
      <c r="AI9" s="376"/>
      <c r="AN9" s="376" t="s">
        <v>647</v>
      </c>
      <c r="AO9" s="376" t="s">
        <v>704</v>
      </c>
      <c r="AP9" s="356" t="str">
        <f t="shared" si="0"/>
        <v>Formadora 7Indiferente</v>
      </c>
      <c r="AQ9" s="445">
        <v>1</v>
      </c>
      <c r="AY9" s="643" t="s">
        <v>640</v>
      </c>
      <c r="AZ9" s="643" t="s">
        <v>53</v>
      </c>
    </row>
    <row r="10" spans="1:92" x14ac:dyDescent="0.2">
      <c r="A10" s="376" t="s">
        <v>647</v>
      </c>
      <c r="B10" s="376">
        <v>7</v>
      </c>
      <c r="C10" s="571">
        <v>0.1</v>
      </c>
      <c r="D10" s="355">
        <v>4</v>
      </c>
      <c r="E10" s="355">
        <v>30</v>
      </c>
      <c r="F10" s="378">
        <v>50</v>
      </c>
      <c r="G10" s="141"/>
      <c r="H10" s="141"/>
      <c r="I10" s="376" t="s">
        <v>673</v>
      </c>
      <c r="J10" s="376"/>
      <c r="K10" s="358">
        <v>1</v>
      </c>
      <c r="L10" s="561">
        <v>80</v>
      </c>
      <c r="M10" s="378">
        <v>120</v>
      </c>
      <c r="N10" s="444"/>
      <c r="P10" s="444" t="s">
        <v>678</v>
      </c>
      <c r="Q10" s="445">
        <v>70</v>
      </c>
      <c r="R10" s="445">
        <v>65</v>
      </c>
      <c r="S10" s="445">
        <v>60</v>
      </c>
      <c r="T10" s="444"/>
      <c r="V10" s="358">
        <v>1.25</v>
      </c>
      <c r="W10" s="358">
        <v>20.65</v>
      </c>
      <c r="X10" s="358" t="s">
        <v>116</v>
      </c>
      <c r="AD10" s="376"/>
      <c r="AE10" s="376"/>
      <c r="AF10" s="376"/>
      <c r="AH10" s="376" t="s">
        <v>681</v>
      </c>
      <c r="AI10" s="376"/>
      <c r="AN10" s="617"/>
      <c r="AO10" s="617"/>
      <c r="AP10" s="619" t="str">
        <f>AN10&amp;AO10</f>
        <v/>
      </c>
      <c r="AQ10" s="445"/>
      <c r="AY10" s="643" t="s">
        <v>641</v>
      </c>
      <c r="AZ10" s="643" t="s">
        <v>54</v>
      </c>
    </row>
    <row r="11" spans="1:92" x14ac:dyDescent="0.2">
      <c r="A11" s="376" t="s">
        <v>644</v>
      </c>
      <c r="B11" s="376">
        <v>8</v>
      </c>
      <c r="C11" s="571">
        <v>1.7999999999999999E-2</v>
      </c>
      <c r="D11" s="355">
        <v>30</v>
      </c>
      <c r="E11" s="355"/>
      <c r="F11" s="378">
        <v>70</v>
      </c>
      <c r="G11" s="141"/>
      <c r="H11" s="141"/>
      <c r="I11" s="376" t="s">
        <v>681</v>
      </c>
      <c r="J11" s="376"/>
      <c r="K11" s="358">
        <v>1</v>
      </c>
      <c r="L11" s="561">
        <v>80</v>
      </c>
      <c r="M11" s="378">
        <v>120</v>
      </c>
      <c r="N11" s="444"/>
      <c r="P11" s="444" t="s">
        <v>674</v>
      </c>
      <c r="Q11" s="445">
        <v>90</v>
      </c>
      <c r="R11" s="445">
        <v>80</v>
      </c>
      <c r="S11" s="445">
        <v>80</v>
      </c>
      <c r="T11" s="444"/>
      <c r="V11" s="358">
        <v>1.5</v>
      </c>
      <c r="W11" s="358">
        <v>22.22</v>
      </c>
      <c r="X11" s="358" t="s">
        <v>14</v>
      </c>
      <c r="AD11" s="376"/>
      <c r="AE11" s="376"/>
      <c r="AF11" s="376"/>
      <c r="AH11" s="376" t="s">
        <v>674</v>
      </c>
      <c r="AI11" s="376"/>
      <c r="AY11" s="643" t="s">
        <v>642</v>
      </c>
      <c r="AZ11" s="643" t="s">
        <v>55</v>
      </c>
    </row>
    <row r="12" spans="1:92" x14ac:dyDescent="0.2">
      <c r="A12" s="376" t="s">
        <v>645</v>
      </c>
      <c r="B12" s="376">
        <v>9</v>
      </c>
      <c r="C12" s="571">
        <v>1.7999999999999999E-2</v>
      </c>
      <c r="D12" s="355">
        <v>30</v>
      </c>
      <c r="E12" s="355"/>
      <c r="F12" s="378">
        <v>70</v>
      </c>
      <c r="G12" s="141"/>
      <c r="H12" s="141"/>
      <c r="I12" s="376" t="s">
        <v>679</v>
      </c>
      <c r="J12" s="376"/>
      <c r="K12" s="358">
        <v>1</v>
      </c>
      <c r="L12" s="561">
        <v>80</v>
      </c>
      <c r="M12" s="378">
        <v>50</v>
      </c>
      <c r="N12" s="444"/>
      <c r="P12" s="444" t="s">
        <v>669</v>
      </c>
      <c r="Q12" s="445">
        <v>65</v>
      </c>
      <c r="R12" s="445">
        <v>65</v>
      </c>
      <c r="S12" s="445">
        <v>65</v>
      </c>
      <c r="T12" s="444"/>
      <c r="V12" s="358">
        <v>1.45</v>
      </c>
      <c r="W12" s="358"/>
      <c r="X12" s="358"/>
      <c r="AD12"/>
      <c r="AE12"/>
      <c r="AF12"/>
      <c r="AH12" s="376" t="s">
        <v>675</v>
      </c>
      <c r="AI12" s="376"/>
      <c r="AY12" s="643" t="s">
        <v>643</v>
      </c>
      <c r="AZ12" s="643" t="s">
        <v>56</v>
      </c>
    </row>
    <row r="13" spans="1:92" x14ac:dyDescent="0.2">
      <c r="A13" s="376" t="s">
        <v>646</v>
      </c>
      <c r="B13" s="376">
        <v>10</v>
      </c>
      <c r="C13" s="571">
        <v>1.7999999999999999E-2</v>
      </c>
      <c r="D13" s="355">
        <v>30</v>
      </c>
      <c r="E13" s="355"/>
      <c r="F13" s="378">
        <v>70</v>
      </c>
      <c r="G13" s="141"/>
      <c r="H13" s="141"/>
      <c r="I13" s="376" t="s">
        <v>677</v>
      </c>
      <c r="J13" s="376">
        <v>3</v>
      </c>
      <c r="K13" s="358">
        <v>1</v>
      </c>
      <c r="L13" s="560"/>
      <c r="M13" s="444"/>
      <c r="N13" s="444"/>
      <c r="P13" s="444" t="s">
        <v>671</v>
      </c>
      <c r="Q13" s="445">
        <v>65</v>
      </c>
      <c r="R13" s="445">
        <v>65</v>
      </c>
      <c r="S13" s="445">
        <v>65</v>
      </c>
      <c r="T13" s="444"/>
      <c r="V13" s="358">
        <v>1.55</v>
      </c>
      <c r="W13" s="358">
        <v>25.4</v>
      </c>
      <c r="X13" s="358" t="s">
        <v>15</v>
      </c>
      <c r="AD13"/>
      <c r="AE13"/>
      <c r="AF13"/>
      <c r="AH13" s="376" t="s">
        <v>676</v>
      </c>
      <c r="AI13" s="376"/>
      <c r="AY13" s="643" t="s">
        <v>647</v>
      </c>
      <c r="AZ13" s="643" t="s">
        <v>57</v>
      </c>
    </row>
    <row r="14" spans="1:92" x14ac:dyDescent="0.2">
      <c r="A14" s="141"/>
      <c r="B14" s="141"/>
      <c r="C14" s="141"/>
      <c r="D14" s="141"/>
      <c r="E14" s="141"/>
      <c r="F14" s="141"/>
      <c r="G14" s="141"/>
      <c r="H14" s="141"/>
      <c r="I14" s="376" t="s">
        <v>678</v>
      </c>
      <c r="J14" s="376">
        <v>3</v>
      </c>
      <c r="K14" s="358">
        <v>1</v>
      </c>
      <c r="L14" s="560"/>
      <c r="M14" s="444"/>
      <c r="N14" s="444"/>
      <c r="P14" s="444" t="s">
        <v>670</v>
      </c>
      <c r="Q14" s="445">
        <v>65</v>
      </c>
      <c r="R14" s="445">
        <v>65</v>
      </c>
      <c r="S14" s="445">
        <v>65</v>
      </c>
      <c r="T14" s="444"/>
      <c r="V14" s="358">
        <v>1.8</v>
      </c>
      <c r="W14" s="358">
        <v>28.57</v>
      </c>
      <c r="X14" s="358" t="s">
        <v>16</v>
      </c>
      <c r="AH14" s="376" t="s">
        <v>677</v>
      </c>
      <c r="AI14" s="376"/>
      <c r="AY14" s="643" t="s">
        <v>680</v>
      </c>
      <c r="AZ14" s="662" t="s">
        <v>875</v>
      </c>
    </row>
    <row r="15" spans="1:92" x14ac:dyDescent="0.2">
      <c r="I15" s="376" t="s">
        <v>674</v>
      </c>
      <c r="J15" s="376"/>
      <c r="K15" s="376">
        <v>0.5</v>
      </c>
      <c r="L15" s="560"/>
      <c r="M15" s="444"/>
      <c r="N15" s="444"/>
      <c r="P15" s="444" t="s">
        <v>679</v>
      </c>
      <c r="Q15" s="445">
        <v>75</v>
      </c>
      <c r="R15" s="445">
        <v>70</v>
      </c>
      <c r="S15" s="445">
        <v>65</v>
      </c>
      <c r="T15" s="444"/>
      <c r="V15" s="358">
        <v>1.9</v>
      </c>
      <c r="W15" s="358">
        <v>31.75</v>
      </c>
      <c r="X15" s="358" t="s">
        <v>17</v>
      </c>
      <c r="AH15" s="376" t="s">
        <v>678</v>
      </c>
      <c r="AI15" s="376"/>
      <c r="AY15" s="643" t="s">
        <v>682</v>
      </c>
      <c r="AZ15" s="662" t="s">
        <v>876</v>
      </c>
    </row>
    <row r="16" spans="1:92" x14ac:dyDescent="0.2">
      <c r="I16" s="444" t="s">
        <v>680</v>
      </c>
      <c r="J16" s="444">
        <v>1</v>
      </c>
      <c r="K16" s="444"/>
      <c r="L16" s="560"/>
      <c r="M16" s="444"/>
      <c r="N16" s="444"/>
      <c r="P16" s="444"/>
      <c r="Q16" s="445"/>
      <c r="R16" s="445"/>
      <c r="S16" s="445"/>
      <c r="T16" s="445"/>
      <c r="V16" s="358">
        <v>1.95</v>
      </c>
      <c r="W16" s="358">
        <v>33.4</v>
      </c>
      <c r="X16" s="358" t="s">
        <v>116</v>
      </c>
      <c r="AH16" s="376" t="s">
        <v>679</v>
      </c>
      <c r="AI16" s="376"/>
      <c r="AY16" s="643" t="s">
        <v>683</v>
      </c>
      <c r="AZ16" s="662" t="s">
        <v>876</v>
      </c>
    </row>
    <row r="17" spans="1:52" x14ac:dyDescent="0.2">
      <c r="I17" s="444" t="s">
        <v>682</v>
      </c>
      <c r="J17" s="444">
        <v>1</v>
      </c>
      <c r="K17" s="444"/>
      <c r="L17" s="560"/>
      <c r="M17" s="444"/>
      <c r="N17" s="444"/>
      <c r="P17" s="444"/>
      <c r="Q17" s="445"/>
      <c r="R17" s="445"/>
      <c r="S17" s="445"/>
      <c r="T17" s="445"/>
      <c r="V17" s="358">
        <v>2</v>
      </c>
      <c r="W17" s="358">
        <v>33.700000000000003</v>
      </c>
      <c r="X17" s="358" t="s">
        <v>116</v>
      </c>
      <c r="AH17" s="376" t="s">
        <v>680</v>
      </c>
      <c r="AI17" s="376"/>
      <c r="AY17" s="643"/>
      <c r="AZ17" s="662"/>
    </row>
    <row r="18" spans="1:52" x14ac:dyDescent="0.2">
      <c r="I18" s="444" t="s">
        <v>683</v>
      </c>
      <c r="J18" s="444">
        <v>1</v>
      </c>
      <c r="K18" s="444"/>
      <c r="L18" s="560"/>
      <c r="M18" s="444"/>
      <c r="N18" s="444"/>
      <c r="P18" s="610"/>
      <c r="Q18" s="445"/>
      <c r="R18" s="445"/>
      <c r="S18" s="445"/>
      <c r="T18" s="445"/>
      <c r="V18" s="358">
        <v>2.25</v>
      </c>
      <c r="W18" s="358">
        <v>34.93</v>
      </c>
      <c r="X18" s="358" t="s">
        <v>18</v>
      </c>
      <c r="AH18" s="376" t="s">
        <v>682</v>
      </c>
      <c r="AI18" s="376"/>
      <c r="AY18" s="643"/>
      <c r="AZ18" s="643"/>
    </row>
    <row r="19" spans="1:52" x14ac:dyDescent="0.2">
      <c r="I19" s="437"/>
      <c r="J19" s="437"/>
      <c r="P19"/>
      <c r="V19" s="358">
        <v>2.2999999999999998</v>
      </c>
      <c r="W19" s="358">
        <v>38.1</v>
      </c>
      <c r="X19" s="358" t="s">
        <v>19</v>
      </c>
      <c r="AH19" s="376" t="s">
        <v>683</v>
      </c>
      <c r="AI19" s="376"/>
      <c r="AY19" s="643"/>
      <c r="AZ19" s="643"/>
    </row>
    <row r="20" spans="1:52" x14ac:dyDescent="0.2">
      <c r="I20" s="437"/>
      <c r="J20" s="437"/>
      <c r="P20"/>
      <c r="V20" s="358">
        <v>2.65</v>
      </c>
      <c r="W20" s="358">
        <v>41.27</v>
      </c>
      <c r="X20" s="358" t="s">
        <v>20</v>
      </c>
      <c r="AH20" s="376"/>
      <c r="AI20" s="376"/>
      <c r="AY20" s="643"/>
      <c r="AZ20" s="643"/>
    </row>
    <row r="21" spans="1:52" x14ac:dyDescent="0.2">
      <c r="E21"/>
      <c r="F21"/>
      <c r="P21"/>
      <c r="V21" s="358">
        <v>2.7</v>
      </c>
      <c r="W21" s="358">
        <v>42.2</v>
      </c>
      <c r="X21" s="358" t="s">
        <v>116</v>
      </c>
      <c r="AH21" s="376"/>
      <c r="AI21" s="376"/>
      <c r="AY21" s="643"/>
      <c r="AZ21" s="643"/>
    </row>
    <row r="22" spans="1:52" x14ac:dyDescent="0.2">
      <c r="E22"/>
      <c r="F22"/>
      <c r="P22"/>
      <c r="V22" s="358">
        <v>3</v>
      </c>
      <c r="W22" s="358">
        <v>42.4</v>
      </c>
      <c r="X22" s="358" t="s">
        <v>116</v>
      </c>
      <c r="AH22" s="376"/>
      <c r="AI22" s="376"/>
      <c r="AY22" s="643"/>
      <c r="AZ22" s="643"/>
    </row>
    <row r="23" spans="1:52" x14ac:dyDescent="0.2">
      <c r="E23"/>
      <c r="F23"/>
      <c r="P23"/>
      <c r="V23" s="358">
        <v>3.35</v>
      </c>
      <c r="W23" s="358">
        <v>44.45</v>
      </c>
      <c r="X23" s="358" t="s">
        <v>21</v>
      </c>
      <c r="AH23" s="376"/>
      <c r="AI23" s="376"/>
      <c r="AY23" s="643"/>
      <c r="AZ23" s="643"/>
    </row>
    <row r="24" spans="1:52" x14ac:dyDescent="0.2">
      <c r="E24"/>
      <c r="F24"/>
      <c r="P24"/>
      <c r="V24" s="358">
        <v>3.75</v>
      </c>
      <c r="W24" s="358">
        <v>47.62</v>
      </c>
      <c r="X24" s="358" t="s">
        <v>22</v>
      </c>
      <c r="AH24" s="376"/>
      <c r="AI24" s="376"/>
    </row>
    <row r="25" spans="1:52" x14ac:dyDescent="0.2">
      <c r="E25"/>
      <c r="F25"/>
      <c r="V25" s="358">
        <v>4.25</v>
      </c>
      <c r="W25" s="358">
        <v>48.3</v>
      </c>
      <c r="X25" s="358" t="s">
        <v>116</v>
      </c>
      <c r="AH25" s="376"/>
      <c r="AI25" s="376"/>
    </row>
    <row r="26" spans="1:52" x14ac:dyDescent="0.2">
      <c r="V26" s="358">
        <v>4.5</v>
      </c>
      <c r="W26" s="358">
        <v>50.8</v>
      </c>
      <c r="X26" s="358" t="s">
        <v>23</v>
      </c>
      <c r="AH26" s="376"/>
      <c r="AI26" s="376"/>
    </row>
    <row r="27" spans="1:52" x14ac:dyDescent="0.2">
      <c r="V27" s="358">
        <v>4.75</v>
      </c>
      <c r="W27" s="358">
        <v>53.97</v>
      </c>
      <c r="X27" s="358" t="s">
        <v>99</v>
      </c>
      <c r="AH27" s="376"/>
      <c r="AI27" s="376"/>
    </row>
    <row r="28" spans="1:52" x14ac:dyDescent="0.2">
      <c r="V28" s="358">
        <v>5</v>
      </c>
      <c r="W28" s="358">
        <v>57.15</v>
      </c>
      <c r="X28" s="358" t="s">
        <v>24</v>
      </c>
      <c r="AH28" s="376"/>
      <c r="AI28" s="376"/>
    </row>
    <row r="29" spans="1:52" x14ac:dyDescent="0.2">
      <c r="A29" s="21"/>
      <c r="B29" s="21"/>
      <c r="C29" s="21"/>
      <c r="D29" s="21"/>
      <c r="E29" s="21"/>
      <c r="F29" s="21"/>
      <c r="G29" s="21"/>
      <c r="H29" s="21"/>
      <c r="V29" s="358">
        <v>5.4</v>
      </c>
      <c r="W29" s="358">
        <v>60.3</v>
      </c>
      <c r="X29" s="358" t="s">
        <v>25</v>
      </c>
      <c r="AH29" s="376"/>
      <c r="AI29" s="376"/>
    </row>
    <row r="30" spans="1:52" x14ac:dyDescent="0.2">
      <c r="A30" s="437"/>
      <c r="B30" s="437"/>
      <c r="C30" s="437"/>
      <c r="D30" s="437"/>
      <c r="E30" s="437"/>
      <c r="F30" s="437"/>
      <c r="G30" s="437"/>
      <c r="H30" s="443"/>
      <c r="V30" s="358">
        <v>6.3</v>
      </c>
      <c r="W30" s="358">
        <v>63.5</v>
      </c>
      <c r="X30" s="358" t="s">
        <v>26</v>
      </c>
      <c r="AH30" s="376"/>
      <c r="AI30" s="376"/>
    </row>
    <row r="31" spans="1:52" x14ac:dyDescent="0.2">
      <c r="A31" s="437"/>
      <c r="B31" s="437"/>
      <c r="C31" s="437"/>
      <c r="D31" s="437"/>
      <c r="E31" s="437"/>
      <c r="F31" s="437"/>
      <c r="G31" s="437"/>
      <c r="H31" s="443"/>
      <c r="V31" s="358">
        <v>7.3</v>
      </c>
      <c r="W31" s="358">
        <v>70</v>
      </c>
      <c r="X31" s="358" t="s">
        <v>116</v>
      </c>
    </row>
    <row r="32" spans="1:52" x14ac:dyDescent="0.2">
      <c r="V32" s="358">
        <v>8</v>
      </c>
      <c r="W32" s="358">
        <v>73.03</v>
      </c>
      <c r="X32" s="358" t="s">
        <v>100</v>
      </c>
    </row>
    <row r="33" spans="22:24" x14ac:dyDescent="0.2">
      <c r="V33" s="358">
        <v>8.18</v>
      </c>
      <c r="W33" s="358">
        <v>76.099999999999994</v>
      </c>
      <c r="X33" s="358" t="s">
        <v>116</v>
      </c>
    </row>
    <row r="34" spans="22:24" x14ac:dyDescent="0.2">
      <c r="V34" s="358">
        <v>8.56</v>
      </c>
      <c r="W34" s="358">
        <v>76.2</v>
      </c>
      <c r="X34" s="358" t="s">
        <v>27</v>
      </c>
    </row>
    <row r="35" spans="22:24" x14ac:dyDescent="0.2">
      <c r="W35" s="358">
        <v>80</v>
      </c>
      <c r="X35" s="358" t="s">
        <v>116</v>
      </c>
    </row>
    <row r="36" spans="22:24" x14ac:dyDescent="0.2">
      <c r="W36" s="358">
        <v>82.55</v>
      </c>
      <c r="X36" s="358" t="s">
        <v>28</v>
      </c>
    </row>
    <row r="37" spans="22:24" x14ac:dyDescent="0.2">
      <c r="W37" s="358">
        <v>88.9</v>
      </c>
      <c r="X37" s="358" t="s">
        <v>29</v>
      </c>
    </row>
    <row r="38" spans="22:24" x14ac:dyDescent="0.2">
      <c r="W38" s="358">
        <v>95.25</v>
      </c>
      <c r="X38" s="358" t="s">
        <v>101</v>
      </c>
    </row>
    <row r="39" spans="22:24" x14ac:dyDescent="0.2">
      <c r="W39" s="358">
        <v>101.6</v>
      </c>
      <c r="X39" s="358" t="s">
        <v>30</v>
      </c>
    </row>
    <row r="40" spans="22:24" x14ac:dyDescent="0.2">
      <c r="W40" s="358">
        <v>111.13</v>
      </c>
      <c r="X40" s="358" t="s">
        <v>113</v>
      </c>
    </row>
    <row r="41" spans="22:24" x14ac:dyDescent="0.2">
      <c r="W41" s="358">
        <v>114.3</v>
      </c>
      <c r="X41" s="358" t="s">
        <v>31</v>
      </c>
    </row>
    <row r="42" spans="22:24" x14ac:dyDescent="0.2">
      <c r="W42" s="358">
        <v>122</v>
      </c>
      <c r="X42" s="358" t="s">
        <v>115</v>
      </c>
    </row>
    <row r="43" spans="22:24" x14ac:dyDescent="0.2">
      <c r="W43" s="358">
        <v>123.83</v>
      </c>
      <c r="X43" s="358" t="s">
        <v>114</v>
      </c>
    </row>
    <row r="44" spans="22:24" x14ac:dyDescent="0.2">
      <c r="W44" s="358">
        <v>127</v>
      </c>
      <c r="X44" s="358" t="s">
        <v>32</v>
      </c>
    </row>
    <row r="45" spans="22:24" x14ac:dyDescent="0.2">
      <c r="W45" s="358">
        <v>139.69999999999999</v>
      </c>
      <c r="X45" s="358" t="s">
        <v>33</v>
      </c>
    </row>
    <row r="46" spans="22:24" x14ac:dyDescent="0.2">
      <c r="W46" s="358">
        <v>152.4</v>
      </c>
      <c r="X46" s="358" t="s">
        <v>34</v>
      </c>
    </row>
    <row r="47" spans="22:24" x14ac:dyDescent="0.2">
      <c r="W47" s="358">
        <v>165.1</v>
      </c>
      <c r="X47" s="358" t="s">
        <v>116</v>
      </c>
    </row>
    <row r="48" spans="22:24" x14ac:dyDescent="0.2">
      <c r="W48" s="358">
        <v>168.3</v>
      </c>
      <c r="X48" s="358" t="s">
        <v>35</v>
      </c>
    </row>
    <row r="49" spans="23:24" x14ac:dyDescent="0.2">
      <c r="W49" s="358">
        <v>193.7</v>
      </c>
      <c r="X49" s="358" t="s">
        <v>36</v>
      </c>
    </row>
    <row r="50" spans="23:24" x14ac:dyDescent="0.2">
      <c r="W50" s="358">
        <v>219.1</v>
      </c>
      <c r="X50" s="358" t="s">
        <v>37</v>
      </c>
    </row>
    <row r="51" spans="23:24" x14ac:dyDescent="0.2">
      <c r="W51" s="358">
        <v>273.05</v>
      </c>
      <c r="X51" s="358" t="s">
        <v>38</v>
      </c>
    </row>
  </sheetData>
  <sortState ref="Z4:AA6">
    <sortCondition ref="Z4"/>
  </sortState>
  <mergeCells count="14">
    <mergeCell ref="A2:F2"/>
    <mergeCell ref="I2:N2"/>
    <mergeCell ref="P2:T2"/>
    <mergeCell ref="A1:F1"/>
    <mergeCell ref="V1:X1"/>
    <mergeCell ref="V2:X2"/>
    <mergeCell ref="AD2:AF2"/>
    <mergeCell ref="AH2:AI2"/>
    <mergeCell ref="I1:T1"/>
    <mergeCell ref="AY1:AZ1"/>
    <mergeCell ref="AK2:AL2"/>
    <mergeCell ref="AN2:AQ2"/>
    <mergeCell ref="Z1:AB1"/>
    <mergeCell ref="Z2:AB2"/>
  </mergeCells>
  <conditionalFormatting sqref="A6:A9 B6:B13 C6:F9 A4:F5 L4:N6 I4:J6 O2:P2 G2:I2 A1:I1 I27:N1048576 K22:N26 A15:H20 A26:H1048576 A21:D25 G21:H25 I19:N21 I7:N8 M13:N15 I9:L10 N9:N12 I12:L15 A3:T3 O4:O1048576 P25:T1048576 Q6:S12 Q19:T24 U1:X1048576">
    <cfRule type="expression" dxfId="37" priority="27">
      <formula>_xlfn.ISFORMULA(INDIRECT(ADDRESS(ROW(),COLUMN())))</formula>
    </cfRule>
  </conditionalFormatting>
  <conditionalFormatting sqref="Z1:AB6">
    <cfRule type="expression" dxfId="36" priority="26">
      <formula>_xlfn.ISFORMULA(INDIRECT(ADDRESS(ROW(),COLUMN())))</formula>
    </cfRule>
  </conditionalFormatting>
  <conditionalFormatting sqref="AD3:AE3">
    <cfRule type="expression" dxfId="35" priority="25">
      <formula>_xlfn.ISFORMULA(INDIRECT(ADDRESS(ROW(),COLUMN())))</formula>
    </cfRule>
  </conditionalFormatting>
  <conditionalFormatting sqref="A11:A12 C11:F12">
    <cfRule type="expression" dxfId="34" priority="24">
      <formula>_xlfn.ISFORMULA(INDIRECT(ADDRESS(ROW(),COLUMN())))</formula>
    </cfRule>
  </conditionalFormatting>
  <conditionalFormatting sqref="A13 C13:F13">
    <cfRule type="expression" dxfId="33" priority="22">
      <formula>_xlfn.ISFORMULA(INDIRECT(ADDRESS(ROW(),COLUMN())))</formula>
    </cfRule>
  </conditionalFormatting>
  <conditionalFormatting sqref="A10 C10:F10">
    <cfRule type="expression" dxfId="32" priority="21">
      <formula>_xlfn.ISFORMULA(INDIRECT(ADDRESS(ROW(),COLUMN())))</formula>
    </cfRule>
  </conditionalFormatting>
  <conditionalFormatting sqref="K4:K6">
    <cfRule type="expression" dxfId="31" priority="19">
      <formula>_xlfn.ISFORMULA(INDIRECT(ADDRESS(ROW(),COLUMN())))</formula>
    </cfRule>
  </conditionalFormatting>
  <conditionalFormatting sqref="Q4:T5 T6:T15">
    <cfRule type="expression" dxfId="30" priority="18">
      <formula>_xlfn.ISFORMULA(INDIRECT(ADDRESS(ROW(),COLUMN())))</formula>
    </cfRule>
  </conditionalFormatting>
  <conditionalFormatting sqref="P11 P4:P5">
    <cfRule type="expression" dxfId="29" priority="17">
      <formula>_xlfn.ISFORMULA(INDIRECT(ADDRESS(ROW(),COLUMN())))</formula>
    </cfRule>
  </conditionalFormatting>
  <conditionalFormatting sqref="M14 M9:M12">
    <cfRule type="expression" dxfId="28" priority="14">
      <formula>_xlfn.ISFORMULA(INDIRECT(ADDRESS(ROW(),COLUMN())))</formula>
    </cfRule>
  </conditionalFormatting>
  <conditionalFormatting sqref="I11:L11">
    <cfRule type="expression" dxfId="27" priority="15">
      <formula>_xlfn.ISFORMULA(INDIRECT(ADDRESS(ROW(),COLUMN())))</formula>
    </cfRule>
  </conditionalFormatting>
  <conditionalFormatting sqref="M11">
    <cfRule type="expression" dxfId="26" priority="13">
      <formula>_xlfn.ISFORMULA(INDIRECT(ADDRESS(ROW(),COLUMN())))</formula>
    </cfRule>
  </conditionalFormatting>
  <conditionalFormatting sqref="P6:P7">
    <cfRule type="expression" dxfId="25" priority="12">
      <formula>_xlfn.ISFORMULA(INDIRECT(ADDRESS(ROW(),COLUMN())))</formula>
    </cfRule>
  </conditionalFormatting>
  <conditionalFormatting sqref="P8">
    <cfRule type="expression" dxfId="24" priority="11">
      <formula>_xlfn.ISFORMULA(INDIRECT(ADDRESS(ROW(),COLUMN())))</formula>
    </cfRule>
  </conditionalFormatting>
  <conditionalFormatting sqref="P9:P10">
    <cfRule type="expression" dxfId="23" priority="10">
      <formula>_xlfn.ISFORMULA(INDIRECT(ADDRESS(ROW(),COLUMN())))</formula>
    </cfRule>
  </conditionalFormatting>
  <conditionalFormatting sqref="Q13:S14">
    <cfRule type="expression" dxfId="22" priority="7">
      <formula>_xlfn.ISFORMULA(INDIRECT(ADDRESS(ROW(),COLUMN())))</formula>
    </cfRule>
  </conditionalFormatting>
  <conditionalFormatting sqref="P12:P14">
    <cfRule type="expression" dxfId="21" priority="8">
      <formula>_xlfn.ISFORMULA(INDIRECT(ADDRESS(ROW(),COLUMN())))</formula>
    </cfRule>
  </conditionalFormatting>
  <conditionalFormatting sqref="J16:N16">
    <cfRule type="expression" dxfId="20" priority="6">
      <formula>_xlfn.ISFORMULA(INDIRECT(ADDRESS(ROW(),COLUMN())))</formula>
    </cfRule>
  </conditionalFormatting>
  <conditionalFormatting sqref="J17:N18">
    <cfRule type="expression" dxfId="19" priority="5">
      <formula>_xlfn.ISFORMULA(INDIRECT(ADDRESS(ROW(),COLUMN())))</formula>
    </cfRule>
  </conditionalFormatting>
  <conditionalFormatting sqref="Q15 S15">
    <cfRule type="expression" dxfId="18" priority="4">
      <formula>_xlfn.ISFORMULA(INDIRECT(ADDRESS(ROW(),COLUMN())))</formula>
    </cfRule>
  </conditionalFormatting>
  <conditionalFormatting sqref="Q16:Q18 S16:T18">
    <cfRule type="expression" dxfId="17" priority="3">
      <formula>_xlfn.ISFORMULA(INDIRECT(ADDRESS(ROW(),COLUMN())))</formula>
    </cfRule>
  </conditionalFormatting>
  <conditionalFormatting sqref="R15">
    <cfRule type="expression" dxfId="16" priority="2">
      <formula>_xlfn.ISFORMULA(INDIRECT(ADDRESS(ROW(),COLUMN())))</formula>
    </cfRule>
  </conditionalFormatting>
  <conditionalFormatting sqref="R16:R18">
    <cfRule type="expression" dxfId="15" priority="1">
      <formula>_xlfn.ISFORMULA(INDIRECT(ADDRESS(ROW(),COLUMN())))</formula>
    </cfRule>
  </conditionalFormatting>
  <pageMargins left="0.511811024" right="0.511811024" top="0.78740157499999996" bottom="0.78740157499999996" header="0.31496062000000002" footer="0.31496062000000002"/>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3">
    <tabColor theme="1"/>
  </sheetPr>
  <dimension ref="B4:W20"/>
  <sheetViews>
    <sheetView showGridLines="0" showZeros="0" showOutlineSymbols="0" workbookViewId="0">
      <selection activeCell="B6" sqref="B6"/>
    </sheetView>
  </sheetViews>
  <sheetFormatPr defaultColWidth="12" defaultRowHeight="12.75" x14ac:dyDescent="0.2"/>
  <cols>
    <col min="1" max="1" width="2.85546875" style="28" customWidth="1"/>
    <col min="2" max="5" width="15.7109375" style="28" customWidth="1"/>
    <col min="6" max="6" width="11.85546875" style="28" bestFit="1" customWidth="1"/>
    <col min="7" max="9" width="15.7109375" style="28" customWidth="1"/>
    <col min="10" max="10" width="17.7109375" style="28" bestFit="1" customWidth="1"/>
    <col min="11" max="11" width="16.7109375" style="28" bestFit="1" customWidth="1"/>
    <col min="12" max="23" width="15.7109375" style="28" customWidth="1"/>
    <col min="24" max="236" width="9.140625" style="28" customWidth="1"/>
    <col min="237" max="238" width="1.28515625" style="28" customWidth="1"/>
    <col min="239" max="239" width="9.140625" style="28" customWidth="1"/>
    <col min="240" max="240" width="10.140625" style="28" customWidth="1"/>
    <col min="241" max="241" width="15.5703125" style="28" bestFit="1" customWidth="1"/>
    <col min="242" max="242" width="6.140625" style="28" bestFit="1" customWidth="1"/>
    <col min="243" max="243" width="9" style="28" bestFit="1" customWidth="1"/>
    <col min="244" max="245" width="9.140625" style="28" customWidth="1"/>
    <col min="246" max="246" width="12" style="28" bestFit="1" customWidth="1"/>
    <col min="247" max="247" width="1.140625" style="28" customWidth="1"/>
    <col min="248" max="248" width="1.5703125" style="28" customWidth="1"/>
    <col min="249" max="249" width="1.140625" style="28" customWidth="1"/>
    <col min="250" max="251" width="9.140625" style="28" customWidth="1"/>
    <col min="252" max="252" width="13.42578125" style="28" bestFit="1" customWidth="1"/>
    <col min="253" max="253" width="5.28515625" style="28" bestFit="1" customWidth="1"/>
    <col min="254" max="254" width="9" style="28" bestFit="1" customWidth="1"/>
    <col min="255" max="256" width="8.5703125" style="28" bestFit="1" customWidth="1"/>
    <col min="257" max="16384" width="12" style="28"/>
  </cols>
  <sheetData>
    <row r="4" spans="2:23" ht="16.5" customHeight="1" x14ac:dyDescent="0.2">
      <c r="B4" s="745" t="s">
        <v>261</v>
      </c>
      <c r="C4" s="745"/>
      <c r="D4" s="745"/>
      <c r="E4" s="745"/>
      <c r="F4" s="745"/>
      <c r="G4" s="745"/>
      <c r="H4" s="745"/>
      <c r="I4" s="745"/>
      <c r="J4" s="745"/>
      <c r="K4" s="745"/>
      <c r="L4" s="745"/>
      <c r="M4" s="745"/>
      <c r="N4" s="745"/>
      <c r="O4" s="745"/>
      <c r="P4" s="745"/>
      <c r="Q4" s="745"/>
      <c r="R4" s="745"/>
      <c r="S4" s="745"/>
      <c r="T4" s="745"/>
      <c r="U4" s="745"/>
      <c r="V4" s="745"/>
      <c r="W4" s="745"/>
    </row>
    <row r="5" spans="2:23" s="167" customFormat="1" ht="30" customHeight="1" x14ac:dyDescent="0.2">
      <c r="B5" s="512" t="s">
        <v>749</v>
      </c>
      <c r="C5" s="512" t="s">
        <v>750</v>
      </c>
      <c r="D5" s="512" t="s">
        <v>751</v>
      </c>
      <c r="E5" s="512" t="s">
        <v>172</v>
      </c>
      <c r="F5" s="512" t="s">
        <v>173</v>
      </c>
      <c r="G5" s="512" t="s">
        <v>178</v>
      </c>
      <c r="H5" s="512" t="s">
        <v>177</v>
      </c>
      <c r="I5" s="512" t="s">
        <v>752</v>
      </c>
      <c r="J5" s="512" t="s">
        <v>183</v>
      </c>
      <c r="K5" s="512" t="s">
        <v>184</v>
      </c>
      <c r="L5" s="512" t="s">
        <v>870</v>
      </c>
      <c r="M5" s="512" t="s">
        <v>869</v>
      </c>
      <c r="N5" s="659" t="s">
        <v>868</v>
      </c>
      <c r="O5" s="512" t="s">
        <v>182</v>
      </c>
      <c r="P5" s="512" t="s">
        <v>181</v>
      </c>
      <c r="Q5" s="512" t="s">
        <v>180</v>
      </c>
      <c r="R5" s="512" t="s">
        <v>179</v>
      </c>
      <c r="S5" s="512" t="s">
        <v>176</v>
      </c>
      <c r="T5" s="512" t="s">
        <v>174</v>
      </c>
      <c r="U5" s="512" t="s">
        <v>572</v>
      </c>
      <c r="V5" s="567" t="s">
        <v>793</v>
      </c>
      <c r="W5" s="512" t="s">
        <v>175</v>
      </c>
    </row>
    <row r="6" spans="2:23" x14ac:dyDescent="0.2">
      <c r="B6" s="660"/>
      <c r="C6" s="570">
        <v>200</v>
      </c>
      <c r="D6" s="570">
        <v>60</v>
      </c>
      <c r="E6" s="570"/>
      <c r="F6" s="377"/>
      <c r="G6" s="570"/>
      <c r="H6" s="570"/>
      <c r="I6" s="364">
        <f>ROUND((PI()*(C6/1000/2)^2)*(D6/1000)*(F6)*7850,3)</f>
        <v>0</v>
      </c>
      <c r="J6" s="508">
        <v>2200</v>
      </c>
      <c r="K6" s="508">
        <v>4850</v>
      </c>
      <c r="L6" s="508">
        <v>35</v>
      </c>
      <c r="M6" s="508">
        <v>11</v>
      </c>
      <c r="N6" s="508">
        <v>2000</v>
      </c>
      <c r="O6" s="511">
        <f>I6*L6</f>
        <v>0</v>
      </c>
      <c r="P6" s="511">
        <f>I6*0.8*M6</f>
        <v>0</v>
      </c>
      <c r="Q6" s="511">
        <f>F6*N6</f>
        <v>0</v>
      </c>
      <c r="R6" s="511">
        <f>G6*J6+H6*K6</f>
        <v>0</v>
      </c>
      <c r="S6" s="508">
        <v>50000</v>
      </c>
      <c r="T6" s="508">
        <v>10000</v>
      </c>
      <c r="U6" s="508">
        <v>2400</v>
      </c>
      <c r="V6" s="569">
        <v>1</v>
      </c>
      <c r="W6" s="568">
        <f>SUM(O6,P6,Q6,R6,S6,T6,U6*V6)</f>
        <v>62400</v>
      </c>
    </row>
    <row r="9" spans="2:23" ht="15.75" customHeight="1" x14ac:dyDescent="0.2">
      <c r="B9" s="745" t="s">
        <v>262</v>
      </c>
      <c r="C9" s="745"/>
      <c r="D9" s="745"/>
      <c r="E9" s="745"/>
      <c r="F9" s="745"/>
      <c r="G9" s="745"/>
      <c r="H9" s="745"/>
      <c r="I9" s="745"/>
      <c r="J9" s="745"/>
      <c r="K9" s="745"/>
      <c r="L9" s="745"/>
      <c r="M9" s="745"/>
      <c r="N9" s="745"/>
      <c r="O9" s="745"/>
      <c r="P9" s="745"/>
      <c r="Q9" s="745"/>
      <c r="R9" s="745"/>
      <c r="S9" s="745"/>
      <c r="T9" s="745"/>
      <c r="U9" s="745"/>
      <c r="V9" s="745"/>
      <c r="W9" s="745"/>
    </row>
    <row r="10" spans="2:23" s="167" customFormat="1" ht="42" customHeight="1" x14ac:dyDescent="0.2">
      <c r="B10" s="512" t="s">
        <v>749</v>
      </c>
      <c r="D10" s="512" t="s">
        <v>753</v>
      </c>
      <c r="E10" s="512" t="s">
        <v>263</v>
      </c>
      <c r="F10" s="512" t="s">
        <v>754</v>
      </c>
      <c r="H10" s="512" t="s">
        <v>753</v>
      </c>
      <c r="I10" s="512" t="s">
        <v>266</v>
      </c>
      <c r="J10" s="512" t="s">
        <v>755</v>
      </c>
      <c r="L10" s="512" t="s">
        <v>753</v>
      </c>
      <c r="M10" s="512" t="s">
        <v>265</v>
      </c>
      <c r="N10" s="512" t="s">
        <v>264</v>
      </c>
      <c r="P10" s="512" t="s">
        <v>753</v>
      </c>
      <c r="Q10" s="512" t="s">
        <v>267</v>
      </c>
      <c r="R10" s="512" t="s">
        <v>268</v>
      </c>
      <c r="T10" s="512" t="s">
        <v>269</v>
      </c>
      <c r="W10" s="512" t="s">
        <v>175</v>
      </c>
    </row>
    <row r="11" spans="2:23" x14ac:dyDescent="0.2">
      <c r="B11" s="507" t="s">
        <v>116</v>
      </c>
      <c r="C11" s="117" t="s">
        <v>272</v>
      </c>
      <c r="D11" s="365"/>
      <c r="E11" s="508">
        <v>12000</v>
      </c>
      <c r="F11" s="364">
        <f>D11*E11</f>
        <v>0</v>
      </c>
      <c r="G11" s="117" t="s">
        <v>272</v>
      </c>
      <c r="H11" s="365"/>
      <c r="I11" s="508">
        <v>10000</v>
      </c>
      <c r="J11" s="364">
        <f>H11*I11</f>
        <v>0</v>
      </c>
      <c r="K11" s="117" t="s">
        <v>270</v>
      </c>
      <c r="L11" s="365"/>
      <c r="M11" s="508">
        <v>9000</v>
      </c>
      <c r="N11" s="364">
        <f>L11*M11</f>
        <v>0</v>
      </c>
      <c r="O11" s="117" t="s">
        <v>270</v>
      </c>
      <c r="P11" s="365"/>
      <c r="Q11" s="508">
        <v>50000</v>
      </c>
      <c r="R11" s="509">
        <f>P11*Q11</f>
        <v>0</v>
      </c>
      <c r="T11" s="510"/>
      <c r="W11" s="568">
        <f>SUM(F11:F12)+SUM(J11:J12)+SUM(N11:N12)+SUM(R11:R12)+T11</f>
        <v>0</v>
      </c>
    </row>
    <row r="12" spans="2:23" x14ac:dyDescent="0.2">
      <c r="C12" s="117" t="s">
        <v>273</v>
      </c>
      <c r="D12" s="461"/>
      <c r="E12" s="504">
        <v>20000</v>
      </c>
      <c r="F12" s="356">
        <f>D12*E12</f>
        <v>0</v>
      </c>
      <c r="G12" s="117" t="s">
        <v>273</v>
      </c>
      <c r="H12" s="461"/>
      <c r="I12" s="504">
        <v>15000</v>
      </c>
      <c r="J12" s="356">
        <f>H12*I12</f>
        <v>0</v>
      </c>
      <c r="K12" s="117" t="s">
        <v>271</v>
      </c>
      <c r="L12" s="461"/>
      <c r="M12" s="504">
        <v>14000</v>
      </c>
      <c r="N12" s="356">
        <f>L12*M12</f>
        <v>0</v>
      </c>
      <c r="O12" s="117" t="s">
        <v>271</v>
      </c>
      <c r="P12" s="461"/>
      <c r="Q12" s="504">
        <v>80000</v>
      </c>
      <c r="R12" s="505">
        <f>P12*Q12</f>
        <v>0</v>
      </c>
    </row>
    <row r="13" spans="2:23" x14ac:dyDescent="0.2">
      <c r="N13" s="118"/>
      <c r="R13" s="118"/>
    </row>
    <row r="16" spans="2:23" x14ac:dyDescent="0.2">
      <c r="B16" s="467"/>
      <c r="C16" s="28" t="s">
        <v>425</v>
      </c>
    </row>
    <row r="17" spans="2:3" x14ac:dyDescent="0.2">
      <c r="B17" s="461"/>
      <c r="C17" s="28" t="s">
        <v>421</v>
      </c>
    </row>
    <row r="18" spans="2:3" x14ac:dyDescent="0.2">
      <c r="B18" s="468"/>
      <c r="C18" s="28" t="s">
        <v>424</v>
      </c>
    </row>
    <row r="19" spans="2:3" x14ac:dyDescent="0.2">
      <c r="B19" s="356"/>
      <c r="C19" s="28" t="s">
        <v>422</v>
      </c>
    </row>
    <row r="20" spans="2:3" x14ac:dyDescent="0.2">
      <c r="B20" s="506"/>
      <c r="C20" s="28" t="s">
        <v>423</v>
      </c>
    </row>
  </sheetData>
  <mergeCells count="2">
    <mergeCell ref="B4:W4"/>
    <mergeCell ref="B9:W9"/>
  </mergeCells>
  <conditionalFormatting sqref="R11">
    <cfRule type="containsErrors" dxfId="14" priority="8">
      <formula>ISERROR(R11)</formula>
    </cfRule>
  </conditionalFormatting>
  <conditionalFormatting sqref="R12">
    <cfRule type="containsErrors" dxfId="13" priority="7">
      <formula>ISERROR(R12)</formula>
    </cfRule>
  </conditionalFormatting>
  <conditionalFormatting sqref="F12">
    <cfRule type="containsErrors" dxfId="12" priority="5">
      <formula>ISERROR(F12)</formula>
    </cfRule>
  </conditionalFormatting>
  <conditionalFormatting sqref="J12">
    <cfRule type="containsErrors" dxfId="11" priority="4">
      <formula>ISERROR(J12)</formula>
    </cfRule>
  </conditionalFormatting>
  <conditionalFormatting sqref="B20">
    <cfRule type="containsErrors" dxfId="10" priority="3">
      <formula>ISERROR(B20)</formula>
    </cfRule>
  </conditionalFormatting>
  <conditionalFormatting sqref="W6">
    <cfRule type="containsErrors" dxfId="9" priority="2">
      <formula>ISERROR(W6)</formula>
    </cfRule>
  </conditionalFormatting>
  <conditionalFormatting sqref="W11">
    <cfRule type="containsErrors" dxfId="8" priority="1">
      <formula>ISERROR(W11)</formula>
    </cfRule>
  </conditionalFormatting>
  <pageMargins left="0.78740157499999996" right="0.78740157499999996" top="0.984251969" bottom="0.984251969" header="0.49212598499999999" footer="0.49212598499999999"/>
  <pageSetup paperSize="9" orientation="portrait" r:id="rId1"/>
  <headerFooter alignWithMargins="0"/>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HOME!$D$5:$D$29</xm:f>
          </x14:formula1>
          <xm:sqref>B6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tabColor theme="1"/>
  </sheetPr>
  <dimension ref="B1:AE90"/>
  <sheetViews>
    <sheetView showRowColHeaders="0" workbookViewId="0"/>
  </sheetViews>
  <sheetFormatPr defaultRowHeight="12.75" x14ac:dyDescent="0.2"/>
  <cols>
    <col min="1" max="1" width="2" style="2" customWidth="1"/>
    <col min="2" max="2" width="1.28515625" style="2" customWidth="1"/>
    <col min="3" max="3" width="38.42578125" style="2" customWidth="1"/>
    <col min="4" max="4" width="7.7109375" style="2" customWidth="1"/>
    <col min="5" max="5" width="9.85546875" style="2" customWidth="1"/>
    <col min="6" max="6" width="14" style="2" customWidth="1"/>
    <col min="7" max="7" width="7.140625" style="2" customWidth="1"/>
    <col min="8" max="8" width="7.28515625" style="2" customWidth="1"/>
    <col min="9" max="9" width="1.5703125" style="2" customWidth="1"/>
    <col min="10" max="10" width="3" style="2" customWidth="1"/>
    <col min="11" max="14" width="9.140625" style="227"/>
    <col min="15" max="15" width="9.5703125" style="227" customWidth="1"/>
    <col min="16" max="31" width="9.140625" style="227"/>
    <col min="32" max="16384" width="9.140625" style="2"/>
  </cols>
  <sheetData>
    <row r="1" spans="2:17" ht="10.5" customHeight="1" x14ac:dyDescent="0.2"/>
    <row r="3" spans="2:17" ht="13.5" thickBot="1" x14ac:dyDescent="0.25"/>
    <row r="4" spans="2:17" ht="5.25" customHeight="1" thickTop="1" x14ac:dyDescent="0.2">
      <c r="B4" s="197"/>
      <c r="C4" s="198"/>
      <c r="D4" s="198"/>
      <c r="E4" s="198"/>
      <c r="F4" s="198"/>
      <c r="G4" s="198"/>
      <c r="H4" s="198"/>
      <c r="I4" s="199"/>
    </row>
    <row r="5" spans="2:17" ht="15" x14ac:dyDescent="0.25">
      <c r="B5" s="200"/>
      <c r="C5" s="832" t="s">
        <v>274</v>
      </c>
      <c r="D5" s="832"/>
      <c r="E5" s="832"/>
      <c r="F5" s="832"/>
      <c r="G5" s="832"/>
      <c r="H5" s="832"/>
      <c r="I5" s="201"/>
    </row>
    <row r="6" spans="2:17" ht="3.75" customHeight="1" x14ac:dyDescent="0.2">
      <c r="B6" s="200"/>
      <c r="C6" s="50"/>
      <c r="D6" s="187"/>
      <c r="E6" s="50"/>
      <c r="F6" s="50"/>
      <c r="G6" s="50"/>
      <c r="H6" s="50"/>
      <c r="I6" s="201"/>
    </row>
    <row r="7" spans="2:17" x14ac:dyDescent="0.2">
      <c r="B7" s="200"/>
      <c r="C7" s="121" t="s">
        <v>95</v>
      </c>
      <c r="D7" s="202">
        <v>2</v>
      </c>
      <c r="E7" s="50" t="s">
        <v>9</v>
      </c>
      <c r="F7" s="50"/>
      <c r="G7" s="50"/>
      <c r="H7" s="50"/>
      <c r="I7" s="201"/>
    </row>
    <row r="8" spans="2:17" ht="3" customHeight="1" x14ac:dyDescent="0.2">
      <c r="B8" s="200"/>
      <c r="C8" s="121"/>
      <c r="D8" s="187"/>
      <c r="E8" s="50"/>
      <c r="F8" s="50"/>
      <c r="G8" s="50"/>
      <c r="H8" s="50"/>
      <c r="I8" s="201"/>
    </row>
    <row r="9" spans="2:17" ht="15" x14ac:dyDescent="0.25">
      <c r="B9" s="200"/>
      <c r="C9" s="832" t="s">
        <v>275</v>
      </c>
      <c r="D9" s="832"/>
      <c r="E9" s="832"/>
      <c r="F9" s="832"/>
      <c r="G9" s="832"/>
      <c r="H9" s="832"/>
      <c r="I9" s="201"/>
    </row>
    <row r="10" spans="2:17" ht="3.75" customHeight="1" x14ac:dyDescent="0.2">
      <c r="B10" s="200"/>
      <c r="C10" s="121"/>
      <c r="D10" s="187"/>
      <c r="E10" s="50"/>
      <c r="F10" s="50"/>
      <c r="G10" s="50"/>
      <c r="H10" s="50"/>
      <c r="I10" s="201"/>
    </row>
    <row r="11" spans="2:17" x14ac:dyDescent="0.2">
      <c r="B11" s="200"/>
      <c r="C11" s="121" t="s">
        <v>276</v>
      </c>
      <c r="D11" s="202">
        <v>5</v>
      </c>
      <c r="E11" s="50" t="s">
        <v>9</v>
      </c>
      <c r="F11" s="50"/>
      <c r="G11" s="50"/>
      <c r="H11" s="50"/>
      <c r="I11" s="201"/>
    </row>
    <row r="12" spans="2:17" x14ac:dyDescent="0.2">
      <c r="B12" s="200"/>
      <c r="C12" s="121" t="s">
        <v>277</v>
      </c>
      <c r="D12" s="202">
        <v>4</v>
      </c>
      <c r="E12" s="50" t="s">
        <v>9</v>
      </c>
      <c r="F12" s="50"/>
      <c r="G12" s="50"/>
      <c r="H12" s="50"/>
      <c r="I12" s="201"/>
    </row>
    <row r="13" spans="2:17" x14ac:dyDescent="0.2">
      <c r="B13" s="200"/>
      <c r="C13" s="121" t="s">
        <v>431</v>
      </c>
      <c r="D13" s="203">
        <f>D11+D12</f>
        <v>9</v>
      </c>
      <c r="E13" s="50" t="s">
        <v>9</v>
      </c>
      <c r="F13" s="50"/>
      <c r="G13" s="50"/>
      <c r="H13" s="50"/>
      <c r="I13" s="201"/>
    </row>
    <row r="14" spans="2:17" ht="3" customHeight="1" x14ac:dyDescent="0.2">
      <c r="B14" s="200"/>
      <c r="C14" s="121"/>
      <c r="D14" s="187"/>
      <c r="E14" s="50"/>
      <c r="F14" s="50"/>
      <c r="G14" s="50"/>
      <c r="H14" s="50"/>
      <c r="I14" s="201"/>
    </row>
    <row r="15" spans="2:17" ht="15" x14ac:dyDescent="0.25">
      <c r="B15" s="200"/>
      <c r="C15" s="830" t="s">
        <v>293</v>
      </c>
      <c r="D15" s="830"/>
      <c r="E15" s="830"/>
      <c r="F15" s="830"/>
      <c r="G15" s="830"/>
      <c r="H15" s="830"/>
      <c r="I15" s="201"/>
      <c r="L15" s="225"/>
      <c r="M15" s="225"/>
      <c r="N15" s="225"/>
      <c r="O15" s="225"/>
      <c r="P15" s="225"/>
      <c r="Q15" s="225"/>
    </row>
    <row r="16" spans="2:17" ht="3" customHeight="1" x14ac:dyDescent="0.2">
      <c r="B16" s="200"/>
      <c r="C16" s="50"/>
      <c r="D16" s="187"/>
      <c r="E16" s="50"/>
      <c r="F16" s="50"/>
      <c r="G16" s="50"/>
      <c r="H16" s="50"/>
      <c r="I16" s="201"/>
      <c r="L16" s="225"/>
      <c r="M16" s="225"/>
      <c r="N16" s="225"/>
      <c r="O16" s="225"/>
      <c r="P16" s="225"/>
      <c r="Q16" s="225"/>
    </row>
    <row r="17" spans="2:31" x14ac:dyDescent="0.2">
      <c r="B17" s="200"/>
      <c r="C17" s="121" t="s">
        <v>434</v>
      </c>
      <c r="D17" s="204">
        <v>120</v>
      </c>
      <c r="E17" s="50" t="s">
        <v>279</v>
      </c>
      <c r="F17" s="50"/>
      <c r="G17" s="50"/>
      <c r="H17" s="50"/>
      <c r="I17" s="201"/>
      <c r="L17" s="121"/>
      <c r="M17" s="121"/>
      <c r="N17" s="230"/>
      <c r="O17" s="225"/>
      <c r="P17" s="225"/>
      <c r="Q17" s="225"/>
      <c r="R17" s="829"/>
      <c r="S17" s="235"/>
      <c r="T17" s="230"/>
      <c r="V17" s="121"/>
      <c r="W17" s="225"/>
      <c r="X17" s="225"/>
    </row>
    <row r="18" spans="2:31" ht="15" customHeight="1" x14ac:dyDescent="0.2">
      <c r="B18" s="200"/>
      <c r="C18" s="121" t="s">
        <v>438</v>
      </c>
      <c r="D18" s="204">
        <v>50</v>
      </c>
      <c r="E18" s="50" t="s">
        <v>9</v>
      </c>
      <c r="F18" s="50"/>
      <c r="G18" s="50"/>
      <c r="H18" s="50"/>
      <c r="I18" s="201"/>
      <c r="L18" s="121"/>
      <c r="M18" s="121"/>
      <c r="N18" s="230"/>
      <c r="O18" s="236"/>
      <c r="P18" s="230"/>
      <c r="Q18" s="225"/>
      <c r="R18" s="829"/>
      <c r="S18" s="203"/>
      <c r="T18" s="230"/>
    </row>
    <row r="19" spans="2:31" x14ac:dyDescent="0.2">
      <c r="B19" s="200"/>
      <c r="C19" s="121" t="s">
        <v>439</v>
      </c>
      <c r="D19" s="204">
        <v>40</v>
      </c>
      <c r="E19" s="50" t="s">
        <v>281</v>
      </c>
      <c r="F19" s="236">
        <f>D19/60</f>
        <v>0.66666666666666663</v>
      </c>
      <c r="G19" s="230" t="s">
        <v>394</v>
      </c>
      <c r="H19" s="50"/>
      <c r="I19" s="201"/>
      <c r="L19" s="121"/>
      <c r="M19" s="121"/>
      <c r="N19" s="230"/>
      <c r="O19" s="225"/>
      <c r="P19" s="225"/>
      <c r="Q19" s="225"/>
    </row>
    <row r="20" spans="2:31" ht="15" customHeight="1" x14ac:dyDescent="0.25">
      <c r="B20" s="200"/>
      <c r="C20" s="121" t="s">
        <v>440</v>
      </c>
      <c r="D20" s="204">
        <v>10</v>
      </c>
      <c r="E20" s="50" t="s">
        <v>446</v>
      </c>
      <c r="F20" s="50"/>
      <c r="G20" s="50"/>
      <c r="H20" s="50"/>
      <c r="I20" s="201"/>
      <c r="L20" s="121"/>
      <c r="M20" s="121"/>
      <c r="N20" s="230"/>
      <c r="O20" s="225"/>
      <c r="P20" s="225"/>
      <c r="Q20" s="225"/>
    </row>
    <row r="21" spans="2:31" x14ac:dyDescent="0.2">
      <c r="B21" s="200"/>
      <c r="C21" s="121" t="s">
        <v>464</v>
      </c>
      <c r="D21" s="204">
        <v>50</v>
      </c>
      <c r="E21" s="50" t="s">
        <v>292</v>
      </c>
      <c r="F21" s="50"/>
      <c r="G21" s="50"/>
      <c r="H21" s="50"/>
      <c r="I21" s="201"/>
      <c r="L21" s="121"/>
      <c r="M21" s="236"/>
      <c r="N21" s="230"/>
      <c r="O21" s="225"/>
      <c r="P21" s="225"/>
      <c r="Q21" s="225"/>
    </row>
    <row r="22" spans="2:31" ht="4.5" customHeight="1" x14ac:dyDescent="0.2">
      <c r="B22" s="200"/>
      <c r="C22" s="121"/>
      <c r="D22" s="187"/>
      <c r="E22" s="50"/>
      <c r="F22" s="50"/>
      <c r="G22" s="50"/>
      <c r="H22" s="50"/>
      <c r="I22" s="201"/>
      <c r="L22" s="225"/>
      <c r="M22" s="225"/>
      <c r="N22" s="225"/>
      <c r="O22" s="225"/>
      <c r="P22" s="225"/>
      <c r="Q22" s="225"/>
    </row>
    <row r="23" spans="2:31" ht="13.5" customHeight="1" x14ac:dyDescent="0.2">
      <c r="B23" s="200"/>
      <c r="C23" s="121" t="s">
        <v>286</v>
      </c>
      <c r="D23" s="213">
        <v>152</v>
      </c>
      <c r="E23" s="50" t="s">
        <v>9</v>
      </c>
      <c r="F23" s="50"/>
      <c r="G23" s="50"/>
      <c r="H23" s="50"/>
      <c r="I23" s="201"/>
      <c r="L23" s="121"/>
      <c r="M23" s="225"/>
      <c r="N23" s="225"/>
      <c r="O23" s="121"/>
      <c r="P23" s="230"/>
      <c r="Q23" s="225"/>
    </row>
    <row r="24" spans="2:31" ht="3.75" customHeight="1" x14ac:dyDescent="0.2">
      <c r="B24" s="200"/>
      <c r="C24" s="121"/>
      <c r="D24" s="187"/>
      <c r="E24" s="50"/>
      <c r="F24" s="50"/>
      <c r="G24" s="50"/>
      <c r="H24" s="50"/>
      <c r="I24" s="201"/>
    </row>
    <row r="25" spans="2:31" x14ac:dyDescent="0.2">
      <c r="B25" s="200"/>
      <c r="C25" s="205" t="s">
        <v>282</v>
      </c>
      <c r="D25" s="205"/>
      <c r="E25" s="205"/>
      <c r="F25" s="205"/>
      <c r="G25" s="205"/>
      <c r="H25" s="205"/>
      <c r="I25" s="201"/>
    </row>
    <row r="26" spans="2:31" ht="5.25" customHeight="1" x14ac:dyDescent="0.2">
      <c r="B26" s="200"/>
      <c r="C26" s="121"/>
      <c r="D26" s="187"/>
      <c r="E26" s="50"/>
      <c r="F26" s="50"/>
      <c r="G26" s="50"/>
      <c r="H26" s="50"/>
      <c r="I26" s="201"/>
    </row>
    <row r="27" spans="2:31" ht="15.75" thickBot="1" x14ac:dyDescent="0.3">
      <c r="B27" s="200"/>
      <c r="C27" s="121" t="s">
        <v>283</v>
      </c>
      <c r="D27" s="206">
        <f>(D17/60)^-1</f>
        <v>0.5</v>
      </c>
      <c r="E27" s="188" t="s">
        <v>292</v>
      </c>
      <c r="F27" s="188" t="s">
        <v>432</v>
      </c>
      <c r="G27" s="188" t="s">
        <v>433</v>
      </c>
      <c r="H27" s="238"/>
      <c r="I27" s="201"/>
      <c r="L27" s="234"/>
      <c r="M27" s="225"/>
      <c r="N27" s="225"/>
      <c r="O27" s="225"/>
      <c r="P27" s="225"/>
      <c r="Q27" s="225"/>
      <c r="R27" s="225"/>
      <c r="S27" s="225"/>
      <c r="T27" s="225"/>
      <c r="U27" s="225"/>
      <c r="V27" s="225"/>
      <c r="W27" s="225"/>
      <c r="X27" s="42"/>
      <c r="Z27" s="42"/>
      <c r="AB27" s="42"/>
      <c r="AD27" s="42"/>
    </row>
    <row r="28" spans="2:31" ht="16.5" thickTop="1" thickBot="1" x14ac:dyDescent="0.3">
      <c r="B28" s="200"/>
      <c r="C28" s="220" t="s">
        <v>285</v>
      </c>
      <c r="D28" s="206">
        <f>D27-D29</f>
        <v>0.41000000000000003</v>
      </c>
      <c r="E28" s="189">
        <f>D28/D27</f>
        <v>0.82000000000000006</v>
      </c>
      <c r="F28" s="190">
        <f>E28*360</f>
        <v>295.20000000000005</v>
      </c>
      <c r="G28" s="191">
        <f>E28*$D$18</f>
        <v>41</v>
      </c>
      <c r="H28" s="239"/>
      <c r="I28" s="201"/>
      <c r="L28" s="234"/>
      <c r="M28" s="233"/>
      <c r="N28" s="233"/>
      <c r="O28" s="233"/>
      <c r="P28" s="233"/>
      <c r="Q28" s="233"/>
      <c r="R28" s="233"/>
      <c r="S28" s="233"/>
      <c r="T28" s="233"/>
      <c r="U28" s="233"/>
      <c r="V28" s="233"/>
      <c r="W28" s="233"/>
      <c r="X28" s="228"/>
      <c r="Y28" s="228"/>
      <c r="Z28" s="228"/>
      <c r="AA28" s="228"/>
      <c r="AB28" s="228"/>
      <c r="AC28" s="228"/>
      <c r="AD28" s="228"/>
      <c r="AE28" s="228"/>
    </row>
    <row r="29" spans="2:31" ht="16.5" thickTop="1" thickBot="1" x14ac:dyDescent="0.3">
      <c r="B29" s="200"/>
      <c r="C29" s="219" t="s">
        <v>284</v>
      </c>
      <c r="D29" s="224">
        <f>D13/D18*D27</f>
        <v>0.09</v>
      </c>
      <c r="E29" s="192">
        <f>D29/D27</f>
        <v>0.18</v>
      </c>
      <c r="F29" s="193">
        <f>E29*360</f>
        <v>64.8</v>
      </c>
      <c r="G29" s="194">
        <f>E29*$D$18</f>
        <v>9</v>
      </c>
      <c r="H29" s="239"/>
      <c r="I29" s="201"/>
      <c r="L29" s="121"/>
      <c r="M29" s="203"/>
      <c r="N29" s="203"/>
      <c r="O29" s="203"/>
      <c r="P29" s="203"/>
      <c r="Q29" s="203"/>
      <c r="R29" s="203"/>
      <c r="S29" s="203"/>
      <c r="T29" s="203"/>
      <c r="U29" s="203"/>
      <c r="V29" s="203"/>
      <c r="W29" s="203"/>
    </row>
    <row r="30" spans="2:31" ht="6" customHeight="1" thickTop="1" x14ac:dyDescent="0.2">
      <c r="B30" s="200"/>
      <c r="C30" s="121"/>
      <c r="D30" s="172"/>
      <c r="E30" s="50"/>
      <c r="F30" s="50"/>
      <c r="G30" s="50"/>
      <c r="H30" s="50"/>
      <c r="I30" s="201"/>
    </row>
    <row r="31" spans="2:31" x14ac:dyDescent="0.2">
      <c r="B31" s="200"/>
      <c r="C31" s="829" t="s">
        <v>441</v>
      </c>
      <c r="D31" s="218">
        <f>180+(F29/2)</f>
        <v>212.4</v>
      </c>
      <c r="E31" s="50" t="s">
        <v>442</v>
      </c>
      <c r="F31" s="50"/>
      <c r="G31" s="50"/>
      <c r="H31" s="50"/>
      <c r="I31" s="201"/>
    </row>
    <row r="32" spans="2:31" x14ac:dyDescent="0.2">
      <c r="B32" s="200"/>
      <c r="C32" s="829"/>
      <c r="D32" s="218">
        <f>180-(F29/2)</f>
        <v>147.6</v>
      </c>
      <c r="E32" s="50" t="s">
        <v>443</v>
      </c>
      <c r="F32" s="50"/>
      <c r="G32" s="50"/>
      <c r="H32" s="50"/>
      <c r="I32" s="201"/>
      <c r="L32" s="226"/>
      <c r="M32" s="203"/>
      <c r="N32" s="230"/>
      <c r="O32" s="235"/>
      <c r="P32" s="230"/>
      <c r="Q32" s="172"/>
      <c r="R32" s="230"/>
    </row>
    <row r="33" spans="2:21" x14ac:dyDescent="0.2">
      <c r="B33" s="200"/>
      <c r="C33" s="121"/>
      <c r="D33" s="172"/>
      <c r="E33" s="50"/>
      <c r="F33" s="50"/>
      <c r="G33" s="50">
        <f>D17</f>
        <v>120</v>
      </c>
      <c r="H33" s="50" t="s">
        <v>279</v>
      </c>
      <c r="I33" s="201"/>
      <c r="L33" s="226"/>
      <c r="M33" s="203"/>
      <c r="N33" s="230"/>
      <c r="O33" s="235"/>
      <c r="P33" s="230"/>
      <c r="Q33" s="172"/>
      <c r="R33" s="230"/>
    </row>
    <row r="34" spans="2:21" x14ac:dyDescent="0.2">
      <c r="B34" s="200"/>
      <c r="C34" s="121"/>
      <c r="D34" s="172"/>
      <c r="E34" s="50"/>
      <c r="F34" s="50"/>
      <c r="G34" s="50"/>
      <c r="H34" s="50"/>
      <c r="I34" s="201"/>
      <c r="L34" s="226"/>
      <c r="M34" s="171"/>
      <c r="N34" s="230"/>
      <c r="O34" s="235"/>
      <c r="P34" s="230"/>
      <c r="Q34" s="172"/>
      <c r="R34" s="230"/>
    </row>
    <row r="35" spans="2:21" ht="15" x14ac:dyDescent="0.25">
      <c r="B35" s="200"/>
      <c r="C35" s="121"/>
      <c r="D35" s="172"/>
      <c r="E35" s="50"/>
      <c r="F35" s="50"/>
      <c r="G35" s="50"/>
      <c r="H35" s="50"/>
      <c r="I35" s="201"/>
      <c r="U35" s="232"/>
    </row>
    <row r="36" spans="2:21" ht="15" x14ac:dyDescent="0.25">
      <c r="B36" s="200"/>
      <c r="C36" s="121"/>
      <c r="D36" s="172"/>
      <c r="E36" s="50"/>
      <c r="F36" s="50"/>
      <c r="G36" s="50"/>
      <c r="H36" s="50"/>
      <c r="I36" s="201"/>
      <c r="S36" s="231"/>
    </row>
    <row r="37" spans="2:21" ht="15" x14ac:dyDescent="0.25">
      <c r="B37" s="200"/>
      <c r="E37" s="221">
        <f>F28/2</f>
        <v>147.60000000000002</v>
      </c>
      <c r="F37" s="222">
        <f>F29</f>
        <v>64.8</v>
      </c>
      <c r="G37" s="223">
        <f>F28/2</f>
        <v>147.60000000000002</v>
      </c>
      <c r="H37" s="50"/>
      <c r="I37" s="201"/>
      <c r="S37" s="231"/>
      <c r="T37" s="42"/>
    </row>
    <row r="38" spans="2:21" ht="15" x14ac:dyDescent="0.25">
      <c r="B38" s="200"/>
      <c r="E38" s="50"/>
      <c r="F38" s="50"/>
      <c r="G38" s="50">
        <f>D19</f>
        <v>40</v>
      </c>
      <c r="H38" s="50" t="s">
        <v>281</v>
      </c>
      <c r="I38" s="201"/>
      <c r="S38" s="231"/>
      <c r="T38" s="42"/>
    </row>
    <row r="39" spans="2:21" ht="15" customHeight="1" x14ac:dyDescent="0.25">
      <c r="B39" s="200"/>
      <c r="F39" s="50"/>
      <c r="G39" s="21">
        <f>D20</f>
        <v>10</v>
      </c>
      <c r="H39" s="21" t="s">
        <v>467</v>
      </c>
      <c r="I39" s="201"/>
      <c r="S39" s="231"/>
      <c r="T39" s="42"/>
    </row>
    <row r="40" spans="2:21" ht="15" x14ac:dyDescent="0.25">
      <c r="B40" s="200"/>
      <c r="C40" s="121" t="s">
        <v>447</v>
      </c>
      <c r="D40" s="235">
        <f>(F19^2-0^2)/(2*D20)</f>
        <v>2.222222222222222E-2</v>
      </c>
      <c r="E40" s="50" t="s">
        <v>391</v>
      </c>
      <c r="I40" s="201"/>
      <c r="S40" s="231"/>
      <c r="T40" s="42"/>
    </row>
    <row r="41" spans="2:21" ht="15" x14ac:dyDescent="0.25">
      <c r="B41" s="200"/>
      <c r="C41" s="121" t="s">
        <v>448</v>
      </c>
      <c r="D41" s="172">
        <f>SQRT(D40/(0.5*D20))</f>
        <v>6.6666666666666666E-2</v>
      </c>
      <c r="E41" s="50" t="s">
        <v>187</v>
      </c>
      <c r="I41" s="201"/>
      <c r="S41" s="231"/>
      <c r="T41" s="42"/>
    </row>
    <row r="42" spans="2:21" ht="15" x14ac:dyDescent="0.25">
      <c r="B42" s="200"/>
      <c r="C42" s="121" t="s">
        <v>449</v>
      </c>
      <c r="D42" s="235">
        <f>D23/1000-2*D40</f>
        <v>0.10755555555555556</v>
      </c>
      <c r="E42" s="50" t="s">
        <v>391</v>
      </c>
      <c r="I42" s="201"/>
      <c r="S42" s="231"/>
      <c r="T42" s="42"/>
    </row>
    <row r="43" spans="2:21" ht="15" x14ac:dyDescent="0.25">
      <c r="B43" s="200"/>
      <c r="C43" s="121" t="s">
        <v>450</v>
      </c>
      <c r="D43" s="172">
        <f>(D19/D42)^(-1)*60</f>
        <v>0.16133333333333336</v>
      </c>
      <c r="E43" s="50" t="s">
        <v>187</v>
      </c>
      <c r="I43" s="201"/>
      <c r="S43" s="231"/>
      <c r="T43" s="42"/>
    </row>
    <row r="44" spans="2:21" ht="15" x14ac:dyDescent="0.25">
      <c r="B44" s="200"/>
      <c r="C44" s="121"/>
      <c r="D44" s="172"/>
      <c r="E44" s="50"/>
      <c r="I44" s="201"/>
      <c r="S44" s="231"/>
      <c r="T44" s="42"/>
    </row>
    <row r="45" spans="2:21" ht="15" x14ac:dyDescent="0.25">
      <c r="B45" s="200"/>
      <c r="C45" s="121" t="s">
        <v>466</v>
      </c>
      <c r="D45" s="172">
        <f>D41*2+D43</f>
        <v>0.29466666666666669</v>
      </c>
      <c r="E45" s="50" t="s">
        <v>187</v>
      </c>
      <c r="F45" s="50"/>
      <c r="G45" s="50"/>
      <c r="H45" s="50"/>
      <c r="I45" s="201"/>
      <c r="S45" s="231"/>
      <c r="T45" s="42"/>
    </row>
    <row r="46" spans="2:21" ht="15" x14ac:dyDescent="0.25">
      <c r="B46" s="200"/>
      <c r="C46" s="121" t="s">
        <v>463</v>
      </c>
      <c r="D46" s="250">
        <v>0.16</v>
      </c>
      <c r="E46" s="249" t="s">
        <v>187</v>
      </c>
      <c r="F46" s="254" t="s">
        <v>461</v>
      </c>
      <c r="G46" s="50"/>
      <c r="H46" s="50"/>
      <c r="I46" s="201"/>
      <c r="K46" s="248" t="s">
        <v>461</v>
      </c>
      <c r="L46" s="247" t="s">
        <v>462</v>
      </c>
      <c r="S46" s="231"/>
      <c r="T46" s="42"/>
    </row>
    <row r="47" spans="2:21" ht="15" x14ac:dyDescent="0.25">
      <c r="B47" s="200"/>
      <c r="C47" s="121" t="s">
        <v>465</v>
      </c>
      <c r="D47" s="172">
        <f>IF(F46=K46,D45+D46,D45)</f>
        <v>0.45466666666666666</v>
      </c>
      <c r="E47" s="50" t="s">
        <v>187</v>
      </c>
      <c r="F47" s="50"/>
      <c r="G47" s="50"/>
      <c r="H47" s="50"/>
      <c r="I47" s="201"/>
      <c r="K47" s="248"/>
      <c r="L47" s="247"/>
      <c r="S47" s="231"/>
      <c r="T47" s="42"/>
    </row>
    <row r="48" spans="2:21" ht="15" x14ac:dyDescent="0.25">
      <c r="B48" s="200"/>
      <c r="C48" s="121" t="s">
        <v>451</v>
      </c>
      <c r="D48" s="203">
        <f>IF(F46=K46,(D23/1000)/((D45+D46)/60),(D23/1000)/(D45/60))</f>
        <v>20.058651026392962</v>
      </c>
      <c r="E48" s="50" t="s">
        <v>281</v>
      </c>
      <c r="F48" s="50"/>
      <c r="G48" s="50"/>
      <c r="H48" s="50"/>
      <c r="I48" s="201"/>
      <c r="S48" s="231"/>
      <c r="T48" s="42"/>
    </row>
    <row r="49" spans="2:20" ht="15" x14ac:dyDescent="0.25">
      <c r="B49" s="200"/>
      <c r="C49" s="121" t="s">
        <v>457</v>
      </c>
      <c r="D49" s="246">
        <f>D48/D19</f>
        <v>0.50146627565982405</v>
      </c>
      <c r="E49" s="50"/>
      <c r="F49" s="50"/>
      <c r="G49" s="50"/>
      <c r="H49" s="50"/>
      <c r="I49" s="201"/>
      <c r="S49" s="231"/>
      <c r="T49" s="42"/>
    </row>
    <row r="50" spans="2:20" ht="15" x14ac:dyDescent="0.25">
      <c r="B50" s="200"/>
      <c r="C50" s="121"/>
      <c r="D50" s="172"/>
      <c r="E50" s="50"/>
      <c r="F50" s="188" t="s">
        <v>456</v>
      </c>
      <c r="G50" s="188" t="s">
        <v>444</v>
      </c>
      <c r="H50" s="188" t="s">
        <v>445</v>
      </c>
      <c r="I50" s="201"/>
      <c r="S50" s="231"/>
      <c r="T50" s="42"/>
    </row>
    <row r="51" spans="2:20" ht="18" x14ac:dyDescent="0.35">
      <c r="B51" s="200"/>
      <c r="C51" s="121"/>
      <c r="D51" s="172"/>
      <c r="E51" s="237" t="s">
        <v>452</v>
      </c>
      <c r="F51" s="243">
        <v>0</v>
      </c>
      <c r="G51" s="243">
        <v>0</v>
      </c>
      <c r="H51" s="243">
        <v>0</v>
      </c>
      <c r="I51" s="201"/>
      <c r="S51" s="231"/>
      <c r="T51" s="42"/>
    </row>
    <row r="52" spans="2:20" ht="18" x14ac:dyDescent="0.35">
      <c r="B52" s="200"/>
      <c r="C52" s="121"/>
      <c r="D52" s="172"/>
      <c r="E52" s="237" t="s">
        <v>453</v>
      </c>
      <c r="F52" s="244">
        <f>D40*1000</f>
        <v>22.222222222222218</v>
      </c>
      <c r="G52" s="240">
        <f>D41</f>
        <v>6.6666666666666666E-2</v>
      </c>
      <c r="H52" s="241">
        <f>D19</f>
        <v>40</v>
      </c>
      <c r="I52" s="201"/>
      <c r="S52" s="231"/>
      <c r="T52" s="42"/>
    </row>
    <row r="53" spans="2:20" ht="18" x14ac:dyDescent="0.35">
      <c r="B53" s="200"/>
      <c r="C53" s="121"/>
      <c r="D53" s="172"/>
      <c r="E53" s="237" t="s">
        <v>454</v>
      </c>
      <c r="F53" s="245">
        <f>(D40+D42)*1000</f>
        <v>129.77777777777777</v>
      </c>
      <c r="G53" s="242">
        <f>G52+D43</f>
        <v>0.22800000000000004</v>
      </c>
      <c r="H53" s="243">
        <f>D19</f>
        <v>40</v>
      </c>
      <c r="I53" s="201"/>
      <c r="S53" s="231"/>
      <c r="T53" s="42"/>
    </row>
    <row r="54" spans="2:20" ht="18" x14ac:dyDescent="0.35">
      <c r="B54" s="200"/>
      <c r="C54" s="121"/>
      <c r="D54" s="172"/>
      <c r="E54" s="237" t="s">
        <v>455</v>
      </c>
      <c r="F54" s="244">
        <f>(D40+D42+D40)*1000</f>
        <v>152</v>
      </c>
      <c r="G54" s="240">
        <f>G53+D41</f>
        <v>0.29466666666666669</v>
      </c>
      <c r="H54" s="241">
        <v>0</v>
      </c>
      <c r="I54" s="201"/>
      <c r="S54" s="231"/>
      <c r="T54" s="42"/>
    </row>
    <row r="55" spans="2:20" ht="15" x14ac:dyDescent="0.25">
      <c r="B55" s="200"/>
      <c r="C55" s="121"/>
      <c r="D55" s="172"/>
      <c r="I55" s="201"/>
      <c r="S55" s="231"/>
      <c r="T55" s="42"/>
    </row>
    <row r="56" spans="2:20" ht="15" x14ac:dyDescent="0.25">
      <c r="B56" s="200"/>
      <c r="C56" s="121"/>
      <c r="D56" s="172"/>
      <c r="E56" s="50"/>
      <c r="F56" s="50"/>
      <c r="G56" s="50"/>
      <c r="H56" s="50"/>
      <c r="I56" s="201"/>
      <c r="S56" s="231"/>
      <c r="T56" s="42"/>
    </row>
    <row r="57" spans="2:20" ht="15" x14ac:dyDescent="0.25">
      <c r="B57" s="200"/>
      <c r="C57" s="121" t="s">
        <v>287</v>
      </c>
      <c r="D57" s="172">
        <f>IF(F57=K57,D23/((D19*(D21/100)/60)*1000),D47)</f>
        <v>0.45466666666666666</v>
      </c>
      <c r="E57" s="50" t="s">
        <v>187</v>
      </c>
      <c r="F57" s="249" t="s">
        <v>460</v>
      </c>
      <c r="G57" s="50"/>
      <c r="H57" s="50"/>
      <c r="I57" s="201"/>
      <c r="K57" s="247" t="s">
        <v>459</v>
      </c>
      <c r="L57" s="247" t="s">
        <v>460</v>
      </c>
      <c r="S57" s="231"/>
      <c r="T57" s="42"/>
    </row>
    <row r="58" spans="2:20" ht="15" customHeight="1" x14ac:dyDescent="0.2">
      <c r="B58" s="200"/>
      <c r="C58" s="121" t="s">
        <v>284</v>
      </c>
      <c r="D58" s="172">
        <f>D29</f>
        <v>0.09</v>
      </c>
      <c r="E58" s="50" t="s">
        <v>187</v>
      </c>
      <c r="F58" s="50"/>
      <c r="G58" s="50"/>
      <c r="H58" s="50"/>
      <c r="I58" s="201"/>
    </row>
    <row r="59" spans="2:20" ht="15" x14ac:dyDescent="0.25">
      <c r="B59" s="200"/>
      <c r="C59" s="121" t="s">
        <v>458</v>
      </c>
      <c r="D59" s="172">
        <f>D57+D58</f>
        <v>0.54466666666666663</v>
      </c>
      <c r="E59" s="50" t="s">
        <v>187</v>
      </c>
      <c r="F59" s="50"/>
      <c r="G59" s="50"/>
      <c r="H59" s="50"/>
      <c r="I59" s="201"/>
      <c r="S59" s="231"/>
      <c r="T59" s="229"/>
    </row>
    <row r="60" spans="2:20" ht="3.75" customHeight="1" x14ac:dyDescent="0.2">
      <c r="B60" s="200"/>
      <c r="C60" s="121"/>
      <c r="D60" s="172"/>
      <c r="E60" s="50"/>
      <c r="F60" s="50"/>
      <c r="G60" s="50"/>
      <c r="H60" s="50"/>
      <c r="I60" s="201"/>
    </row>
    <row r="61" spans="2:20" ht="15" customHeight="1" x14ac:dyDescent="0.2">
      <c r="B61" s="200"/>
      <c r="C61" s="214" t="s">
        <v>436</v>
      </c>
      <c r="D61" s="215">
        <f>(D59/60)^-1</f>
        <v>110.1591187270502</v>
      </c>
      <c r="E61" s="216" t="s">
        <v>279</v>
      </c>
      <c r="F61" s="50"/>
      <c r="G61" s="50"/>
      <c r="H61" s="50"/>
      <c r="I61" s="201"/>
    </row>
    <row r="62" spans="2:20" ht="15" customHeight="1" x14ac:dyDescent="0.2">
      <c r="B62" s="200"/>
      <c r="C62" s="217" t="s">
        <v>437</v>
      </c>
      <c r="D62" s="215">
        <f>IF(D57&gt;D28,D61,D17)</f>
        <v>110.1591187270502</v>
      </c>
      <c r="E62" s="216" t="s">
        <v>279</v>
      </c>
      <c r="F62" s="50"/>
      <c r="G62" s="50"/>
      <c r="H62" s="50"/>
      <c r="I62" s="201"/>
    </row>
    <row r="63" spans="2:20" ht="3" customHeight="1" x14ac:dyDescent="0.2">
      <c r="B63" s="200"/>
      <c r="C63" s="121"/>
      <c r="D63" s="171"/>
      <c r="E63" s="50"/>
      <c r="F63" s="50"/>
      <c r="G63" s="50"/>
      <c r="H63" s="50"/>
      <c r="I63" s="201"/>
    </row>
    <row r="64" spans="2:20" ht="15" x14ac:dyDescent="0.25">
      <c r="B64" s="200"/>
      <c r="C64" s="121" t="s">
        <v>296</v>
      </c>
      <c r="D64" s="195">
        <f>D62*D23/1000</f>
        <v>16.744186046511629</v>
      </c>
      <c r="E64" s="50" t="s">
        <v>281</v>
      </c>
      <c r="F64" s="50"/>
      <c r="G64" s="50"/>
      <c r="H64" s="50"/>
      <c r="I64" s="201"/>
    </row>
    <row r="65" spans="2:9" ht="5.25" customHeight="1" x14ac:dyDescent="0.2">
      <c r="B65" s="200"/>
      <c r="C65" s="50"/>
      <c r="D65" s="50"/>
      <c r="E65" s="50"/>
      <c r="F65" s="50"/>
      <c r="G65" s="50"/>
      <c r="H65" s="50"/>
      <c r="I65" s="201"/>
    </row>
    <row r="66" spans="2:9" ht="15" x14ac:dyDescent="0.2">
      <c r="B66" s="200"/>
      <c r="C66" s="831" t="s">
        <v>290</v>
      </c>
      <c r="D66" s="831"/>
      <c r="E66" s="831"/>
      <c r="F66" s="831"/>
      <c r="G66" s="831"/>
      <c r="H66" s="831"/>
      <c r="I66" s="201"/>
    </row>
    <row r="67" spans="2:9" ht="6" customHeight="1" x14ac:dyDescent="0.2">
      <c r="B67" s="200"/>
      <c r="C67" s="50"/>
      <c r="D67" s="50"/>
      <c r="E67" s="50"/>
      <c r="F67" s="50"/>
      <c r="G67" s="50"/>
      <c r="H67" s="50"/>
      <c r="I67" s="201"/>
    </row>
    <row r="68" spans="2:9" x14ac:dyDescent="0.2">
      <c r="B68" s="200"/>
      <c r="C68" s="121" t="s">
        <v>278</v>
      </c>
      <c r="D68" s="204">
        <v>100</v>
      </c>
      <c r="E68" s="50" t="s">
        <v>279</v>
      </c>
      <c r="F68" s="50"/>
      <c r="G68" s="50"/>
      <c r="H68" s="50"/>
      <c r="I68" s="201"/>
    </row>
    <row r="69" spans="2:9" x14ac:dyDescent="0.2">
      <c r="B69" s="200"/>
      <c r="C69" s="121" t="s">
        <v>280</v>
      </c>
      <c r="D69" s="204">
        <v>40</v>
      </c>
      <c r="E69" s="50" t="s">
        <v>281</v>
      </c>
      <c r="F69" s="50"/>
      <c r="G69" s="50"/>
      <c r="H69" s="50"/>
      <c r="I69" s="201"/>
    </row>
    <row r="70" spans="2:9" ht="4.5" customHeight="1" x14ac:dyDescent="0.2">
      <c r="B70" s="200"/>
      <c r="C70" s="50"/>
      <c r="D70" s="50"/>
      <c r="E70" s="50"/>
      <c r="F70" s="50"/>
      <c r="G70" s="50"/>
      <c r="H70" s="50"/>
      <c r="I70" s="201"/>
    </row>
    <row r="71" spans="2:9" x14ac:dyDescent="0.2">
      <c r="B71" s="200"/>
      <c r="C71" s="121" t="s">
        <v>291</v>
      </c>
      <c r="D71" s="204">
        <v>76</v>
      </c>
      <c r="E71" s="50" t="s">
        <v>9</v>
      </c>
      <c r="F71" s="50"/>
      <c r="G71" s="50"/>
      <c r="H71" s="50"/>
      <c r="I71" s="201"/>
    </row>
    <row r="72" spans="2:9" ht="4.5" customHeight="1" thickBot="1" x14ac:dyDescent="0.25">
      <c r="B72" s="200"/>
      <c r="C72" s="50"/>
      <c r="D72" s="50"/>
      <c r="E72" s="50"/>
      <c r="F72" s="50"/>
      <c r="G72" s="50"/>
      <c r="H72" s="50"/>
      <c r="I72" s="201"/>
    </row>
    <row r="73" spans="2:9" ht="42" customHeight="1" thickBot="1" x14ac:dyDescent="0.25">
      <c r="B73" s="200"/>
      <c r="C73" s="119" t="s">
        <v>294</v>
      </c>
      <c r="D73" s="120" t="s">
        <v>288</v>
      </c>
      <c r="E73" s="120" t="s">
        <v>295</v>
      </c>
      <c r="F73" s="120" t="s">
        <v>299</v>
      </c>
      <c r="G73" s="120" t="s">
        <v>468</v>
      </c>
      <c r="H73" s="120" t="s">
        <v>289</v>
      </c>
      <c r="I73" s="201"/>
    </row>
    <row r="74" spans="2:9" ht="15.75" thickBot="1" x14ac:dyDescent="0.3">
      <c r="B74" s="200"/>
      <c r="C74" s="251">
        <v>1</v>
      </c>
      <c r="D74" s="251">
        <v>152</v>
      </c>
      <c r="E74" s="252">
        <v>1</v>
      </c>
      <c r="F74" s="4">
        <f>D74*E74</f>
        <v>152</v>
      </c>
      <c r="G74" s="4">
        <v>50</v>
      </c>
      <c r="H74" s="253">
        <f>((($D$69*(G74/100))^-1*(D74/1000))+($D$68^-1))*E74</f>
        <v>1.7600000000000001E-2</v>
      </c>
      <c r="I74" s="201"/>
    </row>
    <row r="75" spans="2:9" ht="15.75" thickBot="1" x14ac:dyDescent="0.3">
      <c r="B75" s="200"/>
      <c r="C75" s="251"/>
      <c r="D75" s="251"/>
      <c r="E75" s="252"/>
      <c r="F75" s="4"/>
      <c r="G75" s="4"/>
      <c r="H75" s="253"/>
      <c r="I75" s="201"/>
    </row>
    <row r="76" spans="2:9" ht="15" x14ac:dyDescent="0.25">
      <c r="B76" s="200"/>
      <c r="C76" s="122"/>
      <c r="D76" s="122"/>
      <c r="E76" s="123"/>
      <c r="F76" s="187"/>
      <c r="G76" s="124"/>
      <c r="H76" s="50"/>
      <c r="I76" s="201"/>
    </row>
    <row r="77" spans="2:9" ht="15" x14ac:dyDescent="0.25">
      <c r="B77" s="200"/>
      <c r="C77" s="125" t="s">
        <v>298</v>
      </c>
      <c r="D77" s="122">
        <f>SUM(F74:F76)</f>
        <v>152</v>
      </c>
      <c r="E77" s="126" t="s">
        <v>300</v>
      </c>
      <c r="F77" s="123"/>
      <c r="G77" s="124"/>
      <c r="H77" s="50"/>
      <c r="I77" s="201"/>
    </row>
    <row r="78" spans="2:9" ht="3.75" customHeight="1" x14ac:dyDescent="0.25">
      <c r="B78" s="200"/>
      <c r="C78" s="125"/>
      <c r="D78" s="122"/>
      <c r="E78" s="126"/>
      <c r="F78" s="123"/>
      <c r="G78" s="124"/>
      <c r="H78" s="50"/>
      <c r="I78" s="201"/>
    </row>
    <row r="79" spans="2:9" ht="15" x14ac:dyDescent="0.25">
      <c r="B79" s="200"/>
      <c r="C79" s="121" t="s">
        <v>296</v>
      </c>
      <c r="D79" s="195">
        <f>(SUM(H74:H76)^-1)*($D$77/1000)</f>
        <v>8.6363636363636349</v>
      </c>
      <c r="E79" s="50" t="s">
        <v>297</v>
      </c>
      <c r="F79" s="50"/>
      <c r="G79" s="50"/>
      <c r="H79" s="50"/>
      <c r="I79" s="201"/>
    </row>
    <row r="80" spans="2:9" ht="6.75" customHeight="1" x14ac:dyDescent="0.2">
      <c r="B80" s="200"/>
      <c r="C80" s="50"/>
      <c r="D80" s="50"/>
      <c r="E80" s="50"/>
      <c r="F80" s="50"/>
      <c r="G80" s="50"/>
      <c r="H80" s="50"/>
      <c r="I80" s="201"/>
    </row>
    <row r="81" spans="2:9" ht="15" x14ac:dyDescent="0.25">
      <c r="B81" s="207"/>
      <c r="C81" s="832" t="s">
        <v>302</v>
      </c>
      <c r="D81" s="832"/>
      <c r="E81" s="832"/>
      <c r="F81" s="832"/>
      <c r="G81" s="832"/>
      <c r="H81" s="832"/>
      <c r="I81" s="201"/>
    </row>
    <row r="82" spans="2:9" ht="3" customHeight="1" x14ac:dyDescent="0.2">
      <c r="B82" s="200"/>
      <c r="C82" s="50"/>
      <c r="D82" s="50"/>
      <c r="E82" s="50"/>
      <c r="F82" s="50"/>
      <c r="G82" s="50"/>
      <c r="H82" s="50"/>
      <c r="I82" s="201"/>
    </row>
    <row r="83" spans="2:9" x14ac:dyDescent="0.2">
      <c r="B83" s="200"/>
      <c r="C83" s="121" t="s">
        <v>305</v>
      </c>
      <c r="D83" s="208">
        <v>20000</v>
      </c>
      <c r="E83" s="50" t="s">
        <v>304</v>
      </c>
      <c r="F83" s="50"/>
      <c r="G83" s="50"/>
      <c r="H83" s="50"/>
      <c r="I83" s="201"/>
    </row>
    <row r="84" spans="2:9" x14ac:dyDescent="0.2">
      <c r="B84" s="200"/>
      <c r="C84" s="121" t="s">
        <v>303</v>
      </c>
      <c r="D84" s="204">
        <v>10</v>
      </c>
      <c r="E84" s="50" t="s">
        <v>304</v>
      </c>
      <c r="F84" s="50"/>
      <c r="G84" s="50"/>
      <c r="H84" s="50"/>
      <c r="I84" s="201"/>
    </row>
    <row r="85" spans="2:9" x14ac:dyDescent="0.2">
      <c r="B85" s="200"/>
      <c r="C85" s="121" t="s">
        <v>306</v>
      </c>
      <c r="D85" s="187">
        <v>400</v>
      </c>
      <c r="E85" s="50" t="s">
        <v>9</v>
      </c>
      <c r="F85" s="50"/>
      <c r="G85" s="50"/>
      <c r="H85" s="50"/>
      <c r="I85" s="201"/>
    </row>
    <row r="86" spans="2:9" ht="15" x14ac:dyDescent="0.25">
      <c r="B86" s="200"/>
      <c r="C86" s="121" t="s">
        <v>307</v>
      </c>
      <c r="D86" s="195">
        <f>10/D83*D85</f>
        <v>0.2</v>
      </c>
      <c r="E86" s="50" t="s">
        <v>9</v>
      </c>
      <c r="F86" s="50"/>
      <c r="G86" s="50"/>
      <c r="H86" s="50"/>
      <c r="I86" s="201"/>
    </row>
    <row r="87" spans="2:9" ht="13.5" thickBot="1" x14ac:dyDescent="0.25">
      <c r="B87" s="209"/>
      <c r="C87" s="210"/>
      <c r="D87" s="211"/>
      <c r="E87" s="211"/>
      <c r="F87" s="211"/>
      <c r="G87" s="211"/>
      <c r="H87" s="211"/>
      <c r="I87" s="212"/>
    </row>
    <row r="88" spans="2:9" ht="13.5" thickTop="1" x14ac:dyDescent="0.2"/>
    <row r="89" spans="2:9" x14ac:dyDescent="0.2">
      <c r="C89" s="2" t="s">
        <v>435</v>
      </c>
    </row>
    <row r="90" spans="2:9" x14ac:dyDescent="0.2">
      <c r="C90" s="196">
        <v>41957</v>
      </c>
    </row>
  </sheetData>
  <mergeCells count="7">
    <mergeCell ref="R17:R18"/>
    <mergeCell ref="C15:H15"/>
    <mergeCell ref="C66:H66"/>
    <mergeCell ref="C81:H81"/>
    <mergeCell ref="C5:H5"/>
    <mergeCell ref="C9:H9"/>
    <mergeCell ref="C31:C32"/>
  </mergeCells>
  <conditionalFormatting sqref="D62">
    <cfRule type="cellIs" dxfId="7" priority="4" stopIfTrue="1" operator="equal">
      <formula>$D$17</formula>
    </cfRule>
  </conditionalFormatting>
  <conditionalFormatting sqref="D61">
    <cfRule type="cellIs" dxfId="6" priority="3" stopIfTrue="1" operator="equal">
      <formula>$D$62</formula>
    </cfRule>
  </conditionalFormatting>
  <conditionalFormatting sqref="C62:E62">
    <cfRule type="expression" dxfId="5" priority="2" stopIfTrue="1">
      <formula>$D$62&lt;&gt;$D$17</formula>
    </cfRule>
  </conditionalFormatting>
  <conditionalFormatting sqref="C61:E61">
    <cfRule type="expression" dxfId="4" priority="1" stopIfTrue="1">
      <formula>$D$61&lt;&gt;$D$62</formula>
    </cfRule>
  </conditionalFormatting>
  <dataValidations count="3">
    <dataValidation type="list" allowBlank="1" showInputMessage="1" showErrorMessage="1" sqref="D72">
      <formula1>$K$69:$K$72</formula1>
    </dataValidation>
    <dataValidation type="list" allowBlank="1" showInputMessage="1" showErrorMessage="1" sqref="F57">
      <formula1>$K$57:$L$57</formula1>
    </dataValidation>
    <dataValidation type="list" allowBlank="1" showInputMessage="1" showErrorMessage="1" sqref="F46:F47">
      <formula1>$K$46:$L$46</formula1>
    </dataValidation>
  </dataValidations>
  <pageMargins left="0.511811024" right="0.511811024" top="0.78740157499999996" bottom="0.78740157499999996" header="0.31496062000000002" footer="0.31496062000000002"/>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666" r:id="rId4" name="Spinner 162">
              <controlPr defaultSize="0" autoPict="0" macro="[0]!RotacaoDaPrensa" altText="Comando utilizado para controlar a velocidade da prensa.">
                <anchor moveWithCells="1" sizeWithCells="1">
                  <from>
                    <xdr:col>4</xdr:col>
                    <xdr:colOff>552450</xdr:colOff>
                    <xdr:row>16</xdr:row>
                    <xdr:rowOff>38100</xdr:rowOff>
                  </from>
                  <to>
                    <xdr:col>5</xdr:col>
                    <xdr:colOff>47625</xdr:colOff>
                    <xdr:row>17</xdr:row>
                    <xdr:rowOff>0</xdr:rowOff>
                  </to>
                </anchor>
              </controlPr>
            </control>
          </mc:Choice>
        </mc:AlternateContent>
        <mc:AlternateContent xmlns:mc="http://schemas.openxmlformats.org/markup-compatibility/2006">
          <mc:Choice Requires="x14">
            <control shapeId="21667" r:id="rId5" name="Spinner 163">
              <controlPr defaultSize="0" autoPict="0" macro="[0]!AceleracaoDoFeeder" altText="Comando utilizado para controlar a velocidade da prensa.">
                <anchor moveWithCells="1" sizeWithCells="1">
                  <from>
                    <xdr:col>4</xdr:col>
                    <xdr:colOff>552450</xdr:colOff>
                    <xdr:row>19</xdr:row>
                    <xdr:rowOff>28575</xdr:rowOff>
                  </from>
                  <to>
                    <xdr:col>5</xdr:col>
                    <xdr:colOff>47625</xdr:colOff>
                    <xdr:row>19</xdr:row>
                    <xdr:rowOff>180975</xdr:rowOff>
                  </to>
                </anchor>
              </controlPr>
            </control>
          </mc:Choice>
        </mc:AlternateContent>
        <mc:AlternateContent xmlns:mc="http://schemas.openxmlformats.org/markup-compatibility/2006">
          <mc:Choice Requires="x14">
            <control shapeId="21668" r:id="rId6" name="Scroll Bar 164">
              <controlPr defaultSize="0" autoPict="0">
                <anchor moveWithCells="1">
                  <from>
                    <xdr:col>4</xdr:col>
                    <xdr:colOff>552450</xdr:colOff>
                    <xdr:row>22</xdr:row>
                    <xdr:rowOff>9525</xdr:rowOff>
                  </from>
                  <to>
                    <xdr:col>7</xdr:col>
                    <xdr:colOff>361950</xdr:colOff>
                    <xdr:row>22</xdr:row>
                    <xdr:rowOff>161925</xdr:rowOff>
                  </to>
                </anchor>
              </controlPr>
            </control>
          </mc:Choice>
        </mc:AlternateContent>
        <mc:AlternateContent xmlns:mc="http://schemas.openxmlformats.org/markup-compatibility/2006">
          <mc:Choice Requires="x14">
            <control shapeId="21669" r:id="rId7" name="Spinner 165">
              <controlPr defaultSize="0" autoPict="0" macro="[0]!AceleracaoDoFeeder" altText="Comando utilizado para controlar a velocidade da prensa.">
                <anchor moveWithCells="1" sizeWithCells="1">
                  <from>
                    <xdr:col>4</xdr:col>
                    <xdr:colOff>552450</xdr:colOff>
                    <xdr:row>18</xdr:row>
                    <xdr:rowOff>19050</xdr:rowOff>
                  </from>
                  <to>
                    <xdr:col>5</xdr:col>
                    <xdr:colOff>47625</xdr:colOff>
                    <xdr:row>18</xdr:row>
                    <xdr:rowOff>171450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4">
    <tabColor theme="1"/>
  </sheetPr>
  <dimension ref="B1:CI92"/>
  <sheetViews>
    <sheetView showGridLines="0" showRowColHeaders="0" topLeftCell="A55" workbookViewId="0"/>
  </sheetViews>
  <sheetFormatPr defaultRowHeight="12.75" x14ac:dyDescent="0.2"/>
  <cols>
    <col min="1" max="1" width="9.140625" style="257"/>
    <col min="2" max="2" width="25.85546875" style="257" customWidth="1"/>
    <col min="3" max="3" width="11.42578125" style="257" customWidth="1"/>
    <col min="4" max="4" width="10.140625" style="257" customWidth="1"/>
    <col min="5" max="5" width="15.5703125" style="257" customWidth="1"/>
    <col min="6" max="6" width="9.140625" style="257"/>
    <col min="7" max="10" width="15.7109375" style="257" hidden="1" customWidth="1"/>
    <col min="11" max="72" width="9.140625" style="257" hidden="1" customWidth="1"/>
    <col min="73" max="74" width="9.140625" style="257" customWidth="1"/>
    <col min="75" max="16384" width="9.140625" style="257"/>
  </cols>
  <sheetData>
    <row r="1" spans="2:75" ht="13.5" thickBot="1" x14ac:dyDescent="0.25"/>
    <row r="2" spans="2:75" ht="15" x14ac:dyDescent="0.25">
      <c r="B2" s="833" t="s">
        <v>470</v>
      </c>
      <c r="C2" s="834"/>
      <c r="D2" s="834"/>
      <c r="E2" s="834"/>
      <c r="F2" s="835"/>
    </row>
    <row r="3" spans="2:75" ht="13.5" thickBot="1" x14ac:dyDescent="0.25">
      <c r="B3" s="259"/>
      <c r="C3" s="260"/>
      <c r="D3" s="260"/>
      <c r="E3" s="260"/>
      <c r="F3" s="261"/>
    </row>
    <row r="4" spans="2:75" ht="15.75" thickBot="1" x14ac:dyDescent="0.3">
      <c r="B4" s="264" t="s">
        <v>473</v>
      </c>
      <c r="C4" s="265">
        <v>10</v>
      </c>
      <c r="D4" s="266" t="s">
        <v>281</v>
      </c>
      <c r="E4" s="260"/>
      <c r="F4" s="261"/>
    </row>
    <row r="5" spans="2:75" ht="15.75" thickBot="1" x14ac:dyDescent="0.25">
      <c r="B5" s="268"/>
      <c r="C5" s="269">
        <f>C4/60</f>
        <v>0.16666666666666666</v>
      </c>
      <c r="D5" s="266" t="s">
        <v>394</v>
      </c>
      <c r="E5" s="260"/>
      <c r="F5" s="261"/>
      <c r="BV5" s="258" t="s">
        <v>471</v>
      </c>
    </row>
    <row r="6" spans="2:75" ht="15.75" thickBot="1" x14ac:dyDescent="0.3">
      <c r="B6" s="264" t="s">
        <v>475</v>
      </c>
      <c r="C6" s="265">
        <v>5</v>
      </c>
      <c r="D6" s="266" t="s">
        <v>476</v>
      </c>
      <c r="E6" s="260"/>
      <c r="F6" s="261"/>
      <c r="BV6" s="262"/>
      <c r="BW6" s="263" t="s">
        <v>472</v>
      </c>
    </row>
    <row r="7" spans="2:75" ht="13.5" thickBot="1" x14ac:dyDescent="0.25">
      <c r="B7" s="259"/>
      <c r="C7" s="260"/>
      <c r="D7" s="260"/>
      <c r="E7" s="260"/>
      <c r="F7" s="261"/>
      <c r="BV7" s="267"/>
      <c r="BW7" s="263" t="s">
        <v>474</v>
      </c>
    </row>
    <row r="8" spans="2:75" ht="15.75" thickBot="1" x14ac:dyDescent="0.3">
      <c r="B8" s="836" t="s">
        <v>477</v>
      </c>
      <c r="C8" s="837"/>
      <c r="D8" s="837"/>
      <c r="E8" s="837"/>
      <c r="F8" s="838"/>
    </row>
    <row r="9" spans="2:75" ht="13.5" thickBot="1" x14ac:dyDescent="0.25">
      <c r="B9" s="270"/>
      <c r="C9" s="271"/>
      <c r="D9" s="271"/>
      <c r="E9" s="271"/>
      <c r="F9" s="272"/>
    </row>
    <row r="10" spans="2:75" ht="15.75" thickBot="1" x14ac:dyDescent="0.3">
      <c r="B10" s="264" t="s">
        <v>286</v>
      </c>
      <c r="C10" s="265">
        <v>50</v>
      </c>
      <c r="D10" s="273" t="s">
        <v>9</v>
      </c>
      <c r="E10" s="260"/>
      <c r="F10" s="261"/>
      <c r="G10" s="274" t="s">
        <v>478</v>
      </c>
      <c r="H10" s="275" t="s">
        <v>479</v>
      </c>
      <c r="I10" s="275" t="s">
        <v>480</v>
      </c>
      <c r="J10" s="275" t="s">
        <v>481</v>
      </c>
      <c r="K10" s="276"/>
      <c r="L10" s="238" t="s">
        <v>456</v>
      </c>
      <c r="M10" s="238" t="s">
        <v>444</v>
      </c>
      <c r="N10" s="238" t="s">
        <v>445</v>
      </c>
    </row>
    <row r="11" spans="2:75" ht="18.75" thickBot="1" x14ac:dyDescent="0.4">
      <c r="B11" s="264" t="s">
        <v>482</v>
      </c>
      <c r="C11" s="277">
        <f>(H11*2+(J11))</f>
        <v>0.33333333333333337</v>
      </c>
      <c r="D11" s="273" t="s">
        <v>187</v>
      </c>
      <c r="E11" s="260"/>
      <c r="F11" s="261"/>
      <c r="G11" s="278">
        <f>(($C$5^2)/(2*$C$6))</f>
        <v>2.7777777777777775E-3</v>
      </c>
      <c r="H11" s="279">
        <f>SQRT(2*G11/$C$6)</f>
        <v>3.3333333333333333E-2</v>
      </c>
      <c r="I11" s="279">
        <f>C10/1000-(2*G11)</f>
        <v>4.4444444444444446E-2</v>
      </c>
      <c r="J11" s="279">
        <f>I11/$C$5</f>
        <v>0.26666666666666672</v>
      </c>
      <c r="K11" s="280" t="s">
        <v>452</v>
      </c>
      <c r="L11" s="243">
        <v>0</v>
      </c>
      <c r="M11" s="243">
        <v>0</v>
      </c>
      <c r="N11" s="243">
        <v>0</v>
      </c>
    </row>
    <row r="12" spans="2:75" ht="18.75" thickBot="1" x14ac:dyDescent="0.4">
      <c r="B12" s="264" t="s">
        <v>483</v>
      </c>
      <c r="C12" s="281">
        <f>(C10/1000)*60/(C11)</f>
        <v>8.9999999999999982</v>
      </c>
      <c r="D12" s="273" t="s">
        <v>281</v>
      </c>
      <c r="E12" s="260"/>
      <c r="F12" s="261"/>
      <c r="K12" s="280" t="s">
        <v>453</v>
      </c>
      <c r="L12" s="244">
        <f>G11*1000</f>
        <v>2.7777777777777772</v>
      </c>
      <c r="M12" s="240">
        <f>H11</f>
        <v>3.3333333333333333E-2</v>
      </c>
      <c r="N12" s="244">
        <f>C4</f>
        <v>10</v>
      </c>
    </row>
    <row r="13" spans="2:75" ht="18" x14ac:dyDescent="0.35">
      <c r="B13" s="259"/>
      <c r="C13" s="260"/>
      <c r="D13" s="260"/>
      <c r="E13" s="260"/>
      <c r="F13" s="261"/>
      <c r="K13" s="280" t="s">
        <v>454</v>
      </c>
      <c r="L13" s="245">
        <f>(G11+I11)*1000</f>
        <v>47.222222222222221</v>
      </c>
      <c r="M13" s="242">
        <f>M12+J11</f>
        <v>0.30000000000000004</v>
      </c>
      <c r="N13" s="245">
        <f>C4</f>
        <v>10</v>
      </c>
    </row>
    <row r="14" spans="2:75" ht="18" x14ac:dyDescent="0.35">
      <c r="B14" s="259"/>
      <c r="C14" s="260"/>
      <c r="D14" s="260"/>
      <c r="E14" s="297" t="s">
        <v>484</v>
      </c>
      <c r="F14" s="323">
        <f>(C4/C12)^-1</f>
        <v>0.8999999999999998</v>
      </c>
      <c r="K14" s="280" t="s">
        <v>455</v>
      </c>
      <c r="L14" s="244">
        <f>L12+L13</f>
        <v>50</v>
      </c>
      <c r="M14" s="240">
        <f>C11</f>
        <v>0.33333333333333337</v>
      </c>
      <c r="N14" s="241">
        <v>0</v>
      </c>
    </row>
    <row r="15" spans="2:75" ht="15" x14ac:dyDescent="0.2">
      <c r="B15" s="259"/>
      <c r="C15" s="260"/>
      <c r="D15" s="260"/>
      <c r="E15" s="300" t="s">
        <v>525</v>
      </c>
      <c r="F15" s="323">
        <f>100%-F14</f>
        <v>0.1000000000000002</v>
      </c>
    </row>
    <row r="16" spans="2:75" ht="15.75" thickBot="1" x14ac:dyDescent="0.25">
      <c r="B16" s="259"/>
      <c r="C16" s="260"/>
      <c r="D16" s="260"/>
      <c r="E16" s="260"/>
      <c r="F16" s="261"/>
      <c r="G16" s="282"/>
    </row>
    <row r="17" spans="2:87" ht="13.5" thickTop="1" x14ac:dyDescent="0.2">
      <c r="B17" s="259"/>
      <c r="C17" s="260"/>
      <c r="D17" s="260"/>
      <c r="E17" s="260"/>
      <c r="F17" s="261"/>
      <c r="BX17" s="283"/>
    </row>
    <row r="18" spans="2:87" x14ac:dyDescent="0.2">
      <c r="B18" s="259"/>
      <c r="C18" s="260"/>
      <c r="D18" s="260"/>
      <c r="E18" s="260"/>
      <c r="F18" s="261"/>
    </row>
    <row r="19" spans="2:87" x14ac:dyDescent="0.2">
      <c r="B19" s="259"/>
      <c r="C19" s="260"/>
      <c r="D19" s="260"/>
      <c r="E19" s="260"/>
      <c r="F19" s="261"/>
    </row>
    <row r="20" spans="2:87" x14ac:dyDescent="0.2">
      <c r="B20" s="259"/>
      <c r="C20" s="260"/>
      <c r="D20" s="260"/>
      <c r="E20" s="260"/>
      <c r="F20" s="261"/>
    </row>
    <row r="21" spans="2:87" x14ac:dyDescent="0.2">
      <c r="B21" s="259"/>
      <c r="C21" s="260"/>
      <c r="D21" s="260"/>
      <c r="E21" s="260"/>
      <c r="F21" s="261"/>
    </row>
    <row r="22" spans="2:87" x14ac:dyDescent="0.2">
      <c r="B22" s="259"/>
      <c r="C22" s="260"/>
      <c r="D22" s="260"/>
      <c r="E22" s="260"/>
      <c r="F22" s="261"/>
    </row>
    <row r="23" spans="2:87" x14ac:dyDescent="0.2">
      <c r="B23" s="259"/>
      <c r="C23" s="260"/>
      <c r="D23" s="260"/>
      <c r="E23" s="260"/>
      <c r="F23" s="261"/>
    </row>
    <row r="24" spans="2:87" ht="13.5" thickBot="1" x14ac:dyDescent="0.25">
      <c r="B24" s="284"/>
      <c r="C24" s="285"/>
      <c r="D24" s="285"/>
      <c r="E24" s="285"/>
      <c r="F24" s="286"/>
    </row>
    <row r="25" spans="2:87" ht="15.75" thickBot="1" x14ac:dyDescent="0.3">
      <c r="B25" s="839" t="s">
        <v>485</v>
      </c>
      <c r="C25" s="840"/>
      <c r="D25" s="840"/>
      <c r="E25" s="840"/>
      <c r="F25" s="841"/>
      <c r="BU25" s="287"/>
      <c r="BV25" s="288"/>
      <c r="BW25" s="288"/>
      <c r="BX25" s="288"/>
      <c r="BY25" s="288"/>
      <c r="BZ25" s="288"/>
      <c r="CA25" s="288"/>
      <c r="CB25" s="288"/>
      <c r="CC25" s="288"/>
      <c r="CD25" s="288"/>
      <c r="CE25" s="288"/>
      <c r="CF25" s="288"/>
      <c r="CG25" s="288"/>
      <c r="CH25" s="288"/>
      <c r="CI25" s="289"/>
    </row>
    <row r="26" spans="2:87" ht="13.5" thickBot="1" x14ac:dyDescent="0.25">
      <c r="B26" s="259"/>
      <c r="C26" s="260"/>
      <c r="D26" s="260"/>
      <c r="E26" s="260"/>
      <c r="F26" s="261"/>
      <c r="BU26" s="259"/>
      <c r="BV26" s="260"/>
      <c r="BW26" s="260"/>
      <c r="BX26" s="260"/>
      <c r="BY26" s="260"/>
      <c r="BZ26" s="260"/>
      <c r="CA26" s="260"/>
      <c r="CB26" s="260"/>
      <c r="CC26" s="260"/>
      <c r="CD26" s="260"/>
      <c r="CE26" s="260"/>
      <c r="CF26" s="260"/>
      <c r="CG26" s="260"/>
      <c r="CH26" s="260"/>
      <c r="CI26" s="261"/>
    </row>
    <row r="27" spans="2:87" ht="26.25" thickBot="1" x14ac:dyDescent="0.25">
      <c r="B27" s="256" t="s">
        <v>294</v>
      </c>
      <c r="C27" s="255" t="s">
        <v>288</v>
      </c>
      <c r="D27" s="255" t="s">
        <v>295</v>
      </c>
      <c r="E27" s="255" t="s">
        <v>299</v>
      </c>
      <c r="F27" s="255" t="s">
        <v>486</v>
      </c>
      <c r="G27" s="274" t="s">
        <v>478</v>
      </c>
      <c r="H27" s="275" t="s">
        <v>479</v>
      </c>
      <c r="I27" s="275" t="s">
        <v>480</v>
      </c>
      <c r="J27" s="275" t="s">
        <v>481</v>
      </c>
      <c r="L27" s="290"/>
      <c r="M27" s="842" t="s">
        <v>487</v>
      </c>
      <c r="N27" s="842"/>
      <c r="O27" s="842"/>
      <c r="P27" s="842" t="s">
        <v>488</v>
      </c>
      <c r="Q27" s="842"/>
      <c r="R27" s="842"/>
      <c r="S27" s="842" t="s">
        <v>489</v>
      </c>
      <c r="T27" s="842"/>
      <c r="U27" s="842"/>
      <c r="V27" s="842" t="s">
        <v>490</v>
      </c>
      <c r="W27" s="842"/>
      <c r="X27" s="842"/>
      <c r="Y27" s="842" t="s">
        <v>491</v>
      </c>
      <c r="Z27" s="842"/>
      <c r="AA27" s="842"/>
      <c r="AB27" s="842" t="s">
        <v>492</v>
      </c>
      <c r="AC27" s="842"/>
      <c r="AD27" s="842"/>
      <c r="AE27" s="842" t="s">
        <v>493</v>
      </c>
      <c r="AF27" s="842"/>
      <c r="AG27" s="842"/>
      <c r="AH27" s="842" t="s">
        <v>494</v>
      </c>
      <c r="AI27" s="842"/>
      <c r="AJ27" s="842"/>
      <c r="AK27" s="842" t="s">
        <v>495</v>
      </c>
      <c r="AL27" s="842"/>
      <c r="AM27" s="842"/>
      <c r="AN27" s="842" t="s">
        <v>496</v>
      </c>
      <c r="AO27" s="842"/>
      <c r="AP27" s="842"/>
      <c r="AQ27" s="842" t="s">
        <v>497</v>
      </c>
      <c r="AR27" s="842"/>
      <c r="AS27" s="842"/>
      <c r="AT27" s="842" t="s">
        <v>498</v>
      </c>
      <c r="AU27" s="842"/>
      <c r="AV27" s="842"/>
      <c r="AW27" s="842" t="s">
        <v>499</v>
      </c>
      <c r="AX27" s="842"/>
      <c r="AY27" s="842"/>
      <c r="AZ27" s="842" t="s">
        <v>500</v>
      </c>
      <c r="BA27" s="842"/>
      <c r="BB27" s="842"/>
      <c r="BC27" s="842" t="s">
        <v>501</v>
      </c>
      <c r="BD27" s="842"/>
      <c r="BE27" s="842"/>
      <c r="BF27" s="842" t="s">
        <v>502</v>
      </c>
      <c r="BG27" s="842"/>
      <c r="BH27" s="842"/>
      <c r="BI27" s="842" t="s">
        <v>503</v>
      </c>
      <c r="BJ27" s="842"/>
      <c r="BK27" s="842"/>
      <c r="BL27" s="842" t="s">
        <v>504</v>
      </c>
      <c r="BM27" s="842"/>
      <c r="BN27" s="842"/>
      <c r="BO27" s="842" t="s">
        <v>505</v>
      </c>
      <c r="BP27" s="842"/>
      <c r="BQ27" s="842"/>
      <c r="BR27" s="842" t="s">
        <v>506</v>
      </c>
      <c r="BS27" s="842"/>
      <c r="BT27" s="842"/>
      <c r="BU27" s="259"/>
      <c r="BV27" s="260"/>
      <c r="BW27" s="260"/>
      <c r="BX27" s="260"/>
      <c r="BY27" s="260"/>
      <c r="BZ27" s="260"/>
      <c r="CA27" s="260"/>
      <c r="CB27" s="260"/>
      <c r="CC27" s="260"/>
      <c r="CD27" s="260"/>
      <c r="CE27" s="260"/>
      <c r="CF27" s="260"/>
      <c r="CG27" s="260"/>
      <c r="CH27" s="260"/>
      <c r="CI27" s="261"/>
    </row>
    <row r="28" spans="2:87" ht="15.75" thickBot="1" x14ac:dyDescent="0.3">
      <c r="B28" s="291">
        <v>1</v>
      </c>
      <c r="C28" s="292">
        <v>100</v>
      </c>
      <c r="D28" s="292">
        <v>1</v>
      </c>
      <c r="E28" s="291">
        <f>C28*D28</f>
        <v>100</v>
      </c>
      <c r="F28" s="291">
        <f>IF(C28&gt;0,(H28*2+(J28)),0)</f>
        <v>0.63333333333333341</v>
      </c>
      <c r="G28" s="278">
        <f>(($C$5^2)/(2*$C$6))</f>
        <v>2.7777777777777775E-3</v>
      </c>
      <c r="H28" s="279">
        <f>SQRT(2*G28/$C$6)</f>
        <v>3.3333333333333333E-2</v>
      </c>
      <c r="I28" s="279">
        <f>C28/1000-(2*G28)</f>
        <v>9.4444444444444456E-2</v>
      </c>
      <c r="J28" s="279">
        <f>I28/$C$5</f>
        <v>0.56666666666666676</v>
      </c>
      <c r="L28" s="276"/>
      <c r="M28" s="238" t="s">
        <v>456</v>
      </c>
      <c r="N28" s="238" t="s">
        <v>444</v>
      </c>
      <c r="O28" s="238" t="s">
        <v>445</v>
      </c>
      <c r="P28" s="238" t="s">
        <v>456</v>
      </c>
      <c r="Q28" s="238" t="s">
        <v>444</v>
      </c>
      <c r="R28" s="238" t="s">
        <v>445</v>
      </c>
      <c r="S28" s="238" t="s">
        <v>456</v>
      </c>
      <c r="T28" s="238" t="s">
        <v>444</v>
      </c>
      <c r="U28" s="238" t="s">
        <v>445</v>
      </c>
      <c r="V28" s="238" t="s">
        <v>456</v>
      </c>
      <c r="W28" s="238" t="s">
        <v>444</v>
      </c>
      <c r="X28" s="238" t="s">
        <v>445</v>
      </c>
      <c r="Y28" s="238" t="s">
        <v>456</v>
      </c>
      <c r="Z28" s="238" t="s">
        <v>444</v>
      </c>
      <c r="AA28" s="238" t="s">
        <v>445</v>
      </c>
      <c r="AB28" s="238" t="s">
        <v>456</v>
      </c>
      <c r="AC28" s="238" t="s">
        <v>444</v>
      </c>
      <c r="AD28" s="238" t="s">
        <v>445</v>
      </c>
      <c r="AE28" s="238" t="s">
        <v>456</v>
      </c>
      <c r="AF28" s="238" t="s">
        <v>444</v>
      </c>
      <c r="AG28" s="238" t="s">
        <v>445</v>
      </c>
      <c r="AH28" s="238" t="s">
        <v>456</v>
      </c>
      <c r="AI28" s="238" t="s">
        <v>444</v>
      </c>
      <c r="AJ28" s="238" t="s">
        <v>445</v>
      </c>
      <c r="AK28" s="238" t="s">
        <v>456</v>
      </c>
      <c r="AL28" s="238" t="s">
        <v>444</v>
      </c>
      <c r="AM28" s="238" t="s">
        <v>445</v>
      </c>
      <c r="AN28" s="238" t="s">
        <v>456</v>
      </c>
      <c r="AO28" s="238" t="s">
        <v>444</v>
      </c>
      <c r="AP28" s="238" t="s">
        <v>445</v>
      </c>
      <c r="AQ28" s="238" t="s">
        <v>456</v>
      </c>
      <c r="AR28" s="238" t="s">
        <v>444</v>
      </c>
      <c r="AS28" s="238" t="s">
        <v>445</v>
      </c>
      <c r="AT28" s="238" t="s">
        <v>456</v>
      </c>
      <c r="AU28" s="238" t="s">
        <v>444</v>
      </c>
      <c r="AV28" s="238" t="s">
        <v>445</v>
      </c>
      <c r="AW28" s="238" t="s">
        <v>456</v>
      </c>
      <c r="AX28" s="238" t="s">
        <v>444</v>
      </c>
      <c r="AY28" s="238" t="s">
        <v>445</v>
      </c>
      <c r="AZ28" s="238" t="s">
        <v>456</v>
      </c>
      <c r="BA28" s="238" t="s">
        <v>444</v>
      </c>
      <c r="BB28" s="238" t="s">
        <v>445</v>
      </c>
      <c r="BC28" s="238" t="s">
        <v>456</v>
      </c>
      <c r="BD28" s="238" t="s">
        <v>444</v>
      </c>
      <c r="BE28" s="238" t="s">
        <v>445</v>
      </c>
      <c r="BF28" s="238" t="s">
        <v>456</v>
      </c>
      <c r="BG28" s="238" t="s">
        <v>444</v>
      </c>
      <c r="BH28" s="238" t="s">
        <v>445</v>
      </c>
      <c r="BI28" s="238" t="s">
        <v>456</v>
      </c>
      <c r="BJ28" s="238" t="s">
        <v>444</v>
      </c>
      <c r="BK28" s="238" t="s">
        <v>445</v>
      </c>
      <c r="BL28" s="238" t="s">
        <v>456</v>
      </c>
      <c r="BM28" s="238" t="s">
        <v>444</v>
      </c>
      <c r="BN28" s="238" t="s">
        <v>445</v>
      </c>
      <c r="BO28" s="238" t="s">
        <v>456</v>
      </c>
      <c r="BP28" s="238" t="s">
        <v>444</v>
      </c>
      <c r="BQ28" s="238" t="s">
        <v>445</v>
      </c>
      <c r="BR28" s="238" t="s">
        <v>456</v>
      </c>
      <c r="BS28" s="238" t="s">
        <v>444</v>
      </c>
      <c r="BT28" s="238" t="s">
        <v>445</v>
      </c>
      <c r="BU28" s="259"/>
      <c r="BV28" s="260"/>
      <c r="BW28" s="260"/>
      <c r="BX28" s="260"/>
      <c r="BY28" s="260"/>
      <c r="BZ28" s="260"/>
      <c r="CA28" s="260"/>
      <c r="CB28" s="260"/>
      <c r="CC28" s="260"/>
      <c r="CD28" s="260"/>
      <c r="CE28" s="260"/>
      <c r="CF28" s="260"/>
      <c r="CG28" s="260"/>
      <c r="CH28" s="260"/>
      <c r="CI28" s="261"/>
    </row>
    <row r="29" spans="2:87" ht="18.75" thickBot="1" x14ac:dyDescent="0.4">
      <c r="B29" s="291">
        <v>2</v>
      </c>
      <c r="C29" s="292">
        <v>342</v>
      </c>
      <c r="D29" s="292">
        <v>1</v>
      </c>
      <c r="E29" s="291">
        <f t="shared" ref="E29:E47" si="0">C29*D29</f>
        <v>342</v>
      </c>
      <c r="F29" s="291">
        <f t="shared" ref="F29:F47" si="1">IF(C29&gt;0,(H29*2+(J29)),0)</f>
        <v>2.0853333333333341</v>
      </c>
      <c r="G29" s="278">
        <f t="shared" ref="G29:G47" si="2">(($C$5^2)/(2*$C$6))</f>
        <v>2.7777777777777775E-3</v>
      </c>
      <c r="H29" s="279">
        <f t="shared" ref="H29:H47" si="3">SQRT(2*G29/$C$6)</f>
        <v>3.3333333333333333E-2</v>
      </c>
      <c r="I29" s="279">
        <f t="shared" ref="I29:I47" si="4">C29/1000-(2*G29)</f>
        <v>0.33644444444444449</v>
      </c>
      <c r="J29" s="279">
        <f t="shared" ref="J29:J47" si="5">I29/$C$5</f>
        <v>2.0186666666666673</v>
      </c>
      <c r="L29" s="280" t="s">
        <v>452</v>
      </c>
      <c r="M29" s="243">
        <v>0</v>
      </c>
      <c r="N29" s="243">
        <v>0</v>
      </c>
      <c r="O29" s="243">
        <v>0</v>
      </c>
      <c r="P29" s="243">
        <v>0</v>
      </c>
      <c r="Q29" s="243">
        <v>0</v>
      </c>
      <c r="R29" s="243">
        <v>0</v>
      </c>
      <c r="S29" s="243">
        <v>0</v>
      </c>
      <c r="T29" s="243">
        <v>0</v>
      </c>
      <c r="U29" s="243">
        <v>0</v>
      </c>
      <c r="V29" s="243">
        <v>0</v>
      </c>
      <c r="W29" s="243">
        <v>0</v>
      </c>
      <c r="X29" s="243">
        <v>0</v>
      </c>
      <c r="Y29" s="243">
        <v>0</v>
      </c>
      <c r="Z29" s="243">
        <v>0</v>
      </c>
      <c r="AA29" s="243">
        <v>0</v>
      </c>
      <c r="AB29" s="243">
        <v>0</v>
      </c>
      <c r="AC29" s="243">
        <v>0</v>
      </c>
      <c r="AD29" s="243">
        <v>0</v>
      </c>
      <c r="AE29" s="243">
        <v>0</v>
      </c>
      <c r="AF29" s="243">
        <v>0</v>
      </c>
      <c r="AG29" s="243">
        <v>0</v>
      </c>
      <c r="AH29" s="243">
        <v>0</v>
      </c>
      <c r="AI29" s="243">
        <v>0</v>
      </c>
      <c r="AJ29" s="243">
        <v>0</v>
      </c>
      <c r="AK29" s="243">
        <v>0</v>
      </c>
      <c r="AL29" s="243">
        <v>0</v>
      </c>
      <c r="AM29" s="243">
        <v>0</v>
      </c>
      <c r="AN29" s="243">
        <v>0</v>
      </c>
      <c r="AO29" s="243">
        <v>0</v>
      </c>
      <c r="AP29" s="243">
        <v>0</v>
      </c>
      <c r="AQ29" s="243">
        <v>0</v>
      </c>
      <c r="AR29" s="243">
        <v>0</v>
      </c>
      <c r="AS29" s="243">
        <v>0</v>
      </c>
      <c r="AT29" s="243">
        <v>0</v>
      </c>
      <c r="AU29" s="243">
        <v>0</v>
      </c>
      <c r="AV29" s="243">
        <v>0</v>
      </c>
      <c r="AW29" s="243">
        <v>0</v>
      </c>
      <c r="AX29" s="243">
        <v>0</v>
      </c>
      <c r="AY29" s="243">
        <v>0</v>
      </c>
      <c r="AZ29" s="243">
        <v>0</v>
      </c>
      <c r="BA29" s="243">
        <v>0</v>
      </c>
      <c r="BB29" s="243">
        <v>0</v>
      </c>
      <c r="BC29" s="243">
        <v>0</v>
      </c>
      <c r="BD29" s="243">
        <v>0</v>
      </c>
      <c r="BE29" s="243">
        <v>0</v>
      </c>
      <c r="BF29" s="243">
        <v>0</v>
      </c>
      <c r="BG29" s="243">
        <v>0</v>
      </c>
      <c r="BH29" s="243">
        <v>0</v>
      </c>
      <c r="BI29" s="243">
        <v>0</v>
      </c>
      <c r="BJ29" s="243">
        <v>0</v>
      </c>
      <c r="BK29" s="243">
        <v>0</v>
      </c>
      <c r="BL29" s="243">
        <v>0</v>
      </c>
      <c r="BM29" s="243">
        <v>0</v>
      </c>
      <c r="BN29" s="243">
        <v>0</v>
      </c>
      <c r="BO29" s="243">
        <v>0</v>
      </c>
      <c r="BP29" s="243">
        <v>0</v>
      </c>
      <c r="BQ29" s="243">
        <v>0</v>
      </c>
      <c r="BR29" s="243">
        <v>0</v>
      </c>
      <c r="BS29" s="243">
        <v>0</v>
      </c>
      <c r="BT29" s="293">
        <v>0</v>
      </c>
      <c r="BU29" s="259"/>
      <c r="BV29" s="260"/>
      <c r="BW29" s="260"/>
      <c r="BX29" s="260"/>
      <c r="BY29" s="260"/>
      <c r="BZ29" s="260"/>
      <c r="CA29" s="260"/>
      <c r="CB29" s="260"/>
      <c r="CC29" s="260"/>
      <c r="CD29" s="260"/>
      <c r="CE29" s="260"/>
      <c r="CF29" s="260"/>
      <c r="CG29" s="260"/>
      <c r="CH29" s="260"/>
      <c r="CI29" s="261"/>
    </row>
    <row r="30" spans="2:87" ht="18.75" thickBot="1" x14ac:dyDescent="0.4">
      <c r="B30" s="291">
        <v>3</v>
      </c>
      <c r="C30" s="292">
        <v>1300</v>
      </c>
      <c r="D30" s="292">
        <v>1</v>
      </c>
      <c r="E30" s="291">
        <f t="shared" si="0"/>
        <v>1300</v>
      </c>
      <c r="F30" s="291">
        <f t="shared" si="1"/>
        <v>7.8333333333333339</v>
      </c>
      <c r="G30" s="278">
        <f t="shared" si="2"/>
        <v>2.7777777777777775E-3</v>
      </c>
      <c r="H30" s="279">
        <f t="shared" si="3"/>
        <v>3.3333333333333333E-2</v>
      </c>
      <c r="I30" s="279">
        <f t="shared" si="4"/>
        <v>1.2944444444444445</v>
      </c>
      <c r="J30" s="279">
        <f t="shared" si="5"/>
        <v>7.7666666666666675</v>
      </c>
      <c r="L30" s="280" t="s">
        <v>453</v>
      </c>
      <c r="M30" s="244">
        <f>G28*1000</f>
        <v>2.7777777777777772</v>
      </c>
      <c r="N30" s="240">
        <f>H28</f>
        <v>3.3333333333333333E-2</v>
      </c>
      <c r="O30" s="244">
        <f>$C$4</f>
        <v>10</v>
      </c>
      <c r="P30" s="244">
        <f>G29*1000</f>
        <v>2.7777777777777772</v>
      </c>
      <c r="Q30" s="240">
        <f>H29</f>
        <v>3.3333333333333333E-2</v>
      </c>
      <c r="R30" s="244">
        <f>$C$4</f>
        <v>10</v>
      </c>
      <c r="S30" s="244">
        <f>$G$30*1000</f>
        <v>2.7777777777777772</v>
      </c>
      <c r="T30" s="240">
        <f>$H$30</f>
        <v>3.3333333333333333E-2</v>
      </c>
      <c r="U30" s="244">
        <f>$C$4</f>
        <v>10</v>
      </c>
      <c r="V30" s="244">
        <f>$G$31*1000</f>
        <v>2.7777777777777772</v>
      </c>
      <c r="W30" s="240">
        <f>$H$31</f>
        <v>3.3333333333333333E-2</v>
      </c>
      <c r="X30" s="244">
        <f>$C$4</f>
        <v>10</v>
      </c>
      <c r="Y30" s="244">
        <f>$G$32*1000</f>
        <v>2.7777777777777772</v>
      </c>
      <c r="Z30" s="240">
        <f>$H$32</f>
        <v>3.3333333333333333E-2</v>
      </c>
      <c r="AA30" s="244">
        <f>$C$4</f>
        <v>10</v>
      </c>
      <c r="AB30" s="244">
        <f>$G$33*1000</f>
        <v>2.7777777777777772</v>
      </c>
      <c r="AC30" s="240">
        <f>$H$33</f>
        <v>3.3333333333333333E-2</v>
      </c>
      <c r="AD30" s="244">
        <f>$C$4</f>
        <v>10</v>
      </c>
      <c r="AE30" s="244">
        <f>$G$34*1000</f>
        <v>2.7777777777777772</v>
      </c>
      <c r="AF30" s="240">
        <f>$H$34</f>
        <v>3.3333333333333333E-2</v>
      </c>
      <c r="AG30" s="244">
        <f>$C$4</f>
        <v>10</v>
      </c>
      <c r="AH30" s="244">
        <f>$G$35*1000</f>
        <v>2.7777777777777772</v>
      </c>
      <c r="AI30" s="240">
        <f>$H$35</f>
        <v>3.3333333333333333E-2</v>
      </c>
      <c r="AJ30" s="244">
        <f>$C$4</f>
        <v>10</v>
      </c>
      <c r="AK30" s="244">
        <f>$G$36*1000</f>
        <v>2.7777777777777772</v>
      </c>
      <c r="AL30" s="240">
        <f>$H$36</f>
        <v>3.3333333333333333E-2</v>
      </c>
      <c r="AM30" s="244">
        <f>$C$4</f>
        <v>10</v>
      </c>
      <c r="AN30" s="244">
        <f>$G$37*1000</f>
        <v>2.7777777777777772</v>
      </c>
      <c r="AO30" s="240">
        <f>$H$37</f>
        <v>3.3333333333333333E-2</v>
      </c>
      <c r="AP30" s="244">
        <f>$C$4</f>
        <v>10</v>
      </c>
      <c r="AQ30" s="244">
        <f>$G$38*1000</f>
        <v>2.7777777777777772</v>
      </c>
      <c r="AR30" s="240">
        <f>$H$38</f>
        <v>3.3333333333333333E-2</v>
      </c>
      <c r="AS30" s="244">
        <f>$C$4</f>
        <v>10</v>
      </c>
      <c r="AT30" s="244">
        <f>$G$39*1000</f>
        <v>2.7777777777777772</v>
      </c>
      <c r="AU30" s="240">
        <f>$H$39</f>
        <v>3.3333333333333333E-2</v>
      </c>
      <c r="AV30" s="244">
        <f>$C$4</f>
        <v>10</v>
      </c>
      <c r="AW30" s="244">
        <f>$G$40*1000</f>
        <v>2.7777777777777772</v>
      </c>
      <c r="AX30" s="240">
        <f>$H$40</f>
        <v>3.3333333333333333E-2</v>
      </c>
      <c r="AY30" s="244">
        <f>$C$4</f>
        <v>10</v>
      </c>
      <c r="AZ30" s="244">
        <f>$G$41*1000</f>
        <v>2.7777777777777772</v>
      </c>
      <c r="BA30" s="240">
        <f>$H$41</f>
        <v>3.3333333333333333E-2</v>
      </c>
      <c r="BB30" s="244">
        <f>$C$4</f>
        <v>10</v>
      </c>
      <c r="BC30" s="244">
        <f>$G$42*1000</f>
        <v>2.7777777777777772</v>
      </c>
      <c r="BD30" s="240">
        <f>$H$42</f>
        <v>3.3333333333333333E-2</v>
      </c>
      <c r="BE30" s="244">
        <f>$C$4</f>
        <v>10</v>
      </c>
      <c r="BF30" s="244">
        <f>$G$43*1000</f>
        <v>2.7777777777777772</v>
      </c>
      <c r="BG30" s="240">
        <f>$H$43</f>
        <v>3.3333333333333333E-2</v>
      </c>
      <c r="BH30" s="244">
        <f>$C$4</f>
        <v>10</v>
      </c>
      <c r="BI30" s="244">
        <f>$G$44*1000</f>
        <v>2.7777777777777772</v>
      </c>
      <c r="BJ30" s="240">
        <f>$H$44</f>
        <v>3.3333333333333333E-2</v>
      </c>
      <c r="BK30" s="244">
        <f>$C$4</f>
        <v>10</v>
      </c>
      <c r="BL30" s="244">
        <f>$G$45*1000</f>
        <v>2.7777777777777772</v>
      </c>
      <c r="BM30" s="240">
        <f>$H$45</f>
        <v>3.3333333333333333E-2</v>
      </c>
      <c r="BN30" s="244">
        <f>$C$4</f>
        <v>10</v>
      </c>
      <c r="BO30" s="244">
        <f>$G$46*1000</f>
        <v>2.7777777777777772</v>
      </c>
      <c r="BP30" s="240">
        <f>$H$46</f>
        <v>3.3333333333333333E-2</v>
      </c>
      <c r="BQ30" s="244">
        <f>$C$4</f>
        <v>10</v>
      </c>
      <c r="BR30" s="244">
        <f>$G$47*1000</f>
        <v>2.7777777777777772</v>
      </c>
      <c r="BS30" s="240">
        <f>$H$47</f>
        <v>3.3333333333333333E-2</v>
      </c>
      <c r="BT30" s="294">
        <f>$C$4</f>
        <v>10</v>
      </c>
      <c r="BU30" s="259"/>
      <c r="BV30" s="260"/>
      <c r="BW30" s="260"/>
      <c r="BX30" s="260"/>
      <c r="BY30" s="260"/>
      <c r="BZ30" s="260"/>
      <c r="CA30" s="260"/>
      <c r="CB30" s="260"/>
      <c r="CC30" s="260"/>
      <c r="CD30" s="260"/>
      <c r="CE30" s="260"/>
      <c r="CF30" s="260"/>
      <c r="CG30" s="260"/>
      <c r="CH30" s="260"/>
      <c r="CI30" s="261"/>
    </row>
    <row r="31" spans="2:87" ht="18.75" thickBot="1" x14ac:dyDescent="0.4">
      <c r="B31" s="291">
        <v>4</v>
      </c>
      <c r="C31" s="292">
        <v>661</v>
      </c>
      <c r="D31" s="292">
        <v>1</v>
      </c>
      <c r="E31" s="291">
        <f t="shared" si="0"/>
        <v>661</v>
      </c>
      <c r="F31" s="291">
        <f t="shared" si="1"/>
        <v>3.9993333333333339</v>
      </c>
      <c r="G31" s="278">
        <f t="shared" si="2"/>
        <v>2.7777777777777775E-3</v>
      </c>
      <c r="H31" s="279">
        <f t="shared" si="3"/>
        <v>3.3333333333333333E-2</v>
      </c>
      <c r="I31" s="279">
        <f t="shared" si="4"/>
        <v>0.6554444444444445</v>
      </c>
      <c r="J31" s="279">
        <f t="shared" si="5"/>
        <v>3.932666666666667</v>
      </c>
      <c r="L31" s="280" t="s">
        <v>454</v>
      </c>
      <c r="M31" s="245">
        <f>(G28+I28)*1000</f>
        <v>97.222222222222243</v>
      </c>
      <c r="N31" s="242">
        <f>N30+J28</f>
        <v>0.60000000000000009</v>
      </c>
      <c r="O31" s="245">
        <f>$C$4</f>
        <v>10</v>
      </c>
      <c r="P31" s="245">
        <f>(G29+N29)*1000</f>
        <v>2.7777777777777772</v>
      </c>
      <c r="Q31" s="242">
        <f>Q30+J29</f>
        <v>2.0520000000000005</v>
      </c>
      <c r="R31" s="245">
        <f>$C$4</f>
        <v>10</v>
      </c>
      <c r="S31" s="245">
        <f>($G$30+$I$30)*1000</f>
        <v>1297.2222222222222</v>
      </c>
      <c r="T31" s="242">
        <f>T30+$J$30</f>
        <v>7.8000000000000007</v>
      </c>
      <c r="U31" s="245">
        <f>$C$4</f>
        <v>10</v>
      </c>
      <c r="V31" s="245">
        <f>($G$31+$I$31)*1000</f>
        <v>658.22222222222229</v>
      </c>
      <c r="W31" s="242">
        <f>W30+$J$31</f>
        <v>3.9660000000000002</v>
      </c>
      <c r="X31" s="245">
        <f>$C$4</f>
        <v>10</v>
      </c>
      <c r="Y31" s="245">
        <f>($G$32+$I$32)*1000</f>
        <v>1028.2222222222222</v>
      </c>
      <c r="Z31" s="242">
        <f>Z30+$J$32</f>
        <v>6.1859999999999999</v>
      </c>
      <c r="AA31" s="245">
        <f>$C$4</f>
        <v>10</v>
      </c>
      <c r="AB31" s="245">
        <f>($G$33+$I$33)*1000</f>
        <v>266.22222222222223</v>
      </c>
      <c r="AC31" s="242">
        <f>AC30+$J$33</f>
        <v>1.6140000000000003</v>
      </c>
      <c r="AD31" s="245">
        <f>$C$4</f>
        <v>10</v>
      </c>
      <c r="AE31" s="245">
        <f>($G$34+$I$34)*1000</f>
        <v>658.22222222222229</v>
      </c>
      <c r="AF31" s="242">
        <f>AF30+$J$34</f>
        <v>3.9660000000000002</v>
      </c>
      <c r="AG31" s="245">
        <f>$C$4</f>
        <v>10</v>
      </c>
      <c r="AH31" s="245">
        <f>($G$35+$I$35)*1000</f>
        <v>1297.2222222222222</v>
      </c>
      <c r="AI31" s="242">
        <f>AI30+$J$35</f>
        <v>7.8000000000000007</v>
      </c>
      <c r="AJ31" s="245">
        <f>$C$4</f>
        <v>10</v>
      </c>
      <c r="AK31" s="245">
        <f>($G$36+$I$36)*1000</f>
        <v>658.22222222222229</v>
      </c>
      <c r="AL31" s="242">
        <f>AL30+$J$36</f>
        <v>3.9660000000000002</v>
      </c>
      <c r="AM31" s="245">
        <f>$C$4</f>
        <v>10</v>
      </c>
      <c r="AN31" s="245">
        <f>($G$37+$I$37)*1000</f>
        <v>731.22222222222217</v>
      </c>
      <c r="AO31" s="242">
        <f>AO30+$J$37</f>
        <v>4.4039999999999999</v>
      </c>
      <c r="AP31" s="245">
        <f>$C$4</f>
        <v>10</v>
      </c>
      <c r="AQ31" s="245">
        <f>($G$38+$I$38)*1000</f>
        <v>563.22222222222217</v>
      </c>
      <c r="AR31" s="242">
        <f>AR30+$J$38</f>
        <v>3.3959999999999999</v>
      </c>
      <c r="AS31" s="245">
        <f>$C$4</f>
        <v>10</v>
      </c>
      <c r="AT31" s="245">
        <f>($G$39+$I$39)*1000</f>
        <v>658.22222222222229</v>
      </c>
      <c r="AU31" s="242">
        <f>AU30+$J$39</f>
        <v>3.9660000000000002</v>
      </c>
      <c r="AV31" s="245">
        <f>$C$4</f>
        <v>10</v>
      </c>
      <c r="AW31" s="245">
        <f>($G$40+$I$40)*1000</f>
        <v>1297.2222222222222</v>
      </c>
      <c r="AX31" s="242">
        <f>AX30+$J$40</f>
        <v>7.8000000000000007</v>
      </c>
      <c r="AY31" s="245">
        <f>$C$4</f>
        <v>10</v>
      </c>
      <c r="AZ31" s="245">
        <f>($G$41+$I$41)*1000</f>
        <v>1306.7222222222224</v>
      </c>
      <c r="BA31" s="242">
        <f>BA30+$J$41</f>
        <v>7.8570000000000011</v>
      </c>
      <c r="BB31" s="245">
        <f>$C$4</f>
        <v>10</v>
      </c>
      <c r="BC31" s="245">
        <f>($G$42+$I$42)*1000</f>
        <v>-2.7777777777777772</v>
      </c>
      <c r="BD31" s="242">
        <f>BD30+$J$42</f>
        <v>0</v>
      </c>
      <c r="BE31" s="245">
        <f>$C$4</f>
        <v>10</v>
      </c>
      <c r="BF31" s="245">
        <f>($G$43+$I$43)*1000</f>
        <v>-2.7777777777777772</v>
      </c>
      <c r="BG31" s="242">
        <f>BG30+$J$43</f>
        <v>0</v>
      </c>
      <c r="BH31" s="245">
        <f>$C$4</f>
        <v>10</v>
      </c>
      <c r="BI31" s="245">
        <f>($G$44+$I$44)*1000</f>
        <v>-2.7777777777777772</v>
      </c>
      <c r="BJ31" s="242">
        <f>BJ30+$J$44</f>
        <v>0</v>
      </c>
      <c r="BK31" s="245">
        <f>$C$4</f>
        <v>10</v>
      </c>
      <c r="BL31" s="245">
        <f>($G$45+$I$45)*1000</f>
        <v>-2.7777777777777772</v>
      </c>
      <c r="BM31" s="242">
        <f>BM30+$J$45</f>
        <v>0</v>
      </c>
      <c r="BN31" s="245">
        <f>$C$4</f>
        <v>10</v>
      </c>
      <c r="BO31" s="245">
        <f>($G$46+$I$46)*1000</f>
        <v>-2.7777777777777772</v>
      </c>
      <c r="BP31" s="242">
        <f>BP30+$J$46</f>
        <v>0</v>
      </c>
      <c r="BQ31" s="245">
        <f>$C$4</f>
        <v>10</v>
      </c>
      <c r="BR31" s="245">
        <f>($G$47+$I$47)*1000</f>
        <v>-2.7777777777777772</v>
      </c>
      <c r="BS31" s="242">
        <f>BS30+$J$47</f>
        <v>0</v>
      </c>
      <c r="BT31" s="295">
        <f>$C$4</f>
        <v>10</v>
      </c>
      <c r="BU31" s="259"/>
      <c r="BV31" s="260"/>
      <c r="BW31" s="260"/>
      <c r="BX31" s="260"/>
      <c r="BY31" s="260"/>
      <c r="BZ31" s="260"/>
      <c r="CA31" s="260"/>
      <c r="CB31" s="260"/>
      <c r="CC31" s="260"/>
      <c r="CD31" s="296"/>
      <c r="CE31" s="297" t="s">
        <v>484</v>
      </c>
      <c r="CF31" s="298">
        <f>(C4/E51)^-1</f>
        <v>0.99291207428146133</v>
      </c>
      <c r="CG31" s="296"/>
      <c r="CH31" s="260"/>
      <c r="CI31" s="261"/>
    </row>
    <row r="32" spans="2:87" ht="18.75" thickBot="1" x14ac:dyDescent="0.4">
      <c r="B32" s="291">
        <v>5</v>
      </c>
      <c r="C32" s="292">
        <v>1031</v>
      </c>
      <c r="D32" s="292">
        <v>1</v>
      </c>
      <c r="E32" s="291">
        <f t="shared" si="0"/>
        <v>1031</v>
      </c>
      <c r="F32" s="291">
        <f t="shared" si="1"/>
        <v>6.2193333333333332</v>
      </c>
      <c r="G32" s="278">
        <f t="shared" si="2"/>
        <v>2.7777777777777775E-3</v>
      </c>
      <c r="H32" s="279">
        <f t="shared" si="3"/>
        <v>3.3333333333333333E-2</v>
      </c>
      <c r="I32" s="279">
        <f t="shared" si="4"/>
        <v>1.0254444444444444</v>
      </c>
      <c r="J32" s="279">
        <f t="shared" si="5"/>
        <v>6.1526666666666667</v>
      </c>
      <c r="L32" s="280" t="s">
        <v>455</v>
      </c>
      <c r="M32" s="244">
        <f>M30+M31</f>
        <v>100.00000000000001</v>
      </c>
      <c r="N32" s="240">
        <f>F28</f>
        <v>0.63333333333333341</v>
      </c>
      <c r="O32" s="241">
        <v>0</v>
      </c>
      <c r="P32" s="244">
        <f>P30+P31</f>
        <v>5.5555555555555545</v>
      </c>
      <c r="Q32" s="240">
        <f>F29</f>
        <v>2.0853333333333341</v>
      </c>
      <c r="R32" s="241">
        <v>0</v>
      </c>
      <c r="S32" s="244">
        <f>S30+S31</f>
        <v>1300</v>
      </c>
      <c r="T32" s="240">
        <f>$F$30</f>
        <v>7.8333333333333339</v>
      </c>
      <c r="U32" s="241">
        <v>0</v>
      </c>
      <c r="V32" s="244">
        <f>V30+V31</f>
        <v>661.00000000000011</v>
      </c>
      <c r="W32" s="240">
        <f>$F$31</f>
        <v>3.9993333333333339</v>
      </c>
      <c r="X32" s="241">
        <v>0</v>
      </c>
      <c r="Y32" s="244">
        <f>Y30+Y31</f>
        <v>1031</v>
      </c>
      <c r="Z32" s="240">
        <f>$F$32</f>
        <v>6.2193333333333332</v>
      </c>
      <c r="AA32" s="241">
        <v>0</v>
      </c>
      <c r="AB32" s="244">
        <f>AB30+AB31</f>
        <v>269</v>
      </c>
      <c r="AC32" s="240">
        <f>$F$33</f>
        <v>1.6473333333333335</v>
      </c>
      <c r="AD32" s="241">
        <v>0</v>
      </c>
      <c r="AE32" s="244">
        <f>AE30+AE31</f>
        <v>661.00000000000011</v>
      </c>
      <c r="AF32" s="240">
        <f>$F$34</f>
        <v>3.9993333333333339</v>
      </c>
      <c r="AG32" s="241">
        <v>0</v>
      </c>
      <c r="AH32" s="244">
        <f>AH30+AH31</f>
        <v>1300</v>
      </c>
      <c r="AI32" s="240">
        <f>$F$35</f>
        <v>7.8333333333333339</v>
      </c>
      <c r="AJ32" s="241">
        <v>0</v>
      </c>
      <c r="AK32" s="244">
        <f>AK30+AK31</f>
        <v>661.00000000000011</v>
      </c>
      <c r="AL32" s="240">
        <f>$F$36</f>
        <v>3.9993333333333339</v>
      </c>
      <c r="AM32" s="241">
        <v>0</v>
      </c>
      <c r="AN32" s="244">
        <f>AN30+AN31</f>
        <v>734</v>
      </c>
      <c r="AO32" s="240">
        <f>$F$37</f>
        <v>4.4373333333333331</v>
      </c>
      <c r="AP32" s="241">
        <v>0</v>
      </c>
      <c r="AQ32" s="244">
        <f>AQ30+AQ31</f>
        <v>566</v>
      </c>
      <c r="AR32" s="240">
        <f>$F$38</f>
        <v>3.4293333333333336</v>
      </c>
      <c r="AS32" s="241">
        <v>0</v>
      </c>
      <c r="AT32" s="244">
        <f>AT30+AT31</f>
        <v>661.00000000000011</v>
      </c>
      <c r="AU32" s="240">
        <f>$F$39</f>
        <v>3.9993333333333339</v>
      </c>
      <c r="AV32" s="241">
        <v>0</v>
      </c>
      <c r="AW32" s="244">
        <f>AW30+AW31</f>
        <v>1300</v>
      </c>
      <c r="AX32" s="240">
        <f>$F$40</f>
        <v>7.8333333333333339</v>
      </c>
      <c r="AY32" s="241">
        <v>0</v>
      </c>
      <c r="AZ32" s="244">
        <f>AZ30+AZ31</f>
        <v>1309.5000000000002</v>
      </c>
      <c r="BA32" s="240">
        <f>$F$41</f>
        <v>7.8903333333333343</v>
      </c>
      <c r="BB32" s="241">
        <v>0</v>
      </c>
      <c r="BC32" s="244">
        <f>BC30+BC31</f>
        <v>0</v>
      </c>
      <c r="BD32" s="240">
        <f>$F$42</f>
        <v>0</v>
      </c>
      <c r="BE32" s="241">
        <v>0</v>
      </c>
      <c r="BF32" s="244">
        <f>BF30+BF31</f>
        <v>0</v>
      </c>
      <c r="BG32" s="240">
        <f>$F$43</f>
        <v>0</v>
      </c>
      <c r="BH32" s="241">
        <v>0</v>
      </c>
      <c r="BI32" s="244">
        <f>BI30+BI31</f>
        <v>0</v>
      </c>
      <c r="BJ32" s="240">
        <f>$F$44</f>
        <v>0</v>
      </c>
      <c r="BK32" s="241">
        <v>0</v>
      </c>
      <c r="BL32" s="244">
        <f>BL30+BL31</f>
        <v>0</v>
      </c>
      <c r="BM32" s="240">
        <f>$F$45</f>
        <v>0</v>
      </c>
      <c r="BN32" s="241">
        <v>0</v>
      </c>
      <c r="BO32" s="244">
        <f>BO30+BO31</f>
        <v>0</v>
      </c>
      <c r="BP32" s="240">
        <f>$F$46</f>
        <v>0</v>
      </c>
      <c r="BQ32" s="241">
        <v>0</v>
      </c>
      <c r="BR32" s="244">
        <f>BR30+BR31</f>
        <v>0</v>
      </c>
      <c r="BS32" s="240">
        <f>$F$47</f>
        <v>0</v>
      </c>
      <c r="BT32" s="299">
        <v>0</v>
      </c>
      <c r="BU32" s="259"/>
      <c r="BV32" s="260"/>
      <c r="BW32" s="260"/>
      <c r="BX32" s="260"/>
      <c r="BY32" s="260"/>
      <c r="BZ32" s="260"/>
      <c r="CA32" s="260"/>
      <c r="CB32" s="260"/>
      <c r="CC32" s="260"/>
      <c r="CD32" s="296"/>
      <c r="CE32" s="300" t="s">
        <v>507</v>
      </c>
      <c r="CF32" s="298">
        <f>100%-CF31</f>
        <v>7.0879257185386679E-3</v>
      </c>
      <c r="CG32" s="296"/>
      <c r="CH32" s="260"/>
      <c r="CI32" s="261"/>
    </row>
    <row r="33" spans="2:87" ht="15.75" thickBot="1" x14ac:dyDescent="0.25">
      <c r="B33" s="291">
        <v>6</v>
      </c>
      <c r="C33" s="292">
        <v>269</v>
      </c>
      <c r="D33" s="292">
        <v>1</v>
      </c>
      <c r="E33" s="291">
        <f t="shared" si="0"/>
        <v>269</v>
      </c>
      <c r="F33" s="291">
        <f t="shared" si="1"/>
        <v>1.6473333333333335</v>
      </c>
      <c r="G33" s="278">
        <f t="shared" si="2"/>
        <v>2.7777777777777775E-3</v>
      </c>
      <c r="H33" s="279">
        <f t="shared" si="3"/>
        <v>3.3333333333333333E-2</v>
      </c>
      <c r="I33" s="279">
        <f t="shared" si="4"/>
        <v>0.26344444444444448</v>
      </c>
      <c r="J33" s="279">
        <f t="shared" si="5"/>
        <v>1.5806666666666669</v>
      </c>
      <c r="BU33" s="259"/>
      <c r="BV33" s="260"/>
      <c r="BW33" s="260"/>
      <c r="BX33" s="260"/>
      <c r="BY33" s="260"/>
      <c r="BZ33" s="260"/>
      <c r="CA33" s="260"/>
      <c r="CB33" s="260"/>
      <c r="CC33" s="260"/>
      <c r="CD33" s="296"/>
      <c r="CE33" s="296"/>
      <c r="CF33" s="296"/>
      <c r="CG33" s="296"/>
      <c r="CH33" s="260"/>
      <c r="CI33" s="261"/>
    </row>
    <row r="34" spans="2:87" ht="13.5" thickBot="1" x14ac:dyDescent="0.25">
      <c r="B34" s="291">
        <v>7</v>
      </c>
      <c r="C34" s="292">
        <v>661</v>
      </c>
      <c r="D34" s="292">
        <v>1</v>
      </c>
      <c r="E34" s="291">
        <f t="shared" si="0"/>
        <v>661</v>
      </c>
      <c r="F34" s="291">
        <f t="shared" si="1"/>
        <v>3.9993333333333339</v>
      </c>
      <c r="G34" s="278">
        <f t="shared" si="2"/>
        <v>2.7777777777777775E-3</v>
      </c>
      <c r="H34" s="279">
        <f t="shared" si="3"/>
        <v>3.3333333333333333E-2</v>
      </c>
      <c r="I34" s="279">
        <f t="shared" si="4"/>
        <v>0.6554444444444445</v>
      </c>
      <c r="J34" s="279">
        <f t="shared" si="5"/>
        <v>3.932666666666667</v>
      </c>
      <c r="BU34" s="259"/>
      <c r="BV34" s="260"/>
      <c r="BW34" s="260"/>
      <c r="BX34" s="260"/>
      <c r="BY34" s="260"/>
      <c r="BZ34" s="260"/>
      <c r="CA34" s="260"/>
      <c r="CB34" s="260"/>
      <c r="CC34" s="260"/>
      <c r="CD34" s="260"/>
      <c r="CE34" s="260"/>
      <c r="CF34" s="260"/>
      <c r="CG34" s="260"/>
      <c r="CH34" s="260"/>
      <c r="CI34" s="261"/>
    </row>
    <row r="35" spans="2:87" ht="13.5" thickBot="1" x14ac:dyDescent="0.25">
      <c r="B35" s="291">
        <v>8</v>
      </c>
      <c r="C35" s="292">
        <v>1300</v>
      </c>
      <c r="D35" s="292">
        <v>1</v>
      </c>
      <c r="E35" s="291">
        <f t="shared" si="0"/>
        <v>1300</v>
      </c>
      <c r="F35" s="291">
        <f t="shared" si="1"/>
        <v>7.8333333333333339</v>
      </c>
      <c r="G35" s="278">
        <f t="shared" si="2"/>
        <v>2.7777777777777775E-3</v>
      </c>
      <c r="H35" s="279">
        <f t="shared" si="3"/>
        <v>3.3333333333333333E-2</v>
      </c>
      <c r="I35" s="279">
        <f t="shared" si="4"/>
        <v>1.2944444444444445</v>
      </c>
      <c r="J35" s="279">
        <f t="shared" si="5"/>
        <v>7.7666666666666675</v>
      </c>
      <c r="BU35" s="259"/>
      <c r="BV35" s="260"/>
      <c r="BW35" s="260"/>
      <c r="BX35" s="260"/>
      <c r="BY35" s="260"/>
      <c r="BZ35" s="260"/>
      <c r="CA35" s="260"/>
      <c r="CB35" s="260"/>
      <c r="CC35" s="260"/>
      <c r="CD35" s="260"/>
      <c r="CE35" s="260"/>
      <c r="CF35" s="260"/>
      <c r="CG35" s="260"/>
      <c r="CH35" s="260"/>
      <c r="CI35" s="261"/>
    </row>
    <row r="36" spans="2:87" ht="13.5" thickBot="1" x14ac:dyDescent="0.25">
      <c r="B36" s="291">
        <v>9</v>
      </c>
      <c r="C36" s="292">
        <v>661</v>
      </c>
      <c r="D36" s="292">
        <v>1</v>
      </c>
      <c r="E36" s="291">
        <f t="shared" si="0"/>
        <v>661</v>
      </c>
      <c r="F36" s="291">
        <f t="shared" si="1"/>
        <v>3.9993333333333339</v>
      </c>
      <c r="G36" s="278">
        <f t="shared" si="2"/>
        <v>2.7777777777777775E-3</v>
      </c>
      <c r="H36" s="279">
        <f t="shared" si="3"/>
        <v>3.3333333333333333E-2</v>
      </c>
      <c r="I36" s="279">
        <f t="shared" si="4"/>
        <v>0.6554444444444445</v>
      </c>
      <c r="J36" s="279">
        <f t="shared" si="5"/>
        <v>3.932666666666667</v>
      </c>
      <c r="BU36" s="259"/>
      <c r="BV36" s="260"/>
      <c r="BW36" s="260"/>
      <c r="BX36" s="260"/>
      <c r="BY36" s="260"/>
      <c r="BZ36" s="260"/>
      <c r="CA36" s="260"/>
      <c r="CB36" s="260"/>
      <c r="CC36" s="260"/>
      <c r="CD36" s="260"/>
      <c r="CE36" s="260"/>
      <c r="CF36" s="260"/>
      <c r="CG36" s="260"/>
      <c r="CH36" s="260"/>
      <c r="CI36" s="261"/>
    </row>
    <row r="37" spans="2:87" ht="13.5" thickBot="1" x14ac:dyDescent="0.25">
      <c r="B37" s="291">
        <v>10</v>
      </c>
      <c r="C37" s="292">
        <v>734</v>
      </c>
      <c r="D37" s="292">
        <v>1</v>
      </c>
      <c r="E37" s="291">
        <f t="shared" si="0"/>
        <v>734</v>
      </c>
      <c r="F37" s="291">
        <f t="shared" si="1"/>
        <v>4.4373333333333331</v>
      </c>
      <c r="G37" s="278">
        <f t="shared" si="2"/>
        <v>2.7777777777777775E-3</v>
      </c>
      <c r="H37" s="279">
        <f t="shared" si="3"/>
        <v>3.3333333333333333E-2</v>
      </c>
      <c r="I37" s="279">
        <f t="shared" si="4"/>
        <v>0.72844444444444445</v>
      </c>
      <c r="J37" s="279">
        <f t="shared" si="5"/>
        <v>4.3706666666666667</v>
      </c>
      <c r="BU37" s="259"/>
      <c r="BV37" s="260"/>
      <c r="BW37" s="260"/>
      <c r="BX37" s="260"/>
      <c r="BY37" s="260"/>
      <c r="BZ37" s="260"/>
      <c r="CA37" s="260"/>
      <c r="CB37" s="260"/>
      <c r="CC37" s="260"/>
      <c r="CD37" s="260"/>
      <c r="CE37" s="260"/>
      <c r="CF37" s="260"/>
      <c r="CG37" s="260"/>
      <c r="CH37" s="260"/>
      <c r="CI37" s="261"/>
    </row>
    <row r="38" spans="2:87" ht="13.5" thickBot="1" x14ac:dyDescent="0.25">
      <c r="B38" s="291">
        <v>11</v>
      </c>
      <c r="C38" s="292">
        <v>566</v>
      </c>
      <c r="D38" s="292">
        <v>1</v>
      </c>
      <c r="E38" s="291">
        <f t="shared" si="0"/>
        <v>566</v>
      </c>
      <c r="F38" s="291">
        <f t="shared" si="1"/>
        <v>3.4293333333333336</v>
      </c>
      <c r="G38" s="278">
        <f t="shared" si="2"/>
        <v>2.7777777777777775E-3</v>
      </c>
      <c r="H38" s="279">
        <f t="shared" si="3"/>
        <v>3.3333333333333333E-2</v>
      </c>
      <c r="I38" s="279">
        <f t="shared" si="4"/>
        <v>0.56044444444444441</v>
      </c>
      <c r="J38" s="279">
        <f t="shared" si="5"/>
        <v>3.3626666666666667</v>
      </c>
      <c r="BU38" s="259"/>
      <c r="BV38" s="260"/>
      <c r="BW38" s="260"/>
      <c r="BX38" s="260"/>
      <c r="BY38" s="260"/>
      <c r="BZ38" s="260"/>
      <c r="CA38" s="260"/>
      <c r="CB38" s="260"/>
      <c r="CC38" s="260"/>
      <c r="CD38" s="260"/>
      <c r="CE38" s="260"/>
      <c r="CF38" s="260"/>
      <c r="CG38" s="260"/>
      <c r="CH38" s="260"/>
      <c r="CI38" s="261"/>
    </row>
    <row r="39" spans="2:87" ht="13.5" thickBot="1" x14ac:dyDescent="0.25">
      <c r="B39" s="291">
        <v>12</v>
      </c>
      <c r="C39" s="292">
        <v>661</v>
      </c>
      <c r="D39" s="292">
        <v>1</v>
      </c>
      <c r="E39" s="291">
        <f t="shared" si="0"/>
        <v>661</v>
      </c>
      <c r="F39" s="291">
        <f t="shared" si="1"/>
        <v>3.9993333333333339</v>
      </c>
      <c r="G39" s="278">
        <f t="shared" si="2"/>
        <v>2.7777777777777775E-3</v>
      </c>
      <c r="H39" s="279">
        <f t="shared" si="3"/>
        <v>3.3333333333333333E-2</v>
      </c>
      <c r="I39" s="279">
        <f t="shared" si="4"/>
        <v>0.6554444444444445</v>
      </c>
      <c r="J39" s="279">
        <f t="shared" si="5"/>
        <v>3.932666666666667</v>
      </c>
      <c r="BU39" s="259"/>
      <c r="BV39" s="260"/>
      <c r="BW39" s="260"/>
      <c r="BX39" s="260"/>
      <c r="BY39" s="260"/>
      <c r="BZ39" s="260"/>
      <c r="CA39" s="260"/>
      <c r="CB39" s="260"/>
      <c r="CC39" s="260"/>
      <c r="CD39" s="260"/>
      <c r="CE39" s="260"/>
      <c r="CF39" s="260"/>
      <c r="CG39" s="260"/>
      <c r="CH39" s="260"/>
      <c r="CI39" s="261"/>
    </row>
    <row r="40" spans="2:87" ht="13.5" thickBot="1" x14ac:dyDescent="0.25">
      <c r="B40" s="291">
        <v>13</v>
      </c>
      <c r="C40" s="292">
        <v>1300</v>
      </c>
      <c r="D40" s="292">
        <v>1</v>
      </c>
      <c r="E40" s="291">
        <f t="shared" si="0"/>
        <v>1300</v>
      </c>
      <c r="F40" s="291">
        <f t="shared" si="1"/>
        <v>7.8333333333333339</v>
      </c>
      <c r="G40" s="278">
        <f t="shared" si="2"/>
        <v>2.7777777777777775E-3</v>
      </c>
      <c r="H40" s="279">
        <f t="shared" si="3"/>
        <v>3.3333333333333333E-2</v>
      </c>
      <c r="I40" s="279">
        <f t="shared" si="4"/>
        <v>1.2944444444444445</v>
      </c>
      <c r="J40" s="279">
        <f t="shared" si="5"/>
        <v>7.7666666666666675</v>
      </c>
      <c r="BU40" s="259"/>
      <c r="BV40" s="260"/>
      <c r="BW40" s="260"/>
      <c r="BX40" s="260"/>
      <c r="BY40" s="260"/>
      <c r="BZ40" s="260"/>
      <c r="CA40" s="260"/>
      <c r="CB40" s="260"/>
      <c r="CC40" s="260"/>
      <c r="CD40" s="260"/>
      <c r="CE40" s="260"/>
      <c r="CF40" s="260"/>
      <c r="CG40" s="260"/>
      <c r="CH40" s="260"/>
      <c r="CI40" s="261"/>
    </row>
    <row r="41" spans="2:87" ht="13.5" thickBot="1" x14ac:dyDescent="0.25">
      <c r="B41" s="291">
        <v>14</v>
      </c>
      <c r="C41" s="292">
        <v>1309.5</v>
      </c>
      <c r="D41" s="292">
        <v>1</v>
      </c>
      <c r="E41" s="291">
        <f t="shared" si="0"/>
        <v>1309.5</v>
      </c>
      <c r="F41" s="291">
        <f t="shared" si="1"/>
        <v>7.8903333333333343</v>
      </c>
      <c r="G41" s="278">
        <f t="shared" si="2"/>
        <v>2.7777777777777775E-3</v>
      </c>
      <c r="H41" s="279">
        <f t="shared" si="3"/>
        <v>3.3333333333333333E-2</v>
      </c>
      <c r="I41" s="279">
        <f t="shared" si="4"/>
        <v>1.3039444444444446</v>
      </c>
      <c r="J41" s="279">
        <f t="shared" si="5"/>
        <v>7.8236666666666679</v>
      </c>
      <c r="BU41" s="259"/>
      <c r="BV41" s="260"/>
      <c r="BW41" s="260"/>
      <c r="BX41" s="260"/>
      <c r="BY41" s="260"/>
      <c r="BZ41" s="260"/>
      <c r="CA41" s="260"/>
      <c r="CB41" s="260"/>
      <c r="CC41" s="260"/>
      <c r="CD41" s="260"/>
      <c r="CE41" s="260"/>
      <c r="CF41" s="260"/>
      <c r="CG41" s="260"/>
      <c r="CH41" s="260"/>
      <c r="CI41" s="261"/>
    </row>
    <row r="42" spans="2:87" ht="13.5" thickBot="1" x14ac:dyDescent="0.25">
      <c r="B42" s="291">
        <v>15</v>
      </c>
      <c r="C42" s="292">
        <v>0</v>
      </c>
      <c r="D42" s="292">
        <v>0</v>
      </c>
      <c r="E42" s="291">
        <f t="shared" si="0"/>
        <v>0</v>
      </c>
      <c r="F42" s="291">
        <f t="shared" si="1"/>
        <v>0</v>
      </c>
      <c r="G42" s="278">
        <f t="shared" si="2"/>
        <v>2.7777777777777775E-3</v>
      </c>
      <c r="H42" s="279">
        <f t="shared" si="3"/>
        <v>3.3333333333333333E-2</v>
      </c>
      <c r="I42" s="279">
        <f t="shared" si="4"/>
        <v>-5.5555555555555549E-3</v>
      </c>
      <c r="J42" s="279">
        <f t="shared" si="5"/>
        <v>-3.3333333333333333E-2</v>
      </c>
      <c r="BU42" s="259"/>
      <c r="BV42" s="260"/>
      <c r="BW42" s="260"/>
      <c r="BX42" s="260"/>
      <c r="BY42" s="260"/>
      <c r="BZ42" s="260"/>
      <c r="CA42" s="260"/>
      <c r="CB42" s="260"/>
      <c r="CC42" s="260"/>
      <c r="CD42" s="260"/>
      <c r="CE42" s="260"/>
      <c r="CF42" s="260"/>
      <c r="CG42" s="260"/>
      <c r="CH42" s="260"/>
      <c r="CI42" s="261"/>
    </row>
    <row r="43" spans="2:87" ht="13.5" thickBot="1" x14ac:dyDescent="0.25">
      <c r="B43" s="291">
        <v>16</v>
      </c>
      <c r="C43" s="292">
        <v>0</v>
      </c>
      <c r="D43" s="292">
        <v>0</v>
      </c>
      <c r="E43" s="291">
        <f t="shared" si="0"/>
        <v>0</v>
      </c>
      <c r="F43" s="291">
        <f t="shared" si="1"/>
        <v>0</v>
      </c>
      <c r="G43" s="278">
        <f t="shared" si="2"/>
        <v>2.7777777777777775E-3</v>
      </c>
      <c r="H43" s="279">
        <f t="shared" si="3"/>
        <v>3.3333333333333333E-2</v>
      </c>
      <c r="I43" s="279">
        <f t="shared" si="4"/>
        <v>-5.5555555555555549E-3</v>
      </c>
      <c r="J43" s="279">
        <f t="shared" si="5"/>
        <v>-3.3333333333333333E-2</v>
      </c>
      <c r="BU43" s="259"/>
      <c r="BV43" s="260"/>
      <c r="BW43" s="260"/>
      <c r="BX43" s="260"/>
      <c r="BY43" s="260"/>
      <c r="BZ43" s="260"/>
      <c r="CA43" s="260"/>
      <c r="CB43" s="260"/>
      <c r="CC43" s="260"/>
      <c r="CD43" s="260"/>
      <c r="CE43" s="260"/>
      <c r="CF43" s="260"/>
      <c r="CG43" s="260"/>
      <c r="CH43" s="260"/>
      <c r="CI43" s="261"/>
    </row>
    <row r="44" spans="2:87" ht="13.5" thickBot="1" x14ac:dyDescent="0.25">
      <c r="B44" s="291">
        <v>17</v>
      </c>
      <c r="C44" s="292">
        <v>0</v>
      </c>
      <c r="D44" s="292">
        <v>0</v>
      </c>
      <c r="E44" s="291">
        <f t="shared" si="0"/>
        <v>0</v>
      </c>
      <c r="F44" s="291">
        <f t="shared" si="1"/>
        <v>0</v>
      </c>
      <c r="G44" s="278">
        <f t="shared" si="2"/>
        <v>2.7777777777777775E-3</v>
      </c>
      <c r="H44" s="279">
        <f t="shared" si="3"/>
        <v>3.3333333333333333E-2</v>
      </c>
      <c r="I44" s="279">
        <f t="shared" si="4"/>
        <v>-5.5555555555555549E-3</v>
      </c>
      <c r="J44" s="279">
        <f t="shared" si="5"/>
        <v>-3.3333333333333333E-2</v>
      </c>
      <c r="BU44" s="259"/>
      <c r="BV44" s="260"/>
      <c r="BW44" s="260"/>
      <c r="BX44" s="260"/>
      <c r="BY44" s="260"/>
      <c r="BZ44" s="260"/>
      <c r="CA44" s="260"/>
      <c r="CB44" s="260"/>
      <c r="CC44" s="260"/>
      <c r="CD44" s="260"/>
      <c r="CE44" s="260"/>
      <c r="CF44" s="260"/>
      <c r="CG44" s="260"/>
      <c r="CH44" s="260"/>
      <c r="CI44" s="261"/>
    </row>
    <row r="45" spans="2:87" ht="13.5" thickBot="1" x14ac:dyDescent="0.25">
      <c r="B45" s="291">
        <v>18</v>
      </c>
      <c r="C45" s="292">
        <v>0</v>
      </c>
      <c r="D45" s="292">
        <v>0</v>
      </c>
      <c r="E45" s="291">
        <f t="shared" si="0"/>
        <v>0</v>
      </c>
      <c r="F45" s="291">
        <f t="shared" si="1"/>
        <v>0</v>
      </c>
      <c r="G45" s="278">
        <f t="shared" si="2"/>
        <v>2.7777777777777775E-3</v>
      </c>
      <c r="H45" s="279">
        <f t="shared" si="3"/>
        <v>3.3333333333333333E-2</v>
      </c>
      <c r="I45" s="279">
        <f t="shared" si="4"/>
        <v>-5.5555555555555549E-3</v>
      </c>
      <c r="J45" s="279">
        <f t="shared" si="5"/>
        <v>-3.3333333333333333E-2</v>
      </c>
      <c r="BU45" s="259"/>
      <c r="BV45" s="260"/>
      <c r="BW45" s="260"/>
      <c r="BX45" s="260"/>
      <c r="BY45" s="260"/>
      <c r="BZ45" s="260"/>
      <c r="CA45" s="260"/>
      <c r="CB45" s="260"/>
      <c r="CC45" s="260"/>
      <c r="CD45" s="260"/>
      <c r="CE45" s="260"/>
      <c r="CF45" s="260"/>
      <c r="CG45" s="260"/>
      <c r="CH45" s="260"/>
      <c r="CI45" s="261"/>
    </row>
    <row r="46" spans="2:87" ht="13.5" thickBot="1" x14ac:dyDescent="0.25">
      <c r="B46" s="291">
        <v>19</v>
      </c>
      <c r="C46" s="292">
        <v>0</v>
      </c>
      <c r="D46" s="292">
        <v>0</v>
      </c>
      <c r="E46" s="291">
        <f t="shared" si="0"/>
        <v>0</v>
      </c>
      <c r="F46" s="291">
        <f t="shared" si="1"/>
        <v>0</v>
      </c>
      <c r="G46" s="278">
        <f t="shared" si="2"/>
        <v>2.7777777777777775E-3</v>
      </c>
      <c r="H46" s="279">
        <f t="shared" si="3"/>
        <v>3.3333333333333333E-2</v>
      </c>
      <c r="I46" s="279">
        <f t="shared" si="4"/>
        <v>-5.5555555555555549E-3</v>
      </c>
      <c r="J46" s="279">
        <f t="shared" si="5"/>
        <v>-3.3333333333333333E-2</v>
      </c>
      <c r="BU46" s="259"/>
      <c r="BV46" s="260"/>
      <c r="BW46" s="260"/>
      <c r="BX46" s="260"/>
      <c r="BY46" s="260"/>
      <c r="BZ46" s="260"/>
      <c r="CA46" s="260"/>
      <c r="CB46" s="260"/>
      <c r="CC46" s="260"/>
      <c r="CD46" s="260"/>
      <c r="CE46" s="260"/>
      <c r="CF46" s="260"/>
      <c r="CG46" s="260"/>
      <c r="CH46" s="260"/>
      <c r="CI46" s="261"/>
    </row>
    <row r="47" spans="2:87" ht="13.5" thickBot="1" x14ac:dyDescent="0.25">
      <c r="B47" s="291">
        <v>20</v>
      </c>
      <c r="C47" s="292">
        <v>0</v>
      </c>
      <c r="D47" s="292">
        <v>0</v>
      </c>
      <c r="E47" s="291">
        <f t="shared" si="0"/>
        <v>0</v>
      </c>
      <c r="F47" s="291">
        <f t="shared" si="1"/>
        <v>0</v>
      </c>
      <c r="G47" s="278">
        <f t="shared" si="2"/>
        <v>2.7777777777777775E-3</v>
      </c>
      <c r="H47" s="279">
        <f t="shared" si="3"/>
        <v>3.3333333333333333E-2</v>
      </c>
      <c r="I47" s="279">
        <f t="shared" si="4"/>
        <v>-5.5555555555555549E-3</v>
      </c>
      <c r="J47" s="279">
        <f t="shared" si="5"/>
        <v>-3.3333333333333333E-2</v>
      </c>
      <c r="BU47" s="259"/>
      <c r="BV47" s="260"/>
      <c r="BW47" s="260"/>
      <c r="BX47" s="260"/>
      <c r="BY47" s="260"/>
      <c r="BZ47" s="260"/>
      <c r="CA47" s="260"/>
      <c r="CB47" s="260"/>
      <c r="CC47" s="260"/>
      <c r="CD47" s="260"/>
      <c r="CE47" s="260"/>
      <c r="CF47" s="260"/>
      <c r="CG47" s="260"/>
      <c r="CH47" s="260"/>
      <c r="CI47" s="261"/>
    </row>
    <row r="48" spans="2:87" ht="13.5" thickBot="1" x14ac:dyDescent="0.25">
      <c r="B48" s="259"/>
      <c r="C48" s="260"/>
      <c r="D48" s="260"/>
      <c r="E48" s="260"/>
      <c r="F48" s="261"/>
      <c r="BU48" s="259"/>
      <c r="BV48" s="260"/>
      <c r="BW48" s="260"/>
      <c r="BX48" s="260"/>
      <c r="BY48" s="260"/>
      <c r="BZ48" s="260"/>
      <c r="CA48" s="260"/>
      <c r="CB48" s="260"/>
      <c r="CC48" s="260"/>
      <c r="CD48" s="260"/>
      <c r="CE48" s="260"/>
      <c r="CF48" s="260"/>
      <c r="CG48" s="260"/>
      <c r="CH48" s="260"/>
      <c r="CI48" s="261"/>
    </row>
    <row r="49" spans="2:87" ht="15.75" thickBot="1" x14ac:dyDescent="0.3">
      <c r="B49" s="259"/>
      <c r="C49" s="843" t="s">
        <v>508</v>
      </c>
      <c r="D49" s="843"/>
      <c r="E49" s="301">
        <f>SUM(E28:E47)</f>
        <v>10895.5</v>
      </c>
      <c r="F49" s="302" t="s">
        <v>9</v>
      </c>
      <c r="BU49" s="259"/>
      <c r="BV49" s="260"/>
      <c r="BW49" s="260"/>
      <c r="BX49" s="260"/>
      <c r="BY49" s="260"/>
      <c r="BZ49" s="260"/>
      <c r="CA49" s="260"/>
      <c r="CB49" s="260"/>
      <c r="CC49" s="260"/>
      <c r="CD49" s="260"/>
      <c r="CE49" s="260"/>
      <c r="CF49" s="260"/>
      <c r="CG49" s="260"/>
      <c r="CH49" s="260"/>
      <c r="CI49" s="261"/>
    </row>
    <row r="50" spans="2:87" ht="15.75" thickBot="1" x14ac:dyDescent="0.3">
      <c r="B50" s="259"/>
      <c r="C50" s="843" t="s">
        <v>509</v>
      </c>
      <c r="D50" s="843"/>
      <c r="E50" s="303">
        <f>(SUM(F28:F47))/60</f>
        <v>1.0973277777777779</v>
      </c>
      <c r="F50" s="302" t="s">
        <v>510</v>
      </c>
      <c r="BU50" s="259"/>
      <c r="BV50" s="260"/>
      <c r="BW50" s="260"/>
      <c r="BX50" s="260"/>
      <c r="BY50" s="260"/>
      <c r="BZ50" s="260"/>
      <c r="CA50" s="260"/>
      <c r="CB50" s="260"/>
      <c r="CC50" s="260"/>
      <c r="CD50" s="260"/>
      <c r="CE50" s="260"/>
      <c r="CF50" s="260"/>
      <c r="CG50" s="260"/>
      <c r="CH50" s="260"/>
      <c r="CI50" s="261"/>
    </row>
    <row r="51" spans="2:87" ht="15.75" thickBot="1" x14ac:dyDescent="0.3">
      <c r="B51" s="259"/>
      <c r="C51" s="843" t="s">
        <v>511</v>
      </c>
      <c r="D51" s="843"/>
      <c r="E51" s="301">
        <f>(E49/1000)/E50</f>
        <v>9.9291207428146144</v>
      </c>
      <c r="F51" s="302" t="s">
        <v>281</v>
      </c>
      <c r="BU51" s="259"/>
      <c r="BV51" s="260"/>
      <c r="BW51" s="260"/>
      <c r="BX51" s="260"/>
      <c r="BY51" s="260"/>
      <c r="BZ51" s="260"/>
      <c r="CA51" s="260"/>
      <c r="CB51" s="260"/>
      <c r="CC51" s="260"/>
      <c r="CD51" s="260"/>
      <c r="CE51" s="260"/>
      <c r="CF51" s="260"/>
      <c r="CG51" s="260"/>
      <c r="CH51" s="260"/>
      <c r="CI51" s="261"/>
    </row>
    <row r="52" spans="2:87" ht="13.5" thickBot="1" x14ac:dyDescent="0.25">
      <c r="B52" s="259"/>
      <c r="C52" s="260"/>
      <c r="D52" s="260"/>
      <c r="E52" s="260"/>
      <c r="F52" s="261"/>
      <c r="BU52" s="259"/>
      <c r="BV52" s="260"/>
      <c r="BW52" s="260"/>
      <c r="BX52" s="260"/>
      <c r="BY52" s="260"/>
      <c r="BZ52" s="260"/>
      <c r="CA52" s="260"/>
      <c r="CB52" s="260"/>
      <c r="CC52" s="260"/>
      <c r="CD52" s="260"/>
      <c r="CE52" s="260"/>
      <c r="CF52" s="260"/>
      <c r="CG52" s="260"/>
      <c r="CH52" s="260"/>
      <c r="CI52" s="261"/>
    </row>
    <row r="53" spans="2:87" ht="15.75" thickBot="1" x14ac:dyDescent="0.3">
      <c r="B53" s="845" t="s">
        <v>512</v>
      </c>
      <c r="C53" s="846"/>
      <c r="D53" s="846"/>
      <c r="E53" s="846"/>
      <c r="F53" s="847"/>
      <c r="BU53" s="304"/>
      <c r="BV53" s="305"/>
      <c r="BW53" s="305"/>
      <c r="BX53" s="305"/>
      <c r="BY53" s="305"/>
      <c r="BZ53" s="305"/>
      <c r="CA53" s="305"/>
      <c r="CB53" s="305"/>
      <c r="CC53" s="305"/>
      <c r="CD53" s="305"/>
      <c r="CE53" s="305"/>
      <c r="CF53" s="305"/>
      <c r="CG53" s="305"/>
      <c r="CH53" s="305"/>
      <c r="CI53" s="306"/>
    </row>
    <row r="54" spans="2:87" ht="13.5" thickBot="1" x14ac:dyDescent="0.25">
      <c r="B54" s="307"/>
      <c r="C54" s="308"/>
      <c r="D54" s="308"/>
      <c r="E54" s="308"/>
      <c r="F54" s="309"/>
      <c r="BU54" s="270"/>
      <c r="BV54" s="271"/>
      <c r="BW54" s="271"/>
      <c r="BX54" s="271"/>
      <c r="BY54" s="271"/>
      <c r="BZ54" s="271"/>
      <c r="CA54" s="271"/>
      <c r="CB54" s="271"/>
      <c r="CC54" s="271"/>
      <c r="CD54" s="271"/>
      <c r="CE54" s="271"/>
      <c r="CF54" s="271"/>
      <c r="CG54" s="271"/>
      <c r="CH54" s="271"/>
      <c r="CI54" s="272"/>
    </row>
    <row r="55" spans="2:87" ht="15.75" thickBot="1" x14ac:dyDescent="0.3">
      <c r="B55" s="836" t="s">
        <v>513</v>
      </c>
      <c r="C55" s="837"/>
      <c r="D55" s="837"/>
      <c r="E55" s="837"/>
      <c r="F55" s="838"/>
      <c r="BU55" s="259"/>
      <c r="BV55" s="260"/>
      <c r="BW55" s="260"/>
      <c r="BX55" s="260"/>
      <c r="BY55" s="260"/>
      <c r="BZ55" s="260"/>
      <c r="CA55" s="260"/>
      <c r="CB55" s="260"/>
      <c r="CC55" s="260"/>
      <c r="CD55" s="260"/>
      <c r="CE55" s="260"/>
      <c r="CF55" s="260"/>
      <c r="CG55" s="260"/>
      <c r="CH55" s="260"/>
      <c r="CI55" s="261"/>
    </row>
    <row r="56" spans="2:87" ht="13.5" thickBot="1" x14ac:dyDescent="0.25">
      <c r="B56" s="259"/>
      <c r="C56" s="260"/>
      <c r="D56" s="260"/>
      <c r="E56" s="260"/>
      <c r="F56" s="261"/>
      <c r="BU56" s="259"/>
      <c r="BV56" s="260"/>
      <c r="BW56" s="260"/>
      <c r="BX56" s="260"/>
      <c r="BY56" s="260"/>
      <c r="BZ56" s="260"/>
      <c r="CA56" s="260"/>
      <c r="CB56" s="260"/>
      <c r="CC56" s="260"/>
      <c r="CD56" s="260"/>
      <c r="CE56" s="260"/>
      <c r="CF56" s="260"/>
      <c r="CG56" s="260"/>
      <c r="CH56" s="260"/>
      <c r="CI56" s="261"/>
    </row>
    <row r="57" spans="2:87" ht="15.75" thickBot="1" x14ac:dyDescent="0.3">
      <c r="B57" s="310" t="s">
        <v>514</v>
      </c>
      <c r="C57" s="311">
        <f>(60/C62)</f>
        <v>41.142857142857139</v>
      </c>
      <c r="D57" s="312" t="s">
        <v>279</v>
      </c>
      <c r="E57" s="260"/>
      <c r="F57" s="261"/>
      <c r="BU57" s="259"/>
      <c r="BV57" s="260"/>
      <c r="BW57" s="260"/>
      <c r="BX57" s="260"/>
      <c r="BY57" s="260"/>
      <c r="BZ57" s="260"/>
      <c r="CA57" s="260"/>
      <c r="CB57" s="260"/>
      <c r="CC57" s="260"/>
      <c r="CD57" s="260"/>
      <c r="CE57" s="260"/>
      <c r="CF57" s="260"/>
      <c r="CG57" s="260"/>
      <c r="CH57" s="260"/>
      <c r="CI57" s="261"/>
    </row>
    <row r="58" spans="2:87" ht="13.5" thickBot="1" x14ac:dyDescent="0.25">
      <c r="B58" s="310" t="s">
        <v>438</v>
      </c>
      <c r="C58" s="313">
        <v>20</v>
      </c>
      <c r="D58" s="312" t="s">
        <v>9</v>
      </c>
      <c r="E58" s="260"/>
      <c r="F58" s="261"/>
      <c r="BU58" s="259"/>
      <c r="BV58" s="260"/>
      <c r="BW58" s="260"/>
      <c r="BX58" s="260"/>
      <c r="BY58" s="260"/>
      <c r="BZ58" s="260"/>
      <c r="CA58" s="260"/>
      <c r="CB58" s="260"/>
      <c r="CC58" s="260"/>
      <c r="CD58" s="260"/>
      <c r="CE58" s="260"/>
      <c r="CF58" s="260"/>
      <c r="CG58" s="260"/>
      <c r="CH58" s="260"/>
      <c r="CI58" s="261"/>
    </row>
    <row r="59" spans="2:87" ht="13.5" thickBot="1" x14ac:dyDescent="0.25">
      <c r="B59" s="259"/>
      <c r="C59" s="260"/>
      <c r="D59" s="314"/>
      <c r="E59" s="260"/>
      <c r="F59" s="261"/>
      <c r="BU59" s="259"/>
      <c r="BV59" s="260"/>
      <c r="BW59" s="260"/>
      <c r="BX59" s="260"/>
      <c r="BY59" s="260"/>
      <c r="BZ59" s="260"/>
      <c r="CA59" s="260"/>
      <c r="CB59" s="260"/>
      <c r="CC59" s="260"/>
      <c r="CD59" s="260"/>
      <c r="CE59" s="260"/>
      <c r="CF59" s="260"/>
      <c r="CG59" s="260"/>
      <c r="CH59" s="260"/>
      <c r="CI59" s="261"/>
    </row>
    <row r="60" spans="2:87" ht="15.75" thickBot="1" x14ac:dyDescent="0.3">
      <c r="B60" s="315" t="s">
        <v>515</v>
      </c>
      <c r="C60" s="316">
        <f>(C58/1000)/0.02</f>
        <v>1</v>
      </c>
      <c r="D60" s="302" t="s">
        <v>187</v>
      </c>
      <c r="E60" s="260"/>
      <c r="F60" s="261"/>
      <c r="BU60" s="259"/>
      <c r="BV60" s="260"/>
      <c r="BW60" s="260"/>
      <c r="BX60" s="260"/>
      <c r="BY60" s="260"/>
      <c r="BZ60" s="260"/>
      <c r="CA60" s="260"/>
      <c r="CB60" s="260"/>
      <c r="CC60" s="260"/>
      <c r="CD60" s="260"/>
      <c r="CE60" s="260"/>
      <c r="CF60" s="260"/>
      <c r="CG60" s="260"/>
      <c r="CH60" s="260"/>
      <c r="CI60" s="261"/>
    </row>
    <row r="61" spans="2:87" ht="15.75" thickBot="1" x14ac:dyDescent="0.3">
      <c r="B61" s="315" t="s">
        <v>516</v>
      </c>
      <c r="C61" s="317">
        <f>C11</f>
        <v>0.33333333333333337</v>
      </c>
      <c r="D61" s="302" t="s">
        <v>187</v>
      </c>
      <c r="E61" s="260"/>
      <c r="F61" s="261"/>
      <c r="BU61" s="259"/>
      <c r="BV61" s="260"/>
      <c r="BW61" s="260"/>
      <c r="BX61" s="260"/>
      <c r="BY61" s="260"/>
      <c r="BZ61" s="260"/>
      <c r="CA61" s="260"/>
      <c r="CB61" s="260"/>
      <c r="CC61" s="260"/>
      <c r="CD61" s="260"/>
      <c r="CE61" s="260"/>
      <c r="CF61" s="260"/>
      <c r="CG61" s="260"/>
      <c r="CH61" s="260"/>
      <c r="CI61" s="261"/>
    </row>
    <row r="62" spans="2:87" ht="15.75" thickBot="1" x14ac:dyDescent="0.25">
      <c r="B62" s="318" t="s">
        <v>517</v>
      </c>
      <c r="C62" s="317">
        <f>(C60+C61)+(C63/100)</f>
        <v>1.4583333333333335</v>
      </c>
      <c r="D62" s="302" t="s">
        <v>187</v>
      </c>
      <c r="E62" s="260"/>
      <c r="F62" s="261"/>
      <c r="BU62" s="259"/>
      <c r="BV62" s="260"/>
      <c r="BW62" s="260"/>
      <c r="BX62" s="260"/>
      <c r="BY62" s="260"/>
      <c r="BZ62" s="260"/>
      <c r="CA62" s="260"/>
      <c r="CB62" s="260"/>
      <c r="CC62" s="260"/>
      <c r="CD62" s="260"/>
      <c r="CE62" s="260"/>
      <c r="CF62" s="260"/>
      <c r="CG62" s="260"/>
      <c r="CH62" s="260"/>
      <c r="CI62" s="261"/>
    </row>
    <row r="63" spans="2:87" ht="15.75" thickBot="1" x14ac:dyDescent="0.3">
      <c r="B63" s="315" t="s">
        <v>518</v>
      </c>
      <c r="C63" s="319">
        <f>IF($C$6=2.5,17,IF($C$6=5,12.5,IF($C$6&gt;=7.5,10)))</f>
        <v>12.5</v>
      </c>
      <c r="D63" s="302" t="s">
        <v>292</v>
      </c>
      <c r="E63" s="260"/>
      <c r="F63" s="261"/>
      <c r="BU63" s="259"/>
      <c r="BV63" s="260"/>
      <c r="BW63" s="260"/>
      <c r="BX63" s="260"/>
      <c r="BY63" s="260"/>
      <c r="BZ63" s="260"/>
      <c r="CA63" s="260"/>
      <c r="CB63" s="260"/>
      <c r="CC63" s="260"/>
      <c r="CD63" s="260"/>
      <c r="CE63" s="260"/>
      <c r="CF63" s="260"/>
      <c r="CG63" s="260"/>
      <c r="CH63" s="260"/>
      <c r="CI63" s="261"/>
    </row>
    <row r="64" spans="2:87" ht="13.5" thickBot="1" x14ac:dyDescent="0.25">
      <c r="B64" s="320" t="s">
        <v>519</v>
      </c>
      <c r="C64" s="321">
        <f>C62-(C60+C61)</f>
        <v>0.125</v>
      </c>
      <c r="D64" s="302" t="s">
        <v>187</v>
      </c>
      <c r="E64" s="260"/>
      <c r="F64" s="261"/>
      <c r="BU64" s="259"/>
      <c r="BV64" s="260"/>
      <c r="BW64" s="260"/>
      <c r="BX64" s="260"/>
      <c r="BY64" s="260"/>
      <c r="BZ64" s="260"/>
      <c r="CA64" s="260"/>
      <c r="CB64" s="260"/>
      <c r="CC64" s="260"/>
      <c r="CD64" s="260"/>
      <c r="CE64" s="260"/>
      <c r="CF64" s="260"/>
      <c r="CG64" s="260"/>
      <c r="CH64" s="260"/>
      <c r="CI64" s="261"/>
    </row>
    <row r="65" spans="2:87" ht="13.5" thickBot="1" x14ac:dyDescent="0.25">
      <c r="B65" s="259"/>
      <c r="C65" s="260"/>
      <c r="D65" s="260"/>
      <c r="E65" s="260"/>
      <c r="F65" s="261"/>
      <c r="BU65" s="259"/>
      <c r="BV65" s="260"/>
      <c r="BW65" s="260"/>
      <c r="BX65" s="260"/>
      <c r="BY65" s="260"/>
      <c r="BZ65" s="260"/>
      <c r="CA65" s="260"/>
      <c r="CB65" s="260"/>
      <c r="CC65" s="260"/>
      <c r="CD65" s="260"/>
      <c r="CE65" s="260"/>
      <c r="CF65" s="260"/>
      <c r="CG65" s="260"/>
      <c r="CH65" s="260"/>
      <c r="CI65" s="261"/>
    </row>
    <row r="66" spans="2:87" ht="15.75" thickBot="1" x14ac:dyDescent="0.3">
      <c r="B66" s="836" t="s">
        <v>520</v>
      </c>
      <c r="C66" s="837"/>
      <c r="D66" s="837"/>
      <c r="E66" s="837"/>
      <c r="F66" s="838"/>
      <c r="BU66" s="259"/>
      <c r="BV66" s="260"/>
      <c r="BW66" s="260"/>
      <c r="BX66" s="260"/>
      <c r="BY66" s="260"/>
      <c r="BZ66" s="260"/>
      <c r="CA66" s="260"/>
      <c r="CB66" s="260"/>
      <c r="CC66" s="260"/>
      <c r="CD66" s="260"/>
      <c r="CE66" s="260"/>
      <c r="CF66" s="260"/>
      <c r="CG66" s="260"/>
      <c r="CH66" s="260"/>
      <c r="CI66" s="261"/>
    </row>
    <row r="67" spans="2:87" ht="13.5" thickBot="1" x14ac:dyDescent="0.25">
      <c r="B67" s="259"/>
      <c r="C67" s="260"/>
      <c r="D67" s="260"/>
      <c r="E67" s="260"/>
      <c r="F67" s="261"/>
      <c r="BU67" s="259"/>
      <c r="BV67" s="260"/>
      <c r="BW67" s="260"/>
      <c r="BX67" s="260"/>
      <c r="BY67" s="260"/>
      <c r="BZ67" s="260"/>
      <c r="CA67" s="260"/>
      <c r="CB67" s="260"/>
      <c r="CC67" s="260"/>
      <c r="CD67" s="260"/>
      <c r="CE67" s="260"/>
      <c r="CF67" s="260"/>
      <c r="CG67" s="260"/>
      <c r="CH67" s="260"/>
      <c r="CI67" s="261"/>
    </row>
    <row r="68" spans="2:87" ht="15.75" thickBot="1" x14ac:dyDescent="0.3">
      <c r="B68" s="310" t="s">
        <v>514</v>
      </c>
      <c r="C68" s="311">
        <f>60/(C73/(SUM(D28:D47)))</f>
        <v>10.5046395491342</v>
      </c>
      <c r="D68" s="312" t="s">
        <v>279</v>
      </c>
      <c r="E68" s="260"/>
      <c r="F68" s="261"/>
      <c r="BU68" s="259"/>
      <c r="BV68" s="260"/>
      <c r="BW68" s="260"/>
      <c r="BX68" s="260"/>
      <c r="BY68" s="260"/>
      <c r="BZ68" s="260"/>
      <c r="CA68" s="260"/>
      <c r="CB68" s="260"/>
      <c r="CC68" s="260"/>
      <c r="CD68" s="260"/>
      <c r="CE68" s="260"/>
      <c r="CF68" s="260"/>
      <c r="CG68" s="260"/>
      <c r="CH68" s="260"/>
      <c r="CI68" s="261"/>
    </row>
    <row r="69" spans="2:87" ht="13.5" thickBot="1" x14ac:dyDescent="0.25">
      <c r="B69" s="310" t="s">
        <v>438</v>
      </c>
      <c r="C69" s="313">
        <v>20</v>
      </c>
      <c r="D69" s="312" t="s">
        <v>9</v>
      </c>
      <c r="E69" s="260"/>
      <c r="F69" s="261"/>
      <c r="BU69" s="259"/>
      <c r="BV69" s="260"/>
      <c r="BW69" s="260"/>
      <c r="BX69" s="260"/>
      <c r="BY69" s="260"/>
      <c r="BZ69" s="260"/>
      <c r="CA69" s="260"/>
      <c r="CB69" s="260"/>
      <c r="CC69" s="260"/>
      <c r="CD69" s="260"/>
      <c r="CE69" s="260"/>
      <c r="CF69" s="260"/>
      <c r="CG69" s="260"/>
      <c r="CH69" s="260"/>
      <c r="CI69" s="261"/>
    </row>
    <row r="70" spans="2:87" ht="13.5" thickBot="1" x14ac:dyDescent="0.25">
      <c r="B70" s="259"/>
      <c r="C70" s="260"/>
      <c r="D70" s="314"/>
      <c r="E70" s="260"/>
      <c r="F70" s="261"/>
      <c r="BU70" s="259"/>
      <c r="BV70" s="260"/>
      <c r="BW70" s="260"/>
      <c r="BX70" s="260"/>
      <c r="BY70" s="260"/>
      <c r="BZ70" s="260"/>
      <c r="CA70" s="260"/>
      <c r="CB70" s="260"/>
      <c r="CC70" s="260"/>
      <c r="CD70" s="260"/>
      <c r="CE70" s="260"/>
      <c r="CF70" s="260"/>
      <c r="CG70" s="260"/>
      <c r="CH70" s="260"/>
      <c r="CI70" s="261"/>
    </row>
    <row r="71" spans="2:87" ht="15.75" thickBot="1" x14ac:dyDescent="0.3">
      <c r="B71" s="315" t="s">
        <v>515</v>
      </c>
      <c r="C71" s="316">
        <f>(C69/1000)/0.02</f>
        <v>1</v>
      </c>
      <c r="D71" s="302" t="s">
        <v>187</v>
      </c>
      <c r="E71" s="260"/>
      <c r="F71" s="261"/>
      <c r="BU71" s="259"/>
      <c r="BV71" s="260"/>
      <c r="BW71" s="260"/>
      <c r="BX71" s="260"/>
      <c r="BY71" s="260"/>
      <c r="BZ71" s="260"/>
      <c r="CA71" s="260"/>
      <c r="CB71" s="260"/>
      <c r="CC71" s="260"/>
      <c r="CD71" s="260"/>
      <c r="CE71" s="260"/>
      <c r="CF71" s="260"/>
      <c r="CG71" s="260"/>
      <c r="CH71" s="260"/>
      <c r="CI71" s="261"/>
    </row>
    <row r="72" spans="2:87" ht="15.75" thickBot="1" x14ac:dyDescent="0.3">
      <c r="B72" s="315" t="s">
        <v>516</v>
      </c>
      <c r="C72" s="317">
        <f>SUM(F28:F47)</f>
        <v>65.839666666666673</v>
      </c>
      <c r="D72" s="302" t="s">
        <v>187</v>
      </c>
      <c r="E72" s="260"/>
      <c r="F72" s="261"/>
      <c r="BU72" s="259"/>
      <c r="BV72" s="260"/>
      <c r="BW72" s="260"/>
      <c r="BX72" s="260"/>
      <c r="BY72" s="260"/>
      <c r="BZ72" s="260"/>
      <c r="CA72" s="260"/>
      <c r="CB72" s="260"/>
      <c r="CC72" s="260"/>
      <c r="CD72" s="260"/>
      <c r="CE72" s="260"/>
      <c r="CF72" s="260"/>
      <c r="CG72" s="260"/>
      <c r="CH72" s="260"/>
      <c r="CI72" s="261"/>
    </row>
    <row r="73" spans="2:87" ht="15.75" thickBot="1" x14ac:dyDescent="0.25">
      <c r="B73" s="318" t="s">
        <v>517</v>
      </c>
      <c r="C73" s="317">
        <f>SUM(D28:D47)*C71+C72+(C74/100)</f>
        <v>79.964666666666673</v>
      </c>
      <c r="D73" s="302" t="s">
        <v>187</v>
      </c>
      <c r="E73" s="260"/>
      <c r="F73" s="261"/>
      <c r="BU73" s="259"/>
      <c r="BV73" s="260"/>
      <c r="BW73" s="260"/>
      <c r="BX73" s="260"/>
      <c r="BY73" s="260"/>
      <c r="BZ73" s="260"/>
      <c r="CA73" s="260"/>
      <c r="CB73" s="260"/>
      <c r="CC73" s="260"/>
      <c r="CD73" s="260"/>
      <c r="CE73" s="260"/>
      <c r="CF73" s="260"/>
      <c r="CG73" s="260"/>
      <c r="CH73" s="260"/>
      <c r="CI73" s="261"/>
    </row>
    <row r="74" spans="2:87" ht="15.75" thickBot="1" x14ac:dyDescent="0.3">
      <c r="B74" s="315" t="s">
        <v>518</v>
      </c>
      <c r="C74" s="319">
        <f>IF(C6=2.5,17,IF(C6=5,12.5,IF(C6&gt;=7.5,10)))</f>
        <v>12.5</v>
      </c>
      <c r="D74" s="302" t="s">
        <v>292</v>
      </c>
      <c r="E74" s="260"/>
      <c r="F74" s="261"/>
      <c r="BU74" s="259"/>
      <c r="BV74" s="260"/>
      <c r="BW74" s="260"/>
      <c r="BX74" s="260"/>
      <c r="BY74" s="260"/>
      <c r="BZ74" s="260"/>
      <c r="CA74" s="260"/>
      <c r="CB74" s="260"/>
      <c r="CC74" s="260"/>
      <c r="CD74" s="260"/>
      <c r="CE74" s="260"/>
      <c r="CF74" s="260"/>
      <c r="CG74" s="260"/>
      <c r="CH74" s="260"/>
      <c r="CI74" s="261"/>
    </row>
    <row r="75" spans="2:87" ht="15.75" thickBot="1" x14ac:dyDescent="0.25">
      <c r="B75" s="318" t="s">
        <v>519</v>
      </c>
      <c r="C75" s="321">
        <f>C73-(C71+C72)</f>
        <v>13.125</v>
      </c>
      <c r="D75" s="302" t="s">
        <v>187</v>
      </c>
      <c r="E75" s="260"/>
      <c r="F75" s="261"/>
      <c r="BU75" s="259"/>
      <c r="BV75" s="260"/>
      <c r="BW75" s="260"/>
      <c r="BX75" s="260"/>
      <c r="BY75" s="260"/>
      <c r="BZ75" s="260"/>
      <c r="CA75" s="260"/>
      <c r="CB75" s="260"/>
      <c r="CC75" s="260"/>
      <c r="CD75" s="260"/>
      <c r="CE75" s="260"/>
      <c r="CF75" s="260"/>
      <c r="CG75" s="260"/>
      <c r="CH75" s="260"/>
      <c r="CI75" s="261"/>
    </row>
    <row r="76" spans="2:87" ht="13.5" thickBot="1" x14ac:dyDescent="0.25">
      <c r="B76" s="259"/>
      <c r="C76" s="260"/>
      <c r="D76" s="260"/>
      <c r="E76" s="260"/>
      <c r="F76" s="261"/>
      <c r="BU76" s="284"/>
      <c r="BV76" s="285"/>
      <c r="BW76" s="285"/>
      <c r="BX76" s="285"/>
      <c r="BY76" s="285"/>
      <c r="BZ76" s="285"/>
      <c r="CA76" s="285"/>
      <c r="CB76" s="285"/>
      <c r="CC76" s="285"/>
      <c r="CD76" s="285"/>
      <c r="CE76" s="285"/>
      <c r="CF76" s="285"/>
      <c r="CG76" s="285"/>
      <c r="CH76" s="285"/>
      <c r="CI76" s="286"/>
    </row>
    <row r="77" spans="2:87" ht="15.75" thickBot="1" x14ac:dyDescent="0.3">
      <c r="B77" s="845" t="s">
        <v>58</v>
      </c>
      <c r="C77" s="846"/>
      <c r="D77" s="846"/>
      <c r="E77" s="846"/>
      <c r="F77" s="847"/>
      <c r="BU77" s="304"/>
      <c r="BV77" s="305"/>
      <c r="BW77" s="305"/>
      <c r="BX77" s="305"/>
      <c r="BY77" s="305"/>
      <c r="BZ77" s="305"/>
      <c r="CA77" s="305"/>
      <c r="CB77" s="305"/>
      <c r="CC77" s="305"/>
      <c r="CD77" s="305"/>
      <c r="CE77" s="305"/>
      <c r="CF77" s="305"/>
      <c r="CG77" s="305"/>
      <c r="CH77" s="305"/>
      <c r="CI77" s="306"/>
    </row>
    <row r="78" spans="2:87" ht="13.5" thickBot="1" x14ac:dyDescent="0.25">
      <c r="B78" s="259"/>
      <c r="C78" s="260"/>
      <c r="D78" s="260"/>
      <c r="E78" s="260"/>
      <c r="F78" s="261"/>
    </row>
    <row r="79" spans="2:87" ht="15.75" thickBot="1" x14ac:dyDescent="0.3">
      <c r="B79" s="836" t="s">
        <v>477</v>
      </c>
      <c r="C79" s="837"/>
      <c r="D79" s="837"/>
      <c r="E79" s="837"/>
      <c r="F79" s="838"/>
    </row>
    <row r="80" spans="2:87" ht="13.5" thickBot="1" x14ac:dyDescent="0.25">
      <c r="B80" s="259"/>
      <c r="C80" s="260"/>
      <c r="D80" s="260"/>
      <c r="E80" s="260"/>
      <c r="F80" s="261"/>
    </row>
    <row r="81" spans="2:6" ht="15.75" thickBot="1" x14ac:dyDescent="0.3">
      <c r="B81" s="310" t="s">
        <v>521</v>
      </c>
      <c r="C81" s="322">
        <f>(C10*C57)/1000</f>
        <v>2.0571428571428569</v>
      </c>
      <c r="D81" s="312" t="s">
        <v>281</v>
      </c>
      <c r="E81" s="260"/>
      <c r="F81" s="261"/>
    </row>
    <row r="82" spans="2:6" ht="13.5" thickBot="1" x14ac:dyDescent="0.25">
      <c r="B82" s="259"/>
      <c r="C82" s="260"/>
      <c r="D82" s="260"/>
      <c r="E82" s="260"/>
      <c r="F82" s="261"/>
    </row>
    <row r="83" spans="2:6" ht="15.75" thickBot="1" x14ac:dyDescent="0.3">
      <c r="B83" s="836" t="s">
        <v>485</v>
      </c>
      <c r="C83" s="837"/>
      <c r="D83" s="837"/>
      <c r="E83" s="837"/>
      <c r="F83" s="838"/>
    </row>
    <row r="84" spans="2:6" ht="13.5" thickBot="1" x14ac:dyDescent="0.25">
      <c r="B84" s="259"/>
      <c r="C84" s="260"/>
      <c r="D84" s="260"/>
      <c r="E84" s="260"/>
      <c r="F84" s="261"/>
    </row>
    <row r="85" spans="2:6" ht="15.75" thickBot="1" x14ac:dyDescent="0.3">
      <c r="B85" s="310" t="s">
        <v>521</v>
      </c>
      <c r="C85" s="322">
        <f>((E49/1000)/(C73/60))*0.85</f>
        <v>6.9489503697466368</v>
      </c>
      <c r="D85" s="312" t="s">
        <v>281</v>
      </c>
      <c r="E85" s="260"/>
      <c r="F85" s="261"/>
    </row>
    <row r="86" spans="2:6" ht="13.5" thickBot="1" x14ac:dyDescent="0.25">
      <c r="B86" s="284"/>
      <c r="C86" s="285"/>
      <c r="D86" s="285"/>
      <c r="E86" s="285"/>
      <c r="F86" s="286"/>
    </row>
    <row r="89" spans="2:6" x14ac:dyDescent="0.2">
      <c r="B89" s="848" t="s">
        <v>522</v>
      </c>
      <c r="C89" s="848"/>
    </row>
    <row r="90" spans="2:6" x14ac:dyDescent="0.2">
      <c r="B90" s="849" t="s">
        <v>523</v>
      </c>
      <c r="C90" s="849"/>
    </row>
    <row r="91" spans="2:6" x14ac:dyDescent="0.2">
      <c r="B91" s="844" t="s">
        <v>524</v>
      </c>
      <c r="C91" s="844"/>
    </row>
    <row r="92" spans="2:6" x14ac:dyDescent="0.2">
      <c r="B92" s="844" t="s">
        <v>523</v>
      </c>
      <c r="C92" s="844"/>
    </row>
  </sheetData>
  <mergeCells count="36">
    <mergeCell ref="BI27:BK27"/>
    <mergeCell ref="BC27:BE27"/>
    <mergeCell ref="B92:C92"/>
    <mergeCell ref="B77:F77"/>
    <mergeCell ref="B79:F79"/>
    <mergeCell ref="B83:F83"/>
    <mergeCell ref="B89:C89"/>
    <mergeCell ref="B90:C90"/>
    <mergeCell ref="B91:C91"/>
    <mergeCell ref="C50:D50"/>
    <mergeCell ref="C51:D51"/>
    <mergeCell ref="B53:F53"/>
    <mergeCell ref="B55:F55"/>
    <mergeCell ref="B66:F66"/>
    <mergeCell ref="V27:X27"/>
    <mergeCell ref="BR27:BT27"/>
    <mergeCell ref="C49:D49"/>
    <mergeCell ref="AN27:AP27"/>
    <mergeCell ref="AQ27:AS27"/>
    <mergeCell ref="AT27:AV27"/>
    <mergeCell ref="AW27:AY27"/>
    <mergeCell ref="AE27:AG27"/>
    <mergeCell ref="AH27:AJ27"/>
    <mergeCell ref="S27:U27"/>
    <mergeCell ref="BL27:BN27"/>
    <mergeCell ref="BO27:BQ27"/>
    <mergeCell ref="BF27:BH27"/>
    <mergeCell ref="Y27:AA27"/>
    <mergeCell ref="AB27:AD27"/>
    <mergeCell ref="AK27:AM27"/>
    <mergeCell ref="AZ27:BB27"/>
    <mergeCell ref="B2:F2"/>
    <mergeCell ref="B8:F8"/>
    <mergeCell ref="B25:F25"/>
    <mergeCell ref="M27:O27"/>
    <mergeCell ref="P27:R27"/>
  </mergeCells>
  <dataValidations count="2">
    <dataValidation type="decimal" allowBlank="1" showInputMessage="1" showErrorMessage="1" errorTitle="Valor Acima/Abaixo" error="Valor Máx.:35m/min_x000a_Valor Mín.: 2,0m/min" sqref="C4">
      <formula1>1.5</formula1>
      <formula2>35</formula2>
    </dataValidation>
    <dataValidation type="list" allowBlank="1" showInputMessage="1" showErrorMessage="1" sqref="C6">
      <formula1>"2,5,5,0,7,5,9,9"</formula1>
    </dataValidation>
  </dataValidations>
  <pageMargins left="0.511811024" right="0.511811024" top="0.78740157499999996" bottom="0.78740157499999996" header="0.31496062000000002" footer="0.31496062000000002"/>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6">
    <tabColor theme="0" tint="-0.34998626667073579"/>
  </sheetPr>
  <dimension ref="B2:F4"/>
  <sheetViews>
    <sheetView showGridLines="0" showRowColHeaders="0" workbookViewId="0">
      <selection activeCell="A2" sqref="A2"/>
    </sheetView>
  </sheetViews>
  <sheetFormatPr defaultRowHeight="12.75" x14ac:dyDescent="0.2"/>
  <cols>
    <col min="1" max="1" width="12.140625" style="384" customWidth="1"/>
    <col min="2" max="2" width="10.7109375" style="384" bestFit="1" customWidth="1"/>
    <col min="3" max="3" width="9.85546875" style="384" bestFit="1" customWidth="1"/>
    <col min="4" max="4" width="11.140625" style="384" bestFit="1" customWidth="1"/>
    <col min="5" max="5" width="6.7109375" style="384" bestFit="1" customWidth="1"/>
    <col min="6" max="6" width="11.7109375" style="384" bestFit="1" customWidth="1"/>
    <col min="7" max="16384" width="9.140625" style="384"/>
  </cols>
  <sheetData>
    <row r="2" spans="2:6" s="527" customFormat="1" ht="75" x14ac:dyDescent="0.2">
      <c r="B2" s="528" t="s">
        <v>759</v>
      </c>
      <c r="C2" s="528" t="s">
        <v>760</v>
      </c>
      <c r="D2" s="528" t="s">
        <v>761</v>
      </c>
      <c r="E2" s="528" t="s">
        <v>762</v>
      </c>
      <c r="F2" s="528" t="s">
        <v>763</v>
      </c>
    </row>
    <row r="3" spans="2:6" s="385" customFormat="1" x14ac:dyDescent="0.2">
      <c r="B3" s="377" t="s">
        <v>764</v>
      </c>
      <c r="C3" s="377">
        <v>0.95</v>
      </c>
      <c r="D3" s="377">
        <v>3.85</v>
      </c>
      <c r="E3" s="377">
        <v>1.5</v>
      </c>
      <c r="F3" s="377">
        <v>0.08</v>
      </c>
    </row>
    <row r="4" spans="2:6" s="385" customFormat="1" x14ac:dyDescent="0.2">
      <c r="B4" s="377" t="s">
        <v>765</v>
      </c>
      <c r="C4" s="377">
        <v>0.35</v>
      </c>
      <c r="D4" s="377">
        <v>2.95</v>
      </c>
      <c r="E4" s="377">
        <v>2.5</v>
      </c>
      <c r="F4" s="377">
        <v>5.5E-2</v>
      </c>
    </row>
  </sheetData>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tabColor theme="0" tint="-0.34998626667073579"/>
  </sheetPr>
  <dimension ref="B3:L7"/>
  <sheetViews>
    <sheetView showGridLines="0" showRowColHeaders="0" showZeros="0" showOutlineSymbols="0" workbookViewId="0"/>
  </sheetViews>
  <sheetFormatPr defaultRowHeight="12.75" x14ac:dyDescent="0.2"/>
  <cols>
    <col min="1" max="1" width="2.85546875" style="28" customWidth="1"/>
    <col min="2" max="2" width="14" style="28" customWidth="1"/>
    <col min="3" max="3" width="15.5703125" style="28" customWidth="1"/>
    <col min="4" max="4" width="16" style="28" customWidth="1"/>
    <col min="5" max="5" width="19.5703125" style="28" customWidth="1"/>
    <col min="6" max="6" width="10" style="28" customWidth="1"/>
    <col min="7" max="7" width="14.7109375" style="28" customWidth="1"/>
    <col min="8" max="8" width="19" style="28" customWidth="1"/>
    <col min="9" max="9" width="13.5703125" style="28" customWidth="1"/>
    <col min="10" max="11" width="18.28515625" style="28" customWidth="1"/>
    <col min="12" max="12" width="20.7109375" style="28" customWidth="1"/>
    <col min="13" max="228" width="9.140625" style="28"/>
    <col min="229" max="230" width="1.28515625" style="28" customWidth="1"/>
    <col min="231" max="231" width="9.140625" style="28"/>
    <col min="232" max="232" width="10.140625" style="28" customWidth="1"/>
    <col min="233" max="233" width="15.5703125" style="28" bestFit="1" customWidth="1"/>
    <col min="234" max="234" width="6.140625" style="28" bestFit="1" customWidth="1"/>
    <col min="235" max="235" width="9" style="28" bestFit="1" customWidth="1"/>
    <col min="236" max="237" width="9.140625" style="28"/>
    <col min="238" max="238" width="12" style="28" bestFit="1" customWidth="1"/>
    <col min="239" max="239" width="1.140625" style="28" customWidth="1"/>
    <col min="240" max="240" width="1.5703125" style="28" customWidth="1"/>
    <col min="241" max="241" width="1.140625" style="28" customWidth="1"/>
    <col min="242" max="243" width="9.140625" style="28"/>
    <col min="244" max="244" width="13.42578125" style="28" bestFit="1" customWidth="1"/>
    <col min="245" max="245" width="5.28515625" style="28" bestFit="1" customWidth="1"/>
    <col min="246" max="246" width="9" style="28" bestFit="1" customWidth="1"/>
    <col min="247" max="248" width="8.5703125" style="28" bestFit="1" customWidth="1"/>
    <col min="249" max="249" width="12" style="28" bestFit="1" customWidth="1"/>
    <col min="250" max="250" width="9.140625" style="28"/>
    <col min="251" max="251" width="1.42578125" style="28" customWidth="1"/>
    <col min="252" max="16384" width="9.140625" style="28"/>
  </cols>
  <sheetData>
    <row r="3" spans="2:12" ht="13.5" thickBot="1" x14ac:dyDescent="0.25"/>
    <row r="4" spans="2:12" ht="5.0999999999999996" customHeight="1" thickBot="1" x14ac:dyDescent="0.25">
      <c r="B4" s="775"/>
      <c r="C4" s="776"/>
      <c r="D4" s="776"/>
      <c r="E4" s="776"/>
      <c r="F4" s="776"/>
      <c r="G4" s="776"/>
      <c r="H4" s="776"/>
      <c r="I4" s="776"/>
      <c r="J4" s="776"/>
      <c r="K4" s="776"/>
      <c r="L4" s="853"/>
    </row>
    <row r="5" spans="2:12" ht="18" customHeight="1" thickBot="1" x14ac:dyDescent="0.25">
      <c r="B5" s="850" t="s">
        <v>131</v>
      </c>
      <c r="C5" s="851"/>
      <c r="D5" s="851"/>
      <c r="E5" s="851"/>
      <c r="F5" s="851"/>
      <c r="G5" s="851"/>
      <c r="H5" s="851"/>
      <c r="I5" s="851"/>
      <c r="J5" s="851"/>
      <c r="K5" s="851"/>
      <c r="L5" s="852"/>
    </row>
    <row r="6" spans="2:12" ht="27.75" thickBot="1" x14ac:dyDescent="0.25">
      <c r="B6" s="29" t="s">
        <v>132</v>
      </c>
      <c r="C6" s="29" t="s">
        <v>133</v>
      </c>
      <c r="D6" s="29" t="s">
        <v>134</v>
      </c>
      <c r="E6" s="47" t="s">
        <v>141</v>
      </c>
      <c r="F6" s="29" t="s">
        <v>135</v>
      </c>
      <c r="G6" s="29" t="s">
        <v>138</v>
      </c>
      <c r="H6" s="29" t="s">
        <v>140</v>
      </c>
      <c r="I6" s="29" t="s">
        <v>136</v>
      </c>
      <c r="J6" s="29" t="s">
        <v>137</v>
      </c>
      <c r="K6" s="29" t="s">
        <v>139</v>
      </c>
      <c r="L6" s="29" t="s">
        <v>142</v>
      </c>
    </row>
    <row r="7" spans="2:12" ht="13.5" thickBot="1" x14ac:dyDescent="0.25">
      <c r="B7" s="30"/>
      <c r="C7" s="46"/>
      <c r="D7" s="46"/>
      <c r="E7" s="46"/>
      <c r="F7" s="44">
        <f>E7*(B7/1000*C7/1000*D7/1000)</f>
        <v>0</v>
      </c>
      <c r="G7" s="46"/>
      <c r="H7" s="46"/>
      <c r="I7" s="43">
        <v>21</v>
      </c>
      <c r="J7" s="45">
        <f>H7*I7</f>
        <v>0</v>
      </c>
      <c r="K7" s="45" t="e">
        <f>(F7*G7)/(J7/1000)</f>
        <v>#DIV/0!</v>
      </c>
      <c r="L7" s="31" t="e">
        <f>K7*(J7/1000)</f>
        <v>#DIV/0!</v>
      </c>
    </row>
  </sheetData>
  <mergeCells count="2">
    <mergeCell ref="B5:L5"/>
    <mergeCell ref="B4:L4"/>
  </mergeCells>
  <conditionalFormatting sqref="L7">
    <cfRule type="containsErrors" dxfId="3" priority="2">
      <formula>ISERROR(L7)</formula>
    </cfRule>
  </conditionalFormatting>
  <conditionalFormatting sqref="K7">
    <cfRule type="containsErrors" dxfId="2" priority="1">
      <formula>ISERROR(K7)</formula>
    </cfRule>
  </conditionalFormatting>
  <pageMargins left="0.78740157499999996" right="0.78740157499999996" top="0.984251969" bottom="0.984251969" header="0.49212598499999999" footer="0.49212598499999999"/>
  <pageSetup paperSize="9" orientation="portrait" r:id="rId1"/>
  <headerFooter alignWithMargins="0"/>
  <ignoredErrors>
    <ignoredError sqref="K7:L7" evalError="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tabColor theme="0" tint="-0.34998626667073579"/>
  </sheetPr>
  <dimension ref="B3:L45"/>
  <sheetViews>
    <sheetView showGridLines="0" showRowColHeaders="0" showZeros="0" showOutlineSymbols="0" workbookViewId="0"/>
  </sheetViews>
  <sheetFormatPr defaultRowHeight="12.75" x14ac:dyDescent="0.2"/>
  <cols>
    <col min="1" max="1" width="2.85546875" style="28" customWidth="1"/>
    <col min="2" max="2" width="29.28515625" style="28" customWidth="1"/>
    <col min="3" max="3" width="14" style="28" customWidth="1"/>
    <col min="4" max="4" width="16" style="28" customWidth="1"/>
    <col min="5" max="5" width="13.28515625" style="28" customWidth="1"/>
    <col min="6" max="6" width="14" style="28" customWidth="1"/>
    <col min="7" max="218" width="9.140625" style="28"/>
    <col min="219" max="220" width="1.28515625" style="28" customWidth="1"/>
    <col min="221" max="221" width="9.140625" style="28"/>
    <col min="222" max="222" width="10.140625" style="28" customWidth="1"/>
    <col min="223" max="223" width="15.5703125" style="28" bestFit="1" customWidth="1"/>
    <col min="224" max="224" width="6.140625" style="28" bestFit="1" customWidth="1"/>
    <col min="225" max="225" width="9" style="28" bestFit="1" customWidth="1"/>
    <col min="226" max="227" width="9.140625" style="28"/>
    <col min="228" max="228" width="12" style="28" bestFit="1" customWidth="1"/>
    <col min="229" max="229" width="1.140625" style="28" customWidth="1"/>
    <col min="230" max="230" width="1.5703125" style="28" customWidth="1"/>
    <col min="231" max="231" width="1.140625" style="28" customWidth="1"/>
    <col min="232" max="233" width="9.140625" style="28"/>
    <col min="234" max="234" width="13.42578125" style="28" bestFit="1" customWidth="1"/>
    <col min="235" max="235" width="5.28515625" style="28" bestFit="1" customWidth="1"/>
    <col min="236" max="236" width="9" style="28" bestFit="1" customWidth="1"/>
    <col min="237" max="238" width="8.5703125" style="28" bestFit="1" customWidth="1"/>
    <col min="239" max="239" width="12" style="28" bestFit="1" customWidth="1"/>
    <col min="240" max="240" width="9.140625" style="28"/>
    <col min="241" max="241" width="1.42578125" style="28" customWidth="1"/>
    <col min="242" max="16384" width="9.140625" style="28"/>
  </cols>
  <sheetData>
    <row r="3" spans="2:12" ht="13.5" thickBot="1" x14ac:dyDescent="0.25"/>
    <row r="4" spans="2:12" ht="5.0999999999999996" customHeight="1" thickBot="1" x14ac:dyDescent="0.25">
      <c r="B4" s="856"/>
      <c r="C4" s="856"/>
      <c r="D4" s="856"/>
      <c r="E4" s="856"/>
      <c r="F4" s="856"/>
    </row>
    <row r="5" spans="2:12" ht="18" customHeight="1" thickBot="1" x14ac:dyDescent="0.25">
      <c r="B5" s="855" t="s">
        <v>129</v>
      </c>
      <c r="C5" s="855"/>
      <c r="D5" s="855"/>
      <c r="E5" s="855"/>
      <c r="F5" s="855"/>
      <c r="H5" s="855" t="s">
        <v>426</v>
      </c>
      <c r="I5" s="855"/>
      <c r="J5" s="855"/>
      <c r="K5" s="855"/>
      <c r="L5" s="855"/>
    </row>
    <row r="6" spans="2:12" ht="18" customHeight="1" thickBot="1" x14ac:dyDescent="0.25">
      <c r="B6" s="857" t="s">
        <v>254</v>
      </c>
      <c r="C6" s="857"/>
      <c r="D6" s="857"/>
      <c r="E6" s="857"/>
      <c r="F6" s="857"/>
    </row>
    <row r="7" spans="2:12" ht="18" customHeight="1" thickBot="1" x14ac:dyDescent="0.25">
      <c r="B7" s="33" t="s">
        <v>242</v>
      </c>
      <c r="C7" s="35"/>
      <c r="E7" s="35"/>
      <c r="F7" s="35"/>
    </row>
    <row r="8" spans="2:12" ht="18" customHeight="1" thickBot="1" x14ac:dyDescent="0.25">
      <c r="B8" s="36" t="s">
        <v>241</v>
      </c>
      <c r="C8" s="79">
        <v>22</v>
      </c>
      <c r="E8" s="35"/>
      <c r="F8" s="35"/>
    </row>
    <row r="9" spans="2:12" ht="18" customHeight="1" thickBot="1" x14ac:dyDescent="0.25">
      <c r="B9" s="36" t="s">
        <v>125</v>
      </c>
      <c r="C9" s="79">
        <v>8</v>
      </c>
      <c r="E9" s="35"/>
      <c r="F9" s="35"/>
    </row>
    <row r="10" spans="2:12" ht="18" customHeight="1" thickBot="1" x14ac:dyDescent="0.25">
      <c r="B10" s="36" t="s">
        <v>126</v>
      </c>
      <c r="C10" s="79">
        <v>1</v>
      </c>
      <c r="D10" s="38"/>
      <c r="E10" s="35"/>
      <c r="F10" s="35"/>
    </row>
    <row r="11" spans="2:12" ht="18" customHeight="1" thickBot="1" x14ac:dyDescent="0.25">
      <c r="B11" s="36" t="s">
        <v>243</v>
      </c>
      <c r="C11" s="79">
        <v>1</v>
      </c>
      <c r="D11" s="38"/>
      <c r="E11" s="80"/>
      <c r="F11" s="35"/>
    </row>
    <row r="12" spans="2:12" ht="18" customHeight="1" thickBot="1" x14ac:dyDescent="0.25">
      <c r="B12" s="88"/>
      <c r="C12" s="89"/>
      <c r="D12" s="90"/>
      <c r="E12" s="80"/>
      <c r="F12" s="91"/>
    </row>
    <row r="13" spans="2:12" ht="18" customHeight="1" thickBot="1" x14ac:dyDescent="0.25">
      <c r="B13" s="94" t="s">
        <v>252</v>
      </c>
      <c r="C13" s="86"/>
      <c r="D13" s="87"/>
      <c r="E13" s="95"/>
      <c r="F13" s="85">
        <f>F15+F21</f>
        <v>7826.666666666667</v>
      </c>
    </row>
    <row r="14" spans="2:12" ht="18" customHeight="1" thickBot="1" x14ac:dyDescent="0.25">
      <c r="B14" s="92"/>
      <c r="C14" s="92"/>
      <c r="D14" s="93"/>
      <c r="F14" s="93"/>
    </row>
    <row r="15" spans="2:12" ht="18" customHeight="1" thickBot="1" x14ac:dyDescent="0.25">
      <c r="B15" s="75" t="s">
        <v>49</v>
      </c>
      <c r="C15" s="76"/>
      <c r="D15" s="76"/>
      <c r="E15" s="76"/>
      <c r="F15" s="77">
        <f>C19/12</f>
        <v>1666.6666666666667</v>
      </c>
    </row>
    <row r="16" spans="2:12" ht="13.5" thickBot="1" x14ac:dyDescent="0.25">
      <c r="B16" s="36" t="s">
        <v>123</v>
      </c>
      <c r="C16" s="34">
        <v>200000</v>
      </c>
      <c r="E16" s="35"/>
      <c r="F16" s="35"/>
    </row>
    <row r="17" spans="2:8" ht="13.5" thickBot="1" x14ac:dyDescent="0.25">
      <c r="B17" s="36" t="s">
        <v>237</v>
      </c>
      <c r="C17" s="34">
        <v>0</v>
      </c>
      <c r="E17" s="35"/>
      <c r="F17" s="35"/>
    </row>
    <row r="18" spans="2:8" ht="13.5" thickBot="1" x14ac:dyDescent="0.25">
      <c r="B18" s="36" t="s">
        <v>251</v>
      </c>
      <c r="C18" s="79">
        <v>10</v>
      </c>
      <c r="D18" s="78"/>
      <c r="E18" s="35"/>
      <c r="F18" s="35"/>
    </row>
    <row r="19" spans="2:8" ht="13.5" thickBot="1" x14ac:dyDescent="0.25">
      <c r="B19" s="36" t="s">
        <v>248</v>
      </c>
      <c r="C19" s="35">
        <f>C18/100*(C16+C17)</f>
        <v>20000</v>
      </c>
      <c r="D19" s="169">
        <f>C19/12</f>
        <v>1666.6666666666667</v>
      </c>
      <c r="E19" s="35"/>
      <c r="F19" s="35"/>
    </row>
    <row r="20" spans="2:8" ht="13.5" thickBot="1" x14ac:dyDescent="0.25"/>
    <row r="21" spans="2:8" ht="13.5" thickBot="1" x14ac:dyDescent="0.25">
      <c r="B21" s="75" t="s">
        <v>233</v>
      </c>
      <c r="C21" s="76"/>
      <c r="D21" s="76"/>
      <c r="E21" s="76"/>
      <c r="F21" s="77">
        <f>C22</f>
        <v>6160</v>
      </c>
    </row>
    <row r="22" spans="2:8" ht="15.75" thickBot="1" x14ac:dyDescent="0.3">
      <c r="B22" s="36" t="s">
        <v>244</v>
      </c>
      <c r="C22" s="83">
        <f>35*C9*C10*C8</f>
        <v>6160</v>
      </c>
      <c r="D22" s="32"/>
      <c r="E22" s="32"/>
      <c r="F22" s="32"/>
      <c r="H22" s="28" t="s">
        <v>427</v>
      </c>
    </row>
    <row r="24" spans="2:8" ht="13.5" thickBot="1" x14ac:dyDescent="0.25"/>
    <row r="25" spans="2:8" ht="13.5" thickBot="1" x14ac:dyDescent="0.25">
      <c r="B25" s="94" t="s">
        <v>253</v>
      </c>
      <c r="C25" s="86"/>
      <c r="D25" s="87"/>
      <c r="E25" s="95"/>
      <c r="F25" s="85">
        <f>F27+F33+F37</f>
        <v>2071.0128000000004</v>
      </c>
    </row>
    <row r="26" spans="2:8" ht="13.5" thickBot="1" x14ac:dyDescent="0.25">
      <c r="B26" s="36"/>
      <c r="C26" s="32"/>
      <c r="D26" s="38"/>
      <c r="E26" s="35"/>
      <c r="F26" s="35"/>
    </row>
    <row r="27" spans="2:8" ht="13.5" thickBot="1" x14ac:dyDescent="0.25">
      <c r="B27" s="75" t="s">
        <v>124</v>
      </c>
      <c r="C27" s="76"/>
      <c r="D27" s="76"/>
      <c r="E27" s="76"/>
      <c r="F27" s="77">
        <f>(C29*C30*C31)*C9*C10*C28*C8</f>
        <v>143.45759999999999</v>
      </c>
    </row>
    <row r="28" spans="2:8" ht="15.75" thickBot="1" x14ac:dyDescent="0.3">
      <c r="B28" s="36" t="s">
        <v>250</v>
      </c>
      <c r="C28" s="84">
        <v>0.22</v>
      </c>
      <c r="D28" s="37"/>
      <c r="E28" s="32"/>
      <c r="F28" s="32"/>
    </row>
    <row r="29" spans="2:8" ht="15.75" thickBot="1" x14ac:dyDescent="0.3">
      <c r="B29" s="36" t="s">
        <v>249</v>
      </c>
      <c r="C29" s="79">
        <v>9.5</v>
      </c>
      <c r="D29" s="37"/>
      <c r="E29" s="32"/>
      <c r="F29" s="32"/>
    </row>
    <row r="30" spans="2:8" ht="15.75" thickBot="1" x14ac:dyDescent="0.3">
      <c r="B30" s="36" t="s">
        <v>238</v>
      </c>
      <c r="C30" s="81">
        <v>0.65</v>
      </c>
      <c r="D30" s="37"/>
      <c r="E30" s="32"/>
      <c r="F30" s="32"/>
    </row>
    <row r="31" spans="2:8" ht="15.75" thickBot="1" x14ac:dyDescent="0.3">
      <c r="B31" s="36" t="s">
        <v>239</v>
      </c>
      <c r="C31" s="81">
        <v>0.6</v>
      </c>
      <c r="D31" s="37"/>
      <c r="E31" s="32"/>
      <c r="F31" s="32"/>
    </row>
    <row r="32" spans="2:8" ht="13.5" thickBot="1" x14ac:dyDescent="0.25">
      <c r="B32" s="36"/>
      <c r="C32" s="16"/>
      <c r="D32" s="32"/>
      <c r="E32" s="32"/>
      <c r="F32" s="32"/>
    </row>
    <row r="33" spans="2:8" ht="13.5" thickBot="1" x14ac:dyDescent="0.25">
      <c r="B33" s="75" t="s">
        <v>127</v>
      </c>
      <c r="C33" s="76"/>
      <c r="D33" s="76"/>
      <c r="E33" s="76"/>
      <c r="F33" s="77">
        <f>C11*C34*C9*C10*C8</f>
        <v>1477.5552000000002</v>
      </c>
    </row>
    <row r="34" spans="2:8" ht="13.5" thickBot="1" x14ac:dyDescent="0.25">
      <c r="B34" s="36" t="s">
        <v>240</v>
      </c>
      <c r="C34" s="84">
        <f>0.33*25.44</f>
        <v>8.3952000000000009</v>
      </c>
      <c r="D34" s="32"/>
      <c r="E34" s="32"/>
      <c r="F34" s="32"/>
      <c r="H34" s="28" t="s">
        <v>429</v>
      </c>
    </row>
    <row r="35" spans="2:8" ht="13.5" thickBot="1" x14ac:dyDescent="0.25">
      <c r="B35" s="36" t="s">
        <v>247</v>
      </c>
      <c r="C35" s="39">
        <f>F33/(C11*C10)</f>
        <v>1477.5552000000002</v>
      </c>
      <c r="D35" s="32"/>
      <c r="E35" s="32"/>
      <c r="F35" s="32"/>
    </row>
    <row r="36" spans="2:8" ht="13.5" thickBot="1" x14ac:dyDescent="0.25">
      <c r="B36" s="36"/>
      <c r="C36" s="39"/>
      <c r="D36" s="74"/>
      <c r="E36" s="32"/>
      <c r="F36" s="32"/>
    </row>
    <row r="37" spans="2:8" ht="13.5" thickBot="1" x14ac:dyDescent="0.25">
      <c r="B37" s="75" t="s">
        <v>234</v>
      </c>
      <c r="C37" s="76"/>
      <c r="D37" s="76"/>
      <c r="E37" s="76"/>
      <c r="F37" s="77">
        <f>C38+C39</f>
        <v>450</v>
      </c>
    </row>
    <row r="38" spans="2:8" ht="15.75" thickBot="1" x14ac:dyDescent="0.3">
      <c r="B38" s="36" t="s">
        <v>235</v>
      </c>
      <c r="C38" s="83">
        <v>400</v>
      </c>
      <c r="D38" s="32"/>
      <c r="E38" s="32"/>
      <c r="F38" s="32"/>
      <c r="H38" s="28" t="s">
        <v>428</v>
      </c>
    </row>
    <row r="39" spans="2:8" ht="15.75" thickBot="1" x14ac:dyDescent="0.3">
      <c r="B39" s="36" t="s">
        <v>236</v>
      </c>
      <c r="C39" s="83">
        <v>50</v>
      </c>
      <c r="D39" s="32"/>
      <c r="E39" s="32"/>
      <c r="F39" s="32"/>
    </row>
    <row r="40" spans="2:8" ht="13.5" thickBot="1" x14ac:dyDescent="0.25">
      <c r="B40" s="36"/>
      <c r="C40" s="39"/>
      <c r="D40" s="32"/>
      <c r="E40" s="32"/>
      <c r="F40" s="32"/>
    </row>
    <row r="41" spans="2:8" ht="13.5" thickBot="1" x14ac:dyDescent="0.25">
      <c r="B41" s="94" t="s">
        <v>255</v>
      </c>
      <c r="C41" s="86"/>
      <c r="D41" s="87"/>
      <c r="E41" s="95"/>
      <c r="F41" s="85">
        <f>F13+F25</f>
        <v>9897.6794666666683</v>
      </c>
    </row>
    <row r="42" spans="2:8" ht="13.5" thickBot="1" x14ac:dyDescent="0.25">
      <c r="B42" s="32"/>
      <c r="C42" s="32"/>
      <c r="D42" s="32"/>
      <c r="E42" s="32"/>
      <c r="F42" s="32"/>
    </row>
    <row r="43" spans="2:8" ht="13.5" thickBot="1" x14ac:dyDescent="0.25">
      <c r="B43" s="854" t="s">
        <v>128</v>
      </c>
      <c r="C43" s="854"/>
      <c r="D43" s="854"/>
      <c r="E43" s="854"/>
      <c r="F43" s="96">
        <f>F41/(C8*C9*C10)</f>
        <v>56.23681515151516</v>
      </c>
    </row>
    <row r="44" spans="2:8" ht="13.5" thickBot="1" x14ac:dyDescent="0.25">
      <c r="E44" s="36" t="s">
        <v>245</v>
      </c>
      <c r="F44" s="82">
        <f>(F13)/(C8*C9*C10)</f>
        <v>44.469696969696969</v>
      </c>
    </row>
    <row r="45" spans="2:8" ht="13.5" thickBot="1" x14ac:dyDescent="0.25">
      <c r="E45" s="36" t="s">
        <v>246</v>
      </c>
      <c r="F45" s="82">
        <f>(F25)/(C8*C9*C10)</f>
        <v>11.767118181818184</v>
      </c>
    </row>
  </sheetData>
  <mergeCells count="5">
    <mergeCell ref="B43:E43"/>
    <mergeCell ref="B5:F5"/>
    <mergeCell ref="B4:F4"/>
    <mergeCell ref="B6:F6"/>
    <mergeCell ref="H5:L5"/>
  </mergeCells>
  <conditionalFormatting sqref="F43">
    <cfRule type="containsErrors" dxfId="1" priority="1">
      <formula>ISERROR(F43)</formula>
    </cfRule>
  </conditionalFormatting>
  <pageMargins left="0.78740157499999996" right="0.78740157499999996" top="0.984251969" bottom="0.984251969" header="0.49212598499999999" footer="0.49212598499999999"/>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tabColor theme="0" tint="-0.34998626667073579"/>
  </sheetPr>
  <dimension ref="A1:Q24"/>
  <sheetViews>
    <sheetView showGridLines="0" showRowColHeaders="0" zoomScale="145" workbookViewId="0"/>
  </sheetViews>
  <sheetFormatPr defaultRowHeight="12.75" x14ac:dyDescent="0.2"/>
  <cols>
    <col min="1" max="1" width="1.140625" style="473" customWidth="1"/>
    <col min="2" max="2" width="4.28515625" style="471" customWidth="1"/>
    <col min="3" max="3" width="7.42578125" style="472" customWidth="1"/>
    <col min="4" max="4" width="2.28515625" style="472" customWidth="1"/>
    <col min="5" max="5" width="7.140625" style="472" customWidth="1"/>
    <col min="6" max="6" width="1.85546875" style="472" customWidth="1"/>
    <col min="7" max="7" width="33.140625" style="472" customWidth="1"/>
    <col min="8" max="8" width="3" style="472" hidden="1" customWidth="1"/>
    <col min="9" max="9" width="13.7109375" style="472" customWidth="1"/>
    <col min="10" max="10" width="4.42578125" style="472" customWidth="1"/>
    <col min="11" max="11" width="1.7109375" style="472" customWidth="1"/>
    <col min="12" max="12" width="2.5703125" style="472" customWidth="1"/>
    <col min="13" max="13" width="6.85546875" style="472" customWidth="1"/>
    <col min="14" max="14" width="10.42578125" style="472" customWidth="1"/>
    <col min="15" max="15" width="20.42578125" style="472" customWidth="1"/>
    <col min="16" max="16" width="9" style="472" customWidth="1"/>
    <col min="17" max="17" width="4.28515625" style="472" customWidth="1"/>
    <col min="18" max="16384" width="9.140625" style="472"/>
  </cols>
  <sheetData>
    <row r="1" spans="1:17" ht="23.25" customHeight="1" thickBot="1" x14ac:dyDescent="0.25">
      <c r="A1" s="470"/>
      <c r="G1" s="472" t="s">
        <v>330</v>
      </c>
    </row>
    <row r="2" spans="1:17" ht="13.5" thickTop="1" x14ac:dyDescent="0.2">
      <c r="B2" s="474"/>
      <c r="C2" s="475"/>
      <c r="D2" s="475"/>
      <c r="E2" s="476"/>
      <c r="G2" s="597" t="s">
        <v>331</v>
      </c>
      <c r="H2" s="598"/>
      <c r="I2" s="599">
        <v>76.2</v>
      </c>
      <c r="J2" s="582" t="s">
        <v>9</v>
      </c>
      <c r="L2" s="579" t="s">
        <v>166</v>
      </c>
      <c r="M2" s="580">
        <v>60</v>
      </c>
      <c r="N2" s="861" t="s">
        <v>331</v>
      </c>
      <c r="O2" s="861"/>
      <c r="P2" s="581">
        <f>(2*3.14159265359*M4+2*(M2-2*M4)+2*(M3-2*M4))/3.14159265359</f>
        <v>60.929581789403152</v>
      </c>
      <c r="Q2" s="582" t="s">
        <v>9</v>
      </c>
    </row>
    <row r="3" spans="1:17" x14ac:dyDescent="0.2">
      <c r="B3" s="858" t="s">
        <v>332</v>
      </c>
      <c r="C3" s="859"/>
      <c r="D3" s="859"/>
      <c r="E3" s="860"/>
      <c r="G3" s="583" t="s">
        <v>333</v>
      </c>
      <c r="H3" s="477"/>
      <c r="I3" s="600">
        <v>2.7</v>
      </c>
      <c r="J3" s="585" t="s">
        <v>9</v>
      </c>
      <c r="L3" s="583" t="s">
        <v>167</v>
      </c>
      <c r="M3" s="584">
        <v>40</v>
      </c>
      <c r="N3" s="862" t="s">
        <v>334</v>
      </c>
      <c r="O3" s="862"/>
      <c r="P3" s="401">
        <f>(2*3.14159265359*M4+2*(M2-2*M4)+2*(M3-2*M4))</f>
        <v>191.41592653589998</v>
      </c>
      <c r="Q3" s="585" t="s">
        <v>9</v>
      </c>
    </row>
    <row r="4" spans="1:17" ht="13.5" thickBot="1" x14ac:dyDescent="0.25">
      <c r="B4" s="481"/>
      <c r="C4" s="482"/>
      <c r="D4" s="482"/>
      <c r="E4" s="480"/>
      <c r="G4" s="583" t="s">
        <v>335</v>
      </c>
      <c r="H4" s="483" t="s">
        <v>336</v>
      </c>
      <c r="I4" s="401">
        <f>VLOOKUP(H4,A6:B22,2,0)</f>
        <v>5</v>
      </c>
      <c r="J4" s="585"/>
      <c r="L4" s="588" t="s">
        <v>337</v>
      </c>
      <c r="M4" s="589">
        <v>5</v>
      </c>
      <c r="N4" s="590">
        <f>M4/I3</f>
        <v>1.8518518518518516</v>
      </c>
      <c r="O4" s="596" t="s">
        <v>405</v>
      </c>
      <c r="P4" s="591">
        <v>0.02</v>
      </c>
      <c r="Q4" s="592"/>
    </row>
    <row r="5" spans="1:17" ht="14.25" thickTop="1" thickBot="1" x14ac:dyDescent="0.25">
      <c r="B5" s="481"/>
      <c r="C5" s="484" t="s">
        <v>338</v>
      </c>
      <c r="D5" s="485"/>
      <c r="E5" s="478" t="s">
        <v>339</v>
      </c>
      <c r="G5" s="601" t="s">
        <v>340</v>
      </c>
      <c r="H5" s="602"/>
      <c r="I5" s="603">
        <f>IF(I3&lt;=1,2,IF(I3&lt;=1.5,1.5,IF(I3&lt;=2.5,1.2,1)))</f>
        <v>1</v>
      </c>
      <c r="J5" s="587"/>
      <c r="L5" s="593" t="s">
        <v>341</v>
      </c>
      <c r="M5" s="594">
        <f>P3*(1+P4)</f>
        <v>195.24424506661799</v>
      </c>
      <c r="N5" s="863" t="s">
        <v>331</v>
      </c>
      <c r="O5" s="863"/>
      <c r="P5" s="594">
        <f>M5/3.14159265359</f>
        <v>62.148173425191217</v>
      </c>
      <c r="Q5" s="595" t="s">
        <v>9</v>
      </c>
    </row>
    <row r="6" spans="1:17" ht="14.25" thickTop="1" thickBot="1" x14ac:dyDescent="0.25">
      <c r="A6" s="486" t="str">
        <f>CONCATENATE(IF($I$3&gt;=C6,"&gt;",""),IF($I$3&lt;=E6,"&gt;",""))</f>
        <v>&gt;</v>
      </c>
      <c r="B6" s="487">
        <v>0</v>
      </c>
      <c r="C6" s="479">
        <v>0.6</v>
      </c>
      <c r="D6" s="485" t="s">
        <v>116</v>
      </c>
      <c r="E6" s="488">
        <v>1.06</v>
      </c>
    </row>
    <row r="7" spans="1:17" ht="13.5" thickTop="1" x14ac:dyDescent="0.2">
      <c r="A7" s="486" t="str">
        <f t="shared" ref="A7:A22" si="0">CONCATENATE(IF($I$3&gt;=C7,"&gt;",""),IF($I$3&lt;=E7,"&gt;",""))</f>
        <v>&gt;</v>
      </c>
      <c r="B7" s="487">
        <v>1</v>
      </c>
      <c r="C7" s="479">
        <v>1.2</v>
      </c>
      <c r="D7" s="485" t="s">
        <v>116</v>
      </c>
      <c r="E7" s="488">
        <v>1.35</v>
      </c>
      <c r="G7" s="579" t="s">
        <v>334</v>
      </c>
      <c r="H7" s="604"/>
      <c r="I7" s="581">
        <f>I2*3.14159265359</f>
        <v>239.38936020355803</v>
      </c>
      <c r="J7" s="582" t="s">
        <v>9</v>
      </c>
    </row>
    <row r="8" spans="1:17" x14ac:dyDescent="0.2">
      <c r="A8" s="486" t="str">
        <f t="shared" si="0"/>
        <v>&gt;</v>
      </c>
      <c r="B8" s="487">
        <v>2</v>
      </c>
      <c r="C8" s="479">
        <v>1.5</v>
      </c>
      <c r="D8" s="485" t="s">
        <v>116</v>
      </c>
      <c r="E8" s="488">
        <v>1.55</v>
      </c>
      <c r="G8" s="583" t="s">
        <v>342</v>
      </c>
      <c r="H8" s="489"/>
      <c r="I8" s="401">
        <f>(I2-I3)*3.14159265359</f>
        <v>230.90706003886501</v>
      </c>
      <c r="J8" s="585" t="s">
        <v>9</v>
      </c>
      <c r="L8" s="490"/>
      <c r="M8" s="491"/>
      <c r="N8" s="491"/>
      <c r="O8" s="490"/>
      <c r="P8" s="492"/>
      <c r="Q8" s="491"/>
    </row>
    <row r="9" spans="1:17" x14ac:dyDescent="0.2">
      <c r="A9" s="486" t="str">
        <f t="shared" si="0"/>
        <v>&gt;</v>
      </c>
      <c r="B9" s="487">
        <v>3</v>
      </c>
      <c r="C9" s="479">
        <v>1.8</v>
      </c>
      <c r="D9" s="485" t="s">
        <v>116</v>
      </c>
      <c r="E9" s="488">
        <v>2</v>
      </c>
      <c r="G9" s="605" t="s">
        <v>343</v>
      </c>
      <c r="H9" s="493"/>
      <c r="I9" s="401">
        <f>(I2-I3+0.7)*3.14159265359+1.2</f>
        <v>234.306174896378</v>
      </c>
      <c r="J9" s="585" t="s">
        <v>9</v>
      </c>
      <c r="L9" s="490"/>
      <c r="M9" s="494"/>
      <c r="N9" s="494"/>
      <c r="O9" s="490"/>
      <c r="P9" s="490"/>
      <c r="Q9" s="490"/>
    </row>
    <row r="10" spans="1:17" x14ac:dyDescent="0.2">
      <c r="A10" s="486" t="str">
        <f t="shared" si="0"/>
        <v>&gt;</v>
      </c>
      <c r="B10" s="487">
        <v>4</v>
      </c>
      <c r="C10" s="479">
        <v>2.25</v>
      </c>
      <c r="D10" s="485" t="s">
        <v>116</v>
      </c>
      <c r="E10" s="488">
        <v>2.2999999999999998</v>
      </c>
      <c r="G10" s="605" t="s">
        <v>344</v>
      </c>
      <c r="H10" s="493"/>
      <c r="I10" s="401">
        <f>(I2-I3+1.2)*3.14159265359+1.9</f>
        <v>236.57697122317302</v>
      </c>
      <c r="J10" s="585" t="s">
        <v>9</v>
      </c>
      <c r="L10" s="490"/>
      <c r="M10" s="494"/>
      <c r="N10" s="494"/>
      <c r="O10" s="490"/>
      <c r="P10" s="490"/>
      <c r="Q10" s="490"/>
    </row>
    <row r="11" spans="1:17" x14ac:dyDescent="0.2">
      <c r="A11" s="486" t="str">
        <f t="shared" si="0"/>
        <v>&gt;&gt;</v>
      </c>
      <c r="B11" s="487">
        <v>5</v>
      </c>
      <c r="C11" s="479">
        <v>2.65</v>
      </c>
      <c r="D11" s="485" t="s">
        <v>116</v>
      </c>
      <c r="E11" s="488">
        <v>2.7</v>
      </c>
      <c r="G11" s="583" t="s">
        <v>345</v>
      </c>
      <c r="H11" s="489"/>
      <c r="I11" s="401">
        <f>I2*3.14159265359-I4</f>
        <v>234.38936020355803</v>
      </c>
      <c r="J11" s="585" t="s">
        <v>9</v>
      </c>
      <c r="L11" s="490"/>
      <c r="M11" s="494"/>
      <c r="N11" s="494"/>
      <c r="O11" s="490"/>
      <c r="P11" s="490"/>
      <c r="Q11" s="490"/>
    </row>
    <row r="12" spans="1:17" ht="13.5" thickBot="1" x14ac:dyDescent="0.25">
      <c r="A12" s="486" t="str">
        <f t="shared" si="0"/>
        <v>&gt;</v>
      </c>
      <c r="B12" s="487">
        <v>6</v>
      </c>
      <c r="C12" s="479">
        <v>3</v>
      </c>
      <c r="D12" s="485" t="s">
        <v>116</v>
      </c>
      <c r="E12" s="488">
        <v>3</v>
      </c>
      <c r="G12" s="586" t="s">
        <v>346</v>
      </c>
      <c r="H12" s="606"/>
      <c r="I12" s="603">
        <f>(I2-(I3/2))*3.14159265359</f>
        <v>235.14821012121152</v>
      </c>
      <c r="J12" s="587" t="s">
        <v>9</v>
      </c>
      <c r="L12" s="495"/>
      <c r="M12" s="495"/>
      <c r="N12" s="495"/>
      <c r="O12" s="495"/>
      <c r="P12" s="495"/>
      <c r="Q12" s="495"/>
    </row>
    <row r="13" spans="1:17" ht="13.5" thickTop="1" x14ac:dyDescent="0.2">
      <c r="A13" s="486" t="str">
        <f t="shared" si="0"/>
        <v>&gt;</v>
      </c>
      <c r="B13" s="487">
        <v>7</v>
      </c>
      <c r="C13" s="479">
        <v>3.35</v>
      </c>
      <c r="D13" s="485" t="s">
        <v>116</v>
      </c>
      <c r="E13" s="488">
        <v>3.35</v>
      </c>
      <c r="G13" s="597" t="s">
        <v>807</v>
      </c>
      <c r="H13" s="607"/>
      <c r="I13" s="581">
        <f>(I2*3.14159265359)-(1.5*I3)</f>
        <v>235.33936020355802</v>
      </c>
      <c r="J13" s="582" t="s">
        <v>9</v>
      </c>
    </row>
    <row r="14" spans="1:17" x14ac:dyDescent="0.2">
      <c r="A14" s="486" t="str">
        <f t="shared" si="0"/>
        <v>&gt;</v>
      </c>
      <c r="B14" s="487">
        <v>8</v>
      </c>
      <c r="C14" s="479">
        <v>3.75</v>
      </c>
      <c r="D14" s="485" t="s">
        <v>116</v>
      </c>
      <c r="E14" s="488">
        <v>3.75</v>
      </c>
      <c r="G14" s="605" t="s">
        <v>808</v>
      </c>
      <c r="H14" s="496"/>
      <c r="I14" s="401">
        <f>(I2*3.14159265359)-(2.5*I3)</f>
        <v>232.63936020355803</v>
      </c>
      <c r="J14" s="585" t="s">
        <v>9</v>
      </c>
    </row>
    <row r="15" spans="1:17" x14ac:dyDescent="0.2">
      <c r="A15" s="486" t="str">
        <f>CONCATENATE(IF($I$3&gt;=C15,"&gt;",""),IF($I$3&lt;=E15,"&gt;",""))</f>
        <v>&gt;</v>
      </c>
      <c r="B15" s="487">
        <v>9</v>
      </c>
      <c r="C15" s="479">
        <v>4.25</v>
      </c>
      <c r="D15" s="485" t="s">
        <v>116</v>
      </c>
      <c r="E15" s="488">
        <v>4.25</v>
      </c>
      <c r="G15" s="583" t="s">
        <v>809</v>
      </c>
      <c r="H15" s="497"/>
      <c r="I15" s="401">
        <f>(M2*2)+(M3*2)-1.5*I3</f>
        <v>195.95</v>
      </c>
      <c r="J15" s="585" t="s">
        <v>9</v>
      </c>
    </row>
    <row r="16" spans="1:17" x14ac:dyDescent="0.2">
      <c r="A16" s="486" t="str">
        <f t="shared" si="0"/>
        <v>&gt;</v>
      </c>
      <c r="B16" s="487">
        <v>10</v>
      </c>
      <c r="C16" s="479">
        <v>4.75</v>
      </c>
      <c r="D16" s="485" t="s">
        <v>116</v>
      </c>
      <c r="E16" s="488">
        <v>4.75</v>
      </c>
      <c r="G16" s="583" t="s">
        <v>810</v>
      </c>
      <c r="H16" s="497"/>
      <c r="I16" s="401">
        <f>(M2*2)+(M3*2)-2.5*I3</f>
        <v>193.25</v>
      </c>
      <c r="J16" s="585" t="s">
        <v>9</v>
      </c>
    </row>
    <row r="17" spans="1:16" x14ac:dyDescent="0.2">
      <c r="A17" s="486" t="str">
        <f t="shared" si="0"/>
        <v>&gt;</v>
      </c>
      <c r="B17" s="487">
        <v>11</v>
      </c>
      <c r="C17" s="479">
        <v>5.4</v>
      </c>
      <c r="D17" s="485" t="s">
        <v>116</v>
      </c>
      <c r="E17" s="488">
        <v>5.4</v>
      </c>
      <c r="G17" s="605" t="s">
        <v>811</v>
      </c>
      <c r="H17" s="496"/>
      <c r="I17" s="401">
        <f>(I2-I3)*3.14159265359+I5*I3</f>
        <v>233.607060038865</v>
      </c>
      <c r="J17" s="585" t="s">
        <v>9</v>
      </c>
    </row>
    <row r="18" spans="1:16" ht="13.5" thickBot="1" x14ac:dyDescent="0.25">
      <c r="A18" s="486" t="str">
        <f t="shared" si="0"/>
        <v>&gt;</v>
      </c>
      <c r="B18" s="487">
        <v>12</v>
      </c>
      <c r="C18" s="479">
        <v>6.3</v>
      </c>
      <c r="D18" s="485" t="s">
        <v>116</v>
      </c>
      <c r="E18" s="488">
        <v>6.3</v>
      </c>
      <c r="G18" s="586" t="s">
        <v>347</v>
      </c>
      <c r="H18" s="608"/>
      <c r="I18" s="609"/>
      <c r="J18" s="587" t="s">
        <v>9</v>
      </c>
    </row>
    <row r="19" spans="1:16" ht="13.5" thickTop="1" x14ac:dyDescent="0.2">
      <c r="A19" s="486" t="str">
        <f t="shared" si="0"/>
        <v>&gt;</v>
      </c>
      <c r="B19" s="487">
        <v>13</v>
      </c>
      <c r="C19" s="479">
        <v>7</v>
      </c>
      <c r="D19" s="485" t="s">
        <v>116</v>
      </c>
      <c r="E19" s="488">
        <v>7</v>
      </c>
      <c r="I19" s="498"/>
      <c r="J19" s="499"/>
      <c r="K19" s="500"/>
      <c r="L19" s="500"/>
      <c r="M19" s="500"/>
      <c r="N19" s="500"/>
      <c r="O19" s="500"/>
      <c r="P19" s="500"/>
    </row>
    <row r="20" spans="1:16" x14ac:dyDescent="0.2">
      <c r="A20" s="486" t="str">
        <f t="shared" si="0"/>
        <v>&gt;</v>
      </c>
      <c r="B20" s="487">
        <v>14</v>
      </c>
      <c r="C20" s="479">
        <v>8</v>
      </c>
      <c r="D20" s="485" t="s">
        <v>116</v>
      </c>
      <c r="E20" s="488">
        <v>8</v>
      </c>
      <c r="O20" s="500"/>
      <c r="P20" s="500"/>
    </row>
    <row r="21" spans="1:16" x14ac:dyDescent="0.2">
      <c r="A21" s="486" t="str">
        <f t="shared" si="0"/>
        <v>&gt;</v>
      </c>
      <c r="B21" s="487">
        <v>15</v>
      </c>
      <c r="C21" s="479">
        <v>9.5</v>
      </c>
      <c r="D21" s="485" t="s">
        <v>116</v>
      </c>
      <c r="E21" s="488">
        <v>9.5</v>
      </c>
      <c r="O21" s="500"/>
      <c r="P21" s="500"/>
    </row>
    <row r="22" spans="1:16" ht="13.5" thickBot="1" x14ac:dyDescent="0.25">
      <c r="A22" s="486" t="str">
        <f t="shared" si="0"/>
        <v>&gt;</v>
      </c>
      <c r="B22" s="501"/>
      <c r="C22" s="502"/>
      <c r="D22" s="502"/>
      <c r="E22" s="503"/>
      <c r="O22" s="500"/>
      <c r="P22" s="500"/>
    </row>
    <row r="23" spans="1:16" ht="13.5" thickTop="1" x14ac:dyDescent="0.2">
      <c r="O23" s="500"/>
      <c r="P23" s="500"/>
    </row>
    <row r="24" spans="1:16" x14ac:dyDescent="0.2">
      <c r="B24" s="472"/>
    </row>
  </sheetData>
  <mergeCells count="4">
    <mergeCell ref="B3:E3"/>
    <mergeCell ref="N2:O2"/>
    <mergeCell ref="N3:O3"/>
    <mergeCell ref="N5:O5"/>
  </mergeCells>
  <conditionalFormatting sqref="A6:A22">
    <cfRule type="cellIs" dxfId="0" priority="1" stopIfTrue="1" operator="equal">
      <formula>"&gt;&gt;"</formula>
    </cfRule>
  </conditionalFormatting>
  <pageMargins left="0.78740157499999996" right="0.78740157499999996" top="0.984251969" bottom="0.984251969" header="0.49212598499999999" footer="0.49212598499999999"/>
  <pageSetup paperSize="9" orientation="portrait" horizontalDpi="4294967295"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tabColor theme="0" tint="-0.34998626667073579"/>
  </sheetPr>
  <dimension ref="B3:E15"/>
  <sheetViews>
    <sheetView showGridLines="0" showRowColHeaders="0" showZeros="0" showOutlineSymbols="0" workbookViewId="0">
      <selection activeCell="F23" sqref="F23"/>
    </sheetView>
  </sheetViews>
  <sheetFormatPr defaultRowHeight="12.75" x14ac:dyDescent="0.2"/>
  <cols>
    <col min="1" max="1" width="2.85546875" style="28" customWidth="1"/>
    <col min="2" max="2" width="16.140625" style="28" customWidth="1"/>
    <col min="3" max="3" width="16.42578125" style="28" customWidth="1"/>
    <col min="4" max="4" width="14.7109375" style="28" customWidth="1"/>
    <col min="5" max="5" width="15.5703125" style="28" customWidth="1"/>
    <col min="6" max="217" width="9.140625" style="28"/>
    <col min="218" max="219" width="1.28515625" style="28" customWidth="1"/>
    <col min="220" max="220" width="9.140625" style="28"/>
    <col min="221" max="221" width="10.140625" style="28" customWidth="1"/>
    <col min="222" max="222" width="15.5703125" style="28" bestFit="1" customWidth="1"/>
    <col min="223" max="223" width="6.140625" style="28" bestFit="1" customWidth="1"/>
    <col min="224" max="224" width="9" style="28" bestFit="1" customWidth="1"/>
    <col min="225" max="226" width="9.140625" style="28"/>
    <col min="227" max="227" width="12" style="28" bestFit="1" customWidth="1"/>
    <col min="228" max="228" width="1.140625" style="28" customWidth="1"/>
    <col min="229" max="229" width="1.5703125" style="28" customWidth="1"/>
    <col min="230" max="230" width="1.140625" style="28" customWidth="1"/>
    <col min="231" max="232" width="9.140625" style="28"/>
    <col min="233" max="233" width="13.42578125" style="28" bestFit="1" customWidth="1"/>
    <col min="234" max="234" width="5.28515625" style="28" bestFit="1" customWidth="1"/>
    <col min="235" max="235" width="9" style="28" bestFit="1" customWidth="1"/>
    <col min="236" max="237" width="8.5703125" style="28" bestFit="1" customWidth="1"/>
    <col min="238" max="238" width="12" style="28" bestFit="1" customWidth="1"/>
    <col min="239" max="239" width="9.140625" style="28"/>
    <col min="240" max="240" width="1.42578125" style="28" customWidth="1"/>
    <col min="241" max="16384" width="9.140625" style="28"/>
  </cols>
  <sheetData>
    <row r="3" spans="2:5" ht="13.5" thickBot="1" x14ac:dyDescent="0.25"/>
    <row r="4" spans="2:5" ht="3.75" customHeight="1" thickBot="1" x14ac:dyDescent="0.25">
      <c r="B4" s="856"/>
      <c r="C4" s="856"/>
      <c r="D4" s="856"/>
      <c r="E4" s="856"/>
    </row>
    <row r="5" spans="2:5" ht="16.5" customHeight="1" thickBot="1" x14ac:dyDescent="0.25">
      <c r="B5" s="850" t="s">
        <v>193</v>
      </c>
      <c r="C5" s="851"/>
      <c r="D5" s="851"/>
      <c r="E5" s="851"/>
    </row>
    <row r="6" spans="2:5" ht="30" customHeight="1" thickBot="1" x14ac:dyDescent="0.25">
      <c r="B6" s="864" t="s">
        <v>189</v>
      </c>
      <c r="C6" s="865"/>
      <c r="D6" s="864" t="s">
        <v>190</v>
      </c>
      <c r="E6" s="865"/>
    </row>
    <row r="7" spans="2:5" ht="13.5" thickBot="1" x14ac:dyDescent="0.25">
      <c r="B7" s="60" t="s">
        <v>192</v>
      </c>
      <c r="C7" s="60" t="s">
        <v>191</v>
      </c>
      <c r="D7" s="60" t="s">
        <v>192</v>
      </c>
      <c r="E7" s="60" t="s">
        <v>191</v>
      </c>
    </row>
    <row r="8" spans="2:5" ht="13.5" thickBot="1" x14ac:dyDescent="0.25">
      <c r="B8" s="52" t="s">
        <v>194</v>
      </c>
      <c r="C8" s="52" t="s">
        <v>200</v>
      </c>
      <c r="D8" s="52" t="s">
        <v>207</v>
      </c>
      <c r="E8" s="52" t="s">
        <v>208</v>
      </c>
    </row>
    <row r="9" spans="2:5" ht="13.5" thickBot="1" x14ac:dyDescent="0.25">
      <c r="B9" s="52" t="s">
        <v>195</v>
      </c>
      <c r="C9" s="52" t="s">
        <v>203</v>
      </c>
      <c r="D9" s="52" t="s">
        <v>208</v>
      </c>
      <c r="E9" s="52" t="s">
        <v>214</v>
      </c>
    </row>
    <row r="10" spans="2:5" ht="13.5" thickBot="1" x14ac:dyDescent="0.25">
      <c r="B10" s="52" t="s">
        <v>196</v>
      </c>
      <c r="C10" s="52" t="s">
        <v>202</v>
      </c>
      <c r="D10" s="52" t="s">
        <v>209</v>
      </c>
      <c r="E10" s="52" t="s">
        <v>215</v>
      </c>
    </row>
    <row r="11" spans="2:5" ht="13.5" thickBot="1" x14ac:dyDescent="0.25">
      <c r="B11" s="52" t="s">
        <v>197</v>
      </c>
      <c r="C11" s="52" t="s">
        <v>199</v>
      </c>
      <c r="D11" s="52" t="s">
        <v>210</v>
      </c>
      <c r="E11" s="52" t="s">
        <v>216</v>
      </c>
    </row>
    <row r="12" spans="2:5" ht="13.5" thickBot="1" x14ac:dyDescent="0.25">
      <c r="B12" s="52" t="s">
        <v>200</v>
      </c>
      <c r="C12" s="52" t="s">
        <v>204</v>
      </c>
      <c r="D12" s="52" t="s">
        <v>211</v>
      </c>
      <c r="E12" s="52" t="s">
        <v>217</v>
      </c>
    </row>
    <row r="13" spans="2:5" ht="13.5" thickBot="1" x14ac:dyDescent="0.25">
      <c r="B13" s="52" t="s">
        <v>198</v>
      </c>
      <c r="C13" s="52" t="s">
        <v>201</v>
      </c>
      <c r="D13" s="52" t="s">
        <v>212</v>
      </c>
    </row>
    <row r="14" spans="2:5" ht="13.5" thickBot="1" x14ac:dyDescent="0.25">
      <c r="B14" s="52" t="s">
        <v>199</v>
      </c>
      <c r="C14" s="52" t="s">
        <v>205</v>
      </c>
      <c r="D14" s="52" t="s">
        <v>213</v>
      </c>
    </row>
    <row r="15" spans="2:5" ht="13.5" thickBot="1" x14ac:dyDescent="0.25">
      <c r="B15" s="52" t="s">
        <v>201</v>
      </c>
      <c r="C15" s="52" t="s">
        <v>206</v>
      </c>
    </row>
  </sheetData>
  <mergeCells count="4">
    <mergeCell ref="B4:E4"/>
    <mergeCell ref="B5:E5"/>
    <mergeCell ref="B6:C6"/>
    <mergeCell ref="D6:E6"/>
  </mergeCells>
  <pageMargins left="0.78740157499999996" right="0.78740157499999996" top="0.984251969" bottom="0.984251969" header="0.49212598499999999" footer="0.49212598499999999"/>
  <pageSetup paperSize="9" orientation="portrait"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tabColor theme="0" tint="-0.34998626667073579"/>
  </sheetPr>
  <dimension ref="B3:G18"/>
  <sheetViews>
    <sheetView showGridLines="0" showRowColHeaders="0" showZeros="0" showOutlineSymbols="0" workbookViewId="0"/>
  </sheetViews>
  <sheetFormatPr defaultRowHeight="12.75" x14ac:dyDescent="0.2"/>
  <cols>
    <col min="1" max="1" width="2.85546875" style="28" customWidth="1"/>
    <col min="2" max="2" width="17.5703125" style="28" customWidth="1"/>
    <col min="3" max="3" width="12.140625" style="28" customWidth="1"/>
    <col min="4" max="4" width="16" style="28" customWidth="1"/>
    <col min="5" max="5" width="12.140625" style="28" customWidth="1"/>
    <col min="6" max="6" width="9.140625" style="28"/>
    <col min="7" max="7" width="12.140625" style="28" customWidth="1"/>
    <col min="8" max="221" width="9.140625" style="28"/>
    <col min="222" max="223" width="1.28515625" style="28" customWidth="1"/>
    <col min="224" max="224" width="9.140625" style="28"/>
    <col min="225" max="225" width="10.140625" style="28" customWidth="1"/>
    <col min="226" max="226" width="15.5703125" style="28" bestFit="1" customWidth="1"/>
    <col min="227" max="227" width="6.140625" style="28" bestFit="1" customWidth="1"/>
    <col min="228" max="228" width="9" style="28" bestFit="1" customWidth="1"/>
    <col min="229" max="230" width="9.140625" style="28"/>
    <col min="231" max="231" width="12" style="28" bestFit="1" customWidth="1"/>
    <col min="232" max="232" width="1.140625" style="28" customWidth="1"/>
    <col min="233" max="233" width="1.5703125" style="28" customWidth="1"/>
    <col min="234" max="234" width="1.140625" style="28" customWidth="1"/>
    <col min="235" max="236" width="9.140625" style="28"/>
    <col min="237" max="237" width="13.42578125" style="28" bestFit="1" customWidth="1"/>
    <col min="238" max="238" width="5.28515625" style="28" bestFit="1" customWidth="1"/>
    <col min="239" max="239" width="9" style="28" bestFit="1" customWidth="1"/>
    <col min="240" max="241" width="8.5703125" style="28" bestFit="1" customWidth="1"/>
    <col min="242" max="242" width="12" style="28" bestFit="1" customWidth="1"/>
    <col min="243" max="243" width="9.140625" style="28"/>
    <col min="244" max="244" width="1.42578125" style="28" customWidth="1"/>
    <col min="245" max="16384" width="9.140625" style="28"/>
  </cols>
  <sheetData>
    <row r="3" spans="2:7" ht="13.5" thickBot="1" x14ac:dyDescent="0.25"/>
    <row r="4" spans="2:7" ht="5.0999999999999996" customHeight="1" thickBot="1" x14ac:dyDescent="0.25">
      <c r="B4" s="775"/>
      <c r="C4" s="776"/>
      <c r="D4" s="776"/>
      <c r="E4" s="776"/>
      <c r="F4" s="776"/>
      <c r="G4" s="776"/>
    </row>
    <row r="5" spans="2:7" ht="18" customHeight="1" thickBot="1" x14ac:dyDescent="0.25">
      <c r="B5" s="850" t="s">
        <v>420</v>
      </c>
      <c r="C5" s="851"/>
      <c r="D5" s="851"/>
      <c r="E5" s="851"/>
      <c r="F5" s="851"/>
      <c r="G5" s="852"/>
    </row>
    <row r="6" spans="2:7" ht="18" customHeight="1" thickBot="1" x14ac:dyDescent="0.25">
      <c r="B6" s="870"/>
      <c r="C6" s="871"/>
      <c r="D6" s="871"/>
      <c r="E6" s="871"/>
      <c r="F6" s="871"/>
      <c r="G6" s="872"/>
    </row>
    <row r="7" spans="2:7" ht="13.5" thickBot="1" x14ac:dyDescent="0.25">
      <c r="B7" s="32"/>
      <c r="C7" s="32"/>
      <c r="D7" s="71" t="s">
        <v>9</v>
      </c>
      <c r="E7" s="71" t="s">
        <v>232</v>
      </c>
      <c r="F7" s="71" t="s">
        <v>50</v>
      </c>
      <c r="G7" s="71" t="s">
        <v>231</v>
      </c>
    </row>
    <row r="8" spans="2:7" ht="15.75" customHeight="1" thickBot="1" x14ac:dyDescent="0.25">
      <c r="B8" s="868" t="s">
        <v>230</v>
      </c>
      <c r="C8" s="869"/>
      <c r="D8" s="68">
        <v>596</v>
      </c>
    </row>
    <row r="9" spans="2:7" ht="15.75" customHeight="1" thickBot="1" x14ac:dyDescent="0.25">
      <c r="B9" s="868" t="s">
        <v>229</v>
      </c>
      <c r="C9" s="869"/>
      <c r="D9" s="68">
        <v>8</v>
      </c>
    </row>
    <row r="10" spans="2:7" ht="13.5" thickBot="1" x14ac:dyDescent="0.25">
      <c r="B10" s="868" t="s">
        <v>228</v>
      </c>
      <c r="C10" s="869"/>
      <c r="D10" s="68">
        <v>2</v>
      </c>
    </row>
    <row r="11" spans="2:7" ht="13.5" thickBot="1" x14ac:dyDescent="0.25">
      <c r="B11" s="868" t="s">
        <v>227</v>
      </c>
      <c r="C11" s="869"/>
      <c r="D11" s="70">
        <f>6*D9</f>
        <v>48</v>
      </c>
      <c r="E11" s="168" t="s">
        <v>406</v>
      </c>
    </row>
    <row r="12" spans="2:7" ht="13.5" thickBot="1" x14ac:dyDescent="0.25">
      <c r="B12" s="69"/>
      <c r="C12" s="69"/>
    </row>
    <row r="13" spans="2:7" ht="13.5" thickBot="1" x14ac:dyDescent="0.25">
      <c r="B13" s="866" t="s">
        <v>226</v>
      </c>
      <c r="C13" s="873"/>
      <c r="D13" s="68">
        <v>1200</v>
      </c>
      <c r="E13" s="66"/>
      <c r="F13" s="73">
        <f>(D13-($D$10*$D$8))/D13</f>
        <v>6.6666666666666671E-3</v>
      </c>
      <c r="G13" s="65">
        <f>E13*F13+E13</f>
        <v>0</v>
      </c>
    </row>
    <row r="14" spans="2:7" ht="13.5" thickBot="1" x14ac:dyDescent="0.25">
      <c r="B14" s="866" t="s">
        <v>225</v>
      </c>
      <c r="C14" s="867"/>
      <c r="D14" s="67">
        <f>D8*D10+D11</f>
        <v>1240</v>
      </c>
      <c r="E14" s="66"/>
      <c r="F14" s="73">
        <f>(D14-($D$10*$D$8))/D14</f>
        <v>3.870967741935484E-2</v>
      </c>
      <c r="G14" s="65">
        <f>E14*F14+E14</f>
        <v>0</v>
      </c>
    </row>
    <row r="18" spans="4:4" ht="15" x14ac:dyDescent="0.25">
      <c r="D18" s="72"/>
    </row>
  </sheetData>
  <mergeCells count="9">
    <mergeCell ref="B5:G5"/>
    <mergeCell ref="B4:G4"/>
    <mergeCell ref="B14:C14"/>
    <mergeCell ref="B11:C11"/>
    <mergeCell ref="B10:C10"/>
    <mergeCell ref="B9:C9"/>
    <mergeCell ref="B8:C8"/>
    <mergeCell ref="B6:G6"/>
    <mergeCell ref="B13:C13"/>
  </mergeCells>
  <conditionalFormatting sqref="G13:G14">
    <cfRule type="colorScale" priority="1">
      <colorScale>
        <cfvo type="min"/>
        <cfvo type="percentile" val="50"/>
        <cfvo type="max"/>
        <color rgb="FF63BE7B"/>
        <color rgb="FFFFEB84"/>
        <color rgb="FFF8696B"/>
      </colorScale>
    </cfRule>
  </conditionalFormatting>
  <conditionalFormatting sqref="G14">
    <cfRule type="colorScale" priority="3">
      <colorScale>
        <cfvo type="min"/>
        <cfvo type="percentile" val="50"/>
        <cfvo type="max"/>
        <color rgb="FF63BE7B"/>
        <color rgb="FFFFEB84"/>
        <color rgb="FFF8696B"/>
      </colorScale>
    </cfRule>
  </conditionalFormatting>
  <pageMargins left="0.78740157499999996" right="0.78740157499999996" top="0.984251969" bottom="0.984251969" header="0.49212598499999999" footer="0.49212598499999999"/>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theme="0" tint="-0.34998626667073579"/>
    <pageSetUpPr fitToPage="1"/>
  </sheetPr>
  <dimension ref="B3:J51"/>
  <sheetViews>
    <sheetView showGridLines="0" showRowColHeaders="0" showZeros="0" showOutlineSymbols="0" workbookViewId="0"/>
  </sheetViews>
  <sheetFormatPr defaultRowHeight="12.75" x14ac:dyDescent="0.2"/>
  <cols>
    <col min="1" max="1" width="2.140625" style="28" customWidth="1"/>
    <col min="2" max="2" width="27.28515625" style="133" customWidth="1"/>
    <col min="3" max="3" width="12.7109375" style="28" customWidth="1"/>
    <col min="4" max="4" width="16" style="28" customWidth="1"/>
    <col min="5" max="5" width="2.28515625" style="28" customWidth="1"/>
    <col min="6" max="218" width="9.140625" style="28"/>
    <col min="219" max="220" width="1.28515625" style="28" customWidth="1"/>
    <col min="221" max="221" width="9.140625" style="28"/>
    <col min="222" max="222" width="10.140625" style="28" customWidth="1"/>
    <col min="223" max="223" width="15.5703125" style="28" bestFit="1" customWidth="1"/>
    <col min="224" max="224" width="6.140625" style="28" bestFit="1" customWidth="1"/>
    <col min="225" max="225" width="9" style="28" bestFit="1" customWidth="1"/>
    <col min="226" max="227" width="9.140625" style="28"/>
    <col min="228" max="228" width="12" style="28" bestFit="1" customWidth="1"/>
    <col min="229" max="229" width="1.140625" style="28" customWidth="1"/>
    <col min="230" max="230" width="1.5703125" style="28" customWidth="1"/>
    <col min="231" max="231" width="1.140625" style="28" customWidth="1"/>
    <col min="232" max="233" width="9.140625" style="28"/>
    <col min="234" max="234" width="13.42578125" style="28" bestFit="1" customWidth="1"/>
    <col min="235" max="235" width="5.28515625" style="28" bestFit="1" customWidth="1"/>
    <col min="236" max="236" width="9" style="28" bestFit="1" customWidth="1"/>
    <col min="237" max="238" width="8.5703125" style="28" bestFit="1" customWidth="1"/>
    <col min="239" max="239" width="12" style="28" bestFit="1" customWidth="1"/>
    <col min="240" max="240" width="9.140625" style="28"/>
    <col min="241" max="241" width="1.42578125" style="28" customWidth="1"/>
    <col min="242" max="16384" width="9.140625" style="28"/>
  </cols>
  <sheetData>
    <row r="3" spans="2:10" ht="13.5" thickBot="1" x14ac:dyDescent="0.25"/>
    <row r="4" spans="2:10" ht="5.0999999999999996" customHeight="1" thickBot="1" x14ac:dyDescent="0.25">
      <c r="B4" s="775"/>
      <c r="C4" s="776"/>
      <c r="D4" s="776"/>
    </row>
    <row r="5" spans="2:10" ht="18" customHeight="1" thickBot="1" x14ac:dyDescent="0.25">
      <c r="B5" s="850" t="s">
        <v>308</v>
      </c>
      <c r="C5" s="851"/>
      <c r="D5" s="851"/>
    </row>
    <row r="6" spans="2:10" ht="13.5" thickBot="1" x14ac:dyDescent="0.25">
      <c r="B6" s="134"/>
      <c r="C6" s="32"/>
      <c r="D6" s="71"/>
    </row>
    <row r="7" spans="2:10" ht="15.75" customHeight="1" thickBot="1" x14ac:dyDescent="0.25">
      <c r="B7" s="130" t="s">
        <v>314</v>
      </c>
      <c r="C7" s="131" t="s">
        <v>430</v>
      </c>
    </row>
    <row r="8" spans="2:10" ht="15.75" customHeight="1" thickBot="1" x14ac:dyDescent="0.25">
      <c r="B8" s="132" t="s">
        <v>95</v>
      </c>
      <c r="C8" s="127">
        <v>2.75</v>
      </c>
      <c r="D8" s="28" t="s">
        <v>9</v>
      </c>
    </row>
    <row r="9" spans="2:10" ht="15.75" customHeight="1" thickBot="1" x14ac:dyDescent="0.25">
      <c r="B9" s="132" t="s">
        <v>312</v>
      </c>
      <c r="C9" s="129">
        <v>98</v>
      </c>
      <c r="D9" s="28" t="s">
        <v>9</v>
      </c>
    </row>
    <row r="10" spans="2:10" ht="13.5" thickBot="1" x14ac:dyDescent="0.25">
      <c r="B10" s="132" t="s">
        <v>309</v>
      </c>
      <c r="C10" s="128">
        <v>100</v>
      </c>
      <c r="D10" s="28" t="s">
        <v>310</v>
      </c>
    </row>
    <row r="11" spans="2:10" ht="13.5" thickBot="1" x14ac:dyDescent="0.25">
      <c r="B11" s="132" t="s">
        <v>311</v>
      </c>
      <c r="C11" s="129">
        <f>C10*(C9*C8)/1000</f>
        <v>26.95</v>
      </c>
      <c r="D11" s="28" t="s">
        <v>313</v>
      </c>
    </row>
    <row r="12" spans="2:10" ht="13.5" thickBot="1" x14ac:dyDescent="0.25"/>
    <row r="13" spans="2:10" ht="15.75" customHeight="1" thickBot="1" x14ac:dyDescent="0.25">
      <c r="B13" s="130" t="s">
        <v>315</v>
      </c>
      <c r="C13" s="131" t="s">
        <v>430</v>
      </c>
      <c r="F13" s="874"/>
      <c r="G13" s="874"/>
      <c r="H13" s="874"/>
      <c r="I13" s="874"/>
      <c r="J13" s="874"/>
    </row>
    <row r="14" spans="2:10" ht="13.5" customHeight="1" thickBot="1" x14ac:dyDescent="0.25">
      <c r="B14" s="132" t="s">
        <v>95</v>
      </c>
      <c r="C14" s="127">
        <v>3</v>
      </c>
      <c r="D14" s="28" t="s">
        <v>9</v>
      </c>
      <c r="F14" s="874"/>
      <c r="G14" s="874"/>
      <c r="H14" s="874"/>
      <c r="I14" s="874"/>
      <c r="J14" s="874"/>
    </row>
    <row r="15" spans="2:10" ht="13.5" thickBot="1" x14ac:dyDescent="0.25">
      <c r="B15" s="132" t="s">
        <v>312</v>
      </c>
      <c r="C15" s="129">
        <v>98</v>
      </c>
      <c r="D15" s="28" t="s">
        <v>9</v>
      </c>
      <c r="F15" s="874"/>
      <c r="G15" s="874"/>
      <c r="H15" s="874"/>
      <c r="I15" s="874"/>
      <c r="J15" s="874"/>
    </row>
    <row r="16" spans="2:10" ht="13.5" thickBot="1" x14ac:dyDescent="0.25">
      <c r="B16" s="132" t="s">
        <v>309</v>
      </c>
      <c r="C16" s="128">
        <v>100</v>
      </c>
      <c r="D16" s="28" t="s">
        <v>310</v>
      </c>
      <c r="F16" s="874"/>
      <c r="G16" s="874"/>
      <c r="H16" s="874"/>
      <c r="I16" s="874"/>
      <c r="J16" s="874"/>
    </row>
    <row r="17" spans="2:4" ht="13.5" thickBot="1" x14ac:dyDescent="0.25">
      <c r="B17" s="132" t="s">
        <v>311</v>
      </c>
      <c r="C17" s="129">
        <f>C16*(C15*C14)/1000</f>
        <v>29.4</v>
      </c>
      <c r="D17" s="28" t="s">
        <v>313</v>
      </c>
    </row>
    <row r="19" spans="2:4" x14ac:dyDescent="0.2">
      <c r="C19" s="174">
        <f>1-C17/C11</f>
        <v>-9.0909090909090828E-2</v>
      </c>
    </row>
    <row r="20" spans="2:4" ht="13.5" thickBot="1" x14ac:dyDescent="0.25"/>
    <row r="21" spans="2:4" ht="3.75" customHeight="1" thickBot="1" x14ac:dyDescent="0.25">
      <c r="B21" s="775"/>
      <c r="C21" s="776"/>
      <c r="D21" s="776"/>
    </row>
    <row r="22" spans="2:4" ht="13.5" thickBot="1" x14ac:dyDescent="0.25">
      <c r="B22" s="850" t="s">
        <v>325</v>
      </c>
      <c r="C22" s="851"/>
      <c r="D22" s="851"/>
    </row>
    <row r="23" spans="2:4" ht="13.5" thickBot="1" x14ac:dyDescent="0.25"/>
    <row r="24" spans="2:4" ht="13.5" thickBot="1" x14ac:dyDescent="0.25">
      <c r="B24" s="130" t="s">
        <v>316</v>
      </c>
      <c r="C24" s="131" t="s">
        <v>317</v>
      </c>
    </row>
    <row r="25" spans="2:4" x14ac:dyDescent="0.2">
      <c r="B25" s="133" t="s">
        <v>318</v>
      </c>
      <c r="C25" s="28">
        <v>470699</v>
      </c>
      <c r="D25" s="28" t="s">
        <v>319</v>
      </c>
    </row>
    <row r="26" spans="2:4" x14ac:dyDescent="0.2">
      <c r="B26" s="133" t="s">
        <v>309</v>
      </c>
      <c r="C26" s="28">
        <v>460</v>
      </c>
      <c r="D26" s="28" t="s">
        <v>310</v>
      </c>
    </row>
    <row r="27" spans="2:4" x14ac:dyDescent="0.2">
      <c r="B27" s="133" t="s">
        <v>322</v>
      </c>
      <c r="C27" s="28">
        <v>60</v>
      </c>
      <c r="D27" s="28" t="s">
        <v>9</v>
      </c>
    </row>
    <row r="28" spans="2:4" x14ac:dyDescent="0.2">
      <c r="B28" s="133" t="s">
        <v>95</v>
      </c>
      <c r="C28" s="28">
        <v>4</v>
      </c>
      <c r="D28" s="28" t="s">
        <v>9</v>
      </c>
    </row>
    <row r="29" spans="2:4" x14ac:dyDescent="0.2">
      <c r="B29" s="133" t="s">
        <v>324</v>
      </c>
      <c r="C29" s="28">
        <v>423</v>
      </c>
      <c r="D29" s="28" t="s">
        <v>9</v>
      </c>
    </row>
    <row r="30" spans="2:4" x14ac:dyDescent="0.2">
      <c r="B30" s="133" t="s">
        <v>323</v>
      </c>
      <c r="C30" s="135">
        <f>(C26*C25)/(C27/2*C29/2)/1000</f>
        <v>34.124750197005518</v>
      </c>
      <c r="D30" s="28" t="s">
        <v>313</v>
      </c>
    </row>
    <row r="31" spans="2:4" ht="13.5" thickBot="1" x14ac:dyDescent="0.25"/>
    <row r="32" spans="2:4" ht="13.5" thickBot="1" x14ac:dyDescent="0.25">
      <c r="B32" s="130" t="s">
        <v>321</v>
      </c>
      <c r="C32" s="131" t="s">
        <v>320</v>
      </c>
    </row>
    <row r="33" spans="2:4" x14ac:dyDescent="0.2">
      <c r="B33" s="133" t="s">
        <v>318</v>
      </c>
      <c r="C33" s="28">
        <v>767659</v>
      </c>
      <c r="D33" s="28" t="s">
        <v>319</v>
      </c>
    </row>
    <row r="34" spans="2:4" x14ac:dyDescent="0.2">
      <c r="B34" s="133" t="s">
        <v>309</v>
      </c>
      <c r="C34" s="28">
        <v>275</v>
      </c>
      <c r="D34" s="28" t="s">
        <v>310</v>
      </c>
    </row>
    <row r="35" spans="2:4" x14ac:dyDescent="0.2">
      <c r="B35" s="133" t="s">
        <v>322</v>
      </c>
      <c r="C35" s="28">
        <v>60</v>
      </c>
      <c r="D35" s="28" t="s">
        <v>9</v>
      </c>
    </row>
    <row r="36" spans="2:4" x14ac:dyDescent="0.2">
      <c r="B36" s="133" t="s">
        <v>95</v>
      </c>
      <c r="C36" s="28">
        <v>8</v>
      </c>
      <c r="D36" s="28" t="s">
        <v>9</v>
      </c>
    </row>
    <row r="37" spans="2:4" x14ac:dyDescent="0.2">
      <c r="B37" s="133" t="s">
        <v>324</v>
      </c>
      <c r="C37" s="28">
        <v>423</v>
      </c>
      <c r="D37" s="28" t="s">
        <v>9</v>
      </c>
    </row>
    <row r="38" spans="2:4" x14ac:dyDescent="0.2">
      <c r="B38" s="133" t="s">
        <v>323</v>
      </c>
      <c r="C38" s="135">
        <f>(C34*C33)/(C35/2*C37/2)/1000</f>
        <v>33.271272655634355</v>
      </c>
      <c r="D38" s="28" t="s">
        <v>313</v>
      </c>
    </row>
    <row r="40" spans="2:4" x14ac:dyDescent="0.2">
      <c r="C40" s="136">
        <f>1-C38/C30</f>
        <v>2.501051396549292E-2</v>
      </c>
    </row>
    <row r="42" spans="2:4" ht="13.5" thickBot="1" x14ac:dyDescent="0.25"/>
    <row r="43" spans="2:4" ht="4.5" customHeight="1" thickBot="1" x14ac:dyDescent="0.25">
      <c r="B43" s="775"/>
      <c r="C43" s="776"/>
      <c r="D43" s="776"/>
    </row>
    <row r="44" spans="2:4" ht="13.5" thickBot="1" x14ac:dyDescent="0.25">
      <c r="B44" s="850" t="s">
        <v>326</v>
      </c>
      <c r="C44" s="851"/>
      <c r="D44" s="851"/>
    </row>
    <row r="46" spans="2:4" x14ac:dyDescent="0.2">
      <c r="B46" s="133" t="s">
        <v>309</v>
      </c>
      <c r="C46" s="28">
        <v>460</v>
      </c>
      <c r="D46" s="28" t="s">
        <v>310</v>
      </c>
    </row>
    <row r="47" spans="2:4" x14ac:dyDescent="0.2">
      <c r="B47" s="133" t="s">
        <v>95</v>
      </c>
      <c r="C47" s="137">
        <v>4</v>
      </c>
      <c r="D47" s="28" t="s">
        <v>9</v>
      </c>
    </row>
    <row r="48" spans="2:4" x14ac:dyDescent="0.2">
      <c r="B48" s="133" t="s">
        <v>327</v>
      </c>
      <c r="C48" s="28">
        <v>60</v>
      </c>
      <c r="D48" s="28" t="s">
        <v>9</v>
      </c>
    </row>
    <row r="49" spans="2:4" x14ac:dyDescent="0.2">
      <c r="B49" s="133" t="s">
        <v>328</v>
      </c>
      <c r="C49" s="28">
        <v>10</v>
      </c>
      <c r="D49" s="28" t="s">
        <v>9</v>
      </c>
    </row>
    <row r="50" spans="2:4" x14ac:dyDescent="0.2">
      <c r="B50" s="133" t="s">
        <v>318</v>
      </c>
      <c r="C50" s="138">
        <f>1/12*C49*C47^3</f>
        <v>53.333333333333329</v>
      </c>
      <c r="D50" s="28" t="s">
        <v>319</v>
      </c>
    </row>
    <row r="51" spans="2:4" x14ac:dyDescent="0.2">
      <c r="B51" s="133" t="s">
        <v>326</v>
      </c>
      <c r="C51" s="138">
        <f>C46*C50/C48</f>
        <v>408.88888888888886</v>
      </c>
      <c r="D51" s="28" t="s">
        <v>329</v>
      </c>
    </row>
  </sheetData>
  <mergeCells count="7">
    <mergeCell ref="F13:J16"/>
    <mergeCell ref="B44:D44"/>
    <mergeCell ref="B4:D4"/>
    <mergeCell ref="B5:D5"/>
    <mergeCell ref="B21:D21"/>
    <mergeCell ref="B22:D22"/>
    <mergeCell ref="B43:D43"/>
  </mergeCells>
  <pageMargins left="0.78740157480314965" right="0.78740157480314965" top="0.98425196850393704" bottom="0.98425196850393704" header="0.51181102362204722" footer="0.51181102362204722"/>
  <pageSetup paperSize="9" scale="81"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0">
    <tabColor theme="0" tint="-0.34998626667073579"/>
    <pageSetUpPr fitToPage="1"/>
  </sheetPr>
  <dimension ref="B1:M42"/>
  <sheetViews>
    <sheetView showRowColHeaders="0" zoomScale="115" zoomScaleNormal="100" workbookViewId="0">
      <selection activeCell="D29" sqref="D29"/>
    </sheetView>
  </sheetViews>
  <sheetFormatPr defaultRowHeight="12.75" x14ac:dyDescent="0.2"/>
  <cols>
    <col min="1" max="1" width="2.42578125" style="139" customWidth="1"/>
    <col min="2" max="2" width="9.28515625" style="139" customWidth="1"/>
    <col min="3" max="3" width="9.42578125" style="139" customWidth="1"/>
    <col min="4" max="6" width="9.85546875" style="139" customWidth="1"/>
    <col min="7" max="10" width="10.85546875" style="139" customWidth="1"/>
    <col min="11" max="12" width="11.28515625" style="139" customWidth="1"/>
    <col min="13" max="16384" width="9.140625" style="139"/>
  </cols>
  <sheetData>
    <row r="1" spans="2:13" ht="13.5" thickBot="1" x14ac:dyDescent="0.25"/>
    <row r="2" spans="2:13" ht="19.5" thickBot="1" x14ac:dyDescent="0.25">
      <c r="B2" s="625" t="s">
        <v>419</v>
      </c>
      <c r="C2" s="626" t="s">
        <v>351</v>
      </c>
      <c r="D2" s="627" t="s">
        <v>15</v>
      </c>
      <c r="E2" s="627" t="s">
        <v>23</v>
      </c>
      <c r="F2" s="627" t="s">
        <v>27</v>
      </c>
      <c r="G2" s="627" t="s">
        <v>30</v>
      </c>
      <c r="H2" s="627" t="s">
        <v>32</v>
      </c>
      <c r="I2" s="627" t="s">
        <v>34</v>
      </c>
      <c r="J2" s="627" t="s">
        <v>352</v>
      </c>
      <c r="K2" s="627" t="s">
        <v>353</v>
      </c>
      <c r="L2" s="628" t="s">
        <v>354</v>
      </c>
      <c r="M2" s="621"/>
    </row>
    <row r="3" spans="2:13" s="154" customFormat="1" ht="14.25" x14ac:dyDescent="0.2">
      <c r="B3" s="629" t="s">
        <v>351</v>
      </c>
      <c r="C3" s="630" t="s">
        <v>116</v>
      </c>
      <c r="D3" s="631">
        <v>25400</v>
      </c>
      <c r="E3" s="631">
        <v>50800</v>
      </c>
      <c r="F3" s="631">
        <v>76200</v>
      </c>
      <c r="G3" s="631">
        <v>101600</v>
      </c>
      <c r="H3" s="630" t="s">
        <v>355</v>
      </c>
      <c r="I3" s="631">
        <v>152400</v>
      </c>
      <c r="J3" s="631">
        <v>177800</v>
      </c>
      <c r="K3" s="631">
        <v>203200</v>
      </c>
      <c r="L3" s="632">
        <v>228600</v>
      </c>
      <c r="M3" s="622"/>
    </row>
    <row r="4" spans="2:13" ht="14.25" x14ac:dyDescent="0.2">
      <c r="B4" s="629"/>
      <c r="C4" s="630"/>
      <c r="D4" s="630"/>
      <c r="E4" s="630"/>
      <c r="F4" s="630"/>
      <c r="G4" s="630"/>
      <c r="H4" s="630"/>
      <c r="I4" s="630"/>
      <c r="J4" s="630"/>
      <c r="K4" s="630"/>
      <c r="L4" s="633"/>
      <c r="M4" s="623"/>
    </row>
    <row r="5" spans="2:13" ht="14.25" x14ac:dyDescent="0.2">
      <c r="B5" s="629" t="s">
        <v>356</v>
      </c>
      <c r="C5" s="630" t="s">
        <v>357</v>
      </c>
      <c r="D5" s="631">
        <v>26194</v>
      </c>
      <c r="E5" s="631">
        <v>51594</v>
      </c>
      <c r="F5" s="631">
        <v>76994</v>
      </c>
      <c r="G5" s="631">
        <v>102394</v>
      </c>
      <c r="H5" s="631">
        <v>127794</v>
      </c>
      <c r="I5" s="631">
        <v>153194</v>
      </c>
      <c r="J5" s="631">
        <v>178594</v>
      </c>
      <c r="K5" s="631">
        <v>203994</v>
      </c>
      <c r="L5" s="632">
        <v>229394</v>
      </c>
      <c r="M5" s="622"/>
    </row>
    <row r="6" spans="2:13" ht="17.25" customHeight="1" x14ac:dyDescent="0.2">
      <c r="B6" s="629" t="s">
        <v>358</v>
      </c>
      <c r="C6" s="631">
        <v>1588</v>
      </c>
      <c r="D6" s="631">
        <v>26988</v>
      </c>
      <c r="E6" s="631">
        <v>52388</v>
      </c>
      <c r="F6" s="631">
        <v>77788</v>
      </c>
      <c r="G6" s="631">
        <v>103188</v>
      </c>
      <c r="H6" s="631">
        <v>128588</v>
      </c>
      <c r="I6" s="631">
        <v>153388</v>
      </c>
      <c r="J6" s="631">
        <v>179388</v>
      </c>
      <c r="K6" s="631">
        <v>204788</v>
      </c>
      <c r="L6" s="632">
        <v>230188</v>
      </c>
      <c r="M6" s="624"/>
    </row>
    <row r="7" spans="2:13" ht="14.25" x14ac:dyDescent="0.2">
      <c r="B7" s="629" t="s">
        <v>359</v>
      </c>
      <c r="C7" s="631">
        <v>2381</v>
      </c>
      <c r="D7" s="631">
        <v>27781</v>
      </c>
      <c r="E7" s="631">
        <v>53181</v>
      </c>
      <c r="F7" s="631">
        <v>78581</v>
      </c>
      <c r="G7" s="631">
        <v>103981</v>
      </c>
      <c r="H7" s="631">
        <v>129381</v>
      </c>
      <c r="I7" s="631">
        <v>154781</v>
      </c>
      <c r="J7" s="631">
        <v>180181</v>
      </c>
      <c r="K7" s="631">
        <v>205581</v>
      </c>
      <c r="L7" s="632">
        <v>230981</v>
      </c>
      <c r="M7" s="624"/>
    </row>
    <row r="8" spans="2:13" ht="14.25" x14ac:dyDescent="0.2">
      <c r="B8" s="629" t="s">
        <v>360</v>
      </c>
      <c r="C8" s="631">
        <v>3175</v>
      </c>
      <c r="D8" s="631">
        <v>28575</v>
      </c>
      <c r="E8" s="631">
        <v>53975</v>
      </c>
      <c r="F8" s="631">
        <v>79375</v>
      </c>
      <c r="G8" s="631">
        <v>104775</v>
      </c>
      <c r="H8" s="631">
        <v>130175</v>
      </c>
      <c r="I8" s="631">
        <v>155575</v>
      </c>
      <c r="J8" s="631">
        <v>180975</v>
      </c>
      <c r="K8" s="631">
        <v>206375</v>
      </c>
      <c r="L8" s="632">
        <v>231775</v>
      </c>
      <c r="M8" s="624"/>
    </row>
    <row r="9" spans="2:13" ht="14.25" x14ac:dyDescent="0.2">
      <c r="B9" s="629"/>
      <c r="C9" s="630"/>
      <c r="D9" s="630"/>
      <c r="E9" s="630"/>
      <c r="F9" s="630"/>
      <c r="G9" s="630"/>
      <c r="H9" s="630"/>
      <c r="I9" s="630"/>
      <c r="J9" s="630"/>
      <c r="K9" s="630"/>
      <c r="L9" s="633"/>
      <c r="M9" s="623"/>
    </row>
    <row r="10" spans="2:13" ht="14.25" x14ac:dyDescent="0.2">
      <c r="B10" s="629" t="s">
        <v>361</v>
      </c>
      <c r="C10" s="631">
        <v>3969</v>
      </c>
      <c r="D10" s="631">
        <v>29369</v>
      </c>
      <c r="E10" s="631">
        <v>54769</v>
      </c>
      <c r="F10" s="631">
        <v>80169</v>
      </c>
      <c r="G10" s="631">
        <v>105569</v>
      </c>
      <c r="H10" s="631">
        <v>130969</v>
      </c>
      <c r="I10" s="631">
        <v>156369</v>
      </c>
      <c r="J10" s="631">
        <v>181769</v>
      </c>
      <c r="K10" s="631">
        <v>207169</v>
      </c>
      <c r="L10" s="632">
        <v>232569</v>
      </c>
      <c r="M10" s="622"/>
    </row>
    <row r="11" spans="2:13" ht="14.25" x14ac:dyDescent="0.2">
      <c r="B11" s="629" t="s">
        <v>362</v>
      </c>
      <c r="C11" s="631">
        <v>4763</v>
      </c>
      <c r="D11" s="631">
        <v>30163</v>
      </c>
      <c r="E11" s="631">
        <v>55563</v>
      </c>
      <c r="F11" s="631">
        <v>80963</v>
      </c>
      <c r="G11" s="631">
        <v>106363</v>
      </c>
      <c r="H11" s="631">
        <v>131763</v>
      </c>
      <c r="I11" s="631">
        <v>157163</v>
      </c>
      <c r="J11" s="631">
        <v>182563</v>
      </c>
      <c r="K11" s="631">
        <v>207963</v>
      </c>
      <c r="L11" s="632">
        <v>233363</v>
      </c>
      <c r="M11" s="624"/>
    </row>
    <row r="12" spans="2:13" ht="14.25" x14ac:dyDescent="0.2">
      <c r="B12" s="629" t="s">
        <v>363</v>
      </c>
      <c r="C12" s="631">
        <v>5556</v>
      </c>
      <c r="D12" s="631">
        <v>30950</v>
      </c>
      <c r="E12" s="631">
        <v>56356</v>
      </c>
      <c r="F12" s="631">
        <v>81756</v>
      </c>
      <c r="G12" s="631">
        <v>107156</v>
      </c>
      <c r="H12" s="631">
        <v>132556</v>
      </c>
      <c r="I12" s="631">
        <v>157956</v>
      </c>
      <c r="J12" s="631">
        <v>183356</v>
      </c>
      <c r="K12" s="631">
        <v>208756</v>
      </c>
      <c r="L12" s="632">
        <v>234156</v>
      </c>
      <c r="M12" s="622"/>
    </row>
    <row r="13" spans="2:13" ht="14.25" x14ac:dyDescent="0.2">
      <c r="B13" s="629" t="s">
        <v>364</v>
      </c>
      <c r="C13" s="631">
        <v>6350</v>
      </c>
      <c r="D13" s="631">
        <v>31750</v>
      </c>
      <c r="E13" s="631">
        <v>57150</v>
      </c>
      <c r="F13" s="631">
        <v>82550</v>
      </c>
      <c r="G13" s="631">
        <v>107950</v>
      </c>
      <c r="H13" s="631">
        <v>133350</v>
      </c>
      <c r="I13" s="631">
        <v>158750</v>
      </c>
      <c r="J13" s="631">
        <v>184150</v>
      </c>
      <c r="K13" s="631">
        <v>209550</v>
      </c>
      <c r="L13" s="632">
        <v>234950</v>
      </c>
      <c r="M13" s="624"/>
    </row>
    <row r="14" spans="2:13" ht="14.25" x14ac:dyDescent="0.2">
      <c r="B14" s="629"/>
      <c r="C14" s="630"/>
      <c r="D14" s="630"/>
      <c r="E14" s="630"/>
      <c r="F14" s="630"/>
      <c r="G14" s="630"/>
      <c r="H14" s="630"/>
      <c r="I14" s="630"/>
      <c r="J14" s="630"/>
      <c r="K14" s="630"/>
      <c r="L14" s="633"/>
      <c r="M14" s="623"/>
    </row>
    <row r="15" spans="2:13" ht="14.25" x14ac:dyDescent="0.2">
      <c r="B15" s="629" t="s">
        <v>365</v>
      </c>
      <c r="C15" s="631">
        <v>7144</v>
      </c>
      <c r="D15" s="631">
        <v>32544</v>
      </c>
      <c r="E15" s="631">
        <v>57944</v>
      </c>
      <c r="F15" s="631">
        <v>83344</v>
      </c>
      <c r="G15" s="631">
        <v>108744</v>
      </c>
      <c r="H15" s="631">
        <v>134144</v>
      </c>
      <c r="I15" s="631">
        <v>159544</v>
      </c>
      <c r="J15" s="631">
        <v>184944</v>
      </c>
      <c r="K15" s="631">
        <v>210344</v>
      </c>
      <c r="L15" s="632">
        <v>235744</v>
      </c>
      <c r="M15" s="622"/>
    </row>
    <row r="16" spans="2:13" ht="14.25" x14ac:dyDescent="0.2">
      <c r="B16" s="629" t="s">
        <v>366</v>
      </c>
      <c r="C16" s="631">
        <v>7938</v>
      </c>
      <c r="D16" s="631">
        <v>33338</v>
      </c>
      <c r="E16" s="631">
        <v>58738</v>
      </c>
      <c r="F16" s="631">
        <v>84138</v>
      </c>
      <c r="G16" s="631">
        <v>109538</v>
      </c>
      <c r="H16" s="631">
        <v>134938</v>
      </c>
      <c r="I16" s="631">
        <v>160388</v>
      </c>
      <c r="J16" s="631">
        <v>185738</v>
      </c>
      <c r="K16" s="631">
        <v>211138</v>
      </c>
      <c r="L16" s="632">
        <v>236538</v>
      </c>
      <c r="M16" s="624"/>
    </row>
    <row r="17" spans="2:13" ht="14.25" x14ac:dyDescent="0.2">
      <c r="B17" s="629" t="s">
        <v>367</v>
      </c>
      <c r="C17" s="631">
        <v>8731</v>
      </c>
      <c r="D17" s="631">
        <v>34131</v>
      </c>
      <c r="E17" s="631">
        <v>59531</v>
      </c>
      <c r="F17" s="631">
        <v>84931</v>
      </c>
      <c r="G17" s="631">
        <v>110331</v>
      </c>
      <c r="H17" s="631">
        <v>135731</v>
      </c>
      <c r="I17" s="631">
        <v>161131</v>
      </c>
      <c r="J17" s="631">
        <v>186531</v>
      </c>
      <c r="K17" s="631">
        <v>211931</v>
      </c>
      <c r="L17" s="632">
        <v>237331</v>
      </c>
      <c r="M17" s="622"/>
    </row>
    <row r="18" spans="2:13" ht="14.25" x14ac:dyDescent="0.2">
      <c r="B18" s="629" t="s">
        <v>10</v>
      </c>
      <c r="C18" s="631">
        <v>9525</v>
      </c>
      <c r="D18" s="631">
        <v>34925</v>
      </c>
      <c r="E18" s="631">
        <v>60325</v>
      </c>
      <c r="F18" s="631">
        <v>85725</v>
      </c>
      <c r="G18" s="631">
        <v>111125</v>
      </c>
      <c r="H18" s="631">
        <v>136525</v>
      </c>
      <c r="I18" s="631">
        <v>161925</v>
      </c>
      <c r="J18" s="631">
        <v>187325</v>
      </c>
      <c r="K18" s="631">
        <v>212725</v>
      </c>
      <c r="L18" s="632">
        <v>238125</v>
      </c>
      <c r="M18" s="624"/>
    </row>
    <row r="19" spans="2:13" ht="14.25" x14ac:dyDescent="0.2">
      <c r="B19" s="629"/>
      <c r="C19" s="630"/>
      <c r="D19" s="630"/>
      <c r="E19" s="630"/>
      <c r="F19" s="630"/>
      <c r="G19" s="630"/>
      <c r="H19" s="630"/>
      <c r="I19" s="630"/>
      <c r="J19" s="630"/>
      <c r="K19" s="630"/>
      <c r="L19" s="633"/>
      <c r="M19" s="623"/>
    </row>
    <row r="20" spans="2:13" ht="14.25" x14ac:dyDescent="0.2">
      <c r="B20" s="629" t="s">
        <v>368</v>
      </c>
      <c r="C20" s="631">
        <v>10319</v>
      </c>
      <c r="D20" s="631">
        <v>35719</v>
      </c>
      <c r="E20" s="631">
        <v>61119</v>
      </c>
      <c r="F20" s="631">
        <v>86519</v>
      </c>
      <c r="G20" s="631">
        <v>111919</v>
      </c>
      <c r="H20" s="631">
        <v>137319</v>
      </c>
      <c r="I20" s="631">
        <v>162719</v>
      </c>
      <c r="J20" s="631">
        <v>188199</v>
      </c>
      <c r="K20" s="631">
        <v>213519</v>
      </c>
      <c r="L20" s="632">
        <v>238919</v>
      </c>
      <c r="M20" s="622"/>
    </row>
    <row r="21" spans="2:13" ht="14.25" x14ac:dyDescent="0.2">
      <c r="B21" s="629" t="s">
        <v>369</v>
      </c>
      <c r="C21" s="631">
        <v>11113</v>
      </c>
      <c r="D21" s="631">
        <v>36513</v>
      </c>
      <c r="E21" s="631">
        <v>61913</v>
      </c>
      <c r="F21" s="631">
        <v>87313</v>
      </c>
      <c r="G21" s="631">
        <v>112713</v>
      </c>
      <c r="H21" s="631">
        <v>138113</v>
      </c>
      <c r="I21" s="631">
        <v>163513</v>
      </c>
      <c r="J21" s="631">
        <v>188913</v>
      </c>
      <c r="K21" s="631">
        <v>214313</v>
      </c>
      <c r="L21" s="632">
        <v>239713</v>
      </c>
      <c r="M21" s="624"/>
    </row>
    <row r="22" spans="2:13" ht="14.25" x14ac:dyDescent="0.2">
      <c r="B22" s="629" t="s">
        <v>370</v>
      </c>
      <c r="C22" s="631">
        <v>11906</v>
      </c>
      <c r="D22" s="631">
        <v>37306</v>
      </c>
      <c r="E22" s="631">
        <v>62706</v>
      </c>
      <c r="F22" s="631">
        <v>88106</v>
      </c>
      <c r="G22" s="631">
        <v>113506</v>
      </c>
      <c r="H22" s="631">
        <v>138906</v>
      </c>
      <c r="I22" s="631">
        <v>164306</v>
      </c>
      <c r="J22" s="631">
        <v>189706</v>
      </c>
      <c r="K22" s="631">
        <v>215106</v>
      </c>
      <c r="L22" s="632">
        <v>240506</v>
      </c>
      <c r="M22" s="622"/>
    </row>
    <row r="23" spans="2:13" ht="14.25" x14ac:dyDescent="0.2">
      <c r="B23" s="629" t="s">
        <v>11</v>
      </c>
      <c r="C23" s="631">
        <v>12700</v>
      </c>
      <c r="D23" s="631">
        <v>38100</v>
      </c>
      <c r="E23" s="631">
        <v>63500</v>
      </c>
      <c r="F23" s="631">
        <v>88900</v>
      </c>
      <c r="G23" s="631">
        <v>114300</v>
      </c>
      <c r="H23" s="631">
        <v>139700</v>
      </c>
      <c r="I23" s="631">
        <v>165100</v>
      </c>
      <c r="J23" s="631">
        <v>190500</v>
      </c>
      <c r="K23" s="631">
        <v>215900</v>
      </c>
      <c r="L23" s="632">
        <v>241300</v>
      </c>
      <c r="M23" s="624"/>
    </row>
    <row r="24" spans="2:13" ht="14.25" x14ac:dyDescent="0.2">
      <c r="B24" s="629"/>
      <c r="C24" s="630"/>
      <c r="D24" s="630"/>
      <c r="E24" s="630"/>
      <c r="F24" s="630"/>
      <c r="G24" s="630"/>
      <c r="H24" s="630"/>
      <c r="I24" s="630"/>
      <c r="J24" s="630"/>
      <c r="K24" s="630"/>
      <c r="L24" s="633"/>
      <c r="M24" s="623"/>
    </row>
    <row r="25" spans="2:13" ht="14.25" x14ac:dyDescent="0.2">
      <c r="B25" s="629" t="s">
        <v>371</v>
      </c>
      <c r="C25" s="631">
        <v>13494</v>
      </c>
      <c r="D25" s="631">
        <v>38894</v>
      </c>
      <c r="E25" s="631">
        <v>64294</v>
      </c>
      <c r="F25" s="631">
        <v>89694</v>
      </c>
      <c r="G25" s="631">
        <v>115094</v>
      </c>
      <c r="H25" s="631">
        <v>140494</v>
      </c>
      <c r="I25" s="631">
        <v>165894</v>
      </c>
      <c r="J25" s="631">
        <v>191294</v>
      </c>
      <c r="K25" s="631">
        <v>216694</v>
      </c>
      <c r="L25" s="632">
        <v>242094</v>
      </c>
      <c r="M25" s="622"/>
    </row>
    <row r="26" spans="2:13" ht="14.25" x14ac:dyDescent="0.2">
      <c r="B26" s="629" t="s">
        <v>372</v>
      </c>
      <c r="C26" s="631">
        <v>14288</v>
      </c>
      <c r="D26" s="631">
        <v>39688</v>
      </c>
      <c r="E26" s="631">
        <v>65088</v>
      </c>
      <c r="F26" s="631">
        <v>90488</v>
      </c>
      <c r="G26" s="631">
        <v>115888</v>
      </c>
      <c r="H26" s="631">
        <v>141288</v>
      </c>
      <c r="I26" s="631">
        <v>166688</v>
      </c>
      <c r="J26" s="631">
        <v>192088</v>
      </c>
      <c r="K26" s="631">
        <v>217488</v>
      </c>
      <c r="L26" s="632">
        <v>242888</v>
      </c>
      <c r="M26" s="624"/>
    </row>
    <row r="27" spans="2:13" ht="14.25" x14ac:dyDescent="0.2">
      <c r="B27" s="629" t="s">
        <v>373</v>
      </c>
      <c r="C27" s="631">
        <v>15081</v>
      </c>
      <c r="D27" s="631">
        <v>40481</v>
      </c>
      <c r="E27" s="631">
        <v>65881</v>
      </c>
      <c r="F27" s="631">
        <v>91281</v>
      </c>
      <c r="G27" s="631">
        <v>116681</v>
      </c>
      <c r="H27" s="631">
        <v>142081</v>
      </c>
      <c r="I27" s="631">
        <v>167481</v>
      </c>
      <c r="J27" s="631">
        <v>198881</v>
      </c>
      <c r="K27" s="631">
        <v>218281</v>
      </c>
      <c r="L27" s="632">
        <v>243681</v>
      </c>
      <c r="M27" s="622"/>
    </row>
    <row r="28" spans="2:13" ht="14.25" x14ac:dyDescent="0.2">
      <c r="B28" s="629" t="s">
        <v>12</v>
      </c>
      <c r="C28" s="631">
        <v>15875</v>
      </c>
      <c r="D28" s="631">
        <v>41275</v>
      </c>
      <c r="E28" s="631">
        <v>66675</v>
      </c>
      <c r="F28" s="631">
        <v>92075</v>
      </c>
      <c r="G28" s="631">
        <v>117475</v>
      </c>
      <c r="H28" s="631">
        <v>142875</v>
      </c>
      <c r="I28" s="631">
        <v>168275</v>
      </c>
      <c r="J28" s="631">
        <v>193675</v>
      </c>
      <c r="K28" s="631">
        <v>219075</v>
      </c>
      <c r="L28" s="632">
        <v>244475</v>
      </c>
      <c r="M28" s="624"/>
    </row>
    <row r="29" spans="2:13" ht="14.25" x14ac:dyDescent="0.2">
      <c r="B29" s="629"/>
      <c r="C29" s="630"/>
      <c r="D29" s="630"/>
      <c r="E29" s="630"/>
      <c r="F29" s="630"/>
      <c r="G29" s="630"/>
      <c r="H29" s="630"/>
      <c r="I29" s="630"/>
      <c r="J29" s="630"/>
      <c r="K29" s="630"/>
      <c r="L29" s="633"/>
      <c r="M29" s="623"/>
    </row>
    <row r="30" spans="2:13" ht="14.25" x14ac:dyDescent="0.2">
      <c r="B30" s="629" t="s">
        <v>374</v>
      </c>
      <c r="C30" s="631">
        <v>16669</v>
      </c>
      <c r="D30" s="631">
        <v>42069</v>
      </c>
      <c r="E30" s="631">
        <v>67469</v>
      </c>
      <c r="F30" s="631">
        <v>92869</v>
      </c>
      <c r="G30" s="631">
        <v>118269</v>
      </c>
      <c r="H30" s="631">
        <v>143669</v>
      </c>
      <c r="I30" s="631">
        <v>169069</v>
      </c>
      <c r="J30" s="631">
        <v>194469</v>
      </c>
      <c r="K30" s="631">
        <v>219869</v>
      </c>
      <c r="L30" s="632">
        <v>245269</v>
      </c>
      <c r="M30" s="622"/>
    </row>
    <row r="31" spans="2:13" ht="14.25" x14ac:dyDescent="0.2">
      <c r="B31" s="629" t="s">
        <v>375</v>
      </c>
      <c r="C31" s="631">
        <v>17463</v>
      </c>
      <c r="D31" s="631">
        <v>42863</v>
      </c>
      <c r="E31" s="631">
        <v>68263</v>
      </c>
      <c r="F31" s="631">
        <v>93663</v>
      </c>
      <c r="G31" s="631">
        <v>119063</v>
      </c>
      <c r="H31" s="631">
        <v>144463</v>
      </c>
      <c r="I31" s="631">
        <v>169863</v>
      </c>
      <c r="J31" s="631">
        <v>195263</v>
      </c>
      <c r="K31" s="631">
        <v>220663</v>
      </c>
      <c r="L31" s="632">
        <v>246063</v>
      </c>
      <c r="M31" s="624"/>
    </row>
    <row r="32" spans="2:13" ht="14.25" x14ac:dyDescent="0.2">
      <c r="B32" s="629" t="s">
        <v>376</v>
      </c>
      <c r="C32" s="631">
        <v>18256</v>
      </c>
      <c r="D32" s="631">
        <v>43656</v>
      </c>
      <c r="E32" s="631">
        <v>69056</v>
      </c>
      <c r="F32" s="631">
        <v>94456</v>
      </c>
      <c r="G32" s="631">
        <v>119856</v>
      </c>
      <c r="H32" s="631">
        <v>145656</v>
      </c>
      <c r="I32" s="631">
        <v>170656</v>
      </c>
      <c r="J32" s="631">
        <v>196056</v>
      </c>
      <c r="K32" s="631">
        <v>221456</v>
      </c>
      <c r="L32" s="632">
        <v>246856</v>
      </c>
      <c r="M32" s="622"/>
    </row>
    <row r="33" spans="2:13" ht="14.25" x14ac:dyDescent="0.2">
      <c r="B33" s="629" t="s">
        <v>13</v>
      </c>
      <c r="C33" s="631">
        <v>19050</v>
      </c>
      <c r="D33" s="631">
        <v>44450</v>
      </c>
      <c r="E33" s="631">
        <v>69850</v>
      </c>
      <c r="F33" s="631">
        <v>95250</v>
      </c>
      <c r="G33" s="631">
        <v>120650</v>
      </c>
      <c r="H33" s="631">
        <v>146050</v>
      </c>
      <c r="I33" s="631">
        <v>171450</v>
      </c>
      <c r="J33" s="631">
        <v>196850</v>
      </c>
      <c r="K33" s="631">
        <v>222250</v>
      </c>
      <c r="L33" s="632">
        <v>274650</v>
      </c>
      <c r="M33" s="624"/>
    </row>
    <row r="34" spans="2:13" ht="14.25" x14ac:dyDescent="0.2">
      <c r="B34" s="629"/>
      <c r="C34" s="630"/>
      <c r="D34" s="630"/>
      <c r="E34" s="630"/>
      <c r="F34" s="630"/>
      <c r="G34" s="630"/>
      <c r="H34" s="630"/>
      <c r="I34" s="630"/>
      <c r="J34" s="630"/>
      <c r="K34" s="630"/>
      <c r="L34" s="633"/>
      <c r="M34" s="623"/>
    </row>
    <row r="35" spans="2:13" ht="14.25" x14ac:dyDescent="0.2">
      <c r="B35" s="629" t="s">
        <v>377</v>
      </c>
      <c r="C35" s="631">
        <v>19844</v>
      </c>
      <c r="D35" s="631">
        <v>45244</v>
      </c>
      <c r="E35" s="631">
        <v>70644</v>
      </c>
      <c r="F35" s="631">
        <v>96044</v>
      </c>
      <c r="G35" s="631">
        <v>121444</v>
      </c>
      <c r="H35" s="631">
        <v>146844</v>
      </c>
      <c r="I35" s="631">
        <v>172244</v>
      </c>
      <c r="J35" s="631">
        <v>197644</v>
      </c>
      <c r="K35" s="631">
        <v>223044</v>
      </c>
      <c r="L35" s="632">
        <v>248444</v>
      </c>
      <c r="M35" s="622"/>
    </row>
    <row r="36" spans="2:13" ht="14.25" x14ac:dyDescent="0.2">
      <c r="B36" s="629" t="s">
        <v>378</v>
      </c>
      <c r="C36" s="631">
        <v>20638</v>
      </c>
      <c r="D36" s="631">
        <v>46038</v>
      </c>
      <c r="E36" s="631">
        <v>71438</v>
      </c>
      <c r="F36" s="631">
        <v>96838</v>
      </c>
      <c r="G36" s="631">
        <v>122238</v>
      </c>
      <c r="H36" s="631">
        <v>147638</v>
      </c>
      <c r="I36" s="631">
        <v>173038</v>
      </c>
      <c r="J36" s="631">
        <v>198438</v>
      </c>
      <c r="K36" s="631">
        <v>223838</v>
      </c>
      <c r="L36" s="632">
        <v>249238</v>
      </c>
      <c r="M36" s="624"/>
    </row>
    <row r="37" spans="2:13" ht="14.25" x14ac:dyDescent="0.2">
      <c r="B37" s="629" t="s">
        <v>379</v>
      </c>
      <c r="C37" s="631">
        <v>21431</v>
      </c>
      <c r="D37" s="631">
        <v>46831</v>
      </c>
      <c r="E37" s="631">
        <v>72231</v>
      </c>
      <c r="F37" s="631">
        <v>97631</v>
      </c>
      <c r="G37" s="631">
        <v>123031</v>
      </c>
      <c r="H37" s="631">
        <v>148431</v>
      </c>
      <c r="I37" s="631">
        <v>173831</v>
      </c>
      <c r="J37" s="631">
        <v>199231</v>
      </c>
      <c r="K37" s="631">
        <v>224631</v>
      </c>
      <c r="L37" s="632">
        <v>250031</v>
      </c>
      <c r="M37" s="622"/>
    </row>
    <row r="38" spans="2:13" ht="14.25" x14ac:dyDescent="0.2">
      <c r="B38" s="629" t="s">
        <v>14</v>
      </c>
      <c r="C38" s="631">
        <v>22225</v>
      </c>
      <c r="D38" s="631">
        <v>47625</v>
      </c>
      <c r="E38" s="631">
        <v>73025</v>
      </c>
      <c r="F38" s="631">
        <v>98425</v>
      </c>
      <c r="G38" s="631">
        <v>123825</v>
      </c>
      <c r="H38" s="631">
        <v>149255</v>
      </c>
      <c r="I38" s="631">
        <v>174225</v>
      </c>
      <c r="J38" s="631">
        <v>200025</v>
      </c>
      <c r="K38" s="631">
        <v>225425</v>
      </c>
      <c r="L38" s="632">
        <v>250825</v>
      </c>
      <c r="M38" s="624"/>
    </row>
    <row r="39" spans="2:13" ht="14.25" x14ac:dyDescent="0.2">
      <c r="B39" s="629"/>
      <c r="C39" s="630"/>
      <c r="D39" s="630"/>
      <c r="E39" s="630"/>
      <c r="F39" s="630"/>
      <c r="G39" s="630"/>
      <c r="H39" s="630"/>
      <c r="I39" s="630"/>
      <c r="J39" s="630"/>
      <c r="K39" s="630"/>
      <c r="L39" s="633"/>
      <c r="M39" s="623"/>
    </row>
    <row r="40" spans="2:13" ht="14.25" x14ac:dyDescent="0.2">
      <c r="B40" s="629" t="s">
        <v>380</v>
      </c>
      <c r="C40" s="631">
        <v>23019</v>
      </c>
      <c r="D40" s="631">
        <v>48419</v>
      </c>
      <c r="E40" s="631">
        <v>73819</v>
      </c>
      <c r="F40" s="631">
        <v>99219</v>
      </c>
      <c r="G40" s="631">
        <v>124619</v>
      </c>
      <c r="H40" s="631">
        <v>150019</v>
      </c>
      <c r="I40" s="631">
        <v>175419</v>
      </c>
      <c r="J40" s="631">
        <v>200819</v>
      </c>
      <c r="K40" s="631">
        <v>226219</v>
      </c>
      <c r="L40" s="632">
        <v>251619</v>
      </c>
      <c r="M40" s="622"/>
    </row>
    <row r="41" spans="2:13" ht="14.25" x14ac:dyDescent="0.2">
      <c r="B41" s="629" t="s">
        <v>381</v>
      </c>
      <c r="C41" s="631">
        <v>23813</v>
      </c>
      <c r="D41" s="631">
        <v>49213</v>
      </c>
      <c r="E41" s="631">
        <v>74613</v>
      </c>
      <c r="F41" s="631">
        <v>100013</v>
      </c>
      <c r="G41" s="631">
        <v>125413</v>
      </c>
      <c r="H41" s="631">
        <v>150813</v>
      </c>
      <c r="I41" s="631">
        <v>176213</v>
      </c>
      <c r="J41" s="631">
        <v>201613</v>
      </c>
      <c r="K41" s="631">
        <v>227013</v>
      </c>
      <c r="L41" s="632">
        <v>252413</v>
      </c>
      <c r="M41" s="624"/>
    </row>
    <row r="42" spans="2:13" ht="15" thickBot="1" x14ac:dyDescent="0.25">
      <c r="B42" s="634" t="s">
        <v>831</v>
      </c>
      <c r="C42" s="635">
        <v>24606</v>
      </c>
      <c r="D42" s="635">
        <v>50006</v>
      </c>
      <c r="E42" s="635">
        <v>75406</v>
      </c>
      <c r="F42" s="635">
        <v>100806</v>
      </c>
      <c r="G42" s="635">
        <v>126206</v>
      </c>
      <c r="H42" s="635">
        <v>151606</v>
      </c>
      <c r="I42" s="635">
        <v>177006</v>
      </c>
      <c r="J42" s="635">
        <v>202406</v>
      </c>
      <c r="K42" s="635">
        <v>227806</v>
      </c>
      <c r="L42" s="636">
        <v>253206</v>
      </c>
      <c r="M42" s="624"/>
    </row>
  </sheetData>
  <printOptions horizontalCentered="1" verticalCentered="1"/>
  <pageMargins left="0.78740157480314965" right="0.78740157480314965" top="0.98425196850393704" bottom="0.98425196850393704" header="0.51181102362204722" footer="0.51181102362204722"/>
  <pageSetup paperSize="9" scale="76"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tabColor theme="0" tint="-0.34998626667073579"/>
    <pageSetUpPr fitToPage="1"/>
  </sheetPr>
  <dimension ref="B1:Y25"/>
  <sheetViews>
    <sheetView showGridLines="0" showRowColHeaders="0" view="pageBreakPreview" zoomScale="115" zoomScaleNormal="100" zoomScaleSheetLayoutView="85" workbookViewId="0"/>
  </sheetViews>
  <sheetFormatPr defaultColWidth="3.28515625" defaultRowHeight="12.75" x14ac:dyDescent="0.2"/>
  <cols>
    <col min="1" max="1" width="2.5703125" style="140" customWidth="1"/>
    <col min="2" max="5" width="3.28515625" style="140" customWidth="1"/>
    <col min="6" max="6" width="2.7109375" style="140" customWidth="1"/>
    <col min="7" max="10" width="3.28515625" style="140" customWidth="1"/>
    <col min="11" max="11" width="3.85546875" style="140" customWidth="1"/>
    <col min="12" max="12" width="3.28515625" style="140" customWidth="1"/>
    <col min="13" max="13" width="3.42578125" style="140" customWidth="1"/>
    <col min="14" max="22" width="3.28515625" style="140" customWidth="1"/>
    <col min="23" max="23" width="3.5703125" style="140" customWidth="1"/>
    <col min="24" max="16384" width="3.28515625" style="140"/>
  </cols>
  <sheetData>
    <row r="1" spans="2:25" ht="13.5" thickBot="1" x14ac:dyDescent="0.25"/>
    <row r="2" spans="2:25" ht="13.5" thickBot="1" x14ac:dyDescent="0.25">
      <c r="B2" s="142"/>
      <c r="C2" s="143"/>
      <c r="D2" s="143"/>
      <c r="E2" s="143"/>
      <c r="F2" s="143"/>
      <c r="G2" s="143"/>
      <c r="H2" s="143"/>
      <c r="I2" s="143"/>
      <c r="J2" s="143"/>
      <c r="K2" s="143"/>
      <c r="L2" s="143"/>
      <c r="M2" s="143"/>
      <c r="N2" s="143"/>
      <c r="O2" s="143"/>
      <c r="P2" s="143"/>
      <c r="Q2" s="143"/>
      <c r="R2" s="143"/>
      <c r="S2" s="143"/>
      <c r="T2" s="143"/>
      <c r="U2" s="143"/>
      <c r="V2" s="143"/>
      <c r="W2" s="143"/>
      <c r="X2" s="143"/>
      <c r="Y2" s="144"/>
    </row>
    <row r="3" spans="2:25" ht="12.75" customHeight="1" x14ac:dyDescent="0.2">
      <c r="B3" s="145"/>
      <c r="C3" s="885"/>
      <c r="D3" s="886"/>
      <c r="E3" s="886"/>
      <c r="F3" s="886"/>
      <c r="G3" s="886"/>
      <c r="H3" s="886"/>
      <c r="I3" s="886"/>
      <c r="J3" s="886"/>
      <c r="K3" s="887"/>
      <c r="L3" s="894" t="s">
        <v>382</v>
      </c>
      <c r="M3" s="895"/>
      <c r="N3" s="895"/>
      <c r="O3" s="895"/>
      <c r="P3" s="895"/>
      <c r="Q3" s="895"/>
      <c r="R3" s="895"/>
      <c r="S3" s="895"/>
      <c r="T3" s="895"/>
      <c r="U3" s="895"/>
      <c r="V3" s="895"/>
      <c r="W3" s="895"/>
      <c r="X3" s="896"/>
      <c r="Y3" s="146"/>
    </row>
    <row r="4" spans="2:25" ht="12.75" customHeight="1" x14ac:dyDescent="0.2">
      <c r="B4" s="145"/>
      <c r="C4" s="888"/>
      <c r="D4" s="889"/>
      <c r="E4" s="889"/>
      <c r="F4" s="889"/>
      <c r="G4" s="889"/>
      <c r="H4" s="889"/>
      <c r="I4" s="889"/>
      <c r="J4" s="889"/>
      <c r="K4" s="890"/>
      <c r="L4" s="897"/>
      <c r="M4" s="898"/>
      <c r="N4" s="898"/>
      <c r="O4" s="898"/>
      <c r="P4" s="898"/>
      <c r="Q4" s="898"/>
      <c r="R4" s="898"/>
      <c r="S4" s="898"/>
      <c r="T4" s="898"/>
      <c r="U4" s="898"/>
      <c r="V4" s="898"/>
      <c r="W4" s="898"/>
      <c r="X4" s="899"/>
      <c r="Y4" s="146"/>
    </row>
    <row r="5" spans="2:25" ht="12.75" customHeight="1" x14ac:dyDescent="0.2">
      <c r="B5" s="145"/>
      <c r="C5" s="888"/>
      <c r="D5" s="889"/>
      <c r="E5" s="889"/>
      <c r="F5" s="889"/>
      <c r="G5" s="889"/>
      <c r="H5" s="889"/>
      <c r="I5" s="889"/>
      <c r="J5" s="889"/>
      <c r="K5" s="890"/>
      <c r="L5" s="897"/>
      <c r="M5" s="898"/>
      <c r="N5" s="898"/>
      <c r="O5" s="898"/>
      <c r="P5" s="898"/>
      <c r="Q5" s="898"/>
      <c r="R5" s="898"/>
      <c r="S5" s="898"/>
      <c r="T5" s="898"/>
      <c r="U5" s="898"/>
      <c r="V5" s="898"/>
      <c r="W5" s="898"/>
      <c r="X5" s="899"/>
      <c r="Y5" s="146"/>
    </row>
    <row r="6" spans="2:25" ht="12.75" customHeight="1" x14ac:dyDescent="0.2">
      <c r="B6" s="145"/>
      <c r="C6" s="888"/>
      <c r="D6" s="889"/>
      <c r="E6" s="889"/>
      <c r="F6" s="889"/>
      <c r="G6" s="889"/>
      <c r="H6" s="889"/>
      <c r="I6" s="889"/>
      <c r="J6" s="889"/>
      <c r="K6" s="890"/>
      <c r="L6" s="897"/>
      <c r="M6" s="898"/>
      <c r="N6" s="898"/>
      <c r="O6" s="898"/>
      <c r="P6" s="898"/>
      <c r="Q6" s="898"/>
      <c r="R6" s="898"/>
      <c r="S6" s="898"/>
      <c r="T6" s="898"/>
      <c r="U6" s="898"/>
      <c r="V6" s="898"/>
      <c r="W6" s="898"/>
      <c r="X6" s="899"/>
      <c r="Y6" s="146"/>
    </row>
    <row r="7" spans="2:25" ht="13.5" customHeight="1" thickBot="1" x14ac:dyDescent="0.25">
      <c r="B7" s="145"/>
      <c r="C7" s="891"/>
      <c r="D7" s="892"/>
      <c r="E7" s="892"/>
      <c r="F7" s="892"/>
      <c r="G7" s="892"/>
      <c r="H7" s="892"/>
      <c r="I7" s="892"/>
      <c r="J7" s="892"/>
      <c r="K7" s="893"/>
      <c r="L7" s="900"/>
      <c r="M7" s="901"/>
      <c r="N7" s="901"/>
      <c r="O7" s="901"/>
      <c r="P7" s="901"/>
      <c r="Q7" s="901"/>
      <c r="R7" s="901"/>
      <c r="S7" s="901"/>
      <c r="T7" s="901"/>
      <c r="U7" s="901"/>
      <c r="V7" s="901"/>
      <c r="W7" s="901"/>
      <c r="X7" s="902"/>
      <c r="Y7" s="146"/>
    </row>
    <row r="8" spans="2:25" x14ac:dyDescent="0.2">
      <c r="B8" s="145"/>
      <c r="C8" s="141"/>
      <c r="D8" s="141"/>
      <c r="E8" s="141"/>
      <c r="F8" s="141"/>
      <c r="G8" s="141"/>
      <c r="H8" s="141"/>
      <c r="I8" s="141"/>
      <c r="J8" s="141"/>
      <c r="K8" s="141"/>
      <c r="L8" s="141"/>
      <c r="M8" s="141"/>
      <c r="N8" s="141"/>
      <c r="O8" s="141"/>
      <c r="P8" s="141"/>
      <c r="Q8" s="141"/>
      <c r="R8" s="141"/>
      <c r="S8" s="141"/>
      <c r="T8" s="141"/>
      <c r="U8" s="141"/>
      <c r="V8" s="141"/>
      <c r="W8" s="141"/>
      <c r="X8" s="141"/>
      <c r="Y8" s="146"/>
    </row>
    <row r="9" spans="2:25" x14ac:dyDescent="0.2">
      <c r="B9" s="145"/>
      <c r="C9" s="878" t="s">
        <v>383</v>
      </c>
      <c r="D9" s="878"/>
      <c r="E9" s="878"/>
      <c r="F9" s="878"/>
      <c r="G9" s="878"/>
      <c r="H9" s="141"/>
      <c r="I9" s="155" t="s">
        <v>382</v>
      </c>
      <c r="J9" s="141"/>
      <c r="K9" s="141"/>
      <c r="L9" s="141"/>
      <c r="M9" s="141"/>
      <c r="N9" s="141"/>
      <c r="O9" s="141"/>
      <c r="P9" s="141"/>
      <c r="Q9" s="141"/>
      <c r="R9" s="141"/>
      <c r="S9" s="141"/>
      <c r="T9" s="141"/>
      <c r="U9" s="141"/>
      <c r="V9" s="141"/>
      <c r="W9" s="141"/>
      <c r="X9" s="141"/>
      <c r="Y9" s="146"/>
    </row>
    <row r="10" spans="2:25" ht="13.5" thickBot="1" x14ac:dyDescent="0.25">
      <c r="B10" s="145"/>
      <c r="C10" s="141"/>
      <c r="D10" s="141"/>
      <c r="E10" s="141"/>
      <c r="F10" s="141"/>
      <c r="G10" s="141"/>
      <c r="H10" s="141"/>
      <c r="I10" s="141"/>
      <c r="J10" s="141"/>
      <c r="K10" s="141"/>
      <c r="L10" s="141"/>
      <c r="M10" s="141"/>
      <c r="N10" s="141"/>
      <c r="O10" s="141"/>
      <c r="P10" s="141"/>
      <c r="Q10" s="141"/>
      <c r="R10" s="141"/>
      <c r="S10" s="141"/>
      <c r="T10" s="141"/>
      <c r="U10" s="141"/>
      <c r="V10" s="141"/>
      <c r="W10" s="141"/>
      <c r="X10" s="141"/>
      <c r="Y10" s="146"/>
    </row>
    <row r="11" spans="2:25" ht="13.5" thickBot="1" x14ac:dyDescent="0.25">
      <c r="B11" s="145"/>
      <c r="C11" s="151" t="s">
        <v>384</v>
      </c>
      <c r="D11" s="879" t="s">
        <v>385</v>
      </c>
      <c r="E11" s="879"/>
      <c r="F11" s="879"/>
      <c r="G11" s="879"/>
      <c r="H11" s="141"/>
      <c r="I11" s="156" t="s">
        <v>384</v>
      </c>
      <c r="J11" s="876">
        <v>762</v>
      </c>
      <c r="K11" s="877"/>
      <c r="L11" s="141"/>
      <c r="M11" s="141"/>
      <c r="N11" s="141"/>
      <c r="O11" s="141"/>
      <c r="P11" s="141"/>
      <c r="Q11" s="141"/>
      <c r="R11" s="141"/>
      <c r="S11" s="141"/>
      <c r="T11" s="141"/>
      <c r="U11" s="141"/>
      <c r="V11" s="141"/>
      <c r="W11" s="141"/>
      <c r="X11" s="141"/>
      <c r="Y11" s="146"/>
    </row>
    <row r="12" spans="2:25" ht="13.5" thickBot="1" x14ac:dyDescent="0.25">
      <c r="B12" s="145"/>
      <c r="C12" s="151" t="s">
        <v>386</v>
      </c>
      <c r="D12" s="879" t="s">
        <v>469</v>
      </c>
      <c r="E12" s="879"/>
      <c r="F12" s="879"/>
      <c r="G12" s="879"/>
      <c r="H12" s="141"/>
      <c r="I12" s="156" t="s">
        <v>386</v>
      </c>
      <c r="J12" s="876">
        <v>1829</v>
      </c>
      <c r="K12" s="877"/>
      <c r="L12" s="141"/>
      <c r="M12" s="141"/>
      <c r="N12" s="884">
        <f>(((PI()*(J12/1000/2)^2)*J13/1000)-((PI()*(J11/1000/2)^2)*J13/1000))*7.85</f>
        <v>20.453734607667172</v>
      </c>
      <c r="O12" s="884"/>
      <c r="P12" s="884"/>
      <c r="Q12" s="157" t="s">
        <v>350</v>
      </c>
      <c r="R12" s="141"/>
      <c r="S12" s="141"/>
      <c r="T12" s="141"/>
      <c r="U12" s="141"/>
      <c r="V12" s="141"/>
      <c r="W12" s="141"/>
      <c r="X12" s="141"/>
      <c r="Y12" s="146"/>
    </row>
    <row r="13" spans="2:25" ht="13.5" thickBot="1" x14ac:dyDescent="0.25">
      <c r="B13" s="145"/>
      <c r="C13" s="141"/>
      <c r="D13" s="141"/>
      <c r="E13" s="141"/>
      <c r="F13" s="141"/>
      <c r="G13" s="141"/>
      <c r="H13" s="141"/>
      <c r="I13" s="149" t="s">
        <v>168</v>
      </c>
      <c r="J13" s="876">
        <v>1200</v>
      </c>
      <c r="K13" s="877"/>
      <c r="L13" s="141"/>
      <c r="M13" s="141"/>
      <c r="N13" s="141"/>
      <c r="O13" s="141"/>
      <c r="P13" s="141"/>
      <c r="Q13" s="141"/>
      <c r="R13" s="141"/>
      <c r="S13" s="141"/>
      <c r="T13" s="141"/>
      <c r="U13" s="141"/>
      <c r="V13" s="141"/>
      <c r="W13" s="141"/>
      <c r="X13" s="141"/>
      <c r="Y13" s="146"/>
    </row>
    <row r="14" spans="2:25" x14ac:dyDescent="0.2">
      <c r="B14" s="145"/>
      <c r="C14" s="141"/>
      <c r="D14" s="141"/>
      <c r="E14" s="141"/>
      <c r="F14" s="141"/>
      <c r="G14" s="141"/>
      <c r="H14" s="141"/>
      <c r="I14" s="141"/>
      <c r="J14" s="141"/>
      <c r="K14" s="141"/>
      <c r="L14" s="141"/>
      <c r="M14" s="141"/>
      <c r="N14" s="141"/>
      <c r="O14" s="141"/>
      <c r="P14" s="141"/>
      <c r="Q14" s="141"/>
      <c r="R14" s="141"/>
      <c r="S14" s="141"/>
      <c r="T14" s="141"/>
      <c r="U14" s="141"/>
      <c r="V14" s="141"/>
      <c r="W14" s="141"/>
      <c r="X14" s="141"/>
      <c r="Y14" s="146"/>
    </row>
    <row r="15" spans="2:25" x14ac:dyDescent="0.2">
      <c r="B15" s="145"/>
      <c r="C15" s="878" t="s">
        <v>387</v>
      </c>
      <c r="D15" s="878"/>
      <c r="E15" s="878"/>
      <c r="F15" s="878"/>
      <c r="G15" s="878"/>
      <c r="H15" s="141"/>
      <c r="I15" s="155" t="s">
        <v>388</v>
      </c>
      <c r="J15" s="141"/>
      <c r="K15" s="141"/>
      <c r="L15" s="141"/>
      <c r="M15" s="141"/>
      <c r="N15" s="141"/>
      <c r="O15" s="141"/>
      <c r="P15" s="141"/>
      <c r="Q15" s="141"/>
      <c r="R15" s="141"/>
      <c r="W15" s="141"/>
      <c r="X15" s="141"/>
      <c r="Y15" s="146"/>
    </row>
    <row r="16" spans="2:25" ht="13.5" thickBot="1" x14ac:dyDescent="0.25">
      <c r="B16" s="145"/>
      <c r="C16" s="158"/>
      <c r="D16" s="158"/>
      <c r="E16" s="158"/>
      <c r="F16" s="158"/>
      <c r="G16" s="158"/>
      <c r="H16" s="141"/>
      <c r="I16" s="155"/>
      <c r="J16" s="141"/>
      <c r="K16" s="141"/>
      <c r="L16" s="141"/>
      <c r="M16" s="141"/>
      <c r="N16" s="141"/>
      <c r="O16" s="141"/>
      <c r="P16" s="141"/>
      <c r="Q16" s="141"/>
      <c r="R16" s="141"/>
      <c r="S16" s="141"/>
      <c r="T16" s="141"/>
      <c r="U16" s="141"/>
      <c r="V16" s="141"/>
      <c r="W16" s="141"/>
      <c r="X16" s="141"/>
      <c r="Y16" s="146"/>
    </row>
    <row r="17" spans="2:25" ht="13.5" thickBot="1" x14ac:dyDescent="0.25">
      <c r="B17" s="145"/>
      <c r="C17" s="151" t="s">
        <v>384</v>
      </c>
      <c r="D17" s="879">
        <v>508</v>
      </c>
      <c r="E17" s="879"/>
      <c r="F17" s="879"/>
      <c r="G17" s="879"/>
      <c r="H17" s="141"/>
      <c r="I17" s="141" t="s">
        <v>85</v>
      </c>
      <c r="J17" s="141"/>
      <c r="K17" s="141"/>
      <c r="L17" s="880">
        <v>0.6</v>
      </c>
      <c r="M17" s="881"/>
      <c r="N17" s="157" t="s">
        <v>350</v>
      </c>
      <c r="O17" s="141"/>
      <c r="P17" s="141"/>
      <c r="Q17" s="141"/>
      <c r="R17" s="141"/>
      <c r="S17" s="141"/>
      <c r="T17" s="141"/>
      <c r="U17" s="141"/>
      <c r="V17" s="141"/>
      <c r="W17" s="141"/>
      <c r="X17" s="141"/>
      <c r="Y17" s="146"/>
    </row>
    <row r="18" spans="2:25" ht="13.5" thickBot="1" x14ac:dyDescent="0.25">
      <c r="B18" s="145"/>
      <c r="C18" s="151" t="s">
        <v>386</v>
      </c>
      <c r="D18" s="879" t="s">
        <v>389</v>
      </c>
      <c r="E18" s="879"/>
      <c r="F18" s="879"/>
      <c r="G18" s="879"/>
      <c r="H18" s="141"/>
      <c r="I18" s="141" t="s">
        <v>390</v>
      </c>
      <c r="J18" s="141"/>
      <c r="K18" s="141"/>
      <c r="L18" s="876">
        <v>109</v>
      </c>
      <c r="M18" s="877"/>
      <c r="N18" s="157" t="s">
        <v>9</v>
      </c>
      <c r="O18" s="141"/>
      <c r="Q18" s="875">
        <f>(L17*1000)/((L19/1000)*(L18/1000)*7850)</f>
        <v>233.74043125109569</v>
      </c>
      <c r="R18" s="875"/>
      <c r="S18" s="875"/>
      <c r="T18" s="157" t="s">
        <v>391</v>
      </c>
      <c r="U18" s="141"/>
      <c r="V18" s="141"/>
      <c r="W18" s="141"/>
      <c r="X18" s="141"/>
      <c r="Y18" s="146"/>
    </row>
    <row r="19" spans="2:25" ht="13.5" thickBot="1" x14ac:dyDescent="0.25">
      <c r="B19" s="145"/>
      <c r="C19" s="151"/>
      <c r="D19" s="159"/>
      <c r="E19" s="159"/>
      <c r="F19" s="159"/>
      <c r="G19" s="159"/>
      <c r="H19" s="141"/>
      <c r="I19" s="160" t="s">
        <v>95</v>
      </c>
      <c r="J19" s="141"/>
      <c r="K19" s="141"/>
      <c r="L19" s="876">
        <v>3</v>
      </c>
      <c r="M19" s="877"/>
      <c r="N19" s="157" t="s">
        <v>9</v>
      </c>
      <c r="O19" s="141"/>
      <c r="P19" s="141"/>
      <c r="Q19" s="141"/>
      <c r="R19" s="141"/>
      <c r="S19" s="141"/>
      <c r="T19" s="141"/>
      <c r="U19" s="141"/>
      <c r="V19" s="141"/>
      <c r="W19" s="141"/>
      <c r="X19" s="141"/>
      <c r="Y19" s="146"/>
    </row>
    <row r="20" spans="2:25" ht="13.5" thickBot="1" x14ac:dyDescent="0.25">
      <c r="B20" s="145"/>
      <c r="C20" s="151"/>
      <c r="D20" s="159"/>
      <c r="E20" s="159"/>
      <c r="F20" s="159"/>
      <c r="G20" s="159"/>
      <c r="H20" s="141"/>
      <c r="I20" s="160"/>
      <c r="J20" s="141"/>
      <c r="K20" s="141"/>
      <c r="L20" s="159"/>
      <c r="M20" s="141"/>
      <c r="N20" s="157"/>
      <c r="O20" s="141"/>
      <c r="P20" s="141"/>
      <c r="Q20" s="141"/>
      <c r="R20" s="141"/>
      <c r="S20" s="141"/>
      <c r="T20" s="141"/>
      <c r="U20" s="141"/>
      <c r="V20" s="141"/>
      <c r="W20" s="141"/>
      <c r="X20" s="141"/>
      <c r="Y20" s="146"/>
    </row>
    <row r="21" spans="2:25" ht="13.5" thickBot="1" x14ac:dyDescent="0.25">
      <c r="B21" s="145"/>
      <c r="C21" s="151"/>
      <c r="D21" s="159"/>
      <c r="E21" s="159"/>
      <c r="F21" s="159"/>
      <c r="G21" s="159"/>
      <c r="H21" s="141"/>
      <c r="I21" s="141" t="s">
        <v>85</v>
      </c>
      <c r="J21" s="141"/>
      <c r="K21" s="141"/>
      <c r="L21" s="880">
        <v>0.6</v>
      </c>
      <c r="M21" s="881"/>
      <c r="N21" s="157" t="s">
        <v>350</v>
      </c>
      <c r="O21" s="141"/>
      <c r="P21" s="141"/>
      <c r="U21" s="141"/>
      <c r="V21" s="141"/>
      <c r="W21" s="141"/>
      <c r="X21" s="141"/>
      <c r="Y21" s="146"/>
    </row>
    <row r="22" spans="2:25" ht="13.5" thickBot="1" x14ac:dyDescent="0.25">
      <c r="B22" s="145"/>
      <c r="C22" s="151"/>
      <c r="D22" s="159"/>
      <c r="E22" s="159"/>
      <c r="F22" s="159"/>
      <c r="G22" s="159"/>
      <c r="H22" s="141"/>
      <c r="O22" s="141"/>
      <c r="P22" s="141"/>
      <c r="Q22" s="875">
        <f>L21*1000/L23</f>
        <v>233.73587845734318</v>
      </c>
      <c r="R22" s="875"/>
      <c r="S22" s="875"/>
      <c r="T22" s="157" t="s">
        <v>391</v>
      </c>
      <c r="U22" s="141"/>
      <c r="V22" s="141"/>
      <c r="W22" s="141"/>
      <c r="X22" s="141"/>
      <c r="Y22" s="146"/>
    </row>
    <row r="23" spans="2:25" ht="13.5" thickBot="1" x14ac:dyDescent="0.25">
      <c r="B23" s="145"/>
      <c r="C23" s="151"/>
      <c r="D23" s="159"/>
      <c r="E23" s="159"/>
      <c r="F23" s="159"/>
      <c r="G23" s="159"/>
      <c r="H23" s="141"/>
      <c r="I23" s="153" t="s">
        <v>392</v>
      </c>
      <c r="J23" s="141"/>
      <c r="K23" s="141"/>
      <c r="L23" s="882">
        <v>2.5670000000000002</v>
      </c>
      <c r="M23" s="883"/>
      <c r="N23" s="157" t="s">
        <v>393</v>
      </c>
      <c r="O23" s="141"/>
      <c r="P23" s="141"/>
      <c r="Q23" s="141"/>
      <c r="R23" s="141"/>
      <c r="S23" s="141"/>
      <c r="T23" s="141"/>
      <c r="U23" s="141"/>
      <c r="V23" s="141"/>
      <c r="W23" s="141"/>
      <c r="X23" s="141"/>
      <c r="Y23" s="146"/>
    </row>
    <row r="24" spans="2:25" x14ac:dyDescent="0.2">
      <c r="B24" s="145"/>
      <c r="C24" s="151"/>
      <c r="D24" s="159"/>
      <c r="E24" s="159"/>
      <c r="F24" s="159"/>
      <c r="G24" s="159"/>
      <c r="H24" s="141"/>
      <c r="I24" s="160"/>
      <c r="J24" s="141"/>
      <c r="K24" s="141"/>
      <c r="L24" s="159"/>
      <c r="M24" s="141"/>
      <c r="N24" s="157"/>
      <c r="O24" s="141"/>
      <c r="P24" s="141"/>
      <c r="Q24" s="141"/>
      <c r="R24" s="141"/>
      <c r="S24" s="141"/>
      <c r="T24" s="141"/>
      <c r="U24" s="141"/>
      <c r="V24" s="141"/>
      <c r="W24" s="141"/>
      <c r="X24" s="141"/>
      <c r="Y24" s="146"/>
    </row>
    <row r="25" spans="2:25" ht="13.5" thickBot="1" x14ac:dyDescent="0.25">
      <c r="B25" s="147"/>
      <c r="C25" s="148"/>
      <c r="D25" s="148"/>
      <c r="E25" s="148"/>
      <c r="F25" s="148"/>
      <c r="G25" s="148"/>
      <c r="H25" s="148"/>
      <c r="I25" s="148"/>
      <c r="J25" s="148"/>
      <c r="K25" s="148"/>
      <c r="L25" s="148"/>
      <c r="M25" s="148"/>
      <c r="N25" s="148"/>
      <c r="O25" s="148"/>
      <c r="P25" s="148"/>
      <c r="Q25" s="148"/>
      <c r="R25" s="148"/>
      <c r="S25" s="148"/>
      <c r="T25" s="148"/>
      <c r="U25" s="148"/>
      <c r="V25" s="148"/>
      <c r="W25" s="148"/>
      <c r="X25" s="148"/>
      <c r="Y25" s="150"/>
    </row>
  </sheetData>
  <mergeCells count="19">
    <mergeCell ref="C3:K7"/>
    <mergeCell ref="L19:M19"/>
    <mergeCell ref="L21:M21"/>
    <mergeCell ref="L3:X7"/>
    <mergeCell ref="C9:G9"/>
    <mergeCell ref="D11:G11"/>
    <mergeCell ref="J11:K11"/>
    <mergeCell ref="L23:M23"/>
    <mergeCell ref="D18:G18"/>
    <mergeCell ref="L18:M18"/>
    <mergeCell ref="J12:K12"/>
    <mergeCell ref="N12:P12"/>
    <mergeCell ref="D12:G12"/>
    <mergeCell ref="Q22:S22"/>
    <mergeCell ref="J13:K13"/>
    <mergeCell ref="C15:G15"/>
    <mergeCell ref="D17:G17"/>
    <mergeCell ref="L17:M17"/>
    <mergeCell ref="Q18:S18"/>
  </mergeCells>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3">
    <tabColor theme="0" tint="-0.34998626667073579"/>
    <pageSetUpPr fitToPage="1"/>
  </sheetPr>
  <dimension ref="B1:AV33"/>
  <sheetViews>
    <sheetView showGridLines="0" showRowColHeaders="0" view="pageBreakPreview" zoomScale="115" zoomScaleNormal="100" zoomScaleSheetLayoutView="85" workbookViewId="0"/>
  </sheetViews>
  <sheetFormatPr defaultColWidth="3.28515625" defaultRowHeight="12.75" x14ac:dyDescent="0.2"/>
  <cols>
    <col min="1" max="1" width="2.5703125" style="140" customWidth="1"/>
    <col min="2" max="5" width="3.28515625" style="140" customWidth="1"/>
    <col min="6" max="6" width="2.7109375" style="140" customWidth="1"/>
    <col min="7" max="10" width="3.28515625" style="140" customWidth="1"/>
    <col min="11" max="11" width="3.42578125" style="140" customWidth="1"/>
    <col min="12" max="12" width="3.28515625" style="140" customWidth="1"/>
    <col min="13" max="13" width="3.42578125" style="140" customWidth="1"/>
    <col min="14" max="22" width="3.28515625" style="140" customWidth="1"/>
    <col min="23" max="23" width="3.5703125" style="140" customWidth="1"/>
    <col min="24" max="16384" width="3.28515625" style="140"/>
  </cols>
  <sheetData>
    <row r="1" spans="2:48" ht="13.5" thickBot="1" x14ac:dyDescent="0.25"/>
    <row r="2" spans="2:48" ht="13.5" thickBot="1" x14ac:dyDescent="0.25">
      <c r="B2" s="142"/>
      <c r="C2" s="143"/>
      <c r="D2" s="143"/>
      <c r="E2" s="143"/>
      <c r="F2" s="143"/>
      <c r="G2" s="143"/>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M2" s="143"/>
      <c r="AN2" s="143"/>
      <c r="AO2" s="143"/>
      <c r="AP2" s="143"/>
      <c r="AQ2" s="143"/>
      <c r="AR2" s="143"/>
      <c r="AS2" s="143"/>
      <c r="AT2" s="143"/>
      <c r="AU2" s="143"/>
      <c r="AV2" s="144"/>
    </row>
    <row r="3" spans="2:48" ht="12.75" customHeight="1" x14ac:dyDescent="0.2">
      <c r="B3" s="145"/>
      <c r="C3" s="885"/>
      <c r="D3" s="886"/>
      <c r="E3" s="886"/>
      <c r="F3" s="886"/>
      <c r="G3" s="886"/>
      <c r="H3" s="886"/>
      <c r="I3" s="886"/>
      <c r="J3" s="886"/>
      <c r="K3" s="887"/>
      <c r="L3" s="905" t="s">
        <v>395</v>
      </c>
      <c r="M3" s="906"/>
      <c r="N3" s="906"/>
      <c r="O3" s="906"/>
      <c r="P3" s="906"/>
      <c r="Q3" s="906"/>
      <c r="R3" s="906"/>
      <c r="S3" s="906"/>
      <c r="T3" s="906"/>
      <c r="U3" s="906"/>
      <c r="V3" s="906"/>
      <c r="W3" s="906"/>
      <c r="X3" s="906"/>
      <c r="Y3" s="906"/>
      <c r="Z3" s="906"/>
      <c r="AA3" s="906"/>
      <c r="AB3" s="906"/>
      <c r="AC3" s="906"/>
      <c r="AD3" s="906"/>
      <c r="AE3" s="906"/>
      <c r="AF3" s="906"/>
      <c r="AG3" s="906"/>
      <c r="AH3" s="906"/>
      <c r="AI3" s="906"/>
      <c r="AJ3" s="906"/>
      <c r="AK3" s="906"/>
      <c r="AL3" s="906"/>
      <c r="AM3" s="906"/>
      <c r="AN3" s="906"/>
      <c r="AO3" s="906"/>
      <c r="AP3" s="906"/>
      <c r="AQ3" s="906"/>
      <c r="AR3" s="906"/>
      <c r="AS3" s="906"/>
      <c r="AT3" s="906"/>
      <c r="AU3" s="907"/>
      <c r="AV3" s="146"/>
    </row>
    <row r="4" spans="2:48" ht="12.75" customHeight="1" x14ac:dyDescent="0.2">
      <c r="B4" s="145"/>
      <c r="C4" s="888"/>
      <c r="D4" s="889"/>
      <c r="E4" s="889"/>
      <c r="F4" s="889"/>
      <c r="G4" s="889"/>
      <c r="H4" s="889"/>
      <c r="I4" s="889"/>
      <c r="J4" s="889"/>
      <c r="K4" s="890"/>
      <c r="L4" s="908"/>
      <c r="M4" s="909"/>
      <c r="N4" s="909"/>
      <c r="O4" s="909"/>
      <c r="P4" s="909"/>
      <c r="Q4" s="909"/>
      <c r="R4" s="909"/>
      <c r="S4" s="909"/>
      <c r="T4" s="909"/>
      <c r="U4" s="909"/>
      <c r="V4" s="909"/>
      <c r="W4" s="909"/>
      <c r="X4" s="909"/>
      <c r="Y4" s="909"/>
      <c r="Z4" s="909"/>
      <c r="AA4" s="909"/>
      <c r="AB4" s="909"/>
      <c r="AC4" s="909"/>
      <c r="AD4" s="909"/>
      <c r="AE4" s="909"/>
      <c r="AF4" s="909"/>
      <c r="AG4" s="909"/>
      <c r="AH4" s="909"/>
      <c r="AI4" s="909"/>
      <c r="AJ4" s="909"/>
      <c r="AK4" s="909"/>
      <c r="AL4" s="909"/>
      <c r="AM4" s="909"/>
      <c r="AN4" s="909"/>
      <c r="AO4" s="909"/>
      <c r="AP4" s="909"/>
      <c r="AQ4" s="909"/>
      <c r="AR4" s="909"/>
      <c r="AS4" s="909"/>
      <c r="AT4" s="909"/>
      <c r="AU4" s="910"/>
      <c r="AV4" s="146"/>
    </row>
    <row r="5" spans="2:48" ht="12.75" customHeight="1" x14ac:dyDescent="0.2">
      <c r="B5" s="145"/>
      <c r="C5" s="888"/>
      <c r="D5" s="889"/>
      <c r="E5" s="889"/>
      <c r="F5" s="889"/>
      <c r="G5" s="889"/>
      <c r="H5" s="889"/>
      <c r="I5" s="889"/>
      <c r="J5" s="889"/>
      <c r="K5" s="890"/>
      <c r="L5" s="908"/>
      <c r="M5" s="909"/>
      <c r="N5" s="909"/>
      <c r="O5" s="909"/>
      <c r="P5" s="909"/>
      <c r="Q5" s="909"/>
      <c r="R5" s="909"/>
      <c r="S5" s="909"/>
      <c r="T5" s="909"/>
      <c r="U5" s="909"/>
      <c r="V5" s="909"/>
      <c r="W5" s="909"/>
      <c r="X5" s="909"/>
      <c r="Y5" s="909"/>
      <c r="Z5" s="909"/>
      <c r="AA5" s="909"/>
      <c r="AB5" s="909"/>
      <c r="AC5" s="909"/>
      <c r="AD5" s="909"/>
      <c r="AE5" s="909"/>
      <c r="AF5" s="909"/>
      <c r="AG5" s="909"/>
      <c r="AH5" s="909"/>
      <c r="AI5" s="909"/>
      <c r="AJ5" s="909"/>
      <c r="AK5" s="909"/>
      <c r="AL5" s="909"/>
      <c r="AM5" s="909"/>
      <c r="AN5" s="909"/>
      <c r="AO5" s="909"/>
      <c r="AP5" s="909"/>
      <c r="AQ5" s="909"/>
      <c r="AR5" s="909"/>
      <c r="AS5" s="909"/>
      <c r="AT5" s="909"/>
      <c r="AU5" s="910"/>
      <c r="AV5" s="146"/>
    </row>
    <row r="6" spans="2:48" ht="12.75" customHeight="1" x14ac:dyDescent="0.2">
      <c r="B6" s="145"/>
      <c r="C6" s="888"/>
      <c r="D6" s="889"/>
      <c r="E6" s="889"/>
      <c r="F6" s="889"/>
      <c r="G6" s="889"/>
      <c r="H6" s="889"/>
      <c r="I6" s="889"/>
      <c r="J6" s="889"/>
      <c r="K6" s="890"/>
      <c r="L6" s="908"/>
      <c r="M6" s="909"/>
      <c r="N6" s="909"/>
      <c r="O6" s="909"/>
      <c r="P6" s="909"/>
      <c r="Q6" s="909"/>
      <c r="R6" s="909"/>
      <c r="S6" s="909"/>
      <c r="T6" s="909"/>
      <c r="U6" s="909"/>
      <c r="V6" s="909"/>
      <c r="W6" s="909"/>
      <c r="X6" s="909"/>
      <c r="Y6" s="909"/>
      <c r="Z6" s="909"/>
      <c r="AA6" s="909"/>
      <c r="AB6" s="909"/>
      <c r="AC6" s="909"/>
      <c r="AD6" s="909"/>
      <c r="AE6" s="909"/>
      <c r="AF6" s="909"/>
      <c r="AG6" s="909"/>
      <c r="AH6" s="909"/>
      <c r="AI6" s="909"/>
      <c r="AJ6" s="909"/>
      <c r="AK6" s="909"/>
      <c r="AL6" s="909"/>
      <c r="AM6" s="909"/>
      <c r="AN6" s="909"/>
      <c r="AO6" s="909"/>
      <c r="AP6" s="909"/>
      <c r="AQ6" s="909"/>
      <c r="AR6" s="909"/>
      <c r="AS6" s="909"/>
      <c r="AT6" s="909"/>
      <c r="AU6" s="910"/>
      <c r="AV6" s="146"/>
    </row>
    <row r="7" spans="2:48" ht="13.5" customHeight="1" thickBot="1" x14ac:dyDescent="0.25">
      <c r="B7" s="145"/>
      <c r="C7" s="891"/>
      <c r="D7" s="892"/>
      <c r="E7" s="892"/>
      <c r="F7" s="892"/>
      <c r="G7" s="892"/>
      <c r="H7" s="892"/>
      <c r="I7" s="892"/>
      <c r="J7" s="892"/>
      <c r="K7" s="893"/>
      <c r="L7" s="911"/>
      <c r="M7" s="912"/>
      <c r="N7" s="912"/>
      <c r="O7" s="912"/>
      <c r="P7" s="912"/>
      <c r="Q7" s="912"/>
      <c r="R7" s="912"/>
      <c r="S7" s="912"/>
      <c r="T7" s="912"/>
      <c r="U7" s="912"/>
      <c r="V7" s="912"/>
      <c r="W7" s="912"/>
      <c r="X7" s="912"/>
      <c r="Y7" s="912"/>
      <c r="Z7" s="912"/>
      <c r="AA7" s="912"/>
      <c r="AB7" s="912"/>
      <c r="AC7" s="912"/>
      <c r="AD7" s="912"/>
      <c r="AE7" s="912"/>
      <c r="AF7" s="912"/>
      <c r="AG7" s="912"/>
      <c r="AH7" s="912"/>
      <c r="AI7" s="912"/>
      <c r="AJ7" s="912"/>
      <c r="AK7" s="912"/>
      <c r="AL7" s="912"/>
      <c r="AM7" s="912"/>
      <c r="AN7" s="912"/>
      <c r="AO7" s="912"/>
      <c r="AP7" s="912"/>
      <c r="AQ7" s="912"/>
      <c r="AR7" s="912"/>
      <c r="AS7" s="912"/>
      <c r="AT7" s="912"/>
      <c r="AU7" s="913"/>
      <c r="AV7" s="146"/>
    </row>
    <row r="8" spans="2:48" x14ac:dyDescent="0.2">
      <c r="B8" s="145"/>
      <c r="C8" s="141"/>
      <c r="D8" s="141"/>
      <c r="E8" s="141"/>
      <c r="F8" s="141"/>
      <c r="G8" s="141"/>
      <c r="H8" s="141"/>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c r="AL8" s="141"/>
      <c r="AM8" s="141"/>
      <c r="AN8" s="141"/>
      <c r="AO8" s="141"/>
      <c r="AP8" s="141"/>
      <c r="AQ8" s="141"/>
      <c r="AR8" s="141"/>
      <c r="AS8" s="141"/>
      <c r="AT8" s="141"/>
      <c r="AU8" s="141"/>
      <c r="AV8" s="146"/>
    </row>
    <row r="9" spans="2:48" x14ac:dyDescent="0.2">
      <c r="B9" s="145"/>
      <c r="C9" s="878" t="s">
        <v>395</v>
      </c>
      <c r="D9" s="878"/>
      <c r="E9" s="878"/>
      <c r="F9" s="878"/>
      <c r="G9" s="878"/>
      <c r="H9" s="878"/>
      <c r="I9" s="878"/>
      <c r="J9" s="878"/>
      <c r="K9" s="884">
        <f>D11+(D12/6)+(D13/15)+(D14/5)+(D15/13)+(D16/4)</f>
        <v>0.16255512820512821</v>
      </c>
      <c r="L9" s="884"/>
      <c r="M9" s="161" t="s">
        <v>292</v>
      </c>
      <c r="N9" s="141"/>
      <c r="O9" s="141"/>
      <c r="P9" s="141"/>
      <c r="Q9" s="141"/>
      <c r="R9" s="141"/>
      <c r="S9" s="141"/>
      <c r="T9" s="141"/>
      <c r="U9" s="141"/>
      <c r="V9" s="141"/>
      <c r="W9" s="141"/>
      <c r="X9" s="141"/>
      <c r="Y9" s="162"/>
      <c r="Z9" s="878" t="s">
        <v>395</v>
      </c>
      <c r="AA9" s="878"/>
      <c r="AB9" s="878"/>
      <c r="AC9" s="878"/>
      <c r="AD9" s="878"/>
      <c r="AE9" s="878"/>
      <c r="AF9" s="878"/>
      <c r="AG9" s="878"/>
      <c r="AH9" s="884">
        <f>AA11+AA12/6+(AA13+AA14+AA15)/5+(AA16+AA17)/15</f>
        <v>0.16283333333333333</v>
      </c>
      <c r="AI9" s="884"/>
      <c r="AJ9" s="161" t="s">
        <v>292</v>
      </c>
      <c r="AK9" s="141"/>
      <c r="AL9" s="141"/>
      <c r="AM9" s="141"/>
      <c r="AN9" s="141"/>
      <c r="AO9" s="141"/>
      <c r="AP9" s="141"/>
      <c r="AQ9" s="141"/>
      <c r="AR9" s="141"/>
      <c r="AS9" s="141"/>
      <c r="AT9" s="141"/>
      <c r="AU9" s="141"/>
      <c r="AV9" s="146"/>
    </row>
    <row r="10" spans="2:48" ht="13.5" thickBot="1" x14ac:dyDescent="0.25">
      <c r="B10" s="145"/>
      <c r="C10" s="141"/>
      <c r="D10" s="141"/>
      <c r="E10" s="141"/>
      <c r="F10" s="141"/>
      <c r="G10" s="141"/>
      <c r="H10" s="141"/>
      <c r="I10" s="141"/>
      <c r="J10" s="141"/>
      <c r="K10" s="141"/>
      <c r="L10" s="141"/>
      <c r="M10" s="141"/>
      <c r="N10" s="141"/>
      <c r="O10" s="141"/>
      <c r="P10" s="141"/>
      <c r="Q10" s="141"/>
      <c r="R10" s="141"/>
      <c r="S10" s="141"/>
      <c r="T10" s="141"/>
      <c r="U10" s="141"/>
      <c r="V10" s="141"/>
      <c r="W10" s="141"/>
      <c r="X10" s="141"/>
      <c r="Y10" s="162"/>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6"/>
    </row>
    <row r="11" spans="2:48" ht="14.25" thickTop="1" thickBot="1" x14ac:dyDescent="0.25">
      <c r="B11" s="145"/>
      <c r="C11" s="157" t="s">
        <v>396</v>
      </c>
      <c r="D11" s="903">
        <v>0.08</v>
      </c>
      <c r="E11" s="904"/>
      <c r="F11" s="163" t="s">
        <v>292</v>
      </c>
      <c r="G11" s="141"/>
      <c r="H11" s="141"/>
      <c r="I11" s="141"/>
      <c r="J11" s="141"/>
      <c r="K11" s="141"/>
      <c r="L11" s="141"/>
      <c r="M11" s="141"/>
      <c r="N11" s="141"/>
      <c r="O11" s="141"/>
      <c r="P11" s="141"/>
      <c r="Q11" s="141"/>
      <c r="R11" s="141"/>
      <c r="S11" s="141"/>
      <c r="T11" s="141"/>
      <c r="U11" s="141"/>
      <c r="V11" s="141"/>
      <c r="W11" s="141"/>
      <c r="X11" s="141"/>
      <c r="Y11" s="162"/>
      <c r="Z11" s="157" t="s">
        <v>396</v>
      </c>
      <c r="AA11" s="903">
        <v>0.08</v>
      </c>
      <c r="AB11" s="904"/>
      <c r="AC11" s="163" t="s">
        <v>292</v>
      </c>
      <c r="AD11" s="141"/>
      <c r="AE11" s="141"/>
      <c r="AF11" s="141"/>
      <c r="AG11" s="141"/>
      <c r="AH11" s="141"/>
      <c r="AI11" s="141"/>
      <c r="AJ11" s="141"/>
      <c r="AK11" s="141"/>
      <c r="AL11" s="141"/>
      <c r="AM11" s="141"/>
      <c r="AN11" s="141"/>
      <c r="AO11" s="141"/>
      <c r="AP11" s="141"/>
      <c r="AQ11" s="141"/>
      <c r="AR11" s="141"/>
      <c r="AS11" s="141"/>
      <c r="AT11" s="141"/>
      <c r="AU11" s="141"/>
      <c r="AV11" s="146"/>
    </row>
    <row r="12" spans="2:48" ht="14.25" thickTop="1" thickBot="1" x14ac:dyDescent="0.25">
      <c r="B12" s="145"/>
      <c r="C12" s="157" t="s">
        <v>397</v>
      </c>
      <c r="D12" s="903">
        <v>0.47099999999999997</v>
      </c>
      <c r="E12" s="904"/>
      <c r="F12" s="163" t="s">
        <v>292</v>
      </c>
      <c r="G12" s="141"/>
      <c r="H12" s="141"/>
      <c r="I12" s="141"/>
      <c r="J12" s="141"/>
      <c r="K12" s="141"/>
      <c r="L12" s="141"/>
      <c r="M12" s="141"/>
      <c r="N12" s="141"/>
      <c r="O12" s="141"/>
      <c r="P12" s="141"/>
      <c r="Q12" s="141"/>
      <c r="R12" s="141"/>
      <c r="S12" s="141"/>
      <c r="T12" s="141"/>
      <c r="U12" s="141"/>
      <c r="V12" s="141"/>
      <c r="W12" s="141"/>
      <c r="X12" s="141"/>
      <c r="Y12" s="162"/>
      <c r="Z12" s="157" t="s">
        <v>397</v>
      </c>
      <c r="AA12" s="903">
        <v>0.47099999999999997</v>
      </c>
      <c r="AB12" s="904"/>
      <c r="AC12" s="163" t="s">
        <v>292</v>
      </c>
      <c r="AD12" s="141"/>
      <c r="AE12" s="141"/>
      <c r="AF12" s="141"/>
      <c r="AG12" s="141"/>
      <c r="AH12" s="141"/>
      <c r="AI12" s="141"/>
      <c r="AJ12" s="141"/>
      <c r="AK12" s="141"/>
      <c r="AL12" s="141"/>
      <c r="AM12" s="141"/>
      <c r="AN12" s="141"/>
      <c r="AO12" s="141"/>
      <c r="AP12" s="141"/>
      <c r="AQ12" s="141"/>
      <c r="AR12" s="141"/>
      <c r="AS12" s="141"/>
      <c r="AT12" s="141"/>
      <c r="AU12" s="141"/>
      <c r="AV12" s="146"/>
    </row>
    <row r="13" spans="2:48" ht="14.25" thickTop="1" thickBot="1" x14ac:dyDescent="0.25">
      <c r="B13" s="145"/>
      <c r="C13" s="157" t="s">
        <v>398</v>
      </c>
      <c r="D13" s="903">
        <v>4.0000000000000001E-3</v>
      </c>
      <c r="E13" s="904"/>
      <c r="F13" s="163" t="s">
        <v>292</v>
      </c>
      <c r="G13" s="141"/>
      <c r="H13" s="141"/>
      <c r="I13" s="141"/>
      <c r="J13" s="141"/>
      <c r="K13" s="141"/>
      <c r="L13" s="141"/>
      <c r="M13" s="141"/>
      <c r="N13" s="141"/>
      <c r="O13" s="141"/>
      <c r="P13" s="141"/>
      <c r="Q13" s="141"/>
      <c r="R13" s="141"/>
      <c r="S13" s="141"/>
      <c r="T13" s="141"/>
      <c r="U13" s="141"/>
      <c r="V13" s="141"/>
      <c r="W13" s="141"/>
      <c r="X13" s="141"/>
      <c r="Y13" s="162"/>
      <c r="Z13" s="157" t="s">
        <v>399</v>
      </c>
      <c r="AA13" s="903">
        <v>1.4999999999999999E-2</v>
      </c>
      <c r="AB13" s="904"/>
      <c r="AC13" s="163" t="s">
        <v>292</v>
      </c>
      <c r="AD13" s="141"/>
      <c r="AE13" s="141"/>
      <c r="AF13" s="141"/>
      <c r="AG13" s="141"/>
      <c r="AH13" s="141"/>
      <c r="AI13" s="141"/>
      <c r="AJ13" s="141"/>
      <c r="AK13" s="141"/>
      <c r="AL13" s="141"/>
      <c r="AM13" s="141"/>
      <c r="AN13" s="141"/>
      <c r="AO13" s="141"/>
      <c r="AP13" s="141"/>
      <c r="AQ13" s="141"/>
      <c r="AR13" s="141"/>
      <c r="AS13" s="141"/>
      <c r="AT13" s="141"/>
      <c r="AU13" s="141"/>
      <c r="AV13" s="146"/>
    </row>
    <row r="14" spans="2:48" ht="14.25" thickTop="1" thickBot="1" x14ac:dyDescent="0.25">
      <c r="B14" s="145"/>
      <c r="C14" s="164" t="s">
        <v>399</v>
      </c>
      <c r="D14" s="903">
        <v>1.4999999999999999E-2</v>
      </c>
      <c r="E14" s="904"/>
      <c r="F14" s="163" t="s">
        <v>292</v>
      </c>
      <c r="G14" s="141"/>
      <c r="H14" s="141"/>
      <c r="I14" s="141"/>
      <c r="J14" s="141"/>
      <c r="K14" s="141"/>
      <c r="L14" s="141"/>
      <c r="M14" s="141"/>
      <c r="N14" s="141"/>
      <c r="O14" s="141"/>
      <c r="P14" s="141"/>
      <c r="Q14" s="141"/>
      <c r="R14" s="141"/>
      <c r="S14" s="141"/>
      <c r="T14" s="141"/>
      <c r="U14" s="141"/>
      <c r="V14" s="141"/>
      <c r="W14" s="141"/>
      <c r="X14" s="141"/>
      <c r="Y14" s="162"/>
      <c r="Z14" s="164" t="s">
        <v>400</v>
      </c>
      <c r="AA14" s="903">
        <v>1E-3</v>
      </c>
      <c r="AB14" s="904"/>
      <c r="AC14" s="163" t="s">
        <v>292</v>
      </c>
      <c r="AD14" s="141"/>
      <c r="AE14" s="141"/>
      <c r="AF14" s="141"/>
      <c r="AG14" s="141"/>
      <c r="AH14" s="141"/>
      <c r="AI14" s="141"/>
      <c r="AJ14" s="141"/>
      <c r="AK14" s="141"/>
      <c r="AL14" s="141"/>
      <c r="AM14" s="141"/>
      <c r="AN14" s="141"/>
      <c r="AO14" s="141"/>
      <c r="AP14" s="141"/>
      <c r="AQ14" s="141"/>
      <c r="AR14" s="141"/>
      <c r="AS14" s="141"/>
      <c r="AT14" s="141"/>
      <c r="AU14" s="141"/>
      <c r="AV14" s="146"/>
    </row>
    <row r="15" spans="2:48" ht="14.25" thickTop="1" thickBot="1" x14ac:dyDescent="0.25">
      <c r="B15" s="145"/>
      <c r="C15" s="164" t="s">
        <v>401</v>
      </c>
      <c r="D15" s="903">
        <v>7.0000000000000001E-3</v>
      </c>
      <c r="E15" s="904"/>
      <c r="F15" s="163" t="s">
        <v>292</v>
      </c>
      <c r="G15" s="141"/>
      <c r="H15" s="141"/>
      <c r="I15" s="141"/>
      <c r="J15" s="141"/>
      <c r="K15" s="141"/>
      <c r="L15" s="141"/>
      <c r="M15" s="141"/>
      <c r="N15" s="141"/>
      <c r="O15" s="141"/>
      <c r="P15" s="141"/>
      <c r="Q15" s="141"/>
      <c r="R15" s="141"/>
      <c r="S15" s="141"/>
      <c r="T15" s="141"/>
      <c r="U15" s="141"/>
      <c r="V15" s="141"/>
      <c r="W15" s="141"/>
      <c r="X15" s="141"/>
      <c r="Y15" s="162"/>
      <c r="Z15" s="164" t="s">
        <v>402</v>
      </c>
      <c r="AA15" s="903">
        <v>2E-3</v>
      </c>
      <c r="AB15" s="904"/>
      <c r="AC15" s="163" t="s">
        <v>292</v>
      </c>
      <c r="AD15" s="141"/>
      <c r="AE15" s="141"/>
      <c r="AF15" s="141"/>
      <c r="AG15" s="141"/>
      <c r="AH15" s="141"/>
      <c r="AI15" s="141"/>
      <c r="AJ15" s="141"/>
      <c r="AK15" s="141"/>
      <c r="AL15" s="141"/>
      <c r="AM15" s="141"/>
      <c r="AN15" s="141"/>
      <c r="AO15" s="141"/>
      <c r="AP15" s="141"/>
      <c r="AQ15" s="141"/>
      <c r="AR15" s="141"/>
      <c r="AS15" s="141"/>
      <c r="AT15" s="141"/>
      <c r="AU15" s="141"/>
      <c r="AV15" s="146"/>
    </row>
    <row r="16" spans="2:48" ht="14.25" thickTop="1" thickBot="1" x14ac:dyDescent="0.25">
      <c r="B16" s="145"/>
      <c r="C16" s="164" t="s">
        <v>400</v>
      </c>
      <c r="D16" s="903">
        <v>1E-3</v>
      </c>
      <c r="E16" s="904"/>
      <c r="F16" s="163" t="s">
        <v>292</v>
      </c>
      <c r="G16" s="141"/>
      <c r="H16" s="141"/>
      <c r="I16" s="141"/>
      <c r="J16" s="141"/>
      <c r="K16" s="141"/>
      <c r="L16" s="141"/>
      <c r="M16" s="141"/>
      <c r="N16" s="141"/>
      <c r="O16" s="141"/>
      <c r="P16" s="141"/>
      <c r="Q16" s="141"/>
      <c r="R16" s="141"/>
      <c r="S16" s="141"/>
      <c r="T16" s="141"/>
      <c r="U16" s="141"/>
      <c r="V16" s="141"/>
      <c r="W16" s="141"/>
      <c r="X16" s="141"/>
      <c r="Y16" s="162"/>
      <c r="Z16" s="164" t="s">
        <v>398</v>
      </c>
      <c r="AA16" s="903">
        <v>4.0000000000000001E-3</v>
      </c>
      <c r="AB16" s="904"/>
      <c r="AC16" s="163" t="s">
        <v>292</v>
      </c>
      <c r="AD16" s="141"/>
      <c r="AE16" s="141"/>
      <c r="AF16" s="141"/>
      <c r="AG16" s="141"/>
      <c r="AH16" s="141"/>
      <c r="AI16" s="141"/>
      <c r="AJ16" s="141"/>
      <c r="AK16" s="141"/>
      <c r="AL16" s="141"/>
      <c r="AM16" s="141"/>
      <c r="AN16" s="141"/>
      <c r="AO16" s="141"/>
      <c r="AP16" s="141"/>
      <c r="AQ16" s="141"/>
      <c r="AR16" s="141"/>
      <c r="AS16" s="141"/>
      <c r="AT16" s="141"/>
      <c r="AU16" s="141"/>
      <c r="AV16" s="146"/>
    </row>
    <row r="17" spans="2:48" ht="14.25" thickTop="1" thickBot="1" x14ac:dyDescent="0.25">
      <c r="B17" s="145"/>
      <c r="C17" s="152"/>
      <c r="D17" s="141"/>
      <c r="E17" s="141"/>
      <c r="F17" s="141"/>
      <c r="G17" s="141"/>
      <c r="H17" s="141"/>
      <c r="I17" s="141"/>
      <c r="J17" s="141"/>
      <c r="K17" s="141"/>
      <c r="L17" s="141"/>
      <c r="M17" s="141"/>
      <c r="N17" s="141"/>
      <c r="O17" s="141"/>
      <c r="P17" s="141"/>
      <c r="Q17" s="141"/>
      <c r="R17" s="141"/>
      <c r="S17" s="141"/>
      <c r="T17" s="141"/>
      <c r="U17" s="141"/>
      <c r="V17" s="141"/>
      <c r="W17" s="141"/>
      <c r="X17" s="141"/>
      <c r="Y17" s="162"/>
      <c r="Z17" s="164" t="s">
        <v>401</v>
      </c>
      <c r="AA17" s="903">
        <v>7.0000000000000001E-3</v>
      </c>
      <c r="AB17" s="904"/>
      <c r="AC17" s="163" t="s">
        <v>292</v>
      </c>
      <c r="AD17" s="141"/>
      <c r="AE17" s="141"/>
      <c r="AF17" s="141"/>
      <c r="AG17" s="141"/>
      <c r="AH17" s="141"/>
      <c r="AI17" s="141"/>
      <c r="AJ17" s="141"/>
      <c r="AK17" s="141"/>
      <c r="AL17" s="141"/>
      <c r="AM17" s="141"/>
      <c r="AN17" s="141"/>
      <c r="AO17" s="141"/>
      <c r="AP17" s="141"/>
      <c r="AQ17" s="141"/>
      <c r="AR17" s="141"/>
      <c r="AS17" s="141"/>
      <c r="AT17" s="141"/>
      <c r="AU17" s="141"/>
      <c r="AV17" s="146"/>
    </row>
    <row r="18" spans="2:48" ht="13.5" thickTop="1" x14ac:dyDescent="0.2">
      <c r="B18" s="145"/>
      <c r="C18" s="141"/>
      <c r="D18" s="141"/>
      <c r="E18" s="141"/>
      <c r="F18" s="141"/>
      <c r="G18" s="141"/>
      <c r="H18" s="141"/>
      <c r="I18" s="141"/>
      <c r="J18" s="141"/>
      <c r="K18" s="141"/>
      <c r="L18" s="141"/>
      <c r="M18" s="141"/>
      <c r="N18" s="141"/>
      <c r="O18" s="141"/>
      <c r="P18" s="141"/>
      <c r="Q18" s="141"/>
      <c r="R18" s="141"/>
      <c r="S18" s="141"/>
      <c r="T18" s="141"/>
      <c r="U18" s="141"/>
      <c r="V18" s="141"/>
      <c r="W18" s="141"/>
      <c r="X18" s="141"/>
      <c r="Y18" s="162"/>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6"/>
    </row>
    <row r="19" spans="2:48" x14ac:dyDescent="0.2">
      <c r="B19" s="145"/>
      <c r="C19" s="141"/>
      <c r="D19" s="141"/>
      <c r="E19" s="141"/>
      <c r="F19" s="141"/>
      <c r="G19" s="141"/>
      <c r="H19" s="141"/>
      <c r="I19" s="141"/>
      <c r="J19" s="141"/>
      <c r="K19" s="141"/>
      <c r="L19" s="141"/>
      <c r="M19" s="141"/>
      <c r="N19" s="141"/>
      <c r="O19" s="141"/>
      <c r="P19" s="141"/>
      <c r="Q19" s="141"/>
      <c r="R19" s="141"/>
      <c r="S19" s="141"/>
      <c r="T19" s="141"/>
      <c r="U19" s="141"/>
      <c r="V19" s="141"/>
      <c r="W19" s="141"/>
      <c r="X19" s="141"/>
      <c r="Y19" s="162"/>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6"/>
    </row>
    <row r="20" spans="2:48" x14ac:dyDescent="0.2">
      <c r="B20" s="145"/>
      <c r="C20" s="141"/>
      <c r="D20" s="141"/>
      <c r="E20" s="141"/>
      <c r="F20" s="141"/>
      <c r="G20" s="141"/>
      <c r="H20" s="141"/>
      <c r="I20" s="141"/>
      <c r="J20" s="141"/>
      <c r="K20" s="141"/>
      <c r="L20" s="141"/>
      <c r="M20" s="141"/>
      <c r="N20" s="141"/>
      <c r="O20" s="141"/>
      <c r="P20" s="141"/>
      <c r="Q20" s="141"/>
      <c r="R20" s="141"/>
      <c r="S20" s="141"/>
      <c r="T20" s="141"/>
      <c r="U20" s="141"/>
      <c r="V20" s="141"/>
      <c r="W20" s="141"/>
      <c r="X20" s="141"/>
      <c r="Y20" s="162"/>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46"/>
    </row>
    <row r="21" spans="2:48" x14ac:dyDescent="0.2">
      <c r="B21" s="145"/>
      <c r="C21" s="141"/>
      <c r="D21" s="141"/>
      <c r="E21" s="141"/>
      <c r="F21" s="141"/>
      <c r="G21" s="141"/>
      <c r="H21" s="141"/>
      <c r="I21" s="141"/>
      <c r="J21" s="141"/>
      <c r="K21" s="141"/>
      <c r="L21" s="141"/>
      <c r="M21" s="141"/>
      <c r="N21" s="141"/>
      <c r="O21" s="141"/>
      <c r="P21" s="141"/>
      <c r="Q21" s="141"/>
      <c r="R21" s="141"/>
      <c r="S21" s="141"/>
      <c r="T21" s="141"/>
      <c r="U21" s="141"/>
      <c r="V21" s="141"/>
      <c r="W21" s="141"/>
      <c r="X21" s="141"/>
      <c r="Y21" s="162"/>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6"/>
    </row>
    <row r="22" spans="2:48" x14ac:dyDescent="0.2">
      <c r="B22" s="145"/>
      <c r="C22" s="141"/>
      <c r="D22" s="141"/>
      <c r="E22" s="141"/>
      <c r="F22" s="141"/>
      <c r="G22" s="141"/>
      <c r="H22" s="141"/>
      <c r="I22" s="141"/>
      <c r="J22" s="141"/>
      <c r="K22" s="141"/>
      <c r="L22" s="141"/>
      <c r="M22" s="141"/>
      <c r="N22" s="141"/>
      <c r="O22" s="141"/>
      <c r="P22" s="141"/>
      <c r="Q22" s="141"/>
      <c r="R22" s="141"/>
      <c r="S22" s="141"/>
      <c r="T22" s="141"/>
      <c r="U22" s="141"/>
      <c r="V22" s="141"/>
      <c r="W22" s="141"/>
      <c r="X22" s="141"/>
      <c r="Y22" s="162"/>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46"/>
    </row>
    <row r="23" spans="2:48" x14ac:dyDescent="0.2">
      <c r="B23" s="145"/>
      <c r="C23" s="141"/>
      <c r="D23" s="141"/>
      <c r="E23" s="141"/>
      <c r="F23" s="141"/>
      <c r="G23" s="141"/>
      <c r="H23" s="141"/>
      <c r="I23" s="141"/>
      <c r="J23" s="141"/>
      <c r="K23" s="141"/>
      <c r="L23" s="141"/>
      <c r="M23" s="141"/>
      <c r="N23" s="141"/>
      <c r="O23" s="141"/>
      <c r="P23" s="141"/>
      <c r="Q23" s="141"/>
      <c r="R23" s="141"/>
      <c r="S23" s="141"/>
      <c r="T23" s="141"/>
      <c r="U23" s="141"/>
      <c r="V23" s="141"/>
      <c r="W23" s="141"/>
      <c r="X23" s="141"/>
      <c r="Y23" s="162"/>
      <c r="Z23" s="141"/>
      <c r="AA23" s="141"/>
      <c r="AB23" s="141"/>
      <c r="AC23" s="141"/>
      <c r="AD23" s="141"/>
      <c r="AE23" s="141"/>
      <c r="AF23" s="141"/>
      <c r="AG23" s="141"/>
      <c r="AH23" s="141"/>
      <c r="AI23" s="141"/>
      <c r="AJ23" s="141"/>
      <c r="AK23" s="141"/>
      <c r="AL23" s="141"/>
      <c r="AM23" s="141"/>
      <c r="AN23" s="141"/>
      <c r="AO23" s="141"/>
      <c r="AP23" s="141"/>
      <c r="AQ23" s="141"/>
      <c r="AR23" s="141"/>
      <c r="AS23" s="141"/>
      <c r="AT23" s="141"/>
      <c r="AU23" s="141"/>
      <c r="AV23" s="146"/>
    </row>
    <row r="24" spans="2:48" x14ac:dyDescent="0.2">
      <c r="B24" s="145"/>
      <c r="C24" s="141"/>
      <c r="D24" s="141"/>
      <c r="E24" s="141"/>
      <c r="F24" s="141"/>
      <c r="G24" s="141"/>
      <c r="H24" s="141"/>
      <c r="I24" s="141"/>
      <c r="J24" s="141"/>
      <c r="K24" s="141"/>
      <c r="L24" s="141"/>
      <c r="M24" s="141"/>
      <c r="N24" s="141"/>
      <c r="O24" s="141"/>
      <c r="P24" s="141"/>
      <c r="Q24" s="141"/>
      <c r="R24" s="141"/>
      <c r="S24" s="141"/>
      <c r="T24" s="141"/>
      <c r="U24" s="141"/>
      <c r="V24" s="141"/>
      <c r="W24" s="141"/>
      <c r="X24" s="141"/>
      <c r="Y24" s="162"/>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6"/>
    </row>
    <row r="25" spans="2:48" x14ac:dyDescent="0.2">
      <c r="B25" s="145"/>
      <c r="C25" s="141"/>
      <c r="D25" s="141"/>
      <c r="E25" s="141"/>
      <c r="F25" s="141"/>
      <c r="G25" s="141"/>
      <c r="H25" s="141"/>
      <c r="I25" s="141"/>
      <c r="J25" s="141"/>
      <c r="K25" s="141"/>
      <c r="L25" s="141"/>
      <c r="M25" s="141"/>
      <c r="N25" s="141"/>
      <c r="O25" s="141"/>
      <c r="P25" s="141"/>
      <c r="Q25" s="141"/>
      <c r="R25" s="141"/>
      <c r="S25" s="141"/>
      <c r="T25" s="141"/>
      <c r="U25" s="141"/>
      <c r="V25" s="141"/>
      <c r="W25" s="141"/>
      <c r="X25" s="141"/>
      <c r="Y25" s="162"/>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6"/>
    </row>
    <row r="26" spans="2:48" x14ac:dyDescent="0.2">
      <c r="B26" s="145"/>
      <c r="C26" s="141"/>
      <c r="D26" s="141"/>
      <c r="E26" s="141"/>
      <c r="F26" s="141"/>
      <c r="G26" s="141"/>
      <c r="H26" s="141"/>
      <c r="I26" s="141"/>
      <c r="J26" s="141"/>
      <c r="K26" s="141"/>
      <c r="L26" s="141"/>
      <c r="M26" s="141"/>
      <c r="N26" s="141"/>
      <c r="O26" s="141"/>
      <c r="P26" s="141"/>
      <c r="Q26" s="141"/>
      <c r="R26" s="141"/>
      <c r="S26" s="141"/>
      <c r="T26" s="141"/>
      <c r="U26" s="141"/>
      <c r="V26" s="141"/>
      <c r="W26" s="141"/>
      <c r="X26" s="141"/>
      <c r="Y26" s="162"/>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6"/>
    </row>
    <row r="27" spans="2:48" x14ac:dyDescent="0.2">
      <c r="B27" s="145"/>
      <c r="C27" s="141"/>
      <c r="D27" s="141"/>
      <c r="E27" s="141"/>
      <c r="F27" s="141"/>
      <c r="G27" s="141"/>
      <c r="H27" s="141"/>
      <c r="I27" s="141"/>
      <c r="J27" s="141"/>
      <c r="K27" s="141"/>
      <c r="L27" s="141"/>
      <c r="M27" s="141"/>
      <c r="N27" s="141"/>
      <c r="O27" s="141"/>
      <c r="P27" s="141"/>
      <c r="Q27" s="141"/>
      <c r="R27" s="141"/>
      <c r="S27" s="141"/>
      <c r="T27" s="141"/>
      <c r="U27" s="141"/>
      <c r="V27" s="141"/>
      <c r="W27" s="141"/>
      <c r="X27" s="141"/>
      <c r="Y27" s="162"/>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6"/>
    </row>
    <row r="28" spans="2:48" x14ac:dyDescent="0.2">
      <c r="B28" s="145"/>
      <c r="C28" s="141"/>
      <c r="D28" s="141"/>
      <c r="E28" s="141"/>
      <c r="F28" s="141"/>
      <c r="G28" s="141"/>
      <c r="H28" s="141"/>
      <c r="I28" s="141"/>
      <c r="J28" s="141"/>
      <c r="K28" s="141"/>
      <c r="L28" s="141"/>
      <c r="M28" s="141"/>
      <c r="N28" s="141"/>
      <c r="O28" s="141"/>
      <c r="P28" s="141"/>
      <c r="Q28" s="141"/>
      <c r="R28" s="141"/>
      <c r="S28" s="141"/>
      <c r="T28" s="141"/>
      <c r="U28" s="141"/>
      <c r="V28" s="141"/>
      <c r="W28" s="141"/>
      <c r="X28" s="141"/>
      <c r="Y28" s="162"/>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6"/>
    </row>
    <row r="29" spans="2:48" x14ac:dyDescent="0.2">
      <c r="B29" s="145"/>
      <c r="C29" s="141"/>
      <c r="D29" s="141"/>
      <c r="E29" s="141"/>
      <c r="F29" s="141"/>
      <c r="G29" s="141"/>
      <c r="H29" s="141"/>
      <c r="I29" s="141"/>
      <c r="J29" s="141"/>
      <c r="K29" s="141"/>
      <c r="L29" s="141"/>
      <c r="M29" s="141"/>
      <c r="N29" s="141"/>
      <c r="O29" s="141"/>
      <c r="P29" s="141"/>
      <c r="Q29" s="141"/>
      <c r="R29" s="141"/>
      <c r="S29" s="141"/>
      <c r="T29" s="141"/>
      <c r="U29" s="141"/>
      <c r="V29" s="141"/>
      <c r="W29" s="141"/>
      <c r="X29" s="141"/>
      <c r="Y29" s="162"/>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6"/>
    </row>
    <row r="30" spans="2:48" x14ac:dyDescent="0.2">
      <c r="B30" s="145"/>
      <c r="C30" s="141"/>
      <c r="D30" s="141"/>
      <c r="E30" s="141"/>
      <c r="F30" s="141"/>
      <c r="G30" s="141"/>
      <c r="H30" s="141"/>
      <c r="I30" s="141"/>
      <c r="J30" s="141"/>
      <c r="K30" s="141"/>
      <c r="L30" s="141"/>
      <c r="M30" s="141"/>
      <c r="N30" s="141"/>
      <c r="O30" s="141"/>
      <c r="P30" s="141"/>
      <c r="Q30" s="141"/>
      <c r="R30" s="141"/>
      <c r="S30" s="141"/>
      <c r="T30" s="141"/>
      <c r="U30" s="141"/>
      <c r="V30" s="141"/>
      <c r="W30" s="141"/>
      <c r="X30" s="141"/>
      <c r="Y30" s="162"/>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6"/>
    </row>
    <row r="31" spans="2:48" x14ac:dyDescent="0.2">
      <c r="B31" s="145"/>
      <c r="C31" s="141"/>
      <c r="D31" s="141"/>
      <c r="E31" s="141"/>
      <c r="F31" s="141"/>
      <c r="G31" s="141"/>
      <c r="H31" s="141"/>
      <c r="I31" s="141"/>
      <c r="J31" s="141"/>
      <c r="K31" s="141"/>
      <c r="L31" s="141"/>
      <c r="M31" s="141"/>
      <c r="N31" s="141"/>
      <c r="O31" s="141"/>
      <c r="P31" s="141"/>
      <c r="Q31" s="141"/>
      <c r="R31" s="141"/>
      <c r="S31" s="141"/>
      <c r="T31" s="141"/>
      <c r="U31" s="141"/>
      <c r="V31" s="141"/>
      <c r="W31" s="141"/>
      <c r="X31" s="141"/>
      <c r="Y31" s="162"/>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6"/>
    </row>
    <row r="32" spans="2:48" x14ac:dyDescent="0.2">
      <c r="B32" s="145"/>
      <c r="C32" s="141"/>
      <c r="D32" s="141"/>
      <c r="E32" s="141"/>
      <c r="F32" s="141"/>
      <c r="G32" s="141"/>
      <c r="H32" s="141"/>
      <c r="I32" s="141"/>
      <c r="J32" s="141"/>
      <c r="K32" s="141"/>
      <c r="L32" s="141"/>
      <c r="M32" s="141"/>
      <c r="N32" s="141"/>
      <c r="O32" s="141"/>
      <c r="P32" s="141"/>
      <c r="Q32" s="141"/>
      <c r="R32" s="141"/>
      <c r="S32" s="141"/>
      <c r="T32" s="141"/>
      <c r="U32" s="141"/>
      <c r="V32" s="141"/>
      <c r="W32" s="141"/>
      <c r="X32" s="141"/>
      <c r="Y32" s="162"/>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6"/>
    </row>
    <row r="33" spans="2:48" ht="13.5" thickBot="1" x14ac:dyDescent="0.25">
      <c r="B33" s="147"/>
      <c r="C33" s="148"/>
      <c r="D33" s="148"/>
      <c r="E33" s="148"/>
      <c r="F33" s="148"/>
      <c r="G33" s="148"/>
      <c r="H33" s="148"/>
      <c r="I33" s="148"/>
      <c r="J33" s="148"/>
      <c r="K33" s="165" t="s">
        <v>403</v>
      </c>
      <c r="L33" s="148"/>
      <c r="M33" s="148"/>
      <c r="N33" s="148"/>
      <c r="O33" s="148"/>
      <c r="Q33" s="148"/>
      <c r="R33" s="148"/>
      <c r="S33" s="148"/>
      <c r="T33" s="148"/>
      <c r="U33" s="148"/>
      <c r="V33" s="148"/>
      <c r="W33" s="148"/>
      <c r="X33" s="148"/>
      <c r="Y33" s="148"/>
      <c r="Z33" s="166" t="s">
        <v>404</v>
      </c>
      <c r="AA33" s="148"/>
      <c r="AB33" s="148"/>
      <c r="AC33" s="148"/>
      <c r="AD33" s="148"/>
      <c r="AE33" s="148"/>
      <c r="AF33" s="148"/>
      <c r="AH33" s="148"/>
      <c r="AI33" s="148"/>
      <c r="AJ33" s="148"/>
      <c r="AK33" s="148"/>
      <c r="AL33" s="148"/>
      <c r="AM33" s="148"/>
      <c r="AN33" s="148"/>
      <c r="AO33" s="148"/>
      <c r="AP33" s="148"/>
      <c r="AQ33" s="148"/>
      <c r="AR33" s="148"/>
      <c r="AS33" s="148"/>
      <c r="AT33" s="148"/>
      <c r="AU33" s="148"/>
      <c r="AV33" s="150"/>
    </row>
  </sheetData>
  <mergeCells count="19">
    <mergeCell ref="D16:E16"/>
    <mergeCell ref="AA16:AB16"/>
    <mergeCell ref="AA17:AB17"/>
    <mergeCell ref="D12:E12"/>
    <mergeCell ref="AA12:AB12"/>
    <mergeCell ref="D13:E13"/>
    <mergeCell ref="AA13:AB13"/>
    <mergeCell ref="D15:E15"/>
    <mergeCell ref="AA15:AB15"/>
    <mergeCell ref="D14:E14"/>
    <mergeCell ref="AA14:AB14"/>
    <mergeCell ref="D11:E11"/>
    <mergeCell ref="AA11:AB11"/>
    <mergeCell ref="C3:K7"/>
    <mergeCell ref="L3:AU7"/>
    <mergeCell ref="C9:J9"/>
    <mergeCell ref="K9:L9"/>
    <mergeCell ref="Z9:AG9"/>
    <mergeCell ref="AH9:AI9"/>
  </mergeCells>
  <printOptions horizontalCentered="1"/>
  <pageMargins left="0.78740157480314965" right="0.78740157480314965" top="0.98425196850393704" bottom="0.98425196850393704" header="0.51181102362204722" footer="0.51181102362204722"/>
  <pageSetup paperSize="9" scale="56" orientation="portrait" horizontalDpi="300" verticalDpi="3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ilha4"/>
  <dimension ref="B2:X35"/>
  <sheetViews>
    <sheetView showGridLines="0" showRowColHeaders="0" workbookViewId="0"/>
  </sheetViews>
  <sheetFormatPr defaultRowHeight="12.75" x14ac:dyDescent="0.2"/>
  <cols>
    <col min="2" max="2" width="4.42578125" bestFit="1" customWidth="1"/>
    <col min="3" max="3" width="23.28515625" bestFit="1" customWidth="1"/>
    <col min="4" max="4" width="11" customWidth="1"/>
    <col min="5" max="5" width="4.85546875" customWidth="1"/>
    <col min="7" max="7" width="9.140625" hidden="1" customWidth="1"/>
  </cols>
  <sheetData>
    <row r="2" spans="2:24" ht="18.75" x14ac:dyDescent="0.2">
      <c r="B2" s="914"/>
      <c r="C2" s="914"/>
      <c r="D2" s="914"/>
      <c r="E2" s="914"/>
      <c r="Q2" s="745" t="s">
        <v>560</v>
      </c>
      <c r="R2" s="745"/>
      <c r="S2" s="745"/>
      <c r="T2" s="745"/>
      <c r="U2" s="745"/>
      <c r="V2" s="745"/>
      <c r="W2" s="745"/>
      <c r="X2" s="745"/>
    </row>
    <row r="3" spans="2:24" ht="19.5" thickBot="1" x14ac:dyDescent="0.25">
      <c r="B3" s="745" t="s">
        <v>571</v>
      </c>
      <c r="C3" s="745"/>
      <c r="D3" s="745"/>
      <c r="E3" s="745"/>
    </row>
    <row r="4" spans="2:24" ht="7.5" customHeight="1" thickBot="1" x14ac:dyDescent="0.25">
      <c r="B4" s="32"/>
      <c r="C4" s="32"/>
      <c r="D4" s="32"/>
      <c r="E4" s="71"/>
    </row>
    <row r="5" spans="2:24" x14ac:dyDescent="0.2">
      <c r="B5" s="462"/>
      <c r="C5" s="463" t="s">
        <v>561</v>
      </c>
      <c r="D5" s="464">
        <v>150</v>
      </c>
      <c r="E5" s="28" t="s">
        <v>9</v>
      </c>
      <c r="G5">
        <v>82.688702386860399</v>
      </c>
    </row>
    <row r="6" spans="2:24" x14ac:dyDescent="0.2">
      <c r="B6" s="462"/>
      <c r="C6" s="463" t="s">
        <v>562</v>
      </c>
      <c r="D6" s="464">
        <v>84</v>
      </c>
      <c r="E6" s="28" t="s">
        <v>563</v>
      </c>
      <c r="G6">
        <v>32.194127845257697</v>
      </c>
    </row>
    <row r="7" spans="2:24" x14ac:dyDescent="0.2">
      <c r="B7" s="462"/>
      <c r="C7" s="463" t="s">
        <v>564</v>
      </c>
      <c r="D7" s="465">
        <v>480</v>
      </c>
      <c r="E7" s="28" t="s">
        <v>310</v>
      </c>
      <c r="G7">
        <v>15.1011245789048</v>
      </c>
    </row>
    <row r="8" spans="2:24" ht="15" x14ac:dyDescent="0.25">
      <c r="B8" s="462"/>
      <c r="C8" s="463" t="s">
        <v>565</v>
      </c>
      <c r="D8" s="466">
        <v>520990</v>
      </c>
      <c r="E8" s="28" t="s">
        <v>319</v>
      </c>
      <c r="G8">
        <v>3.2768125708321098E-2</v>
      </c>
      <c r="H8" s="350" t="s">
        <v>566</v>
      </c>
    </row>
    <row r="9" spans="2:24" x14ac:dyDescent="0.2">
      <c r="B9" s="462"/>
      <c r="C9" s="463" t="s">
        <v>567</v>
      </c>
      <c r="D9" s="356">
        <f>D5*G5+D6*G6+D7*G7+D8*G8-G9</f>
        <v>9436.7540819842179</v>
      </c>
      <c r="E9" s="28" t="s">
        <v>568</v>
      </c>
      <c r="G9">
        <v>29991.263625699001</v>
      </c>
    </row>
    <row r="10" spans="2:24" x14ac:dyDescent="0.2">
      <c r="B10" s="407"/>
      <c r="C10" s="133"/>
      <c r="D10" s="28"/>
      <c r="E10" s="28"/>
    </row>
    <row r="12" spans="2:24" ht="18.75" x14ac:dyDescent="0.2">
      <c r="B12" s="745" t="s">
        <v>569</v>
      </c>
      <c r="C12" s="745"/>
      <c r="D12" s="745"/>
    </row>
    <row r="13" spans="2:24" ht="7.5" customHeight="1" x14ac:dyDescent="0.2"/>
    <row r="14" spans="2:24" x14ac:dyDescent="0.2">
      <c r="B14" s="463" t="s">
        <v>408</v>
      </c>
      <c r="C14" s="466">
        <v>50000</v>
      </c>
      <c r="D14" s="444" t="s">
        <v>568</v>
      </c>
    </row>
    <row r="15" spans="2:24" x14ac:dyDescent="0.2">
      <c r="B15" s="463" t="s">
        <v>409</v>
      </c>
      <c r="C15" s="466">
        <v>75000</v>
      </c>
      <c r="D15" s="444" t="s">
        <v>568</v>
      </c>
    </row>
    <row r="35" spans="17:24" x14ac:dyDescent="0.2">
      <c r="Q35" s="915" t="s">
        <v>570</v>
      </c>
      <c r="R35" s="915"/>
      <c r="S35" s="915"/>
      <c r="T35" s="915"/>
      <c r="U35" s="915"/>
      <c r="V35" s="915"/>
      <c r="W35" s="915"/>
      <c r="X35" s="915"/>
    </row>
  </sheetData>
  <mergeCells count="5">
    <mergeCell ref="B2:E2"/>
    <mergeCell ref="Q2:X2"/>
    <mergeCell ref="B3:E3"/>
    <mergeCell ref="B12:D12"/>
    <mergeCell ref="Q35:X35"/>
  </mergeCells>
  <pageMargins left="0.511811024" right="0.511811024" top="0.78740157499999996" bottom="0.78740157499999996" header="0.31496062000000002" footer="0.31496062000000002"/>
  <pageSetup paperSize="9" orientation="portrait" horizontalDpi="300" verticalDpi="300" r:id="rId1"/>
  <drawing r:id="rId2"/>
</worksheet>
</file>

<file path=customUI/_rels/customUI14.xml.rels><?xml version="1.0" encoding="UTF-8" standalone="yes"?>
<Relationships xmlns="http://schemas.openxmlformats.org/package/2006/relationships"><Relationship Id="home" Type="http://schemas.openxmlformats.org/officeDocument/2006/relationships/image" Target="images/home.png"/><Relationship Id="rollforming" Type="http://schemas.openxmlformats.org/officeDocument/2006/relationships/image" Target="images/rollforming.png"/><Relationship Id="secaoquadrada" Type="http://schemas.openxmlformats.org/officeDocument/2006/relationships/image" Target="images/secaoquadrada.png"/><Relationship Id="tubes" Type="http://schemas.openxmlformats.org/officeDocument/2006/relationships/image" Target="images/tubes.png"/><Relationship Id="KFactor" Type="http://schemas.openxmlformats.org/officeDocument/2006/relationships/image" Target="images/KFactor.png"/><Relationship Id="width" Type="http://schemas.openxmlformats.org/officeDocument/2006/relationships/image" Target="images/width.png"/><Relationship Id="soldagem" Type="http://schemas.openxmlformats.org/officeDocument/2006/relationships/image" Target="images/soldagem.png"/></Relationships>
</file>

<file path=customUI/customUI14.xml><?xml version="1.0" encoding="utf-8"?>
<customUI xmlns="http://schemas.microsoft.com/office/2009/07/customui" onLoad="ribbonLoaded">
  <ribbon startFromScratch="false">
    <tabs>
      <tab idMso="TabPageLayoutExcel" visible="false"/>
      <tab idMso="TabView" visible="false"/>
      <tab idMso="TabReview" visible="false"/>
      <tab idMso="TabDeveloper" visible="false"/>
      <tab idMso="TabAddIns" visible="false"/>
      <tab id="customTab" insertBeforeMso="TabHome" label="Estudos de Viabilidades">
        <group id="customGroup3" label="Navegação">
          <button id="btn-id4" label="Home" imageMso="BlogHomePage" size="normal" onAction="MyRibbon.btn4"/>
          <button id="btn-id5" label="Listas de Dados" imageMso="DataFormSource" size="normal" onAction="MyRibbon.btn5"/>
          <button id="btn-id6" label="Investimentos" imageMso="AccountingFormat" size="normal" onAction="MyRibbon.btn6"/>
          <separator id="separator-a"/>
          <button id="btn-std1" getLabel="GetButtonLabelSTD1" getEnabled="IsButtonEnabledSTD1" onAction="MyRibbon.AtivarProjetoBTN"/>
          <button id="btn-std2" getLabel="GetButtonLabelSTD2" getEnabled="IsButtonEnabledSTD2" onAction="MyRibbon.AtivarProjetoBTN"/>
          <button id="btn-std3" getLabel="GetButtonLabelSTD3" getEnabled="IsButtonEnabledSTD3" onAction="MyRibbon.AtivarProjetoBTN"/>
          <button id="btn-std4" getLabel="GetButtonLabelSTD4" getEnabled="IsButtonEnabledSTD4" onAction="MyRibbon.AtivarProjetoBTN"/>
          <button id="btn-std5" getLabel="GetButtonLabelSTD5" getEnabled="IsButtonEnabledSTD5" onAction="MyRibbon.AtivarProjetoBTN"/>
          <button id="btn-std6" getLabel="GetButtonLabelSTD6" getEnabled="IsButtonEnabledSTD6" onAction="MyRibbon.AtivarProjetoBTN"/>
          <button id="btn-std7" getLabel="GetButtonLabelSTD7" getEnabled="IsButtonEnabledSTD7" onAction="MyRibbon.AtivarProjetoBTN"/>
          <button id="btn-std8" getLabel="GetButtonLabelSTD8" getEnabled="IsButtonEnabledSTD8" onAction="MyRibbon.AtivarProjetoBTN"/>
          <button id="btn-std9" getLabel="GetButtonLabelSTD9" getEnabled="IsButtonEnabledSTD9" onAction="MyRibbon.AtivarProjetoBTN"/>
          <button id="btn-std10" getLabel="GetButtonLabelSTD10" getEnabled="IsButtonEnabledSTD10" onAction="MyRibbon.AtivarProjetoBTN"/>
          <button id="btn-std11" getLabel="GetButtonLabelSTD11" getEnabled="IsButtonEnabledSTD11" onAction="MyRibbon.AtivarProjetoBTN"/>
          <button id="btn-std12" getLabel="GetButtonLabelSTD12" getEnabled="IsButtonEnabledSTD12" onAction="MyRibbon.AtivarProjetoBTN"/>
          <button id="btn-std13" getLabel="GetButtonLabelSTD13" getEnabled="IsButtonEnabledSTD13" onAction="MyRibbon.AtivarProjetoBTN"/>
          <button id="btn-std14" getLabel="GetButtonLabelSTD14" getEnabled="IsButtonEnabledSTD14" onAction="MyRibbon.AtivarProjetoBTN"/>
          <button id="btn-std15" getLabel="GetButtonLabelSTD15" getEnabled="IsButtonEnabledSTD15" onAction="MyRibbon.AtivarProjetoBTN"/>
          <button id="btn-std16" getLabel="GetButtonLabelSTD16" getEnabled="IsButtonEnabledSTD16" onAction="MyRibbon.AtivarProjetoBTN"/>
          <button id="btn-std17" getLabel="GetButtonLabelSTD17" getEnabled="IsButtonEnabledSTD17" onAction="MyRibbon.AtivarProjetoBTN"/>
          <button id="btn-std18" getLabel="GetButtonLabelSTD18" getEnabled="IsButtonEnabledSTD18" onAction="MyRibbon.AtivarProjetoBTN"/>
          <separator id="separator-b"/>
          <button id="btn-id9" label="Pre Punching PF1" size="normal" onAction="MyRibbon.btn9"/>
          <button id="btn-id10" label="Pre Punching PF3" size="normal" onAction="MyRibbon.btn10"/>
          <menu id="menu-id1" label="Mostrar" imageMso="DatasheetColumnLookup" size="normal">
            <checkBox id="checkBox-id1" label="Abas" screentip="Exibir/ocultar Abas das Planilhas" onAction="MyRibbon.chbx1"/>
            <checkBox id="checkBox-id2" label="Barra de Fórmulas" screentip="Exibir/ocultar Barra de Fórmulas" onAction="MyRibbon.chbx2"/>
            <checkBox id="checkBox-id3" label="Linhas de Grades" screentip="Exibir/ocultar Grades" onAction="MyRibbon.chbx3"/>
            <checkBox id="checkBox-id4" label="Títulos" screentip="Exibir/ocultar Títulos" onAction="MyRibbon.chbx4"/>
          </menu>
        </group>
        <group id="GroupCalculation" label="Auxílio">
          <button id="TempoCorteSerra" label="Tempo Corte Serra" imageMso="HeaderFooterCurrentTimeInsert" size="normal" onAction="MyRibbon.btn7"/>
          <button id="BitolaOrigem" label="Bitola de Origem" size="normal" image="tubes" onAction="MyRibbon.bitolaorigembtn"/>
          <button id="mmxinches" label="mm X Polegadas" size="normal" imageMso="FormattingUnique" onAction="MyRibbon.mmxinchesbtn"/>
          <button id="speedconvert" label="Converter Velocidades" size="normal" imageMso="CircularReferences" onAction="MyRibbon.speedconvertbtn"/>
          <button id="KFactor" label="Fator de Dobra k" size="normal" image="KFactor" onAction="MyRibbon.KFactorbtn"/>
          <button id="ProfileSheet" label="Tira de Perfis" size="normal" image="width" onAction="MyRibbon.ProfileSheetbtn"/>
        </group>
        <group id="GroupStudy" label="Estudos">
          <splitButton id="splitButton1" size="large">
            <button id="NewStudyBTN" label="Novo Estudo" imageMso="DatasheetColumnLookup" onAction="MyRibbon.btn2"/>
            <menu id="NewStudyMenu" label="Acomapanhamento" itemSize="large">
              <menuSeparator id="Menuseparator1" title="Estudos"/>
              <button id="btn-id2" label="RollForming e A.O." screentip="Criar Novo estudo sobre RollForming ou After Operation" image="rollforming" onAction="MyRibbon.btn2"/>
              <button id="btn-id3" label="Conjuntos Soldados" screentip="Criar Novo estudo sobre Conjuntos Soldados" image="soldagem" onAction="MyRibbon.btn3"/>
            </menu>
          </splitButton>
          <button id="btn-DeleteStudy" label="Deletar Estudo" screentip="Deletar todo o estudo atual ou selecionar um estudo a ser deletado" imageMso="ReviewRejectChange" onAction="MyRibbon.btnDeleteStudy"/>
          <button id="btn-ChangeStudy" label="Alterar Estudo" screentip="Alterar o número do estudo atual ou selecionar um estudo a ser alterado" imageMso="ReviewAcceptChange" onAction="MyRibbon.btnChangeStudy"/>
        </group>
        <group id="GroupAutomation" label="Automação">
          <button id="GerarArquivoCarga" label="Gerar Arquivo para Carga" imageMso="ExportXmlFile" size="large" onAction="MyRibbon.GerarArquivoCarga" screentip="Gerar arquivo para carga com Cronus"/>
          <button id="GerarPDF" label="Gerar PDF" imageMso="PublishToPdfOrEdoc" size="large" onAction="MyRibbon.GerarPDF" screentip="Gerar PDF da análise técnica."/>
        </group>
      </tab>
    </tabs>
  </ribbon>
</customUI>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30</vt:i4>
      </vt:variant>
      <vt:variant>
        <vt:lpstr>Intervalos nomeados</vt:lpstr>
      </vt:variant>
      <vt:variant>
        <vt:i4>16</vt:i4>
      </vt:variant>
    </vt:vector>
  </HeadingPairs>
  <TitlesOfParts>
    <vt:vector size="46" baseType="lpstr">
      <vt:lpstr>C.S. PJT 2444.12</vt:lpstr>
      <vt:lpstr>C.S. PJT 2444.11</vt:lpstr>
      <vt:lpstr>C.S. PJT 2444.10</vt:lpstr>
      <vt:lpstr>C.S. PJT 2444.9</vt:lpstr>
      <vt:lpstr>C.S. PJT 2444.8</vt:lpstr>
      <vt:lpstr>C.S. PJT 2444.7</vt:lpstr>
      <vt:lpstr>C.S. PJT 2444.6</vt:lpstr>
      <vt:lpstr>C.S. PJT 2444.5</vt:lpstr>
      <vt:lpstr>PJT XXXX</vt:lpstr>
      <vt:lpstr>(F01 a F06)+AO</vt:lpstr>
      <vt:lpstr>(F07)+AO</vt:lpstr>
      <vt:lpstr>(PF01 e PF02)+AO</vt:lpstr>
      <vt:lpstr>C.S. PJT XXXX</vt:lpstr>
      <vt:lpstr>Conjuntos Soldados</vt:lpstr>
      <vt:lpstr>HOME</vt:lpstr>
      <vt:lpstr>Listas de Dados</vt:lpstr>
      <vt:lpstr>Investimentos</vt:lpstr>
      <vt:lpstr>Pre Punching-PF03</vt:lpstr>
      <vt:lpstr>Pre Punching-PF01</vt:lpstr>
      <vt:lpstr>Dados Slliter</vt:lpstr>
      <vt:lpstr>Embalagem</vt:lpstr>
      <vt:lpstr>Hora-Máquina</vt:lpstr>
      <vt:lpstr>Largura de Tira - Tubo</vt:lpstr>
      <vt:lpstr>Perfil Padrão</vt:lpstr>
      <vt:lpstr>Bobina x tira</vt:lpstr>
      <vt:lpstr>Simuladores</vt:lpstr>
      <vt:lpstr>mm x inches</vt:lpstr>
      <vt:lpstr>Peso de Tira</vt:lpstr>
      <vt:lpstr>Carbono Equivalente</vt:lpstr>
      <vt:lpstr>FORÇA DE DOBRA</vt:lpstr>
      <vt:lpstr>'C.S. PJT 2444.10'!Area_de_impressao</vt:lpstr>
      <vt:lpstr>'C.S. PJT 2444.11'!Area_de_impressao</vt:lpstr>
      <vt:lpstr>'C.S. PJT 2444.12'!Area_de_impressao</vt:lpstr>
      <vt:lpstr>'C.S. PJT 2444.5'!Area_de_impressao</vt:lpstr>
      <vt:lpstr>'C.S. PJT 2444.6'!Area_de_impressao</vt:lpstr>
      <vt:lpstr>'C.S. PJT 2444.7'!Area_de_impressao</vt:lpstr>
      <vt:lpstr>'C.S. PJT 2444.8'!Area_de_impressao</vt:lpstr>
      <vt:lpstr>'C.S. PJT 2444.9'!Area_de_impressao</vt:lpstr>
      <vt:lpstr>'C.S. PJT XXXX'!Area_de_impressao</vt:lpstr>
      <vt:lpstr>'Carbono Equivalente'!Area_de_impressao</vt:lpstr>
      <vt:lpstr>'mm x inches'!Area_de_impressao</vt:lpstr>
      <vt:lpstr>'Peso de Tira'!Area_de_impressao</vt:lpstr>
      <vt:lpstr>'PJT XXXX'!Area_de_impressao</vt:lpstr>
      <vt:lpstr>Perfis</vt:lpstr>
      <vt:lpstr>TubosConf.Convencional</vt:lpstr>
      <vt:lpstr>TubosDirectForming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Boff Arthur</dc:creator>
  <cp:lastModifiedBy>Pinto Lemos Fernando</cp:lastModifiedBy>
  <cp:lastPrinted>2022-03-31T15:45:30Z</cp:lastPrinted>
  <dcterms:created xsi:type="dcterms:W3CDTF">2011-04-12T19:30:48Z</dcterms:created>
  <dcterms:modified xsi:type="dcterms:W3CDTF">2022-04-14T20:22:49Z</dcterms:modified>
</cp:coreProperties>
</file>