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092c9a4d31024a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6432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externalReferences>
    <externalReference r:id="rId23"/>
    <externalReference r:id="rId24"/>
    <externalReference r:id="rId25"/>
  </externalReferences>
  <definedNames>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AP10" i="41"/>
  <c r="AP9" i="41"/>
  <c r="AP8" i="41"/>
  <c r="AP7" i="41"/>
  <c r="AP6" i="41"/>
  <c r="AP5" i="41"/>
  <c r="AP4" i="41"/>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O75" i="43"/>
  <c r="M75" i="43"/>
  <c r="K75" i="43"/>
  <c r="M72" i="43"/>
  <c r="K72" i="43"/>
  <c r="O69" i="43"/>
  <c r="M69" i="43"/>
  <c r="K69" i="43"/>
  <c r="K66" i="43"/>
  <c r="O63" i="43"/>
  <c r="M63" i="43"/>
  <c r="K63" i="43"/>
  <c r="O49" i="43"/>
  <c r="M49" i="43"/>
  <c r="I49" i="43"/>
  <c r="O48" i="43"/>
  <c r="M48" i="43"/>
  <c r="I48" i="43"/>
  <c r="O47" i="43"/>
  <c r="M47" i="43"/>
  <c r="I47" i="43"/>
  <c r="O46" i="43"/>
  <c r="M46" i="43"/>
  <c r="I46" i="43"/>
  <c r="O45" i="43"/>
  <c r="M45" i="43"/>
  <c r="I45" i="43"/>
  <c r="O44" i="43"/>
  <c r="M44" i="43"/>
  <c r="I44" i="43"/>
  <c r="O43" i="43"/>
  <c r="M43" i="43"/>
  <c r="I43" i="43"/>
  <c r="O42" i="43"/>
  <c r="M42" i="43"/>
  <c r="I42" i="43"/>
  <c r="O41" i="43"/>
  <c r="M41" i="43"/>
  <c r="I41" i="43"/>
  <c r="O40" i="43"/>
  <c r="M40" i="43"/>
  <c r="I40" i="43"/>
  <c r="O39" i="43"/>
  <c r="M39" i="43"/>
  <c r="I39" i="43"/>
  <c r="O38" i="43"/>
  <c r="M38" i="43"/>
  <c r="I38" i="43"/>
  <c r="O37" i="43"/>
  <c r="M37" i="43"/>
  <c r="I37" i="43"/>
  <c r="O36" i="43"/>
  <c r="M36" i="43"/>
  <c r="I36" i="43"/>
  <c r="O35" i="43"/>
  <c r="M35" i="43"/>
  <c r="I35" i="43"/>
  <c r="O34" i="43"/>
  <c r="M34" i="43"/>
  <c r="I34" i="43"/>
  <c r="O33" i="43"/>
  <c r="M33" i="43"/>
  <c r="I33" i="43"/>
  <c r="O32" i="43"/>
  <c r="M32" i="43"/>
  <c r="I32" i="43"/>
  <c r="O31" i="43"/>
  <c r="M31" i="43"/>
  <c r="I31" i="43"/>
  <c r="O30" i="43"/>
  <c r="M30" i="43"/>
  <c r="I30" i="43"/>
  <c r="O29" i="43"/>
  <c r="M29" i="43"/>
  <c r="I29" i="43"/>
  <c r="O28" i="43"/>
  <c r="M28" i="43"/>
  <c r="I28" i="43"/>
  <c r="O27" i="43"/>
  <c r="M27" i="43"/>
  <c r="I27" i="43"/>
  <c r="O26" i="43"/>
  <c r="M26" i="43"/>
  <c r="I26" i="43"/>
  <c r="O25" i="43"/>
  <c r="M25" i="43"/>
  <c r="I25" i="43"/>
  <c r="P21" i="43"/>
  <c r="O21" i="43"/>
  <c r="K21" i="43"/>
  <c r="I20" i="43"/>
  <c r="H20" i="43"/>
  <c r="O18" i="43"/>
  <c r="K18" i="43"/>
  <c r="K18" i="43" a="1"/>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O147" i="39"/>
  <c r="M147" i="39"/>
  <c r="K147" i="39"/>
  <c r="I147" i="39"/>
  <c r="F147" i="39"/>
  <c r="F146" i="39"/>
  <c r="D146" i="39"/>
  <c r="O144" i="39"/>
  <c r="M144" i="39"/>
  <c r="K144" i="39"/>
  <c r="I144" i="39"/>
  <c r="F143" i="39"/>
  <c r="D143" i="39"/>
  <c r="O141" i="39"/>
  <c r="M141" i="39"/>
  <c r="K141" i="39"/>
  <c r="I141" i="39"/>
  <c r="F137" i="39"/>
  <c r="D137" i="39"/>
  <c r="O131" i="39"/>
  <c r="M131" i="39"/>
  <c r="K131" i="39"/>
  <c r="I131" i="39"/>
  <c r="F131" i="39"/>
  <c r="F130" i="39"/>
  <c r="D130" i="39"/>
  <c r="O128" i="39"/>
  <c r="M128" i="39"/>
  <c r="K128" i="39"/>
  <c r="I128" i="39"/>
  <c r="F127" i="39"/>
  <c r="D127" i="39"/>
  <c r="O125" i="39"/>
  <c r="M125" i="39"/>
  <c r="K125" i="39"/>
  <c r="I125" i="39"/>
  <c r="F121" i="39"/>
  <c r="D121" i="39"/>
  <c r="O115" i="39"/>
  <c r="M115" i="39"/>
  <c r="K115" i="39"/>
  <c r="I115" i="39"/>
  <c r="F115" i="39"/>
  <c r="F114" i="39"/>
  <c r="D114" i="39"/>
  <c r="O112" i="39"/>
  <c r="M112" i="39"/>
  <c r="K112" i="39"/>
  <c r="I112" i="39"/>
  <c r="F111" i="39"/>
  <c r="D111" i="39"/>
  <c r="O109" i="39"/>
  <c r="M109" i="39"/>
  <c r="K109" i="39"/>
  <c r="I109" i="39"/>
  <c r="F105" i="39"/>
  <c r="D105" i="39"/>
  <c r="O99" i="39"/>
  <c r="M99" i="39"/>
  <c r="K99" i="39"/>
  <c r="I99" i="39"/>
  <c r="O96" i="39"/>
  <c r="M96" i="39"/>
  <c r="K96" i="39"/>
  <c r="I96" i="39"/>
  <c r="F95" i="39"/>
  <c r="D95" i="39"/>
  <c r="O93" i="39"/>
  <c r="M93" i="39"/>
  <c r="K93" i="39"/>
  <c r="I93" i="39"/>
  <c r="F89" i="39"/>
  <c r="O62" i="39"/>
  <c r="M62" i="39"/>
  <c r="K62" i="39"/>
  <c r="O59" i="39"/>
  <c r="M59" i="39"/>
  <c r="K59" i="39"/>
  <c r="O56" i="39"/>
  <c r="M56" i="39"/>
  <c r="K56" i="39"/>
  <c r="O53" i="39"/>
  <c r="K53" i="39"/>
  <c r="O47" i="39"/>
  <c r="O44" i="39" s="1"/>
  <c r="M47" i="39"/>
  <c r="K47" i="39"/>
  <c r="M44" i="39"/>
  <c r="O41" i="39"/>
  <c r="K44" i="39" s="1"/>
  <c r="M41" i="39"/>
  <c r="K41" i="39"/>
  <c r="Z36" i="39"/>
  <c r="Y36" i="39"/>
  <c r="Z35" i="39"/>
  <c r="Y35" i="39"/>
  <c r="N35" i="39"/>
  <c r="Z34" i="39"/>
  <c r="Y34" i="39"/>
  <c r="Z33" i="39"/>
  <c r="Y33" i="39"/>
  <c r="N32" i="39"/>
  <c r="E24" i="39"/>
  <c r="O19" i="39"/>
  <c r="O18" i="39"/>
  <c r="J18" i="39"/>
  <c r="H18" i="39"/>
  <c r="E8" i="39"/>
  <c r="O71" i="39" s="1"/>
  <c r="O2" i="39"/>
  <c r="K7" i="15" l="1"/>
  <c r="L7" i="15" s="1"/>
  <c r="K50" i="39"/>
  <c r="O50" i="39"/>
  <c r="M53" i="39"/>
  <c r="O76" i="39"/>
  <c r="O77" i="39"/>
  <c r="O73" i="39"/>
  <c r="O72" i="39"/>
  <c r="O74" i="39"/>
  <c r="O75" i="39"/>
  <c r="O80" i="39" l="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<sst xmlns="http://schemas.openxmlformats.org/spreadsheetml/2006/main" count="2270" uniqueCount="877">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</sst>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29">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09">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0" fillId="7" borderId="0" xfId="0" applyFill="1" applyBorder="1" applyAlignment="1">
      <alignment horizont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0" fillId="7" borderId="0" xfId="0" applyFill="1" applyBorder="1" applyAlignment="1">
      <alignment horizont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7" borderId="91" xfId="18" applyNumberFormat="1" applyBorder="1" applyAlignment="1">
      <alignment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0" fontId="80" fillId="17" borderId="59" xfId="17" applyFont="1" applyProtection="1">
      <alignment horizontal="center" vertical="center"/>
    </xf>
    <xf numFmtId="0" fontId="80" fillId="7" borderId="59" xfId="18" applyNumberFormat="1" applyFont="1">
      <alignment horizontal="center" vertical="center"/>
    </xf>
    <xf numFmtId="1" fontId="80" fillId="7" borderId="59" xfId="18" applyNumberFormat="1" applyFont="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10" fontId="56" fillId="7" borderId="59" xfId="18" applyNumberFormat="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6" fillId="7" borderId="59" xfId="18" applyNumberFormat="1">
      <alignment horizontal="center"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7" borderId="59" xfId="18" applyNumberFormat="1">
      <alignment horizontal="center" vertical="center"/>
    </xf>
    <xf numFmtId="0" fontId="56" fillId="0" borderId="0" xfId="0" applyFont="1" applyFill="1" applyBorder="1" applyAlignment="1">
      <alignment horizontal="left"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0" fontId="58" fillId="37" borderId="60" xfId="24" applyBorder="1" applyAlignment="1">
      <alignment horizontal="center"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6" fillId="33" borderId="59" xfId="19" applyNumberFormat="1" applyAlignment="1" applyProtection="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0" xfId="24" applyBorder="1" applyAlignment="1">
      <alignment horizontal="center" vertical="center"/>
    </xf>
    <xf numFmtId="0" fontId="58" fillId="37" borderId="102" xfId="24" applyBorder="1" applyAlignment="1">
      <alignment horizontal="center" vertical="center"/>
    </xf>
    <xf numFmtId="0" fontId="56" fillId="34" borderId="59" xfId="20" applyBorder="1" applyAlignment="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56" fillId="33" borderId="59" xfId="19" applyAlignment="1" applyProtection="1">
      <alignment horizontal="right" vertical="center"/>
    </xf>
    <xf numFmtId="0" fontId="62" fillId="36" borderId="0" xfId="25" applyBorder="1">
      <alignment horizontal="center" vertical="center"/>
    </xf>
    <xf numFmtId="0" fontId="68" fillId="33" borderId="59" xfId="19" applyFont="1" applyBorder="1" applyProtection="1">
      <alignment horizontal="center" vertical="center"/>
      <protection locked="0"/>
    </xf>
    <xf numFmtId="10" fontId="56" fillId="17" borderId="76" xfId="17" applyNumberFormat="1" applyBorder="1" applyAlignment="1" applyProtection="1">
      <alignment horizontal="center" vertical="center"/>
    </xf>
    <xf numFmtId="10" fontId="56" fillId="17" borderId="77" xfId="17" applyNumberFormat="1" applyBorder="1" applyAlignment="1" applyProtection="1">
      <alignment horizontal="center" vertical="center"/>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Border="1" applyAlignment="1">
      <alignment horizontal="center" vertical="center"/>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0" fontId="56" fillId="7" borderId="59" xfId="18" applyNumberForma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6" fillId="13" borderId="59" xfId="23" applyBorder="1" applyAlignment="1">
      <alignment horizontal="center" vertical="center"/>
      <protection locked="0"/>
    </xf>
    <xf numFmtId="0" fontId="62" fillId="36" borderId="0" xfId="25" applyBorder="1" applyAlignment="1">
      <alignment horizontal="center" vertical="center"/>
    </xf>
    <xf numFmtId="0" fontId="82" fillId="36" borderId="6" xfId="25" applyFont="1" applyBorder="1" applyAlignment="1">
      <alignment horizontal="center" vertical="center"/>
    </xf>
    <xf numFmtId="0" fontId="0" fillId="7" borderId="0" xfId="0" applyFill="1" applyBorder="1" applyAlignment="1">
      <alignment horizont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65" xfId="22" applyBorder="1">
      <alignment horizontal="center" vertical="center"/>
    </xf>
    <xf numFmtId="0" fontId="62" fillId="36" borderId="64" xfId="22" applyBorder="1">
      <alignment horizontal="center" vertical="center"/>
    </xf>
    <xf numFmtId="0" fontId="62" fillId="36" borderId="67" xfId="22" applyBorder="1">
      <alignment horizontal="center" vertical="center"/>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0" xfId="22">
      <alignment horizontal="center" vertic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69" xfId="22" applyBorder="1">
      <alignment horizontal="center" vertical="center"/>
    </xf>
    <xf numFmtId="0" fontId="62" fillId="36" borderId="63" xfId="22" applyBorder="1">
      <alignment horizontal="center" vertical="center"/>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0" fillId="9" borderId="31" xfId="0" applyFill="1" applyBorder="1" applyAlignment="1">
      <alignment horizontal="center" vertical="center" wrapText="1"/>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9" borderId="34" xfId="0" applyFill="1" applyBorder="1" applyAlignment="1">
      <alignment horizontal="center" vertical="center" wrapText="1"/>
    </xf>
    <xf numFmtId="0" fontId="0" fillId="9" borderId="31" xfId="0" applyFill="1" applyBorder="1" applyAlignment="1">
      <alignment horizontal="center" vertical="center"/>
    </xf>
    <xf numFmtId="0" fontId="0" fillId="9" borderId="38"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40" xfId="0" applyFill="1" applyBorder="1" applyAlignment="1">
      <alignment horizontal="center"/>
    </xf>
    <xf numFmtId="0" fontId="0" fillId="7" borderId="40" xfId="0" applyFill="1" applyBorder="1" applyAlignment="1">
      <alignment horizontal="center"/>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8" fillId="37" borderId="60" xfId="24" applyFont="1" applyBorder="1" applyAlignment="1">
      <alignment horizontal="center" vertical="center"/>
    </xf>
    <xf numFmtId="10" fontId="56" fillId="34" borderId="59" xfId="20" applyNumberFormat="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56" fillId="17" borderId="76" xfId="17" applyBorder="1" applyAlignment="1" applyProtection="1">
      <alignment horizontal="center" vertical="center"/>
    </xf>
    <xf numFmtId="0" fontId="56" fillId="17" borderId="77" xfId="17" applyBorder="1" applyAlignment="1" applyProtection="1">
      <alignment horizontal="center" vertical="center"/>
    </xf>
    <xf numFmtId="0" fontId="58" fillId="37" borderId="0" xfId="24" applyBorder="1" applyAlignment="1">
      <alignment horizontal="center" vertical="center" wrapText="1"/>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6" fillId="0" borderId="79" xfId="0" applyFont="1" applyBorder="1" applyAlignment="1">
      <alignment horizontal="right"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58" fillId="37" borderId="31" xfId="24" applyBorder="1" applyAlignment="1">
      <alignment horizontal="center" vertical="center" wrapText="1"/>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58" fillId="20" borderId="27" xfId="27" applyBorder="1" applyAlignment="1">
      <alignment horizontal="center" vertical="center"/>
    </xf>
    <xf numFmtId="0" fontId="58" fillId="20" borderId="28" xfId="27" applyBorder="1" applyAlignment="1">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0" fillId="10" borderId="31" xfId="0" applyFill="1" applyBorder="1" applyAlignment="1">
      <alignment horizontal="right" vertic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7" fillId="0" borderId="0" xfId="0" applyFont="1" applyBorder="1" applyAlignment="1">
      <alignment horizontal="center"/>
    </xf>
    <xf numFmtId="0" fontId="9" fillId="0" borderId="0" xfId="0" applyFont="1" applyBorder="1" applyAlignment="1">
      <alignment horizontal="left"/>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167" fontId="37" fillId="15" borderId="0" xfId="0" applyNumberFormat="1" applyFont="1" applyFill="1" applyBorder="1" applyAlignment="1">
      <alignment horizont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51">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G35" sqref="G35"/>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700" t="str">
        <f>LOOKUP(2,1/($B$164:B186&lt;&gt;""),$B$164:B186)&amp;"_"&amp;TEXT(LOOKUP(2,1/(P164:P186&lt;&gt;""),P164:P186),"aaaa")</f>
        <v>Versão 2.0_2022</v>
      </c>
      <c r="P2" s="700"/>
      <c r="Q2" s="396"/>
    </row>
    <row r="3" spans="2:21" ht="15" customHeight="1" x14ac:dyDescent="0.2">
      <c r="B3" s="397"/>
      <c r="C3" s="701"/>
      <c r="D3" s="702"/>
      <c r="E3" s="702"/>
      <c r="F3" s="702"/>
      <c r="G3" s="707" t="s">
        <v>696</v>
      </c>
      <c r="H3" s="707"/>
      <c r="I3" s="707"/>
      <c r="J3" s="707"/>
      <c r="K3" s="707"/>
      <c r="L3" s="707"/>
      <c r="M3" s="707"/>
      <c r="N3" s="707"/>
      <c r="O3" s="707"/>
      <c r="P3" s="707"/>
      <c r="Q3" s="398"/>
    </row>
    <row r="4" spans="2:21" ht="15" customHeight="1" x14ac:dyDescent="0.2">
      <c r="B4" s="397"/>
      <c r="C4" s="703"/>
      <c r="D4" s="704"/>
      <c r="E4" s="704"/>
      <c r="F4" s="704"/>
      <c r="G4" s="707"/>
      <c r="H4" s="707"/>
      <c r="I4" s="707"/>
      <c r="J4" s="707"/>
      <c r="K4" s="707"/>
      <c r="L4" s="707"/>
      <c r="M4" s="707"/>
      <c r="N4" s="707"/>
      <c r="O4" s="707"/>
      <c r="P4" s="707"/>
      <c r="Q4" s="398"/>
    </row>
    <row r="5" spans="2:21" ht="15" customHeight="1" x14ac:dyDescent="0.2">
      <c r="B5" s="397"/>
      <c r="C5" s="705"/>
      <c r="D5" s="706"/>
      <c r="E5" s="706"/>
      <c r="F5" s="706"/>
      <c r="G5" s="707"/>
      <c r="H5" s="707"/>
      <c r="I5" s="707"/>
      <c r="J5" s="707"/>
      <c r="K5" s="707"/>
      <c r="L5" s="707"/>
      <c r="M5" s="707"/>
      <c r="N5" s="707"/>
      <c r="O5" s="707"/>
      <c r="P5" s="707"/>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708" t="s">
        <v>692</v>
      </c>
      <c r="D8" s="708"/>
      <c r="E8" s="713" t="str">
        <f ca="1">IFERROR(MID(CELL("nome.arquivo",A1),FIND("]",CELL("nome.arquivo",A1))+1,LEN(CELL("nome.arquivo",A1) )),"{Salvar Este Arquivo}")</f>
        <v>PJT XXXX</v>
      </c>
      <c r="F8" s="713"/>
      <c r="G8" s="141"/>
      <c r="H8" s="708" t="s">
        <v>695</v>
      </c>
      <c r="I8" s="708"/>
      <c r="J8" s="714"/>
      <c r="K8" s="714"/>
      <c r="L8" s="714"/>
      <c r="M8" s="383"/>
      <c r="N8" s="710" t="s">
        <v>613</v>
      </c>
      <c r="O8" s="711"/>
      <c r="P8" s="712"/>
      <c r="Q8" s="398"/>
    </row>
    <row r="9" spans="2:21" ht="15" customHeight="1" x14ac:dyDescent="0.2">
      <c r="B9" s="397"/>
      <c r="C9" s="383"/>
      <c r="D9" s="383"/>
      <c r="E9" s="713"/>
      <c r="F9" s="713"/>
      <c r="G9" s="141"/>
      <c r="H9" s="383"/>
      <c r="I9" s="383"/>
      <c r="J9" s="714"/>
      <c r="K9" s="714"/>
      <c r="L9" s="714"/>
      <c r="M9" s="383"/>
      <c r="N9" s="410"/>
      <c r="O9" s="419" t="s">
        <v>615</v>
      </c>
      <c r="P9" s="420"/>
      <c r="Q9" s="398"/>
    </row>
    <row r="10" spans="2:21" ht="15" customHeight="1" x14ac:dyDescent="0.2">
      <c r="B10" s="397"/>
      <c r="C10" s="383"/>
      <c r="D10" s="383"/>
      <c r="E10" s="383"/>
      <c r="F10" s="383"/>
      <c r="G10" s="383"/>
      <c r="H10" s="383"/>
      <c r="I10" s="383"/>
      <c r="J10" s="383"/>
      <c r="K10" s="383"/>
      <c r="L10" s="383"/>
      <c r="M10" s="383"/>
      <c r="N10" s="449"/>
      <c r="O10" s="419" t="s">
        <v>693</v>
      </c>
      <c r="P10" s="420"/>
      <c r="Q10" s="398"/>
    </row>
    <row r="11" spans="2:21" ht="15" customHeight="1" x14ac:dyDescent="0.2">
      <c r="B11" s="397"/>
      <c r="C11" s="708" t="s">
        <v>612</v>
      </c>
      <c r="D11" s="708"/>
      <c r="E11" s="709"/>
      <c r="F11" s="709"/>
      <c r="G11" s="709"/>
      <c r="H11" s="709"/>
      <c r="I11" s="709"/>
      <c r="J11" s="709"/>
      <c r="K11" s="383"/>
      <c r="L11" s="534" t="s">
        <v>790</v>
      </c>
      <c r="M11" s="383"/>
      <c r="N11" s="411"/>
      <c r="O11" s="419" t="s">
        <v>694</v>
      </c>
      <c r="P11" s="420"/>
      <c r="Q11" s="398"/>
    </row>
    <row r="12" spans="2:21" ht="15" customHeight="1" x14ac:dyDescent="0.2">
      <c r="B12" s="397"/>
      <c r="C12" s="708" t="s">
        <v>614</v>
      </c>
      <c r="D12" s="708"/>
      <c r="E12" s="709"/>
      <c r="F12" s="709"/>
      <c r="G12" s="709"/>
      <c r="H12" s="709"/>
      <c r="I12" s="709"/>
      <c r="J12" s="709"/>
      <c r="K12" s="383"/>
      <c r="L12" s="430">
        <v>0</v>
      </c>
      <c r="M12" s="383"/>
      <c r="N12" s="412"/>
      <c r="O12" s="383" t="s">
        <v>631</v>
      </c>
      <c r="P12" s="413"/>
      <c r="Q12" s="398"/>
    </row>
    <row r="13" spans="2:21" ht="15" customHeight="1" x14ac:dyDescent="0.2">
      <c r="B13" s="397"/>
      <c r="C13" s="708" t="s">
        <v>616</v>
      </c>
      <c r="D13" s="708"/>
      <c r="E13" s="715"/>
      <c r="F13" s="715"/>
      <c r="G13" s="715"/>
      <c r="H13" s="715"/>
      <c r="I13" s="715"/>
      <c r="J13" s="715"/>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88" t="s">
        <v>648</v>
      </c>
      <c r="D15" s="688"/>
      <c r="E15" s="688"/>
      <c r="F15" s="688"/>
      <c r="G15" s="688"/>
      <c r="H15" s="688"/>
      <c r="I15" s="688"/>
      <c r="J15" s="688"/>
      <c r="K15" s="688"/>
      <c r="L15" s="688"/>
      <c r="M15" s="688"/>
      <c r="N15" s="688"/>
      <c r="O15" s="688"/>
      <c r="P15" s="688"/>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84" t="s">
        <v>841</v>
      </c>
      <c r="D17" s="685"/>
      <c r="E17" s="685"/>
      <c r="F17" s="450">
        <v>1</v>
      </c>
      <c r="G17" s="451"/>
      <c r="H17" s="672" t="s">
        <v>392</v>
      </c>
      <c r="I17" s="672"/>
      <c r="J17" s="672" t="s">
        <v>623</v>
      </c>
      <c r="K17" s="672"/>
      <c r="L17" s="383"/>
      <c r="M17" s="717" t="s">
        <v>617</v>
      </c>
      <c r="N17" s="717"/>
      <c r="O17" s="399"/>
      <c r="P17" s="400" t="s">
        <v>717</v>
      </c>
      <c r="Q17" s="398"/>
      <c r="R17"/>
      <c r="S17"/>
      <c r="T17"/>
      <c r="U17"/>
    </row>
    <row r="18" spans="2:26" ht="15" customHeight="1" x14ac:dyDescent="0.2">
      <c r="B18" s="397"/>
      <c r="C18" s="684" t="s">
        <v>842</v>
      </c>
      <c r="D18" s="685"/>
      <c r="E18" s="685"/>
      <c r="F18" s="450"/>
      <c r="G18" s="451"/>
      <c r="H18" s="390">
        <f>ROUND((7.85*IF(E22&lt;&gt;0,E22,E24)*G22)/1000,3)</f>
        <v>0</v>
      </c>
      <c r="I18" s="391" t="s">
        <v>393</v>
      </c>
      <c r="J18" s="390">
        <f>(I22*H18)/1000</f>
        <v>0</v>
      </c>
      <c r="K18" s="391" t="s">
        <v>779</v>
      </c>
      <c r="L18" s="383"/>
      <c r="M18" s="383"/>
      <c r="N18" s="383"/>
      <c r="O18" s="401" t="str">
        <f>IFERROR((O17*1000)/H18,"")</f>
        <v/>
      </c>
      <c r="P18" s="400" t="s">
        <v>618</v>
      </c>
      <c r="Q18" s="398"/>
      <c r="R18"/>
      <c r="S18"/>
      <c r="T18"/>
      <c r="U18"/>
    </row>
    <row r="19" spans="2:26" ht="15" customHeight="1" x14ac:dyDescent="0.2">
      <c r="B19" s="397"/>
      <c r="C19" s="684" t="s">
        <v>843</v>
      </c>
      <c r="D19" s="685"/>
      <c r="E19" s="685"/>
      <c r="F19" s="450"/>
      <c r="G19" s="451"/>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72" t="s">
        <v>621</v>
      </c>
      <c r="D21" s="672"/>
      <c r="E21" s="672" t="s">
        <v>622</v>
      </c>
      <c r="F21" s="672"/>
      <c r="G21" s="672" t="s">
        <v>95</v>
      </c>
      <c r="H21" s="672"/>
      <c r="I21" s="672" t="s">
        <v>620</v>
      </c>
      <c r="J21" s="672"/>
      <c r="K21" s="383"/>
      <c r="L21" s="383"/>
      <c r="M21" s="383"/>
      <c r="N21" s="446" t="s">
        <v>636</v>
      </c>
      <c r="O21" s="452"/>
      <c r="P21" s="453" t="s">
        <v>715</v>
      </c>
      <c r="Q21" s="398"/>
    </row>
    <row r="22" spans="2:26" ht="15" customHeight="1" x14ac:dyDescent="0.2">
      <c r="B22" s="397"/>
      <c r="C22" s="409"/>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72" t="s">
        <v>794</v>
      </c>
      <c r="F23" s="672"/>
      <c r="G23" s="383"/>
      <c r="H23" s="383"/>
      <c r="I23" s="383"/>
      <c r="J23" s="383"/>
      <c r="K23" s="383"/>
      <c r="L23" s="718" t="s">
        <v>746</v>
      </c>
      <c r="M23" s="718"/>
      <c r="N23" s="718"/>
      <c r="O23" s="438" t="s">
        <v>709</v>
      </c>
      <c r="P23" s="438" t="s">
        <v>710</v>
      </c>
      <c r="Q23" s="398"/>
    </row>
    <row r="24" spans="2:26" ht="15" customHeight="1" x14ac:dyDescent="0.2">
      <c r="B24" s="397"/>
      <c r="C24" s="383"/>
      <c r="D24" s="383"/>
      <c r="E24" s="389">
        <f>ROUND((C22-(G22/2))*PI(),0)</f>
        <v>0</v>
      </c>
      <c r="F24" s="392" t="s">
        <v>9</v>
      </c>
      <c r="G24" s="383"/>
      <c r="H24" s="383"/>
      <c r="I24" s="379"/>
      <c r="J24" s="383"/>
      <c r="K24" s="383"/>
      <c r="L24" s="685" t="s">
        <v>713</v>
      </c>
      <c r="M24" s="685"/>
      <c r="N24" s="716"/>
      <c r="O24" s="454" t="s">
        <v>116</v>
      </c>
      <c r="P24" s="454" t="s">
        <v>116</v>
      </c>
      <c r="Q24" s="398"/>
      <c r="R24"/>
    </row>
    <row r="25" spans="2:26" ht="15" customHeight="1" x14ac:dyDescent="0.2">
      <c r="B25" s="397"/>
      <c r="C25" s="383"/>
      <c r="D25" s="383"/>
      <c r="E25" s="379"/>
      <c r="F25" s="383"/>
      <c r="G25" s="379"/>
      <c r="H25" s="379"/>
      <c r="I25" s="379"/>
      <c r="J25" s="379"/>
      <c r="K25" s="383"/>
      <c r="L25" s="685" t="s">
        <v>714</v>
      </c>
      <c r="M25" s="685"/>
      <c r="N25" s="716"/>
      <c r="O25" s="454" t="s">
        <v>116</v>
      </c>
      <c r="P25" s="454" t="s">
        <v>116</v>
      </c>
      <c r="Q25" s="398"/>
    </row>
    <row r="26" spans="2:26" ht="15" customHeight="1" x14ac:dyDescent="0.2">
      <c r="B26" s="397"/>
      <c r="C26" s="672" t="s">
        <v>624</v>
      </c>
      <c r="D26" s="672"/>
      <c r="E26" s="672" t="s">
        <v>625</v>
      </c>
      <c r="F26" s="672"/>
      <c r="G26" s="672" t="s">
        <v>627</v>
      </c>
      <c r="H26" s="672"/>
      <c r="I26" s="672" t="s">
        <v>626</v>
      </c>
      <c r="J26" s="672"/>
      <c r="K26" s="141"/>
      <c r="L26" s="685" t="s">
        <v>711</v>
      </c>
      <c r="M26" s="685"/>
      <c r="N26" s="716"/>
      <c r="O26" s="454" t="s">
        <v>116</v>
      </c>
      <c r="P26" s="454" t="s">
        <v>116</v>
      </c>
      <c r="Q26" s="398"/>
      <c r="R26"/>
    </row>
    <row r="27" spans="2:26" ht="15" customHeight="1" x14ac:dyDescent="0.2">
      <c r="B27" s="397"/>
      <c r="C27" s="689" t="b">
        <v>0</v>
      </c>
      <c r="D27" s="689"/>
      <c r="E27" s="689" t="b">
        <v>0</v>
      </c>
      <c r="F27" s="689"/>
      <c r="G27" s="689" t="b">
        <v>0</v>
      </c>
      <c r="H27" s="689"/>
      <c r="I27" s="689" t="b">
        <v>0</v>
      </c>
      <c r="J27" s="689"/>
      <c r="K27" s="141"/>
      <c r="L27" s="685" t="s">
        <v>712</v>
      </c>
      <c r="M27" s="685"/>
      <c r="N27" s="716"/>
      <c r="O27" s="454" t="s">
        <v>116</v>
      </c>
      <c r="P27" s="454"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row>
    <row r="29" spans="2:26" ht="20.100000000000001" customHeight="1" x14ac:dyDescent="0.2">
      <c r="B29" s="397"/>
      <c r="C29" s="688" t="s">
        <v>663</v>
      </c>
      <c r="D29" s="688"/>
      <c r="E29" s="688"/>
      <c r="F29" s="688"/>
      <c r="G29" s="688"/>
      <c r="H29" s="688"/>
      <c r="I29" s="688"/>
      <c r="J29" s="688"/>
      <c r="K29" s="688"/>
      <c r="L29" s="688"/>
      <c r="M29" s="688"/>
      <c r="N29" s="688"/>
      <c r="O29" s="688"/>
      <c r="P29" s="688"/>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696" t="s">
        <v>49</v>
      </c>
      <c r="D31" s="697"/>
      <c r="E31" s="383"/>
      <c r="F31" s="383"/>
      <c r="G31" s="383"/>
      <c r="H31" s="678" t="s">
        <v>583</v>
      </c>
      <c r="I31" s="678"/>
      <c r="J31" s="672" t="s">
        <v>521</v>
      </c>
      <c r="K31" s="672"/>
      <c r="L31" s="672" t="s">
        <v>649</v>
      </c>
      <c r="M31" s="672"/>
      <c r="N31" s="695" t="s">
        <v>707</v>
      </c>
      <c r="O31" s="678"/>
      <c r="P31" s="678"/>
      <c r="Q31" s="398"/>
      <c r="S31" s="723" t="s">
        <v>837</v>
      </c>
      <c r="T31" s="723"/>
      <c r="U31" s="723"/>
      <c r="V31" s="723"/>
      <c r="W31" s="723" t="s">
        <v>848</v>
      </c>
      <c r="X31" s="723"/>
      <c r="Y31" s="638" t="s">
        <v>839</v>
      </c>
      <c r="Z31" s="638" t="s">
        <v>348</v>
      </c>
    </row>
    <row r="32" spans="2:26" s="385" customFormat="1" ht="15" customHeight="1" x14ac:dyDescent="0.2">
      <c r="B32" s="402"/>
      <c r="C32" s="692"/>
      <c r="D32" s="693"/>
      <c r="E32" s="694"/>
      <c r="F32" s="447"/>
      <c r="G32" s="447"/>
      <c r="H32" s="409"/>
      <c r="I32" s="392" t="s">
        <v>720</v>
      </c>
      <c r="J32" s="409"/>
      <c r="K32" s="392" t="s">
        <v>281</v>
      </c>
      <c r="L32" s="690"/>
      <c r="M32" s="691"/>
      <c r="N32" s="719">
        <f>SUMPRODUCT(W33:W36,Z33:Z36)</f>
        <v>0</v>
      </c>
      <c r="O32" s="720"/>
      <c r="P32" s="392" t="s">
        <v>708</v>
      </c>
      <c r="Q32" s="403"/>
      <c r="S32" s="615" t="s">
        <v>840</v>
      </c>
      <c r="T32" s="615" t="s">
        <v>815</v>
      </c>
      <c r="U32" s="615" t="s">
        <v>816</v>
      </c>
      <c r="V32" s="615" t="s">
        <v>817</v>
      </c>
      <c r="W32" s="615" t="s">
        <v>846</v>
      </c>
      <c r="X32" s="615" t="s">
        <v>847</v>
      </c>
      <c r="Y32" s="615" t="s">
        <v>838</v>
      </c>
      <c r="Z32" s="615" t="s">
        <v>834</v>
      </c>
    </row>
    <row r="33" spans="2:26" s="385" customFormat="1" ht="15" customHeight="1" x14ac:dyDescent="0.2">
      <c r="B33" s="402"/>
      <c r="C33" s="447"/>
      <c r="D33" s="447"/>
      <c r="E33" s="447"/>
      <c r="F33" s="141"/>
      <c r="G33" s="447"/>
      <c r="H33" s="409"/>
      <c r="I33" s="392" t="s">
        <v>653</v>
      </c>
      <c r="J33" s="447"/>
      <c r="K33" s="141"/>
      <c r="L33" s="141"/>
      <c r="M33" s="141"/>
      <c r="N33" s="141"/>
      <c r="O33" s="447"/>
      <c r="P33" s="447"/>
      <c r="Q33" s="403"/>
      <c r="S33" s="615" t="s">
        <v>818</v>
      </c>
      <c r="T33" s="377">
        <v>0</v>
      </c>
      <c r="U33" s="377">
        <v>0</v>
      </c>
      <c r="V33" s="445" t="s">
        <v>819</v>
      </c>
      <c r="W33" s="377">
        <v>0</v>
      </c>
      <c r="X33" s="377">
        <v>0</v>
      </c>
      <c r="Y33" s="637">
        <f>(T33*PI())+U33*2</f>
        <v>0</v>
      </c>
      <c r="Z33" s="616">
        <f>((PI())*((T33/2)^2)+(U33*T33))</f>
        <v>0</v>
      </c>
    </row>
    <row r="34" spans="2:26" ht="15" customHeight="1" x14ac:dyDescent="0.2">
      <c r="B34" s="397"/>
      <c r="C34" s="695" t="s">
        <v>105</v>
      </c>
      <c r="D34" s="678"/>
      <c r="E34" s="455" t="b">
        <v>0</v>
      </c>
      <c r="F34" s="141"/>
      <c r="G34" s="141"/>
      <c r="H34" s="383"/>
      <c r="I34" s="383"/>
      <c r="J34" s="672" t="s">
        <v>109</v>
      </c>
      <c r="K34" s="672"/>
      <c r="L34" s="672" t="s">
        <v>703</v>
      </c>
      <c r="M34" s="672"/>
      <c r="N34" s="695" t="s">
        <v>719</v>
      </c>
      <c r="O34" s="678"/>
      <c r="P34" s="678"/>
      <c r="Q34" s="398"/>
      <c r="S34" s="615" t="s">
        <v>833</v>
      </c>
      <c r="T34" s="377">
        <v>0</v>
      </c>
      <c r="U34" s="445" t="s">
        <v>819</v>
      </c>
      <c r="V34" s="445" t="s">
        <v>819</v>
      </c>
      <c r="W34" s="377">
        <v>0</v>
      </c>
      <c r="X34" s="377">
        <v>0</v>
      </c>
      <c r="Y34" s="637">
        <f>T34*PI()</f>
        <v>0</v>
      </c>
      <c r="Z34" s="616">
        <f>(PI())*((T34/2)^2)</f>
        <v>0</v>
      </c>
    </row>
    <row r="35" spans="2:26" ht="15" customHeight="1" x14ac:dyDescent="0.2">
      <c r="B35" s="397"/>
      <c r="C35" s="383"/>
      <c r="D35" s="383"/>
      <c r="E35" s="383"/>
      <c r="F35" s="141"/>
      <c r="G35" s="383"/>
      <c r="H35" s="383"/>
      <c r="I35" s="383"/>
      <c r="J35" s="721"/>
      <c r="K35" s="721"/>
      <c r="L35" s="721"/>
      <c r="M35" s="721"/>
      <c r="N35" s="719">
        <f>SUMPRODUCT(Y33:Y36,W33:W36)</f>
        <v>0</v>
      </c>
      <c r="O35" s="720"/>
      <c r="P35" s="392" t="s">
        <v>9</v>
      </c>
      <c r="Q35" s="398"/>
      <c r="S35" s="615" t="s">
        <v>820</v>
      </c>
      <c r="T35" s="445" t="s">
        <v>819</v>
      </c>
      <c r="U35" s="377">
        <v>0</v>
      </c>
      <c r="V35" s="377">
        <v>0</v>
      </c>
      <c r="W35" s="377">
        <v>0</v>
      </c>
      <c r="X35" s="377">
        <v>0</v>
      </c>
      <c r="Y35" s="637">
        <f>U35*2+V35*2</f>
        <v>0</v>
      </c>
      <c r="Z35" s="616">
        <f>U35*V35</f>
        <v>0</v>
      </c>
    </row>
    <row r="36" spans="2:26" ht="15" customHeight="1" x14ac:dyDescent="0.2">
      <c r="B36" s="397"/>
      <c r="C36" s="696" t="s">
        <v>698</v>
      </c>
      <c r="D36" s="697"/>
      <c r="E36" s="141"/>
      <c r="F36" s="141"/>
      <c r="G36" s="383"/>
      <c r="H36" s="383"/>
      <c r="I36" s="383"/>
      <c r="J36" s="383"/>
      <c r="K36" s="383"/>
      <c r="L36" s="383"/>
      <c r="M36" s="383"/>
      <c r="N36" s="383"/>
      <c r="O36" s="383"/>
      <c r="P36" s="383"/>
      <c r="Q36" s="398"/>
      <c r="S36" s="615" t="s">
        <v>821</v>
      </c>
      <c r="T36" s="445" t="s">
        <v>819</v>
      </c>
      <c r="U36" s="377">
        <v>0</v>
      </c>
      <c r="V36" s="445" t="s">
        <v>819</v>
      </c>
      <c r="W36" s="377">
        <v>0</v>
      </c>
      <c r="X36" s="377">
        <v>0</v>
      </c>
      <c r="Y36" s="637">
        <f>U36*4</f>
        <v>0</v>
      </c>
      <c r="Z36" s="616">
        <f>U36*U36</f>
        <v>0</v>
      </c>
    </row>
    <row r="37" spans="2:26" ht="15" customHeight="1" x14ac:dyDescent="0.2">
      <c r="B37" s="397"/>
      <c r="C37" s="456"/>
      <c r="D37" s="456"/>
      <c r="E37" s="456"/>
      <c r="F37" s="417"/>
      <c r="G37" s="418"/>
      <c r="H37" s="418"/>
      <c r="I37" s="418"/>
      <c r="J37" s="418"/>
      <c r="K37" s="672" t="s">
        <v>650</v>
      </c>
      <c r="L37" s="672"/>
      <c r="M37" s="672" t="s">
        <v>814</v>
      </c>
      <c r="N37" s="672"/>
      <c r="O37" s="672" t="s">
        <v>804</v>
      </c>
      <c r="P37" s="672"/>
      <c r="Q37" s="398"/>
      <c r="S37"/>
      <c r="T37"/>
      <c r="Y37"/>
    </row>
    <row r="38" spans="2:26" ht="15" customHeight="1" x14ac:dyDescent="0.2">
      <c r="B38" s="397"/>
      <c r="C38" s="383"/>
      <c r="D38" s="383"/>
      <c r="E38" s="383"/>
      <c r="F38" s="383"/>
      <c r="G38" s="383"/>
      <c r="H38" s="383"/>
      <c r="I38" s="383"/>
      <c r="J38" s="383"/>
      <c r="K38" s="698"/>
      <c r="L38" s="698"/>
      <c r="M38" s="614"/>
      <c r="N38" s="556" t="s">
        <v>653</v>
      </c>
      <c r="O38" s="675"/>
      <c r="P38" s="675"/>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72" t="s">
        <v>701</v>
      </c>
      <c r="L40" s="672"/>
      <c r="M40" s="672" t="s">
        <v>702</v>
      </c>
      <c r="N40" s="672"/>
      <c r="O40" s="672" t="s">
        <v>688</v>
      </c>
      <c r="P40" s="672"/>
      <c r="Q40" s="398"/>
    </row>
    <row r="41" spans="2:26" ht="15" customHeight="1" x14ac:dyDescent="0.2">
      <c r="B41" s="397"/>
      <c r="C41" s="383"/>
      <c r="D41" s="383"/>
      <c r="E41" s="383"/>
      <c r="F41" s="383"/>
      <c r="G41" s="383"/>
      <c r="H41" s="383"/>
      <c r="I41" s="383"/>
      <c r="J41" s="383"/>
      <c r="K41" s="434">
        <f>IFERROR(IF(VLOOKUP($C$32,'Listas de Dados'!$A:$F,2,0)&lt;7,IF(C22&gt;=200,8,VLOOKUP(C32,'Listas de Dados'!A:F,4,0)),(VLOOKUP(C32,'Listas de Dados'!A:F,4,0)*K38/60)),0)</f>
        <v>0</v>
      </c>
      <c r="L41" s="392" t="s">
        <v>653</v>
      </c>
      <c r="M41" s="389">
        <f>IFERROR(VLOOKUP(J35,'Listas de Dados'!Z:AB,3,0),0)</f>
        <v>0</v>
      </c>
      <c r="N41" s="392" t="s">
        <v>653</v>
      </c>
      <c r="O41" s="389">
        <f>IFERROR(IF(E34,VLOOKUP(C32&amp;L35,'Listas de Dados'!AP:AQ,2,0),0),0)</f>
        <v>0</v>
      </c>
      <c r="P41" s="392" t="s">
        <v>653</v>
      </c>
      <c r="Q41" s="398"/>
    </row>
    <row r="42" spans="2:26" ht="15" customHeight="1" x14ac:dyDescent="0.2">
      <c r="B42" s="397"/>
      <c r="C42" s="383"/>
      <c r="D42" s="383"/>
      <c r="E42" s="383"/>
      <c r="F42" s="383"/>
      <c r="G42" s="383"/>
      <c r="H42" s="383"/>
      <c r="I42" s="383"/>
      <c r="J42" s="383"/>
      <c r="K42" s="456"/>
      <c r="L42" s="456"/>
      <c r="M42" s="456"/>
      <c r="N42" s="417"/>
      <c r="O42" s="418"/>
      <c r="P42" s="418"/>
      <c r="Q42" s="398"/>
    </row>
    <row r="43" spans="2:26" ht="15" customHeight="1" x14ac:dyDescent="0.2">
      <c r="B43" s="397"/>
      <c r="C43" s="383"/>
      <c r="D43" s="383"/>
      <c r="E43" s="383"/>
      <c r="F43" s="383"/>
      <c r="G43" s="383"/>
      <c r="H43" s="383"/>
      <c r="I43" s="379"/>
      <c r="J43" s="379"/>
      <c r="K43" s="672" t="s">
        <v>697</v>
      </c>
      <c r="L43" s="672"/>
      <c r="M43" s="672" t="s">
        <v>792</v>
      </c>
      <c r="N43" s="672"/>
      <c r="O43" s="670" t="s">
        <v>730</v>
      </c>
      <c r="P43" s="671"/>
      <c r="Q43" s="398"/>
    </row>
    <row r="44" spans="2:26" ht="15" customHeight="1" x14ac:dyDescent="0.2">
      <c r="B44" s="397"/>
      <c r="C44" s="383"/>
      <c r="D44" s="383"/>
      <c r="E44" s="383"/>
      <c r="F44" s="383"/>
      <c r="G44" s="383"/>
      <c r="H44" s="383"/>
      <c r="I44" s="379"/>
      <c r="J44" s="379"/>
      <c r="K44" s="434">
        <f>IFERROR(K41+H33+O41+M41,0)</f>
        <v>0</v>
      </c>
      <c r="L44" s="392" t="s">
        <v>653</v>
      </c>
      <c r="M44" s="434">
        <f>IFERROR(K38*(VLOOKUP(C32,'Listas de Dados'!A:F,5,0)/60),0)</f>
        <v>0</v>
      </c>
      <c r="N44" s="566" t="s">
        <v>653</v>
      </c>
      <c r="O44" s="442">
        <f>J18*(1-(O47/100))</f>
        <v>0</v>
      </c>
      <c r="P44" s="392" t="s">
        <v>731</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72" t="s">
        <v>651</v>
      </c>
      <c r="L46" s="672"/>
      <c r="M46" s="672" t="s">
        <v>662</v>
      </c>
      <c r="N46" s="672"/>
      <c r="O46" s="672" t="s">
        <v>661</v>
      </c>
      <c r="P46" s="672"/>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72" t="s">
        <v>686</v>
      </c>
      <c r="L49" s="672"/>
      <c r="M49" s="699"/>
      <c r="N49" s="699"/>
      <c r="O49" s="672" t="s">
        <v>658</v>
      </c>
      <c r="P49" s="672"/>
      <c r="Q49" s="398"/>
    </row>
    <row r="50" spans="2:17" ht="15" customHeight="1" x14ac:dyDescent="0.2">
      <c r="B50" s="397"/>
      <c r="C50" s="383"/>
      <c r="D50" s="383"/>
      <c r="E50" s="383"/>
      <c r="F50" s="383"/>
      <c r="G50" s="383"/>
      <c r="H50" s="383"/>
      <c r="I50" s="379"/>
      <c r="J50" s="379"/>
      <c r="K50" s="434">
        <f>IFERROR(SUM(K47,(L32*100),O47,M47),"")</f>
        <v>0</v>
      </c>
      <c r="L50" s="392" t="s">
        <v>292</v>
      </c>
      <c r="M50" s="699"/>
      <c r="N50" s="699"/>
      <c r="O50" s="434">
        <f>IFERROR((M56+K44)/(M38*O38),0)</f>
        <v>0</v>
      </c>
      <c r="P50" s="392" t="s">
        <v>657</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72" t="s">
        <v>64</v>
      </c>
      <c r="L52" s="672"/>
      <c r="M52" s="672" t="s">
        <v>655</v>
      </c>
      <c r="N52" s="672"/>
      <c r="O52" s="672" t="s">
        <v>652</v>
      </c>
      <c r="P52" s="672"/>
      <c r="Q52" s="398"/>
    </row>
    <row r="53" spans="2:17" ht="15" customHeight="1" x14ac:dyDescent="0.2">
      <c r="B53" s="397"/>
      <c r="C53" s="383"/>
      <c r="D53" s="383"/>
      <c r="E53" s="379"/>
      <c r="F53" s="383"/>
      <c r="G53" s="379"/>
      <c r="H53" s="379"/>
      <c r="I53" s="379"/>
      <c r="J53" s="379"/>
      <c r="K53" s="389">
        <f>IFERROR(VLOOKUP(C32,'Listas de Dados'!A:F,6,0),0)</f>
        <v>0</v>
      </c>
      <c r="L53" s="392" t="s">
        <v>292</v>
      </c>
      <c r="M53" s="434">
        <f>IFERROR((K44*60)/O17,0)</f>
        <v>0</v>
      </c>
      <c r="N53" s="392" t="s">
        <v>654</v>
      </c>
      <c r="O53" s="389">
        <f>IFERROR(ROUND(((J32*H18/1000)^(-1))*((1+(100-K53)/100)),2),0)</f>
        <v>0</v>
      </c>
      <c r="P53" s="392" t="s">
        <v>654</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72" t="s">
        <v>659</v>
      </c>
      <c r="L55" s="672"/>
      <c r="M55" s="672" t="s">
        <v>656</v>
      </c>
      <c r="N55" s="672"/>
      <c r="O55" s="672" t="s">
        <v>656</v>
      </c>
      <c r="P55" s="672"/>
      <c r="Q55" s="398"/>
    </row>
    <row r="56" spans="2:17" ht="15" customHeight="1" x14ac:dyDescent="0.2">
      <c r="B56" s="397"/>
      <c r="C56" s="383"/>
      <c r="D56" s="383"/>
      <c r="E56" s="379"/>
      <c r="F56" s="383"/>
      <c r="G56" s="379"/>
      <c r="H56" s="379"/>
      <c r="I56" s="379"/>
      <c r="J56" s="379"/>
      <c r="K56" s="435">
        <f>IFERROR((O53^-1)*M38*60*O38,0)</f>
        <v>0</v>
      </c>
      <c r="L56" s="392" t="s">
        <v>660</v>
      </c>
      <c r="M56" s="434">
        <f>IFERROR(O53*O17/60,0)</f>
        <v>0</v>
      </c>
      <c r="N56" s="620" t="s">
        <v>653</v>
      </c>
      <c r="O56" s="434">
        <f>IFERROR(M56/(M38*O38),0)</f>
        <v>0</v>
      </c>
      <c r="P56" s="392" t="s">
        <v>657</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72" t="s">
        <v>718</v>
      </c>
      <c r="L58" s="672"/>
      <c r="M58" s="672" t="s">
        <v>349</v>
      </c>
      <c r="N58" s="672"/>
      <c r="O58" s="672" t="s">
        <v>311</v>
      </c>
      <c r="P58" s="672"/>
      <c r="Q58" s="398"/>
    </row>
    <row r="59" spans="2:17" ht="15" customHeight="1" x14ac:dyDescent="0.2">
      <c r="B59" s="397"/>
      <c r="C59" s="141"/>
      <c r="D59" s="141"/>
      <c r="E59" s="141"/>
      <c r="F59" s="141"/>
      <c r="G59" s="141"/>
      <c r="H59" s="141"/>
      <c r="I59" s="141"/>
      <c r="J59" s="141"/>
      <c r="K59" s="435">
        <f>IFERROR((SUMPRODUCT(Y33:Y36,X33:X36)*G22*P25*0.8)/9.81/1000,0)</f>
        <v>0</v>
      </c>
      <c r="L59" s="392" t="s">
        <v>717</v>
      </c>
      <c r="M59" s="434">
        <f>IFERROR((((P25*0.8)*E22*G22)/9.81)/1000,0)</f>
        <v>0</v>
      </c>
      <c r="N59" s="392" t="s">
        <v>717</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72" t="s">
        <v>828</v>
      </c>
      <c r="L61" s="672"/>
      <c r="M61" s="672" t="s">
        <v>829</v>
      </c>
      <c r="N61" s="672"/>
      <c r="O61" s="672" t="s">
        <v>830</v>
      </c>
      <c r="P61" s="672"/>
      <c r="Q61" s="398"/>
    </row>
    <row r="62" spans="2:17" ht="15" customHeight="1" x14ac:dyDescent="0.2">
      <c r="B62" s="397"/>
      <c r="C62" s="141"/>
      <c r="D62" s="141"/>
      <c r="E62" s="141"/>
      <c r="F62" s="141"/>
      <c r="G62" s="141"/>
      <c r="H62" s="141"/>
      <c r="I62" s="141"/>
      <c r="J62" s="141"/>
      <c r="K62" s="434">
        <f>VLOOKUP(G22,'Listas de Dados'!$AS$4:$AW$7,2,1)</f>
        <v>0.95</v>
      </c>
      <c r="L62" s="618" t="s">
        <v>654</v>
      </c>
      <c r="M62" s="389">
        <f>VLOOKUP(G22,'Listas de Dados'!$AS$4:$AW$7,3,1)</f>
        <v>3.85</v>
      </c>
      <c r="N62" s="618" t="s">
        <v>654</v>
      </c>
      <c r="O62" s="389">
        <f>VLOOKUP(G22,'Listas de Dados'!$AS$4:$AW$7,4,1)</f>
        <v>1.5</v>
      </c>
      <c r="P62" s="613" t="s">
        <v>292</v>
      </c>
      <c r="Q62" s="398"/>
    </row>
    <row r="63" spans="2:17" ht="15" customHeight="1" x14ac:dyDescent="0.2">
      <c r="B63" s="397"/>
      <c r="C63" s="141"/>
      <c r="D63" s="141"/>
      <c r="E63" s="141"/>
      <c r="F63" s="141"/>
      <c r="G63" s="141"/>
      <c r="H63" s="141"/>
      <c r="I63" s="141"/>
      <c r="J63" s="141"/>
      <c r="K63" s="538"/>
      <c r="L63" s="538"/>
      <c r="M63" s="538"/>
      <c r="N63" s="538"/>
      <c r="O63" s="538"/>
      <c r="P63" s="538"/>
      <c r="Q63" s="398"/>
    </row>
    <row r="64" spans="2:17" ht="15" customHeight="1" outlineLevel="1" x14ac:dyDescent="0.2">
      <c r="B64" s="397"/>
      <c r="C64" s="141"/>
      <c r="D64" s="141"/>
      <c r="E64" s="141"/>
      <c r="F64" s="141"/>
      <c r="G64" s="141"/>
      <c r="H64" s="141"/>
      <c r="I64" s="141"/>
      <c r="J64" s="141"/>
      <c r="K64" s="639"/>
      <c r="L64" s="640"/>
      <c r="M64" s="640"/>
      <c r="N64" s="640"/>
      <c r="O64" s="523"/>
      <c r="P64" s="524"/>
      <c r="Q64" s="398"/>
    </row>
    <row r="65" spans="2:20" ht="15" customHeight="1" outlineLevel="1" x14ac:dyDescent="0.2">
      <c r="B65" s="397"/>
      <c r="C65" s="141"/>
      <c r="D65" s="141"/>
      <c r="E65" s="141"/>
      <c r="F65" s="141"/>
      <c r="G65" s="141"/>
      <c r="H65" s="141"/>
      <c r="I65" s="141"/>
      <c r="J65" s="141"/>
      <c r="K65" s="641"/>
      <c r="L65" s="642"/>
      <c r="M65" s="642"/>
      <c r="N65" s="642"/>
      <c r="O65" s="525"/>
      <c r="P65" s="526"/>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39"/>
      <c r="L67" s="640"/>
      <c r="M67" s="640"/>
      <c r="N67" s="640"/>
      <c r="O67" s="523"/>
      <c r="P67" s="524"/>
      <c r="Q67" s="398"/>
    </row>
    <row r="68" spans="2:20" ht="15" customHeight="1" outlineLevel="1" x14ac:dyDescent="0.2">
      <c r="B68" s="397"/>
      <c r="C68" s="141"/>
      <c r="D68" s="141"/>
      <c r="E68" s="141"/>
      <c r="F68" s="141"/>
      <c r="G68" s="141"/>
      <c r="H68" s="141"/>
      <c r="I68" s="141"/>
      <c r="J68" s="141"/>
      <c r="K68" s="641"/>
      <c r="L68" s="642"/>
      <c r="M68" s="642"/>
      <c r="N68" s="642"/>
      <c r="O68" s="525"/>
      <c r="P68" s="526"/>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683" t="s">
        <v>852</v>
      </c>
      <c r="L70" s="683"/>
      <c r="M70" s="683"/>
      <c r="N70" s="683"/>
      <c r="O70" s="683"/>
      <c r="P70" s="683"/>
      <c r="Q70" s="398"/>
    </row>
    <row r="71" spans="2:20" ht="15" customHeight="1" outlineLevel="1" x14ac:dyDescent="0.2">
      <c r="B71" s="397"/>
      <c r="C71" s="141"/>
      <c r="D71" s="141"/>
      <c r="E71" s="141"/>
      <c r="F71" s="141"/>
      <c r="G71" s="141"/>
      <c r="H71" s="141"/>
      <c r="I71" s="141"/>
      <c r="J71" s="141"/>
      <c r="K71" s="684" t="s">
        <v>858</v>
      </c>
      <c r="L71" s="685"/>
      <c r="M71" s="685"/>
      <c r="N71" s="686"/>
      <c r="O71" s="681">
        <f ca="1">IFERROR(INDEX(Investimentos!B:W,MATCH($E$8,Investimentos!B:B,0),14),0)</f>
        <v>0</v>
      </c>
      <c r="P71" s="681"/>
      <c r="Q71" s="398"/>
    </row>
    <row r="72" spans="2:20" ht="15" customHeight="1" outlineLevel="1" x14ac:dyDescent="0.2">
      <c r="B72" s="397"/>
      <c r="C72" s="538"/>
      <c r="D72" s="538"/>
      <c r="E72" s="538"/>
      <c r="F72" s="538"/>
      <c r="G72" s="538"/>
      <c r="H72" s="538"/>
      <c r="I72" s="538"/>
      <c r="J72" s="538"/>
      <c r="K72" s="684" t="s">
        <v>850</v>
      </c>
      <c r="L72" s="685"/>
      <c r="M72" s="685"/>
      <c r="N72" s="686"/>
      <c r="O72" s="681">
        <f ca="1">IFERROR(INDEX(Investimentos!B:W,MATCH($E$8,Investimentos!B:B,0),15),0)</f>
        <v>0</v>
      </c>
      <c r="P72" s="681"/>
      <c r="Q72" s="398"/>
    </row>
    <row r="73" spans="2:20" ht="15" customHeight="1" outlineLevel="1" x14ac:dyDescent="0.2">
      <c r="B73" s="397"/>
      <c r="C73" s="538"/>
      <c r="D73" s="538"/>
      <c r="E73" s="538"/>
      <c r="F73" s="538"/>
      <c r="G73" s="538"/>
      <c r="H73" s="538"/>
      <c r="I73" s="538"/>
      <c r="J73" s="538"/>
      <c r="K73" s="684" t="s">
        <v>851</v>
      </c>
      <c r="L73" s="685"/>
      <c r="M73" s="685"/>
      <c r="N73" s="686"/>
      <c r="O73" s="681">
        <f ca="1">IFERROR(INDEX(Investimentos!B:W,MATCH($E$8,Investimentos!B:B,0),16),0)</f>
        <v>0</v>
      </c>
      <c r="P73" s="681"/>
      <c r="Q73" s="398"/>
    </row>
    <row r="74" spans="2:20" ht="15" customHeight="1" outlineLevel="1" x14ac:dyDescent="0.2">
      <c r="B74" s="397"/>
      <c r="C74" s="538"/>
      <c r="D74" s="538"/>
      <c r="E74" s="538"/>
      <c r="F74" s="538"/>
      <c r="G74" s="538"/>
      <c r="H74" s="538"/>
      <c r="I74" s="538"/>
      <c r="J74" s="538"/>
      <c r="K74" s="684" t="s">
        <v>871</v>
      </c>
      <c r="L74" s="685"/>
      <c r="M74" s="685"/>
      <c r="N74" s="686"/>
      <c r="O74" s="681">
        <f ca="1">IFERROR(INDEX(Investimentos!B:W,MATCH($E$8,Investimentos!B:B,0),17),0)</f>
        <v>0</v>
      </c>
      <c r="P74" s="681"/>
      <c r="Q74" s="398"/>
    </row>
    <row r="75" spans="2:20" ht="15" customHeight="1" outlineLevel="1" x14ac:dyDescent="0.2">
      <c r="B75" s="397"/>
      <c r="C75" s="538"/>
      <c r="D75" s="538"/>
      <c r="E75" s="538"/>
      <c r="F75" s="538"/>
      <c r="G75" s="538"/>
      <c r="H75" s="538"/>
      <c r="I75" s="538"/>
      <c r="J75" s="538"/>
      <c r="K75" s="684" t="s">
        <v>872</v>
      </c>
      <c r="L75" s="685"/>
      <c r="M75" s="685"/>
      <c r="N75" s="686"/>
      <c r="O75" s="681">
        <f ca="1">IFERROR(INDEX(Investimentos!B:W,MATCH($E$8,Investimentos!B:B,0),18),0)</f>
        <v>0</v>
      </c>
      <c r="P75" s="681"/>
      <c r="Q75" s="398"/>
    </row>
    <row r="76" spans="2:20" ht="15" customHeight="1" outlineLevel="1" x14ac:dyDescent="0.2">
      <c r="B76" s="397"/>
      <c r="C76" s="538"/>
      <c r="D76" s="538"/>
      <c r="E76" s="538"/>
      <c r="F76" s="538"/>
      <c r="G76" s="538"/>
      <c r="H76" s="538"/>
      <c r="I76" s="538"/>
      <c r="J76" s="538"/>
      <c r="K76" s="684" t="s">
        <v>873</v>
      </c>
      <c r="L76" s="685"/>
      <c r="M76" s="685"/>
      <c r="N76" s="686"/>
      <c r="O76" s="681">
        <f ca="1">IFERROR(INDEX(Investimentos!B:W,MATCH($E$8,Investimentos!B:B,0),19),0)</f>
        <v>0</v>
      </c>
      <c r="P76" s="681"/>
      <c r="Q76" s="398"/>
      <c r="S76" s="661"/>
      <c r="T76" s="661"/>
    </row>
    <row r="77" spans="2:20" ht="15" customHeight="1" outlineLevel="1" x14ac:dyDescent="0.2">
      <c r="B77" s="397"/>
      <c r="C77" s="538"/>
      <c r="D77" s="538"/>
      <c r="E77" s="538"/>
      <c r="F77" s="538"/>
      <c r="G77" s="538"/>
      <c r="H77" s="538"/>
      <c r="I77" s="538"/>
      <c r="J77" s="538"/>
      <c r="K77" s="684" t="s">
        <v>874</v>
      </c>
      <c r="L77" s="685"/>
      <c r="M77" s="685"/>
      <c r="N77" s="686"/>
      <c r="O77" s="681">
        <f ca="1">IFERROR(INDEX(Investimentos!B:W,MATCH($E$8,Investimentos!B:B,0),20),0)</f>
        <v>0</v>
      </c>
      <c r="P77" s="681"/>
      <c r="Q77" s="398"/>
    </row>
    <row r="78" spans="2:20" ht="15" customHeight="1" outlineLevel="1" x14ac:dyDescent="0.2">
      <c r="B78" s="397"/>
      <c r="C78" s="521"/>
      <c r="D78" s="521"/>
      <c r="E78" s="521"/>
      <c r="F78" s="521"/>
      <c r="G78" s="521"/>
      <c r="H78" s="521"/>
      <c r="I78" s="521"/>
      <c r="J78" s="521"/>
      <c r="K78" s="687"/>
      <c r="L78" s="687"/>
      <c r="M78" s="687"/>
      <c r="N78" s="687"/>
      <c r="O78" s="682">
        <v>0</v>
      </c>
      <c r="P78" s="682"/>
      <c r="Q78" s="398"/>
    </row>
    <row r="79" spans="2:20" ht="15" customHeight="1" outlineLevel="1" x14ac:dyDescent="0.2">
      <c r="B79" s="397"/>
      <c r="C79" s="521"/>
      <c r="D79" s="521"/>
      <c r="E79" s="521"/>
      <c r="F79" s="521"/>
      <c r="G79" s="521"/>
      <c r="H79" s="521"/>
      <c r="I79" s="521"/>
      <c r="J79" s="521"/>
      <c r="K79" s="687"/>
      <c r="L79" s="687"/>
      <c r="M79" s="687"/>
      <c r="N79" s="687"/>
      <c r="O79" s="682">
        <v>0</v>
      </c>
      <c r="P79" s="682"/>
      <c r="Q79" s="398"/>
    </row>
    <row r="80" spans="2:20" ht="15" customHeight="1" outlineLevel="1" x14ac:dyDescent="0.2">
      <c r="B80" s="397"/>
      <c r="C80" s="141"/>
      <c r="D80" s="141"/>
      <c r="E80" s="141"/>
      <c r="F80" s="141"/>
      <c r="G80" s="141"/>
      <c r="H80" s="141"/>
      <c r="I80" s="141"/>
      <c r="J80" s="141"/>
      <c r="K80" s="684" t="s">
        <v>849</v>
      </c>
      <c r="L80" s="685"/>
      <c r="M80" s="685"/>
      <c r="N80" s="686"/>
      <c r="O80" s="681">
        <f ca="1">SUM(O71:P79)</f>
        <v>0</v>
      </c>
      <c r="P80" s="681"/>
      <c r="Q80" s="398"/>
    </row>
    <row r="81" spans="2:18" ht="15" customHeight="1" thickBot="1" x14ac:dyDescent="0.25">
      <c r="B81" s="404"/>
      <c r="C81" s="457"/>
      <c r="D81" s="457"/>
      <c r="E81" s="457"/>
      <c r="F81" s="457"/>
      <c r="G81" s="457"/>
      <c r="H81" s="457"/>
      <c r="I81" s="457"/>
      <c r="J81" s="457"/>
      <c r="K81" s="457"/>
      <c r="L81" s="457"/>
      <c r="M81" s="457"/>
      <c r="N81" s="457"/>
      <c r="O81" s="457"/>
      <c r="P81" s="457"/>
      <c r="Q81" s="406"/>
    </row>
    <row r="82" spans="2:18" ht="4.5" hidden="1" customHeight="1" outlineLevel="1" x14ac:dyDescent="0.2">
      <c r="B82" s="394"/>
      <c r="C82" s="395"/>
      <c r="D82" s="395"/>
      <c r="E82" s="459"/>
      <c r="F82" s="395"/>
      <c r="G82" s="459"/>
      <c r="H82" s="459"/>
      <c r="I82" s="459"/>
      <c r="J82" s="459"/>
      <c r="K82" s="458"/>
      <c r="L82" s="458"/>
      <c r="M82" s="458"/>
      <c r="N82" s="458"/>
      <c r="O82" s="458"/>
      <c r="P82" s="458"/>
      <c r="Q82" s="396"/>
    </row>
    <row r="83" spans="2:18" ht="20.100000000000001" hidden="1" customHeight="1" outlineLevel="1" x14ac:dyDescent="0.2">
      <c r="B83" s="397"/>
      <c r="C83" s="722" t="s">
        <v>806</v>
      </c>
      <c r="D83" s="722"/>
      <c r="E83" s="722"/>
      <c r="F83" s="722"/>
      <c r="G83" s="722"/>
      <c r="H83" s="722"/>
      <c r="I83" s="722"/>
      <c r="J83" s="722"/>
      <c r="K83" s="722"/>
      <c r="L83" s="722"/>
      <c r="M83" s="722"/>
      <c r="N83" s="722"/>
      <c r="O83" s="722"/>
      <c r="P83" s="722"/>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0" t="s">
        <v>668</v>
      </c>
      <c r="D85" s="671"/>
      <c r="E85" s="671"/>
      <c r="F85" s="440"/>
      <c r="G85" s="440"/>
      <c r="H85" s="440"/>
      <c r="I85" s="440"/>
      <c r="J85" s="440"/>
      <c r="K85" s="440"/>
      <c r="L85" s="440"/>
      <c r="M85" s="440"/>
      <c r="N85" s="440"/>
      <c r="O85" s="440"/>
      <c r="P85" s="440"/>
      <c r="Q85" s="398"/>
      <c r="R85" s="386"/>
    </row>
    <row r="86" spans="2:18" ht="15" hidden="1" customHeight="1" outlineLevel="2" x14ac:dyDescent="0.2">
      <c r="B86" s="397"/>
      <c r="C86" s="676"/>
      <c r="D86" s="677"/>
      <c r="E86" s="677"/>
      <c r="F86" s="677"/>
      <c r="G86" s="677"/>
      <c r="H86" s="141"/>
      <c r="I86" s="678" t="s">
        <v>583</v>
      </c>
      <c r="J86" s="678"/>
      <c r="K86" s="670" t="s">
        <v>721</v>
      </c>
      <c r="L86" s="671"/>
      <c r="M86" s="670" t="s">
        <v>812</v>
      </c>
      <c r="N86" s="671"/>
      <c r="O86" s="670" t="s">
        <v>732</v>
      </c>
      <c r="P86" s="671"/>
      <c r="Q86" s="398"/>
      <c r="R86" s="387"/>
    </row>
    <row r="87" spans="2:18" ht="15" hidden="1" customHeight="1" outlineLevel="2" x14ac:dyDescent="0.2">
      <c r="B87" s="397"/>
      <c r="C87" s="141"/>
      <c r="D87" s="141"/>
      <c r="E87" s="141"/>
      <c r="F87" s="141"/>
      <c r="G87" s="141"/>
      <c r="H87" s="141"/>
      <c r="I87" s="409"/>
      <c r="J87" s="392" t="s">
        <v>728</v>
      </c>
      <c r="K87" s="409"/>
      <c r="L87" s="392" t="s">
        <v>722</v>
      </c>
      <c r="M87" s="545">
        <v>0</v>
      </c>
      <c r="N87" s="611" t="s">
        <v>292</v>
      </c>
      <c r="O87" s="545">
        <v>0</v>
      </c>
      <c r="P87" s="573" t="s">
        <v>780</v>
      </c>
      <c r="Q87" s="398"/>
      <c r="R87" s="387"/>
    </row>
    <row r="88" spans="2:18" ht="15" hidden="1" customHeight="1" outlineLevel="2" x14ac:dyDescent="0.2">
      <c r="B88" s="397"/>
      <c r="C88" s="141"/>
      <c r="D88" s="670" t="s">
        <v>805</v>
      </c>
      <c r="E88" s="671"/>
      <c r="F88" s="670" t="s">
        <v>163</v>
      </c>
      <c r="G88" s="671"/>
      <c r="H88" s="141"/>
      <c r="I88" s="409"/>
      <c r="J88" s="392" t="s">
        <v>664</v>
      </c>
      <c r="K88" s="383"/>
      <c r="L88" s="383"/>
      <c r="M88" s="383"/>
      <c r="N88" s="383"/>
      <c r="O88" s="383"/>
      <c r="P88" s="383"/>
      <c r="Q88" s="398"/>
      <c r="R88" s="387"/>
    </row>
    <row r="89" spans="2:18" ht="15" hidden="1" customHeight="1" outlineLevel="2" x14ac:dyDescent="0.2">
      <c r="B89" s="397"/>
      <c r="C89" s="141"/>
      <c r="D89" s="441"/>
      <c r="E89" s="392" t="s">
        <v>9</v>
      </c>
      <c r="F89" s="389">
        <f>D89*D92+F92</f>
        <v>0</v>
      </c>
      <c r="G89" s="392" t="s">
        <v>9</v>
      </c>
      <c r="H89" s="141"/>
      <c r="I89" s="383"/>
      <c r="J89" s="383"/>
      <c r="M89" s="672" t="s">
        <v>814</v>
      </c>
      <c r="N89" s="672"/>
      <c r="O89" s="672" t="s">
        <v>804</v>
      </c>
      <c r="P89" s="672"/>
      <c r="Q89" s="398"/>
      <c r="R89" s="387"/>
    </row>
    <row r="90" spans="2:18" ht="15" hidden="1" customHeight="1" outlineLevel="2" x14ac:dyDescent="0.2">
      <c r="B90" s="397"/>
      <c r="C90" s="141"/>
      <c r="D90" s="383"/>
      <c r="E90" s="383"/>
      <c r="F90" s="383"/>
      <c r="G90" s="383"/>
      <c r="H90" s="383"/>
      <c r="I90" s="383"/>
      <c r="J90" s="383"/>
      <c r="M90" s="614">
        <v>8.48</v>
      </c>
      <c r="N90" s="556" t="s">
        <v>653</v>
      </c>
      <c r="O90" s="675">
        <v>1</v>
      </c>
      <c r="P90" s="675"/>
      <c r="Q90" s="398"/>
      <c r="R90" s="387"/>
    </row>
    <row r="91" spans="2:18" ht="15" hidden="1" customHeight="1" outlineLevel="2" x14ac:dyDescent="0.2">
      <c r="B91" s="397"/>
      <c r="C91" s="141"/>
      <c r="D91" s="673" t="s">
        <v>727</v>
      </c>
      <c r="E91" s="679"/>
      <c r="F91" s="673" t="s">
        <v>72</v>
      </c>
      <c r="G91" s="674"/>
      <c r="H91" s="383"/>
      <c r="I91" s="383"/>
      <c r="J91" s="383"/>
      <c r="K91" s="383"/>
      <c r="L91" s="383"/>
      <c r="M91" s="383"/>
      <c r="N91" s="383"/>
      <c r="O91" s="383"/>
      <c r="P91" s="383"/>
      <c r="Q91" s="398"/>
      <c r="R91" s="388"/>
    </row>
    <row r="92" spans="2:18" ht="15" hidden="1" customHeight="1" outlineLevel="2" x14ac:dyDescent="0.2">
      <c r="B92" s="397"/>
      <c r="C92" s="141"/>
      <c r="D92" s="409">
        <v>1</v>
      </c>
      <c r="E92" s="573" t="s">
        <v>728</v>
      </c>
      <c r="F92" s="575">
        <v>0</v>
      </c>
      <c r="G92" s="573" t="s">
        <v>9</v>
      </c>
      <c r="H92" s="383"/>
      <c r="I92" s="670" t="s">
        <v>723</v>
      </c>
      <c r="J92" s="671"/>
      <c r="K92" s="672" t="s">
        <v>651</v>
      </c>
      <c r="L92" s="672"/>
      <c r="M92" s="672" t="s">
        <v>724</v>
      </c>
      <c r="N92" s="672"/>
      <c r="O92" s="672" t="s">
        <v>686</v>
      </c>
      <c r="P92" s="672"/>
      <c r="Q92" s="398"/>
      <c r="R92" s="388"/>
    </row>
    <row r="93" spans="2:18" ht="15" hidden="1" customHeight="1" outlineLevel="2" x14ac:dyDescent="0.2">
      <c r="B93" s="397"/>
      <c r="C93" s="141"/>
      <c r="D93" s="383"/>
      <c r="E93" s="383"/>
      <c r="F93" s="383"/>
      <c r="G93" s="383"/>
      <c r="H93" s="383"/>
      <c r="I93" s="434" t="str">
        <f>IFERROR((F89-D89*D92)/F89*100,"")</f>
        <v/>
      </c>
      <c r="J93" s="573"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0" t="s">
        <v>729</v>
      </c>
      <c r="E94" s="671"/>
      <c r="F94" s="670" t="s">
        <v>730</v>
      </c>
      <c r="G94" s="671"/>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731</v>
      </c>
      <c r="F95" s="389">
        <f>D95-O87</f>
        <v>0</v>
      </c>
      <c r="G95" s="392" t="s">
        <v>731</v>
      </c>
      <c r="H95" s="383"/>
      <c r="I95" s="672" t="s">
        <v>721</v>
      </c>
      <c r="J95" s="672"/>
      <c r="K95" s="672" t="s">
        <v>658</v>
      </c>
      <c r="L95" s="672"/>
      <c r="M95" s="672" t="s">
        <v>741</v>
      </c>
      <c r="N95" s="672"/>
      <c r="O95" s="672" t="s">
        <v>64</v>
      </c>
      <c r="P95" s="672"/>
      <c r="Q95" s="398"/>
      <c r="R95" s="387"/>
    </row>
    <row r="96" spans="2:18" ht="15" hidden="1" customHeight="1" outlineLevel="2" x14ac:dyDescent="0.2">
      <c r="B96" s="397"/>
      <c r="C96" s="141"/>
      <c r="D96" s="383"/>
      <c r="E96" s="383"/>
      <c r="F96" s="383"/>
      <c r="G96" s="383"/>
      <c r="H96" s="383"/>
      <c r="I96" s="434">
        <f>K87/60</f>
        <v>0</v>
      </c>
      <c r="J96" s="392" t="s">
        <v>664</v>
      </c>
      <c r="K96" s="434">
        <f>IFERROR(((O99*D98/60)+K99)/(M90*O90),"")</f>
        <v>0</v>
      </c>
      <c r="L96" s="392" t="s">
        <v>657</v>
      </c>
      <c r="M96" s="680" t="str">
        <f>IF(F95&lt;5,"Leve",IF(AND(F95&gt;=5,F95&lt;10),"Normal","Pesada"))</f>
        <v>Leve</v>
      </c>
      <c r="N96" s="680"/>
      <c r="O96" s="434">
        <f>IFERROR(INDEX('Listas de Dados'!Q:S,MATCH('PJT XXXX'!C86,'Listas de Dados'!P:P,0),MATCH("Eficiência "&amp;M96,'Listas de Dados'!$Q$3:$S$3,0)),0)</f>
        <v>0</v>
      </c>
      <c r="P96" s="392" t="s">
        <v>292</v>
      </c>
      <c r="Q96" s="398"/>
      <c r="R96" s="387"/>
    </row>
    <row r="97" spans="2:18" ht="15" hidden="1" customHeight="1" outlineLevel="2" x14ac:dyDescent="0.2">
      <c r="B97" s="397"/>
      <c r="C97" s="141"/>
      <c r="D97" s="673" t="s">
        <v>733</v>
      </c>
      <c r="E97" s="674"/>
      <c r="F97" s="673" t="s">
        <v>734</v>
      </c>
      <c r="G97" s="674"/>
      <c r="H97" s="383"/>
      <c r="I97" s="383"/>
      <c r="J97" s="383"/>
      <c r="K97" s="383"/>
      <c r="L97" s="383"/>
      <c r="M97" s="141"/>
      <c r="N97" s="141"/>
      <c r="O97" s="141"/>
      <c r="P97" s="141"/>
      <c r="Q97" s="398"/>
      <c r="R97" s="387"/>
    </row>
    <row r="98" spans="2:18" ht="15" hidden="1" customHeight="1" outlineLevel="2" x14ac:dyDescent="0.2">
      <c r="B98" s="397"/>
      <c r="C98" s="141"/>
      <c r="D98" s="409"/>
      <c r="E98" s="392" t="s">
        <v>717</v>
      </c>
      <c r="F98" s="449"/>
      <c r="G98" s="392" t="s">
        <v>715</v>
      </c>
      <c r="H98" s="383"/>
      <c r="I98" s="672" t="s">
        <v>61</v>
      </c>
      <c r="J98" s="672"/>
      <c r="K98" s="672" t="s">
        <v>697</v>
      </c>
      <c r="L98" s="672"/>
      <c r="M98" s="672" t="s">
        <v>655</v>
      </c>
      <c r="N98" s="672"/>
      <c r="O98" s="672" t="s">
        <v>652</v>
      </c>
      <c r="P98" s="672"/>
      <c r="Q98" s="398"/>
    </row>
    <row r="99" spans="2:18" ht="15" hidden="1" customHeight="1" outlineLevel="2" x14ac:dyDescent="0.2">
      <c r="B99" s="397"/>
      <c r="C99" s="141"/>
      <c r="D99" s="383"/>
      <c r="E99" s="383"/>
      <c r="F99" s="449"/>
      <c r="G99" s="392" t="s">
        <v>716</v>
      </c>
      <c r="H99" s="383"/>
      <c r="I99" s="434">
        <f>IFERROR(VLOOKUP(C86,'Listas de Dados'!$I:$N,3,0),0)</f>
        <v>0</v>
      </c>
      <c r="J99" s="392" t="s">
        <v>653</v>
      </c>
      <c r="K99" s="434">
        <f>SUM(I99,I88/60)</f>
        <v>0</v>
      </c>
      <c r="L99" s="392" t="s">
        <v>653</v>
      </c>
      <c r="M99" s="434">
        <f>IFERROR(K99*60/D98,0)</f>
        <v>0</v>
      </c>
      <c r="N99" s="392" t="s">
        <v>654</v>
      </c>
      <c r="O99" s="434">
        <f>IFERROR(K87/(F95)/60*1000*((1+(100-O96)/100)),0)</f>
        <v>0</v>
      </c>
      <c r="P99" s="392" t="s">
        <v>654</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0" t="s">
        <v>726</v>
      </c>
      <c r="D101" s="671"/>
      <c r="E101" s="671"/>
      <c r="F101" s="440"/>
      <c r="G101" s="440"/>
      <c r="H101" s="440"/>
      <c r="I101" s="440"/>
      <c r="J101" s="440"/>
      <c r="K101" s="440"/>
      <c r="L101" s="440"/>
      <c r="M101" s="440"/>
      <c r="N101" s="440"/>
      <c r="O101" s="440"/>
      <c r="P101" s="440"/>
      <c r="Q101" s="398"/>
      <c r="R101" s="386"/>
    </row>
    <row r="102" spans="2:18" ht="15" hidden="1" customHeight="1" outlineLevel="2" x14ac:dyDescent="0.2">
      <c r="B102" s="397"/>
      <c r="C102" s="676"/>
      <c r="D102" s="677"/>
      <c r="E102" s="677"/>
      <c r="F102" s="677"/>
      <c r="G102" s="677"/>
      <c r="H102" s="141"/>
      <c r="I102" s="678" t="s">
        <v>583</v>
      </c>
      <c r="J102" s="678"/>
      <c r="K102" s="670" t="s">
        <v>721</v>
      </c>
      <c r="L102" s="671"/>
      <c r="M102" s="670" t="s">
        <v>812</v>
      </c>
      <c r="N102" s="671"/>
      <c r="O102" s="670" t="s">
        <v>732</v>
      </c>
      <c r="P102" s="671"/>
      <c r="Q102" s="398"/>
      <c r="R102" s="387"/>
    </row>
    <row r="103" spans="2:18" ht="15" hidden="1" customHeight="1" outlineLevel="2" x14ac:dyDescent="0.2">
      <c r="B103" s="397"/>
      <c r="C103" s="141"/>
      <c r="D103" s="141"/>
      <c r="E103" s="141"/>
      <c r="F103" s="141"/>
      <c r="G103" s="141"/>
      <c r="H103" s="141"/>
      <c r="I103" s="409"/>
      <c r="J103" s="392" t="s">
        <v>728</v>
      </c>
      <c r="K103" s="409"/>
      <c r="L103" s="392" t="s">
        <v>722</v>
      </c>
      <c r="M103" s="545">
        <v>0</v>
      </c>
      <c r="N103" s="611" t="s">
        <v>292</v>
      </c>
      <c r="O103" s="545">
        <v>0</v>
      </c>
      <c r="P103" s="392" t="s">
        <v>780</v>
      </c>
      <c r="Q103" s="398"/>
      <c r="R103" s="387"/>
    </row>
    <row r="104" spans="2:18" ht="15" hidden="1" customHeight="1" outlineLevel="2" x14ac:dyDescent="0.2">
      <c r="B104" s="397"/>
      <c r="C104" s="141"/>
      <c r="D104" s="670" t="s">
        <v>805</v>
      </c>
      <c r="E104" s="671"/>
      <c r="F104" s="670" t="s">
        <v>163</v>
      </c>
      <c r="G104" s="671"/>
      <c r="H104" s="141"/>
      <c r="I104" s="409"/>
      <c r="J104" s="392" t="s">
        <v>664</v>
      </c>
      <c r="K104" s="383"/>
      <c r="L104" s="383"/>
      <c r="M104" s="383"/>
      <c r="N104" s="383"/>
      <c r="O104" s="383"/>
      <c r="P104" s="383"/>
      <c r="Q104" s="398"/>
      <c r="R104" s="387"/>
    </row>
    <row r="105" spans="2:18" ht="15" hidden="1" customHeight="1" outlineLevel="2" x14ac:dyDescent="0.2">
      <c r="B105" s="397"/>
      <c r="C105" s="141"/>
      <c r="D105" s="574">
        <f>IFERROR((F105-F108)/D108,0)</f>
        <v>0</v>
      </c>
      <c r="E105" s="392" t="s">
        <v>9</v>
      </c>
      <c r="F105" s="389">
        <f>D89</f>
        <v>0</v>
      </c>
      <c r="G105" s="392" t="s">
        <v>9</v>
      </c>
      <c r="H105" s="141"/>
      <c r="I105" s="383"/>
      <c r="J105" s="383"/>
      <c r="M105" s="672" t="s">
        <v>814</v>
      </c>
      <c r="N105" s="672"/>
      <c r="O105" s="672" t="s">
        <v>804</v>
      </c>
      <c r="P105" s="672"/>
      <c r="Q105" s="398"/>
      <c r="R105" s="387"/>
    </row>
    <row r="106" spans="2:18" ht="15" hidden="1" customHeight="1" outlineLevel="2" x14ac:dyDescent="0.2">
      <c r="B106" s="397"/>
      <c r="C106" s="141"/>
      <c r="D106" s="383"/>
      <c r="E106" s="383"/>
      <c r="F106" s="383"/>
      <c r="G106" s="383"/>
      <c r="H106" s="383"/>
      <c r="I106" s="383"/>
      <c r="J106" s="383"/>
      <c r="M106" s="614">
        <v>8.48</v>
      </c>
      <c r="N106" s="556" t="s">
        <v>653</v>
      </c>
      <c r="O106" s="675">
        <v>1</v>
      </c>
      <c r="P106" s="675"/>
      <c r="Q106" s="398"/>
      <c r="R106" s="387"/>
    </row>
    <row r="107" spans="2:18" ht="15" hidden="1" customHeight="1" outlineLevel="2" x14ac:dyDescent="0.2">
      <c r="B107" s="397"/>
      <c r="C107" s="141"/>
      <c r="D107" s="673" t="s">
        <v>727</v>
      </c>
      <c r="E107" s="674"/>
      <c r="F107" s="673" t="s">
        <v>72</v>
      </c>
      <c r="G107" s="674"/>
      <c r="H107" s="383"/>
      <c r="I107" s="383"/>
      <c r="J107" s="383"/>
      <c r="K107" s="383"/>
      <c r="L107" s="383"/>
      <c r="M107" s="383"/>
      <c r="N107" s="383"/>
      <c r="O107" s="383"/>
      <c r="P107" s="383"/>
      <c r="Q107" s="398"/>
      <c r="R107" s="388"/>
    </row>
    <row r="108" spans="2:18" ht="15" hidden="1" customHeight="1" outlineLevel="2" x14ac:dyDescent="0.2">
      <c r="B108" s="397"/>
      <c r="C108" s="141"/>
      <c r="D108" s="576">
        <v>1</v>
      </c>
      <c r="E108" s="573" t="s">
        <v>728</v>
      </c>
      <c r="F108" s="576">
        <v>0</v>
      </c>
      <c r="G108" s="573" t="s">
        <v>9</v>
      </c>
      <c r="H108" s="383"/>
      <c r="I108" s="670" t="s">
        <v>723</v>
      </c>
      <c r="J108" s="671"/>
      <c r="K108" s="672" t="s">
        <v>651</v>
      </c>
      <c r="L108" s="672"/>
      <c r="M108" s="672" t="s">
        <v>724</v>
      </c>
      <c r="N108" s="672"/>
      <c r="O108" s="672" t="s">
        <v>686</v>
      </c>
      <c r="P108" s="672"/>
      <c r="Q108" s="398"/>
      <c r="R108" s="388"/>
    </row>
    <row r="109" spans="2:18" ht="15" hidden="1" customHeight="1" outlineLevel="2" x14ac:dyDescent="0.2">
      <c r="B109" s="397"/>
      <c r="C109" s="141"/>
      <c r="D109" s="383"/>
      <c r="E109" s="383"/>
      <c r="F109" s="383"/>
      <c r="G109" s="383"/>
      <c r="H109" s="383"/>
      <c r="I109" s="434" t="str">
        <f>IFERROR((F105-D105*D108)/F105*100,"")</f>
        <v/>
      </c>
      <c r="J109" s="611" t="s">
        <v>292</v>
      </c>
      <c r="K109" s="434">
        <f>IFERROR(($H$18*D105*I103/1000)/1000/D114*100,0)</f>
        <v>0</v>
      </c>
      <c r="L109" s="392" t="s">
        <v>292</v>
      </c>
      <c r="M109" s="434">
        <f>IFERROR(((D111/F111)-1)*100,0)</f>
        <v>0</v>
      </c>
      <c r="N109" s="392" t="s">
        <v>292</v>
      </c>
      <c r="O109" s="434">
        <f>SUM(K109,M109,I109)</f>
        <v>0</v>
      </c>
      <c r="P109" s="392" t="s">
        <v>292</v>
      </c>
      <c r="Q109" s="398"/>
      <c r="R109" s="388"/>
    </row>
    <row r="110" spans="2:18" ht="15" hidden="1" customHeight="1" outlineLevel="2" x14ac:dyDescent="0.2">
      <c r="B110" s="397"/>
      <c r="C110" s="141"/>
      <c r="D110" s="670" t="s">
        <v>729</v>
      </c>
      <c r="E110" s="671"/>
      <c r="F110" s="670" t="s">
        <v>730</v>
      </c>
      <c r="G110" s="671"/>
      <c r="H110" s="383"/>
      <c r="I110" s="141"/>
      <c r="J110" s="141"/>
      <c r="K110" s="383"/>
      <c r="L110" s="383"/>
      <c r="M110" s="383"/>
      <c r="N110" s="383"/>
      <c r="O110" s="383"/>
      <c r="P110" s="383"/>
      <c r="Q110" s="398"/>
      <c r="R110" s="387"/>
    </row>
    <row r="111" spans="2:18" ht="15" hidden="1" customHeight="1" outlineLevel="2" x14ac:dyDescent="0.2">
      <c r="B111" s="397"/>
      <c r="C111" s="141"/>
      <c r="D111" s="389">
        <f>F95</f>
        <v>0</v>
      </c>
      <c r="E111" s="392" t="s">
        <v>731</v>
      </c>
      <c r="F111" s="434">
        <f>D111-O103</f>
        <v>0</v>
      </c>
      <c r="G111" s="392" t="s">
        <v>731</v>
      </c>
      <c r="H111" s="383"/>
      <c r="I111" s="672" t="s">
        <v>721</v>
      </c>
      <c r="J111" s="672"/>
      <c r="K111" s="672" t="s">
        <v>658</v>
      </c>
      <c r="L111" s="672"/>
      <c r="M111" s="672" t="s">
        <v>741</v>
      </c>
      <c r="N111" s="672"/>
      <c r="O111" s="672" t="s">
        <v>64</v>
      </c>
      <c r="P111" s="672"/>
      <c r="Q111" s="398"/>
      <c r="R111" s="387"/>
    </row>
    <row r="112" spans="2:18" ht="15" hidden="1" customHeight="1" outlineLevel="2" x14ac:dyDescent="0.2">
      <c r="B112" s="397"/>
      <c r="C112" s="141"/>
      <c r="D112" s="383"/>
      <c r="E112" s="383"/>
      <c r="F112" s="383"/>
      <c r="G112" s="383"/>
      <c r="H112" s="383"/>
      <c r="I112" s="434">
        <f>K103/60</f>
        <v>0</v>
      </c>
      <c r="J112" s="392" t="s">
        <v>664</v>
      </c>
      <c r="K112" s="434">
        <f>IFERROR(((O115*D114/60)+K115)/(M106*O106),"")</f>
        <v>0</v>
      </c>
      <c r="L112" s="392" t="s">
        <v>657</v>
      </c>
      <c r="M112" s="680" t="str">
        <f>IF(F111&lt;5,"Leve",IF(AND(F111&gt;=5,F111&lt;10),"Normal","Pesada"))</f>
        <v>Leve</v>
      </c>
      <c r="N112" s="680"/>
      <c r="O112" s="434">
        <f>IFERROR(INDEX('Listas de Dados'!Q:S,MATCH('PJT XXXX'!C102,'Listas de Dados'!P:P,0),MATCH("Eficiência "&amp;M112,'Listas de Dados'!$Q$3:$S$3,0)),0)</f>
        <v>0</v>
      </c>
      <c r="P112" s="392" t="s">
        <v>292</v>
      </c>
      <c r="Q112" s="398"/>
      <c r="R112" s="387"/>
    </row>
    <row r="113" spans="2:18" ht="15" hidden="1" customHeight="1" outlineLevel="2" x14ac:dyDescent="0.2">
      <c r="B113" s="397"/>
      <c r="C113" s="141"/>
      <c r="D113" s="673" t="s">
        <v>733</v>
      </c>
      <c r="E113" s="674"/>
      <c r="F113" s="673" t="s">
        <v>734</v>
      </c>
      <c r="G113" s="674"/>
      <c r="H113" s="383"/>
      <c r="I113" s="383"/>
      <c r="J113" s="383"/>
      <c r="K113" s="383"/>
      <c r="L113" s="383"/>
      <c r="M113" s="141"/>
      <c r="N113" s="141"/>
      <c r="O113" s="141"/>
      <c r="P113" s="141"/>
      <c r="Q113" s="398"/>
      <c r="R113" s="387"/>
    </row>
    <row r="114" spans="2:18" ht="15" hidden="1" customHeight="1" outlineLevel="2" x14ac:dyDescent="0.2">
      <c r="B114" s="397"/>
      <c r="C114" s="141"/>
      <c r="D114" s="572">
        <f>D98</f>
        <v>0</v>
      </c>
      <c r="E114" s="392" t="s">
        <v>717</v>
      </c>
      <c r="F114" s="574">
        <f>F98</f>
        <v>0</v>
      </c>
      <c r="G114" s="392" t="s">
        <v>715</v>
      </c>
      <c r="H114" s="383"/>
      <c r="I114" s="672" t="s">
        <v>61</v>
      </c>
      <c r="J114" s="672"/>
      <c r="K114" s="672" t="s">
        <v>697</v>
      </c>
      <c r="L114" s="672"/>
      <c r="M114" s="672" t="s">
        <v>655</v>
      </c>
      <c r="N114" s="672"/>
      <c r="O114" s="672" t="s">
        <v>652</v>
      </c>
      <c r="P114" s="672"/>
      <c r="Q114" s="398"/>
    </row>
    <row r="115" spans="2:18" ht="15" hidden="1" customHeight="1" outlineLevel="2" x14ac:dyDescent="0.2">
      <c r="B115" s="397"/>
      <c r="C115" s="141"/>
      <c r="D115" s="383"/>
      <c r="E115" s="383"/>
      <c r="F115" s="574">
        <f>F99</f>
        <v>0</v>
      </c>
      <c r="G115" s="392" t="s">
        <v>716</v>
      </c>
      <c r="H115" s="383"/>
      <c r="I115" s="434">
        <f>IFERROR(VLOOKUP(C102,'Listas de Dados'!$I:$N,3,0),0)</f>
        <v>0</v>
      </c>
      <c r="J115" s="392" t="s">
        <v>653</v>
      </c>
      <c r="K115" s="434">
        <f>SUM(I115,I104/60)</f>
        <v>0</v>
      </c>
      <c r="L115" s="392" t="s">
        <v>653</v>
      </c>
      <c r="M115" s="434">
        <f>IFERROR(K115*60/D114,0)</f>
        <v>0</v>
      </c>
      <c r="N115" s="392" t="s">
        <v>654</v>
      </c>
      <c r="O115" s="434">
        <f>IFERROR(K103/(F111)/60*1000*((1+(100-O112)/100)),0)</f>
        <v>0</v>
      </c>
      <c r="P115" s="392" t="s">
        <v>654</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0" t="s">
        <v>739</v>
      </c>
      <c r="D117" s="671"/>
      <c r="E117" s="671"/>
      <c r="F117" s="440"/>
      <c r="G117" s="440"/>
      <c r="H117" s="440"/>
      <c r="I117" s="440"/>
      <c r="J117" s="440"/>
      <c r="K117" s="440"/>
      <c r="L117" s="440"/>
      <c r="M117" s="440"/>
      <c r="N117" s="440"/>
      <c r="O117" s="440"/>
      <c r="P117" s="440"/>
      <c r="Q117" s="398"/>
      <c r="R117" s="386"/>
    </row>
    <row r="118" spans="2:18" ht="15" hidden="1" customHeight="1" outlineLevel="2" x14ac:dyDescent="0.2">
      <c r="B118" s="397"/>
      <c r="C118" s="676"/>
      <c r="D118" s="677"/>
      <c r="E118" s="677"/>
      <c r="F118" s="677"/>
      <c r="G118" s="677"/>
      <c r="H118" s="141"/>
      <c r="I118" s="678" t="s">
        <v>583</v>
      </c>
      <c r="J118" s="678"/>
      <c r="K118" s="670" t="s">
        <v>721</v>
      </c>
      <c r="L118" s="671"/>
      <c r="M118" s="670" t="s">
        <v>812</v>
      </c>
      <c r="N118" s="671"/>
      <c r="O118" s="670" t="s">
        <v>732</v>
      </c>
      <c r="P118" s="671"/>
      <c r="Q118" s="398"/>
      <c r="R118" s="387"/>
    </row>
    <row r="119" spans="2:18" ht="15" hidden="1" customHeight="1" outlineLevel="2" x14ac:dyDescent="0.2">
      <c r="B119" s="397"/>
      <c r="C119" s="141"/>
      <c r="D119" s="141"/>
      <c r="E119" s="141"/>
      <c r="F119" s="141"/>
      <c r="G119" s="141"/>
      <c r="H119" s="141"/>
      <c r="I119" s="409"/>
      <c r="J119" s="392" t="s">
        <v>728</v>
      </c>
      <c r="K119" s="409"/>
      <c r="L119" s="392" t="s">
        <v>722</v>
      </c>
      <c r="M119" s="545">
        <v>0</v>
      </c>
      <c r="N119" s="611" t="s">
        <v>292</v>
      </c>
      <c r="O119" s="545">
        <v>0</v>
      </c>
      <c r="P119" s="392" t="s">
        <v>780</v>
      </c>
      <c r="Q119" s="398"/>
      <c r="R119" s="387"/>
    </row>
    <row r="120" spans="2:18" ht="15" hidden="1" customHeight="1" outlineLevel="2" x14ac:dyDescent="0.2">
      <c r="B120" s="397"/>
      <c r="C120" s="141"/>
      <c r="D120" s="670" t="s">
        <v>805</v>
      </c>
      <c r="E120" s="671"/>
      <c r="F120" s="670" t="s">
        <v>163</v>
      </c>
      <c r="G120" s="671"/>
      <c r="H120" s="141"/>
      <c r="I120" s="409"/>
      <c r="J120" s="392" t="s">
        <v>664</v>
      </c>
      <c r="K120" s="383"/>
      <c r="L120" s="383"/>
      <c r="M120" s="383"/>
      <c r="N120" s="383"/>
      <c r="O120" s="383"/>
      <c r="P120" s="383"/>
      <c r="Q120" s="398"/>
      <c r="R120" s="387"/>
    </row>
    <row r="121" spans="2:18" ht="15" hidden="1" customHeight="1" outlineLevel="2" x14ac:dyDescent="0.2">
      <c r="B121" s="397"/>
      <c r="C121" s="141"/>
      <c r="D121" s="574">
        <f>IFERROR((F121-F124)/D124,0)</f>
        <v>0</v>
      </c>
      <c r="E121" s="573" t="s">
        <v>9</v>
      </c>
      <c r="F121" s="389">
        <f>D105</f>
        <v>0</v>
      </c>
      <c r="G121" s="573" t="s">
        <v>9</v>
      </c>
      <c r="H121" s="141"/>
      <c r="I121" s="383"/>
      <c r="J121" s="383"/>
      <c r="M121" s="672" t="s">
        <v>814</v>
      </c>
      <c r="N121" s="672"/>
      <c r="O121" s="672" t="s">
        <v>804</v>
      </c>
      <c r="P121" s="672"/>
      <c r="Q121" s="398"/>
      <c r="R121" s="387"/>
    </row>
    <row r="122" spans="2:18" ht="15" hidden="1" customHeight="1" outlineLevel="2" x14ac:dyDescent="0.2">
      <c r="B122" s="397"/>
      <c r="C122" s="141"/>
      <c r="D122" s="383"/>
      <c r="E122" s="383"/>
      <c r="F122" s="383"/>
      <c r="G122" s="383"/>
      <c r="H122" s="383"/>
      <c r="I122" s="383"/>
      <c r="J122" s="383"/>
      <c r="M122" s="614">
        <v>8.48</v>
      </c>
      <c r="N122" s="556" t="s">
        <v>653</v>
      </c>
      <c r="O122" s="675">
        <v>1</v>
      </c>
      <c r="P122" s="675"/>
      <c r="Q122" s="398"/>
      <c r="R122" s="387"/>
    </row>
    <row r="123" spans="2:18" ht="15" hidden="1" customHeight="1" outlineLevel="2" x14ac:dyDescent="0.2">
      <c r="B123" s="397"/>
      <c r="C123" s="141"/>
      <c r="D123" s="673" t="s">
        <v>727</v>
      </c>
      <c r="E123" s="674"/>
      <c r="F123" s="673" t="s">
        <v>72</v>
      </c>
      <c r="G123" s="674"/>
      <c r="H123" s="383"/>
      <c r="I123" s="383"/>
      <c r="J123" s="383"/>
      <c r="K123" s="383"/>
      <c r="L123" s="383"/>
      <c r="M123" s="383"/>
      <c r="N123" s="383"/>
      <c r="O123" s="383"/>
      <c r="P123" s="383"/>
      <c r="Q123" s="398"/>
      <c r="R123" s="388"/>
    </row>
    <row r="124" spans="2:18" ht="15" hidden="1" customHeight="1" outlineLevel="2" x14ac:dyDescent="0.2">
      <c r="B124" s="397"/>
      <c r="C124" s="141"/>
      <c r="D124" s="576">
        <v>1</v>
      </c>
      <c r="E124" s="573" t="s">
        <v>728</v>
      </c>
      <c r="F124" s="576">
        <v>0</v>
      </c>
      <c r="G124" s="573" t="s">
        <v>9</v>
      </c>
      <c r="H124" s="383"/>
      <c r="I124" s="670" t="s">
        <v>723</v>
      </c>
      <c r="J124" s="671"/>
      <c r="K124" s="672" t="s">
        <v>651</v>
      </c>
      <c r="L124" s="672"/>
      <c r="M124" s="672" t="s">
        <v>724</v>
      </c>
      <c r="N124" s="672"/>
      <c r="O124" s="672" t="s">
        <v>686</v>
      </c>
      <c r="P124" s="672"/>
      <c r="Q124" s="398"/>
      <c r="R124" s="388"/>
    </row>
    <row r="125" spans="2:18" ht="15" hidden="1" customHeight="1" outlineLevel="2" x14ac:dyDescent="0.2">
      <c r="B125" s="397"/>
      <c r="C125" s="141"/>
      <c r="D125" s="383"/>
      <c r="E125" s="383"/>
      <c r="F125" s="383"/>
      <c r="G125" s="383"/>
      <c r="H125" s="383"/>
      <c r="I125" s="434" t="str">
        <f>IFERROR((F121-D121*D124)/F121*100,"")</f>
        <v/>
      </c>
      <c r="J125" s="611" t="s">
        <v>292</v>
      </c>
      <c r="K125" s="434">
        <f>IFERROR(($H$18*D121*I119/1000)/1000/D130*100,0)</f>
        <v>0</v>
      </c>
      <c r="L125" s="392" t="s">
        <v>292</v>
      </c>
      <c r="M125" s="434">
        <f>IFERROR(((D127/F127)-1)*100,0)</f>
        <v>0</v>
      </c>
      <c r="N125" s="392" t="s">
        <v>292</v>
      </c>
      <c r="O125" s="434">
        <f>SUM(K125,M125,I125)</f>
        <v>0</v>
      </c>
      <c r="P125" s="392" t="s">
        <v>292</v>
      </c>
      <c r="Q125" s="398"/>
      <c r="R125" s="388"/>
    </row>
    <row r="126" spans="2:18" ht="15" hidden="1" customHeight="1" outlineLevel="2" x14ac:dyDescent="0.2">
      <c r="B126" s="397"/>
      <c r="C126" s="141"/>
      <c r="D126" s="670" t="s">
        <v>729</v>
      </c>
      <c r="E126" s="671"/>
      <c r="F126" s="670" t="s">
        <v>730</v>
      </c>
      <c r="G126" s="671"/>
      <c r="H126" s="383"/>
      <c r="I126" s="141"/>
      <c r="J126" s="141"/>
      <c r="K126" s="383"/>
      <c r="L126" s="383"/>
      <c r="M126" s="383"/>
      <c r="N126" s="383"/>
      <c r="O126" s="383"/>
      <c r="P126" s="383"/>
      <c r="Q126" s="398"/>
      <c r="R126" s="387"/>
    </row>
    <row r="127" spans="2:18" ht="15" hidden="1" customHeight="1" outlineLevel="2" x14ac:dyDescent="0.2">
      <c r="B127" s="397"/>
      <c r="C127" s="141"/>
      <c r="D127" s="389">
        <f>F111</f>
        <v>0</v>
      </c>
      <c r="E127" s="392" t="s">
        <v>731</v>
      </c>
      <c r="F127" s="389">
        <f>D127-O119</f>
        <v>0</v>
      </c>
      <c r="G127" s="392" t="s">
        <v>731</v>
      </c>
      <c r="H127" s="383"/>
      <c r="I127" s="672" t="s">
        <v>721</v>
      </c>
      <c r="J127" s="672"/>
      <c r="K127" s="672" t="s">
        <v>658</v>
      </c>
      <c r="L127" s="672"/>
      <c r="M127" s="672" t="s">
        <v>741</v>
      </c>
      <c r="N127" s="672"/>
      <c r="O127" s="672" t="s">
        <v>64</v>
      </c>
      <c r="P127" s="672"/>
      <c r="Q127" s="398"/>
      <c r="R127" s="387"/>
    </row>
    <row r="128" spans="2:18" ht="15" hidden="1" customHeight="1" outlineLevel="2" x14ac:dyDescent="0.2">
      <c r="B128" s="397"/>
      <c r="C128" s="141"/>
      <c r="D128" s="383"/>
      <c r="E128" s="383"/>
      <c r="F128" s="383"/>
      <c r="G128" s="383"/>
      <c r="H128" s="383"/>
      <c r="I128" s="434">
        <f>K119/60</f>
        <v>0</v>
      </c>
      <c r="J128" s="392" t="s">
        <v>664</v>
      </c>
      <c r="K128" s="434">
        <f>IFERROR(((O131*D130/60)+K131)/(M122*O122),"")</f>
        <v>0</v>
      </c>
      <c r="L128" s="392" t="s">
        <v>657</v>
      </c>
      <c r="M128" s="680" t="str">
        <f>IF(F127&lt;5,"Leve",IF(AND(F127&gt;=5,F127&lt;10),"Normal","Pesada"))</f>
        <v>Leve</v>
      </c>
      <c r="N128" s="680"/>
      <c r="O128" s="434">
        <f>IFERROR(INDEX('Listas de Dados'!Q:S,MATCH('PJT XXXX'!C118,'Listas de Dados'!P:P,0),MATCH("Eficiência "&amp;M128,'Listas de Dados'!$Q$3:$S$3,0)),0)</f>
        <v>0</v>
      </c>
      <c r="P128" s="392" t="s">
        <v>292</v>
      </c>
      <c r="Q128" s="398"/>
      <c r="R128" s="387"/>
    </row>
    <row r="129" spans="2:18" ht="15" hidden="1" customHeight="1" outlineLevel="2" x14ac:dyDescent="0.2">
      <c r="B129" s="397"/>
      <c r="C129" s="141"/>
      <c r="D129" s="673" t="s">
        <v>733</v>
      </c>
      <c r="E129" s="674"/>
      <c r="F129" s="673" t="s">
        <v>734</v>
      </c>
      <c r="G129" s="674"/>
      <c r="H129" s="383"/>
      <c r="I129" s="383"/>
      <c r="J129" s="383"/>
      <c r="K129" s="383"/>
      <c r="L129" s="383"/>
      <c r="M129" s="141"/>
      <c r="N129" s="141"/>
      <c r="O129" s="141"/>
      <c r="P129" s="141"/>
      <c r="Q129" s="398"/>
      <c r="R129" s="387"/>
    </row>
    <row r="130" spans="2:18" ht="15" hidden="1" customHeight="1" outlineLevel="2" x14ac:dyDescent="0.2">
      <c r="B130" s="397"/>
      <c r="C130" s="141"/>
      <c r="D130" s="572">
        <f>D114</f>
        <v>0</v>
      </c>
      <c r="E130" s="392" t="s">
        <v>717</v>
      </c>
      <c r="F130" s="574">
        <f>F114</f>
        <v>0</v>
      </c>
      <c r="G130" s="392" t="s">
        <v>715</v>
      </c>
      <c r="H130" s="383"/>
      <c r="I130" s="672" t="s">
        <v>61</v>
      </c>
      <c r="J130" s="672"/>
      <c r="K130" s="672" t="s">
        <v>697</v>
      </c>
      <c r="L130" s="672"/>
      <c r="M130" s="672" t="s">
        <v>655</v>
      </c>
      <c r="N130" s="672"/>
      <c r="O130" s="672" t="s">
        <v>652</v>
      </c>
      <c r="P130" s="672"/>
      <c r="Q130" s="398"/>
    </row>
    <row r="131" spans="2:18" ht="15" hidden="1" customHeight="1" outlineLevel="2" x14ac:dyDescent="0.2">
      <c r="B131" s="397"/>
      <c r="C131" s="141"/>
      <c r="D131" s="383"/>
      <c r="E131" s="383"/>
      <c r="F131" s="574">
        <f>F115</f>
        <v>0</v>
      </c>
      <c r="G131" s="392" t="s">
        <v>716</v>
      </c>
      <c r="H131" s="383"/>
      <c r="I131" s="434">
        <f>IFERROR(VLOOKUP(C118,'Listas de Dados'!$I:$N,3,0),0)</f>
        <v>0</v>
      </c>
      <c r="J131" s="392" t="s">
        <v>653</v>
      </c>
      <c r="K131" s="434">
        <f>SUM(I131,I120/60)</f>
        <v>0</v>
      </c>
      <c r="L131" s="392" t="s">
        <v>653</v>
      </c>
      <c r="M131" s="434">
        <f>IFERROR(K131*60/D130,0)</f>
        <v>0</v>
      </c>
      <c r="N131" s="392" t="s">
        <v>654</v>
      </c>
      <c r="O131" s="434">
        <f>IFERROR(K119/(F127)/60*1000*((1+(100-O128)/100)),0)</f>
        <v>0</v>
      </c>
      <c r="P131" s="392" t="s">
        <v>654</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0" t="s">
        <v>740</v>
      </c>
      <c r="D133" s="671"/>
      <c r="E133" s="671"/>
      <c r="F133" s="440"/>
      <c r="G133" s="440"/>
      <c r="H133" s="440"/>
      <c r="I133" s="440"/>
      <c r="J133" s="440"/>
      <c r="K133" s="440"/>
      <c r="L133" s="440"/>
      <c r="M133" s="440"/>
      <c r="N133" s="440"/>
      <c r="O133" s="440"/>
      <c r="P133" s="440"/>
      <c r="Q133" s="398"/>
      <c r="R133" s="386"/>
    </row>
    <row r="134" spans="2:18" ht="15" hidden="1" customHeight="1" outlineLevel="2" x14ac:dyDescent="0.2">
      <c r="B134" s="397"/>
      <c r="C134" s="676"/>
      <c r="D134" s="677"/>
      <c r="E134" s="677"/>
      <c r="F134" s="677"/>
      <c r="G134" s="677"/>
      <c r="H134" s="141"/>
      <c r="I134" s="678" t="s">
        <v>583</v>
      </c>
      <c r="J134" s="678"/>
      <c r="K134" s="670" t="s">
        <v>721</v>
      </c>
      <c r="L134" s="671"/>
      <c r="M134" s="670" t="s">
        <v>812</v>
      </c>
      <c r="N134" s="671"/>
      <c r="O134" s="670" t="s">
        <v>732</v>
      </c>
      <c r="P134" s="671"/>
      <c r="Q134" s="398"/>
      <c r="R134" s="387"/>
    </row>
    <row r="135" spans="2:18" ht="15" hidden="1" customHeight="1" outlineLevel="2" x14ac:dyDescent="0.2">
      <c r="B135" s="397"/>
      <c r="C135" s="141"/>
      <c r="D135" s="141"/>
      <c r="E135" s="141"/>
      <c r="F135" s="141"/>
      <c r="G135" s="141"/>
      <c r="H135" s="141"/>
      <c r="I135" s="409"/>
      <c r="J135" s="392" t="s">
        <v>728</v>
      </c>
      <c r="K135" s="409"/>
      <c r="L135" s="392" t="s">
        <v>722</v>
      </c>
      <c r="M135" s="545">
        <v>0</v>
      </c>
      <c r="N135" s="611" t="s">
        <v>292</v>
      </c>
      <c r="O135" s="545"/>
      <c r="P135" s="392" t="s">
        <v>780</v>
      </c>
      <c r="Q135" s="398"/>
      <c r="R135" s="387"/>
    </row>
    <row r="136" spans="2:18" ht="15" hidden="1" customHeight="1" outlineLevel="2" x14ac:dyDescent="0.2">
      <c r="B136" s="397"/>
      <c r="C136" s="141"/>
      <c r="D136" s="670" t="s">
        <v>805</v>
      </c>
      <c r="E136" s="671"/>
      <c r="F136" s="670" t="s">
        <v>163</v>
      </c>
      <c r="G136" s="671"/>
      <c r="H136" s="141"/>
      <c r="I136" s="409"/>
      <c r="J136" s="392" t="s">
        <v>664</v>
      </c>
      <c r="K136" s="383"/>
      <c r="L136" s="383"/>
      <c r="M136" s="383"/>
      <c r="N136" s="383"/>
      <c r="O136" s="383"/>
      <c r="P136" s="383"/>
      <c r="Q136" s="398"/>
      <c r="R136" s="387"/>
    </row>
    <row r="137" spans="2:18" ht="15" hidden="1" customHeight="1" outlineLevel="2" x14ac:dyDescent="0.2">
      <c r="B137" s="397"/>
      <c r="C137" s="141"/>
      <c r="D137" s="574">
        <f>IFERROR((F137-F140)/D140,0)</f>
        <v>0</v>
      </c>
      <c r="E137" s="573" t="s">
        <v>9</v>
      </c>
      <c r="F137" s="389">
        <f>D121</f>
        <v>0</v>
      </c>
      <c r="G137" s="573" t="s">
        <v>9</v>
      </c>
      <c r="H137" s="141"/>
      <c r="I137" s="383"/>
      <c r="J137" s="383"/>
      <c r="M137" s="672" t="s">
        <v>814</v>
      </c>
      <c r="N137" s="672"/>
      <c r="O137" s="672" t="s">
        <v>804</v>
      </c>
      <c r="P137" s="672"/>
      <c r="Q137" s="398"/>
      <c r="R137" s="387"/>
    </row>
    <row r="138" spans="2:18" ht="15" hidden="1" customHeight="1" outlineLevel="2" x14ac:dyDescent="0.2">
      <c r="B138" s="397"/>
      <c r="C138" s="141"/>
      <c r="D138" s="383"/>
      <c r="E138" s="383"/>
      <c r="F138" s="383"/>
      <c r="G138" s="383"/>
      <c r="H138" s="383"/>
      <c r="I138" s="383"/>
      <c r="J138" s="383"/>
      <c r="M138" s="614">
        <v>8.48</v>
      </c>
      <c r="N138" s="556" t="s">
        <v>653</v>
      </c>
      <c r="O138" s="675">
        <v>1</v>
      </c>
      <c r="P138" s="675"/>
      <c r="Q138" s="398"/>
      <c r="R138" s="387"/>
    </row>
    <row r="139" spans="2:18" ht="15" hidden="1" customHeight="1" outlineLevel="2" x14ac:dyDescent="0.2">
      <c r="B139" s="397"/>
      <c r="C139" s="141"/>
      <c r="D139" s="673" t="s">
        <v>727</v>
      </c>
      <c r="E139" s="674"/>
      <c r="F139" s="673" t="s">
        <v>72</v>
      </c>
      <c r="G139" s="674"/>
      <c r="H139" s="383"/>
      <c r="I139" s="383"/>
      <c r="J139" s="383"/>
      <c r="K139" s="383"/>
      <c r="L139" s="383"/>
      <c r="M139" s="383"/>
      <c r="N139" s="383"/>
      <c r="O139" s="383"/>
      <c r="P139" s="383"/>
      <c r="Q139" s="398"/>
      <c r="R139" s="388"/>
    </row>
    <row r="140" spans="2:18" ht="15" hidden="1" customHeight="1" outlineLevel="2" x14ac:dyDescent="0.2">
      <c r="B140" s="397"/>
      <c r="C140" s="141"/>
      <c r="D140" s="576">
        <v>1</v>
      </c>
      <c r="E140" s="392" t="s">
        <v>728</v>
      </c>
      <c r="F140" s="576">
        <v>0</v>
      </c>
      <c r="G140" s="392" t="s">
        <v>9</v>
      </c>
      <c r="H140" s="383"/>
      <c r="I140" s="670" t="s">
        <v>723</v>
      </c>
      <c r="J140" s="671"/>
      <c r="K140" s="672" t="s">
        <v>651</v>
      </c>
      <c r="L140" s="672"/>
      <c r="M140" s="672" t="s">
        <v>724</v>
      </c>
      <c r="N140" s="672"/>
      <c r="O140" s="672" t="s">
        <v>686</v>
      </c>
      <c r="P140" s="672"/>
      <c r="Q140" s="398"/>
      <c r="R140" s="388"/>
    </row>
    <row r="141" spans="2:18" ht="15" hidden="1" customHeight="1" outlineLevel="2" x14ac:dyDescent="0.2">
      <c r="B141" s="397"/>
      <c r="C141" s="141"/>
      <c r="D141" s="383"/>
      <c r="E141" s="383"/>
      <c r="F141" s="383"/>
      <c r="G141" s="383"/>
      <c r="H141" s="383"/>
      <c r="I141" s="434" t="str">
        <f>IFERROR((F137-D137*D140)/F137*100,"")</f>
        <v/>
      </c>
      <c r="J141" s="611" t="s">
        <v>292</v>
      </c>
      <c r="K141" s="434">
        <f>IFERROR(($H$18*D137*I135/1000)/1000/D146*100,0)</f>
        <v>0</v>
      </c>
      <c r="L141" s="392" t="s">
        <v>292</v>
      </c>
      <c r="M141" s="434">
        <f>IFERROR(((D143/F143)-1)*100,0)</f>
        <v>0</v>
      </c>
      <c r="N141" s="392" t="s">
        <v>292</v>
      </c>
      <c r="O141" s="434">
        <f>SUM(K141,M141,I141)</f>
        <v>0</v>
      </c>
      <c r="P141" s="392" t="s">
        <v>292</v>
      </c>
      <c r="Q141" s="398"/>
      <c r="R141" s="388"/>
    </row>
    <row r="142" spans="2:18" ht="15" hidden="1" customHeight="1" outlineLevel="2" x14ac:dyDescent="0.2">
      <c r="B142" s="397"/>
      <c r="C142" s="141"/>
      <c r="D142" s="670" t="s">
        <v>729</v>
      </c>
      <c r="E142" s="671"/>
      <c r="F142" s="670" t="s">
        <v>730</v>
      </c>
      <c r="G142" s="671"/>
      <c r="H142" s="383"/>
      <c r="I142" s="141"/>
      <c r="J142" s="141"/>
      <c r="K142" s="383"/>
      <c r="L142" s="383"/>
      <c r="M142" s="383"/>
      <c r="N142" s="383"/>
      <c r="O142" s="383"/>
      <c r="P142" s="383"/>
      <c r="Q142" s="398"/>
      <c r="R142" s="387"/>
    </row>
    <row r="143" spans="2:18" ht="15" hidden="1" customHeight="1" outlineLevel="2" x14ac:dyDescent="0.2">
      <c r="B143" s="397"/>
      <c r="C143" s="141"/>
      <c r="D143" s="389">
        <f>F127</f>
        <v>0</v>
      </c>
      <c r="E143" s="392" t="s">
        <v>731</v>
      </c>
      <c r="F143" s="389">
        <f>D143-O135</f>
        <v>0</v>
      </c>
      <c r="G143" s="392" t="s">
        <v>731</v>
      </c>
      <c r="H143" s="383"/>
      <c r="I143" s="672" t="s">
        <v>721</v>
      </c>
      <c r="J143" s="672"/>
      <c r="K143" s="672" t="s">
        <v>658</v>
      </c>
      <c r="L143" s="672"/>
      <c r="M143" s="672" t="s">
        <v>741</v>
      </c>
      <c r="N143" s="672"/>
      <c r="O143" s="672" t="s">
        <v>64</v>
      </c>
      <c r="P143" s="672"/>
      <c r="Q143" s="398"/>
      <c r="R143" s="387"/>
    </row>
    <row r="144" spans="2:18" ht="15" hidden="1" customHeight="1" outlineLevel="2" x14ac:dyDescent="0.2">
      <c r="B144" s="397"/>
      <c r="C144" s="141"/>
      <c r="D144" s="383"/>
      <c r="E144" s="383"/>
      <c r="F144" s="383"/>
      <c r="G144" s="383"/>
      <c r="H144" s="383"/>
      <c r="I144" s="434">
        <f>K135/60</f>
        <v>0</v>
      </c>
      <c r="J144" s="392" t="s">
        <v>664</v>
      </c>
      <c r="K144" s="434">
        <f>IFERROR(((O147*D146/60)+K147)/(M138*O138),"")</f>
        <v>0</v>
      </c>
      <c r="L144" s="392" t="s">
        <v>657</v>
      </c>
      <c r="M144" s="680" t="str">
        <f>IF(F143&lt;5,"Leve",IF(AND(F143&gt;=5,F143&lt;10),"Normal","Pesada"))</f>
        <v>Leve</v>
      </c>
      <c r="N144" s="680"/>
      <c r="O144" s="434">
        <f>IFERROR(INDEX('Listas de Dados'!Q:S,MATCH('PJT XXXX'!C134,'Listas de Dados'!P:P,0),MATCH("Eficiência "&amp;M144,'Listas de Dados'!$Q$3:$S$3,0)),0)</f>
        <v>0</v>
      </c>
      <c r="P144" s="392" t="s">
        <v>292</v>
      </c>
      <c r="Q144" s="398"/>
      <c r="R144" s="387"/>
    </row>
    <row r="145" spans="2:18" ht="15" hidden="1" customHeight="1" outlineLevel="2" x14ac:dyDescent="0.2">
      <c r="B145" s="397"/>
      <c r="C145" s="141"/>
      <c r="D145" s="673" t="s">
        <v>733</v>
      </c>
      <c r="E145" s="674"/>
      <c r="F145" s="673" t="s">
        <v>734</v>
      </c>
      <c r="G145" s="674"/>
      <c r="H145" s="383"/>
      <c r="I145" s="383"/>
      <c r="J145" s="383"/>
      <c r="K145" s="383"/>
      <c r="L145" s="383"/>
      <c r="M145" s="141"/>
      <c r="N145" s="141"/>
      <c r="O145" s="141"/>
      <c r="P145" s="141"/>
      <c r="Q145" s="398"/>
      <c r="R145" s="387"/>
    </row>
    <row r="146" spans="2:18" ht="15" hidden="1" customHeight="1" outlineLevel="2" x14ac:dyDescent="0.2">
      <c r="B146" s="397"/>
      <c r="C146" s="141"/>
      <c r="D146" s="572">
        <f>D130</f>
        <v>0</v>
      </c>
      <c r="E146" s="392" t="s">
        <v>717</v>
      </c>
      <c r="F146" s="574">
        <f>F130</f>
        <v>0</v>
      </c>
      <c r="G146" s="392" t="s">
        <v>715</v>
      </c>
      <c r="H146" s="383"/>
      <c r="I146" s="672" t="s">
        <v>61</v>
      </c>
      <c r="J146" s="672"/>
      <c r="K146" s="672" t="s">
        <v>697</v>
      </c>
      <c r="L146" s="672"/>
      <c r="M146" s="672" t="s">
        <v>655</v>
      </c>
      <c r="N146" s="672"/>
      <c r="O146" s="672" t="s">
        <v>652</v>
      </c>
      <c r="P146" s="672"/>
      <c r="Q146" s="398"/>
    </row>
    <row r="147" spans="2:18" ht="15" hidden="1" customHeight="1" outlineLevel="2" x14ac:dyDescent="0.2">
      <c r="B147" s="397"/>
      <c r="C147" s="141"/>
      <c r="D147" s="383"/>
      <c r="E147" s="383"/>
      <c r="F147" s="574">
        <f>F131</f>
        <v>0</v>
      </c>
      <c r="G147" s="392" t="s">
        <v>716</v>
      </c>
      <c r="H147" s="383"/>
      <c r="I147" s="434">
        <f>IFERROR(VLOOKUP(C134,'Listas de Dados'!$I:$N,3,0),0)</f>
        <v>0</v>
      </c>
      <c r="J147" s="392" t="s">
        <v>653</v>
      </c>
      <c r="K147" s="434">
        <f>SUM(I147,I136/60)</f>
        <v>0</v>
      </c>
      <c r="L147" s="392" t="s">
        <v>653</v>
      </c>
      <c r="M147" s="434">
        <f>IFERROR(K147*60/D146,0)</f>
        <v>0</v>
      </c>
      <c r="N147" s="392" t="s">
        <v>654</v>
      </c>
      <c r="O147" s="434">
        <f>IFERROR(K135/(F143)/60*1000*((1+(100-O144)/100)),0)</f>
        <v>0</v>
      </c>
      <c r="P147" s="392" t="s">
        <v>654</v>
      </c>
      <c r="Q147" s="398"/>
      <c r="R147" s="387"/>
    </row>
    <row r="148" spans="2:18" ht="9.9499999999999993" hidden="1" customHeight="1" outlineLevel="1" collapsed="1" x14ac:dyDescent="0.2">
      <c r="B148" s="397"/>
      <c r="C148" s="415"/>
      <c r="D148" s="415"/>
      <c r="E148" s="577"/>
      <c r="F148" s="415"/>
      <c r="G148" s="577"/>
      <c r="H148" s="577"/>
      <c r="I148" s="577"/>
      <c r="J148" s="577"/>
      <c r="K148" s="578"/>
      <c r="L148" s="578"/>
      <c r="M148" s="578"/>
      <c r="N148" s="578"/>
      <c r="O148" s="578"/>
      <c r="P148" s="578"/>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22"/>
      <c r="D152" s="522"/>
      <c r="E152" s="383"/>
      <c r="F152" s="383"/>
      <c r="G152" s="383"/>
      <c r="H152" s="383"/>
      <c r="I152" s="522"/>
      <c r="J152" s="522"/>
      <c r="K152" s="522"/>
      <c r="L152" s="522"/>
      <c r="M152" s="522"/>
      <c r="N152" s="522"/>
      <c r="O152" s="522"/>
      <c r="P152" s="522"/>
      <c r="Q152" s="398"/>
      <c r="R152" s="387"/>
    </row>
    <row r="153" spans="2:18" ht="15" hidden="1" customHeight="1" outlineLevel="1" x14ac:dyDescent="0.2">
      <c r="B153" s="397"/>
      <c r="C153" s="522"/>
      <c r="D153" s="522"/>
      <c r="E153" s="383"/>
      <c r="F153" s="383"/>
      <c r="G153" s="383"/>
      <c r="H153" s="383"/>
      <c r="I153" s="522"/>
      <c r="J153" s="522"/>
      <c r="K153" s="522"/>
      <c r="L153" s="522"/>
      <c r="M153" s="522"/>
      <c r="N153" s="522"/>
      <c r="O153" s="522"/>
      <c r="P153" s="522"/>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64" t="s">
        <v>628</v>
      </c>
      <c r="C163" s="665"/>
      <c r="D163" s="667" t="s">
        <v>2</v>
      </c>
      <c r="E163" s="667"/>
      <c r="F163" s="667"/>
      <c r="G163" s="667"/>
      <c r="H163" s="667"/>
      <c r="I163" s="667"/>
      <c r="J163" s="667"/>
      <c r="K163" s="667"/>
      <c r="L163" s="667"/>
      <c r="M163" s="667" t="s">
        <v>629</v>
      </c>
      <c r="N163" s="667"/>
      <c r="O163" s="667"/>
      <c r="P163" s="664" t="s">
        <v>630</v>
      </c>
      <c r="Q163" s="665"/>
    </row>
    <row r="164" spans="2:17" x14ac:dyDescent="0.2">
      <c r="B164" s="664" t="s">
        <v>634</v>
      </c>
      <c r="C164" s="665"/>
      <c r="D164" s="666" t="s">
        <v>747</v>
      </c>
      <c r="E164" s="666"/>
      <c r="F164" s="666"/>
      <c r="G164" s="666"/>
      <c r="H164" s="666"/>
      <c r="I164" s="666"/>
      <c r="J164" s="666"/>
      <c r="K164" s="666"/>
      <c r="L164" s="666"/>
      <c r="M164" s="667" t="s">
        <v>635</v>
      </c>
      <c r="N164" s="667"/>
      <c r="O164" s="667"/>
      <c r="P164" s="668">
        <v>44459</v>
      </c>
      <c r="Q164" s="669"/>
    </row>
    <row r="165" spans="2:17" x14ac:dyDescent="0.2">
      <c r="B165" s="664" t="s">
        <v>795</v>
      </c>
      <c r="C165" s="665"/>
      <c r="D165" s="666" t="s">
        <v>796</v>
      </c>
      <c r="E165" s="666"/>
      <c r="F165" s="666"/>
      <c r="G165" s="666"/>
      <c r="H165" s="666"/>
      <c r="I165" s="666"/>
      <c r="J165" s="666"/>
      <c r="K165" s="666"/>
      <c r="L165" s="666"/>
      <c r="M165" s="667" t="s">
        <v>635</v>
      </c>
      <c r="N165" s="667"/>
      <c r="O165" s="667"/>
      <c r="P165" s="668">
        <v>44476</v>
      </c>
      <c r="Q165" s="669"/>
    </row>
    <row r="166" spans="2:17" x14ac:dyDescent="0.2">
      <c r="B166" s="664" t="s">
        <v>797</v>
      </c>
      <c r="C166" s="665"/>
      <c r="D166" s="666" t="s">
        <v>798</v>
      </c>
      <c r="E166" s="666"/>
      <c r="F166" s="666"/>
      <c r="G166" s="666"/>
      <c r="H166" s="666"/>
      <c r="I166" s="666"/>
      <c r="J166" s="666"/>
      <c r="K166" s="666"/>
      <c r="L166" s="666"/>
      <c r="M166" s="667" t="s">
        <v>635</v>
      </c>
      <c r="N166" s="667"/>
      <c r="O166" s="667"/>
      <c r="P166" s="668">
        <v>44482</v>
      </c>
      <c r="Q166" s="669"/>
    </row>
    <row r="167" spans="2:17" x14ac:dyDescent="0.2">
      <c r="B167" s="664" t="s">
        <v>799</v>
      </c>
      <c r="C167" s="665"/>
      <c r="D167" s="666" t="s">
        <v>800</v>
      </c>
      <c r="E167" s="666"/>
      <c r="F167" s="666"/>
      <c r="G167" s="666"/>
      <c r="H167" s="666"/>
      <c r="I167" s="666"/>
      <c r="J167" s="666"/>
      <c r="K167" s="666"/>
      <c r="L167" s="666"/>
      <c r="M167" s="667" t="s">
        <v>635</v>
      </c>
      <c r="N167" s="667"/>
      <c r="O167" s="667"/>
      <c r="P167" s="668">
        <v>44489</v>
      </c>
      <c r="Q167" s="669"/>
    </row>
    <row r="168" spans="2:17" x14ac:dyDescent="0.2">
      <c r="B168" s="664" t="s">
        <v>801</v>
      </c>
      <c r="C168" s="665"/>
      <c r="D168" s="666" t="s">
        <v>802</v>
      </c>
      <c r="E168" s="666"/>
      <c r="F168" s="666"/>
      <c r="G168" s="666"/>
      <c r="H168" s="666"/>
      <c r="I168" s="666"/>
      <c r="J168" s="666"/>
      <c r="K168" s="666"/>
      <c r="L168" s="666"/>
      <c r="M168" s="667" t="s">
        <v>635</v>
      </c>
      <c r="N168" s="667"/>
      <c r="O168" s="667"/>
      <c r="P168" s="668">
        <v>44491</v>
      </c>
      <c r="Q168" s="669"/>
    </row>
    <row r="169" spans="2:17" x14ac:dyDescent="0.2">
      <c r="B169" s="664" t="s">
        <v>803</v>
      </c>
      <c r="C169" s="665"/>
      <c r="D169" s="666" t="s">
        <v>813</v>
      </c>
      <c r="E169" s="666"/>
      <c r="F169" s="666"/>
      <c r="G169" s="666"/>
      <c r="H169" s="666"/>
      <c r="I169" s="666"/>
      <c r="J169" s="666"/>
      <c r="K169" s="666"/>
      <c r="L169" s="666"/>
      <c r="M169" s="667" t="s">
        <v>635</v>
      </c>
      <c r="N169" s="667"/>
      <c r="O169" s="667"/>
      <c r="P169" s="668">
        <v>44496</v>
      </c>
      <c r="Q169" s="669"/>
    </row>
    <row r="170" spans="2:17" x14ac:dyDescent="0.2">
      <c r="B170" s="664" t="s">
        <v>835</v>
      </c>
      <c r="C170" s="665"/>
      <c r="D170" s="666" t="s">
        <v>836</v>
      </c>
      <c r="E170" s="666"/>
      <c r="F170" s="666"/>
      <c r="G170" s="666"/>
      <c r="H170" s="666"/>
      <c r="I170" s="666"/>
      <c r="J170" s="666"/>
      <c r="K170" s="666"/>
      <c r="L170" s="666"/>
      <c r="M170" s="667" t="s">
        <v>635</v>
      </c>
      <c r="N170" s="667"/>
      <c r="O170" s="667"/>
      <c r="P170" s="668">
        <v>44524</v>
      </c>
      <c r="Q170" s="669"/>
    </row>
    <row r="171" spans="2:17" x14ac:dyDescent="0.2">
      <c r="B171" s="664" t="s">
        <v>844</v>
      </c>
      <c r="C171" s="665"/>
      <c r="D171" s="666" t="s">
        <v>845</v>
      </c>
      <c r="E171" s="666"/>
      <c r="F171" s="666"/>
      <c r="G171" s="666"/>
      <c r="H171" s="666"/>
      <c r="I171" s="666"/>
      <c r="J171" s="666"/>
      <c r="K171" s="666"/>
      <c r="L171" s="666"/>
      <c r="M171" s="667" t="s">
        <v>635</v>
      </c>
      <c r="N171" s="667"/>
      <c r="O171" s="667"/>
      <c r="P171" s="668">
        <v>44526</v>
      </c>
      <c r="Q171" s="669"/>
    </row>
    <row r="172" spans="2:17" x14ac:dyDescent="0.2">
      <c r="B172" s="664" t="s">
        <v>853</v>
      </c>
      <c r="C172" s="665"/>
      <c r="D172" s="666" t="s">
        <v>859</v>
      </c>
      <c r="E172" s="666"/>
      <c r="F172" s="666"/>
      <c r="G172" s="666"/>
      <c r="H172" s="666"/>
      <c r="I172" s="666"/>
      <c r="J172" s="666"/>
      <c r="K172" s="666"/>
      <c r="L172" s="666"/>
      <c r="M172" s="667" t="s">
        <v>854</v>
      </c>
      <c r="N172" s="667"/>
      <c r="O172" s="667"/>
      <c r="P172" s="668">
        <v>44536</v>
      </c>
      <c r="Q172" s="669"/>
    </row>
    <row r="173" spans="2:17" x14ac:dyDescent="0.2">
      <c r="B173" s="664" t="s">
        <v>860</v>
      </c>
      <c r="C173" s="665"/>
      <c r="D173" s="666" t="s">
        <v>867</v>
      </c>
      <c r="E173" s="666"/>
      <c r="F173" s="666"/>
      <c r="G173" s="666"/>
      <c r="H173" s="666"/>
      <c r="I173" s="666"/>
      <c r="J173" s="666"/>
      <c r="K173" s="666"/>
      <c r="L173" s="666"/>
      <c r="M173" s="667" t="s">
        <v>635</v>
      </c>
      <c r="N173" s="667"/>
      <c r="O173" s="667"/>
      <c r="P173" s="668">
        <v>44574</v>
      </c>
      <c r="Q173" s="669"/>
    </row>
    <row r="174" spans="2:17" x14ac:dyDescent="0.2">
      <c r="B174" s="664"/>
      <c r="C174" s="665"/>
      <c r="D174" s="666"/>
      <c r="E174" s="666"/>
      <c r="F174" s="666"/>
      <c r="G174" s="666"/>
      <c r="H174" s="666"/>
      <c r="I174" s="666"/>
      <c r="J174" s="666"/>
      <c r="K174" s="666"/>
      <c r="L174" s="666"/>
      <c r="M174" s="667"/>
      <c r="N174" s="667"/>
      <c r="O174" s="667"/>
      <c r="P174" s="668"/>
      <c r="Q174" s="669"/>
    </row>
    <row r="175" spans="2:17" x14ac:dyDescent="0.2">
      <c r="B175" s="664"/>
      <c r="C175" s="665"/>
      <c r="D175" s="666"/>
      <c r="E175" s="666"/>
      <c r="F175" s="666"/>
      <c r="G175" s="666"/>
      <c r="H175" s="666"/>
      <c r="I175" s="666"/>
      <c r="J175" s="666"/>
      <c r="K175" s="666"/>
      <c r="L175" s="666"/>
      <c r="M175" s="667"/>
      <c r="N175" s="667"/>
      <c r="O175" s="667"/>
      <c r="P175" s="668"/>
      <c r="Q175" s="669"/>
    </row>
    <row r="176" spans="2:17" x14ac:dyDescent="0.2">
      <c r="B176" s="664"/>
      <c r="C176" s="665"/>
      <c r="D176" s="666"/>
      <c r="E176" s="666"/>
      <c r="F176" s="666"/>
      <c r="G176" s="666"/>
      <c r="H176" s="666"/>
      <c r="I176" s="666"/>
      <c r="J176" s="666"/>
      <c r="K176" s="666"/>
      <c r="L176" s="666"/>
      <c r="M176" s="667"/>
      <c r="N176" s="667"/>
      <c r="O176" s="667"/>
      <c r="P176" s="668"/>
      <c r="Q176" s="669"/>
    </row>
    <row r="177" spans="2:17" x14ac:dyDescent="0.2">
      <c r="B177" s="664"/>
      <c r="C177" s="665"/>
      <c r="D177" s="666"/>
      <c r="E177" s="666"/>
      <c r="F177" s="666"/>
      <c r="G177" s="666"/>
      <c r="H177" s="666"/>
      <c r="I177" s="666"/>
      <c r="J177" s="666"/>
      <c r="K177" s="666"/>
      <c r="L177" s="666"/>
      <c r="M177" s="667"/>
      <c r="N177" s="667"/>
      <c r="O177" s="667"/>
      <c r="P177" s="668"/>
      <c r="Q177" s="669"/>
    </row>
    <row r="178" spans="2:17" x14ac:dyDescent="0.2">
      <c r="B178" s="664"/>
      <c r="C178" s="665"/>
      <c r="D178" s="666"/>
      <c r="E178" s="666"/>
      <c r="F178" s="666"/>
      <c r="G178" s="666"/>
      <c r="H178" s="666"/>
      <c r="I178" s="666"/>
      <c r="J178" s="666"/>
      <c r="K178" s="666"/>
      <c r="L178" s="666"/>
      <c r="M178" s="667"/>
      <c r="N178" s="667"/>
      <c r="O178" s="667"/>
      <c r="P178" s="668"/>
      <c r="Q178" s="669"/>
    </row>
    <row r="179" spans="2:17" x14ac:dyDescent="0.2">
      <c r="B179" s="664"/>
      <c r="C179" s="665"/>
      <c r="D179" s="666"/>
      <c r="E179" s="666"/>
      <c r="F179" s="666"/>
      <c r="G179" s="666"/>
      <c r="H179" s="666"/>
      <c r="I179" s="666"/>
      <c r="J179" s="666"/>
      <c r="K179" s="666"/>
      <c r="L179" s="666"/>
      <c r="M179" s="667"/>
      <c r="N179" s="667"/>
      <c r="O179" s="667"/>
      <c r="P179" s="668"/>
      <c r="Q179" s="669"/>
    </row>
    <row r="180" spans="2:17" x14ac:dyDescent="0.2">
      <c r="B180" s="664"/>
      <c r="C180" s="665"/>
      <c r="D180" s="666"/>
      <c r="E180" s="666"/>
      <c r="F180" s="666"/>
      <c r="G180" s="666"/>
      <c r="H180" s="666"/>
      <c r="I180" s="666"/>
      <c r="J180" s="666"/>
      <c r="K180" s="666"/>
      <c r="L180" s="666"/>
      <c r="M180" s="667"/>
      <c r="N180" s="667"/>
      <c r="O180" s="667"/>
      <c r="P180" s="668"/>
      <c r="Q180" s="669"/>
    </row>
    <row r="181" spans="2:17" x14ac:dyDescent="0.2">
      <c r="B181" s="664"/>
      <c r="C181" s="665"/>
      <c r="D181" s="666"/>
      <c r="E181" s="666"/>
      <c r="F181" s="666"/>
      <c r="G181" s="666"/>
      <c r="H181" s="666"/>
      <c r="I181" s="666"/>
      <c r="J181" s="666"/>
      <c r="K181" s="666"/>
      <c r="L181" s="666"/>
      <c r="M181" s="667"/>
      <c r="N181" s="667"/>
      <c r="O181" s="667"/>
      <c r="P181" s="668"/>
      <c r="Q181" s="669"/>
    </row>
    <row r="182" spans="2:17" x14ac:dyDescent="0.2">
      <c r="B182" s="664"/>
      <c r="C182" s="665"/>
      <c r="D182" s="666"/>
      <c r="E182" s="666"/>
      <c r="F182" s="666"/>
      <c r="G182" s="666"/>
      <c r="H182" s="666"/>
      <c r="I182" s="666"/>
      <c r="J182" s="666"/>
      <c r="K182" s="666"/>
      <c r="L182" s="666"/>
      <c r="M182" s="667"/>
      <c r="N182" s="667"/>
      <c r="O182" s="667"/>
      <c r="P182" s="668"/>
      <c r="Q182" s="669"/>
    </row>
    <row r="183" spans="2:17" x14ac:dyDescent="0.2">
      <c r="B183" s="664"/>
      <c r="C183" s="665"/>
      <c r="D183" s="666"/>
      <c r="E183" s="666"/>
      <c r="F183" s="666"/>
      <c r="G183" s="666"/>
      <c r="H183" s="666"/>
      <c r="I183" s="666"/>
      <c r="J183" s="666"/>
      <c r="K183" s="666"/>
      <c r="L183" s="666"/>
      <c r="M183" s="667"/>
      <c r="N183" s="667"/>
      <c r="O183" s="667"/>
      <c r="P183" s="668"/>
      <c r="Q183" s="669"/>
    </row>
    <row r="184" spans="2:17" x14ac:dyDescent="0.2">
      <c r="B184" s="664"/>
      <c r="C184" s="665"/>
      <c r="D184" s="666"/>
      <c r="E184" s="666"/>
      <c r="F184" s="666"/>
      <c r="G184" s="666"/>
      <c r="H184" s="666"/>
      <c r="I184" s="666"/>
      <c r="J184" s="666"/>
      <c r="K184" s="666"/>
      <c r="L184" s="666"/>
      <c r="M184" s="667"/>
      <c r="N184" s="667"/>
      <c r="O184" s="667"/>
      <c r="P184" s="668"/>
      <c r="Q184" s="669"/>
    </row>
    <row r="185" spans="2:17" x14ac:dyDescent="0.2">
      <c r="B185" s="664"/>
      <c r="C185" s="665"/>
      <c r="D185" s="666"/>
      <c r="E185" s="666"/>
      <c r="F185" s="666"/>
      <c r="G185" s="666"/>
      <c r="H185" s="666"/>
      <c r="I185" s="666"/>
      <c r="J185" s="666"/>
      <c r="K185" s="666"/>
      <c r="L185" s="666"/>
      <c r="M185" s="667"/>
      <c r="N185" s="667"/>
      <c r="O185" s="667"/>
      <c r="P185" s="668"/>
      <c r="Q185" s="669"/>
    </row>
    <row r="186" spans="2:17" x14ac:dyDescent="0.2">
      <c r="B186" s="664"/>
      <c r="C186" s="665"/>
      <c r="D186" s="666"/>
      <c r="E186" s="666"/>
      <c r="F186" s="666"/>
      <c r="G186" s="666"/>
      <c r="H186" s="666"/>
      <c r="I186" s="666"/>
      <c r="J186" s="666"/>
      <c r="K186" s="666"/>
      <c r="L186" s="666"/>
      <c r="M186" s="667"/>
      <c r="N186" s="667"/>
      <c r="O186" s="667"/>
      <c r="P186" s="668"/>
      <c r="Q186" s="669"/>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50" priority="99" stopIfTrue="1">
      <formula>$F$17=1</formula>
    </cfRule>
  </conditionalFormatting>
  <conditionalFormatting sqref="O18:P19">
    <cfRule type="containsText" dxfId="149" priority="96" stopIfTrue="1" operator="containsText" text="FALSO">
      <formula>NOT(ISERROR(SEARCH("FALSO",O18)))</formula>
    </cfRule>
  </conditionalFormatting>
  <conditionalFormatting sqref="H18:I18">
    <cfRule type="containsText" dxfId="148" priority="44" stopIfTrue="1" operator="containsText" text="FALSO">
      <formula>NOT(ISERROR(SEARCH("FALSO",H18)))</formula>
    </cfRule>
  </conditionalFormatting>
  <conditionalFormatting sqref="C22:D22">
    <cfRule type="containsText" dxfId="147" priority="41" stopIfTrue="1" operator="containsText" text="FALSO">
      <formula>NOT(ISERROR(SEARCH("FALSO",C22)))</formula>
    </cfRule>
  </conditionalFormatting>
  <conditionalFormatting sqref="E24:F24">
    <cfRule type="containsText" dxfId="146" priority="40" stopIfTrue="1" operator="containsText" text="FALSO">
      <formula>NOT(ISERROR(SEARCH("FALSO",E24)))</formula>
    </cfRule>
  </conditionalFormatting>
  <conditionalFormatting sqref="P21">
    <cfRule type="containsText" dxfId="145" priority="39" stopIfTrue="1" operator="containsText" text="FALSO">
      <formula>NOT(ISERROR(SEARCH("FALSO",P21)))</formula>
    </cfRule>
  </conditionalFormatting>
  <conditionalFormatting sqref="E23:F24 C21:D22">
    <cfRule type="expression" dxfId="144" priority="194">
      <formula>$F$17&gt;1</formula>
    </cfRule>
  </conditionalFormatting>
  <conditionalFormatting sqref="E34">
    <cfRule type="containsText" dxfId="143" priority="37" operator="containsText" text="VERDADEIRO">
      <formula>NOT(ISERROR(SEARCH("VERDADEIRO",E34)))</formula>
    </cfRule>
  </conditionalFormatting>
  <conditionalFormatting sqref="J18:K18">
    <cfRule type="containsText" dxfId="142" priority="32" stopIfTrue="1" operator="containsText" text="FALSO">
      <formula>NOT(ISERROR(SEARCH("FALSO",J18)))</formula>
    </cfRule>
  </conditionalFormatting>
  <conditionalFormatting sqref="O40:P41 O46:P47 N31 N32:P32 O43:P44 L34:P35 S45:V45 S37:Y37 S32:W36 Y31:Z36 S31 W31">
    <cfRule type="expression" dxfId="141" priority="30">
      <formula>NOT($E$34)</formula>
    </cfRule>
  </conditionalFormatting>
  <conditionalFormatting sqref="O58:P59">
    <cfRule type="expression" dxfId="140" priority="25">
      <formula>$C$32&lt;&gt;"Perfiladeira 1"</formula>
    </cfRule>
  </conditionalFormatting>
  <conditionalFormatting sqref="K58:L59">
    <cfRule type="expression" dxfId="139" priority="12">
      <formula>NOT($E$34)</formula>
    </cfRule>
  </conditionalFormatting>
  <conditionalFormatting sqref="M58:N59">
    <cfRule type="expression" dxfId="138" priority="11">
      <formula>AND($J$35&lt;&gt;"Cisalhamento",$J$35&lt;&gt;"Faca")</formula>
    </cfRule>
  </conditionalFormatting>
  <conditionalFormatting sqref="M43:N44">
    <cfRule type="expression" dxfId="137" priority="10">
      <formula>$F$17&lt;&gt;2</formula>
    </cfRule>
  </conditionalFormatting>
  <conditionalFormatting sqref="Z33:Z36">
    <cfRule type="containsText" dxfId="136" priority="4" stopIfTrue="1" operator="containsText" text="FALSO">
      <formula>NOT(ISERROR(SEARCH("FALSO",Z33)))</formula>
    </cfRule>
  </conditionalFormatting>
  <conditionalFormatting sqref="X32">
    <cfRule type="expression" dxfId="135" priority="3">
      <formula>NOT($E$34)</formula>
    </cfRule>
  </conditionalFormatting>
  <conditionalFormatting sqref="X33:X36">
    <cfRule type="expression" dxfId="134" priority="2">
      <formula>NOT($E$34)</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45" t="s">
        <v>0</v>
      </c>
      <c r="C1" s="728"/>
      <c r="D1" s="728"/>
      <c r="E1" s="728"/>
      <c r="F1" s="728"/>
      <c r="G1" s="728"/>
      <c r="H1" s="728"/>
      <c r="I1" s="728"/>
      <c r="J1" s="728"/>
      <c r="K1" s="728"/>
      <c r="L1" s="728"/>
      <c r="M1" s="728"/>
      <c r="N1" s="728"/>
      <c r="O1" s="728"/>
      <c r="P1" s="728"/>
      <c r="Q1" s="746"/>
      <c r="R1" s="727" t="s">
        <v>39</v>
      </c>
      <c r="S1" s="728"/>
      <c r="T1" s="728"/>
      <c r="U1" s="728"/>
      <c r="V1" s="728"/>
      <c r="W1" s="728"/>
      <c r="X1" s="728"/>
      <c r="Y1" s="728"/>
      <c r="Z1" s="728"/>
      <c r="AA1" s="728"/>
      <c r="AB1" s="728"/>
      <c r="AC1" s="728"/>
      <c r="AD1" s="728"/>
      <c r="AE1" s="728"/>
      <c r="AF1" s="728"/>
      <c r="AG1" s="728"/>
      <c r="AH1" s="728"/>
      <c r="AI1" s="729"/>
      <c r="AJ1" s="733" t="s">
        <v>68</v>
      </c>
      <c r="AK1" s="734"/>
      <c r="AL1" s="734"/>
      <c r="AM1" s="734"/>
      <c r="AN1" s="734"/>
      <c r="AO1" s="734"/>
      <c r="AP1" s="734"/>
      <c r="AQ1" s="734"/>
      <c r="AR1" s="734"/>
      <c r="AS1" s="734"/>
      <c r="AT1" s="734"/>
      <c r="AU1" s="734"/>
      <c r="AV1" s="734"/>
      <c r="AW1" s="734"/>
      <c r="AX1" s="734"/>
      <c r="AY1" s="734"/>
      <c r="AZ1" s="734"/>
      <c r="BA1" s="734"/>
      <c r="BB1" s="734"/>
      <c r="BC1" s="734"/>
      <c r="BD1" s="734"/>
      <c r="BE1" s="734"/>
      <c r="BF1" s="734"/>
      <c r="BG1" s="734"/>
      <c r="BH1" s="734"/>
      <c r="BI1" s="734"/>
      <c r="BJ1" s="734"/>
      <c r="BK1" s="734"/>
      <c r="BL1" s="734"/>
      <c r="BM1" s="734"/>
      <c r="BN1" s="734"/>
      <c r="BO1" s="734"/>
      <c r="BP1" s="734"/>
      <c r="BR1" s="732" t="s">
        <v>67</v>
      </c>
      <c r="BS1" s="732"/>
      <c r="BT1" s="732"/>
      <c r="BU1" s="732"/>
      <c r="BV1" s="732"/>
      <c r="BW1" s="732"/>
      <c r="BX1" s="732"/>
      <c r="BY1" s="732"/>
      <c r="BZ1" s="732"/>
      <c r="CA1" s="732"/>
      <c r="CB1" s="732"/>
      <c r="CC1" s="732"/>
      <c r="CD1" s="732"/>
      <c r="CE1" s="732"/>
      <c r="CF1" s="732"/>
      <c r="CG1" s="732"/>
      <c r="CH1" s="732"/>
      <c r="CI1" s="732"/>
      <c r="CJ1" s="732"/>
      <c r="CK1" s="732"/>
      <c r="CL1" s="732"/>
      <c r="CM1" s="732"/>
      <c r="CN1" s="732"/>
      <c r="CO1" s="732"/>
      <c r="CP1" s="732"/>
      <c r="CQ1" s="732"/>
      <c r="CR1" s="732"/>
      <c r="CS1" s="732"/>
      <c r="CT1" s="732"/>
      <c r="CU1" s="732"/>
      <c r="CV1" s="732"/>
      <c r="CW1" s="732"/>
      <c r="CY1" s="732" t="s">
        <v>94</v>
      </c>
      <c r="CZ1" s="732"/>
      <c r="DA1" s="732"/>
      <c r="DB1" s="23"/>
      <c r="DC1" s="23"/>
      <c r="DD1" s="23"/>
      <c r="DE1" s="23"/>
      <c r="DF1" s="23"/>
      <c r="DG1" s="19"/>
    </row>
    <row r="2" spans="1:111" s="372" customFormat="1" ht="18" customHeight="1" thickTop="1" thickBot="1" x14ac:dyDescent="0.25">
      <c r="A2" s="28"/>
      <c r="B2" s="747" t="s">
        <v>1</v>
      </c>
      <c r="C2" s="725" t="s">
        <v>2</v>
      </c>
      <c r="D2" s="742" t="s">
        <v>3</v>
      </c>
      <c r="E2" s="725" t="s">
        <v>102</v>
      </c>
      <c r="F2" s="725" t="s">
        <v>573</v>
      </c>
      <c r="G2" s="725" t="s">
        <v>170</v>
      </c>
      <c r="H2" s="725" t="s">
        <v>574</v>
      </c>
      <c r="I2" s="725" t="s">
        <v>575</v>
      </c>
      <c r="J2" s="725" t="s">
        <v>134</v>
      </c>
      <c r="K2" s="742" t="s">
        <v>169</v>
      </c>
      <c r="L2" s="725" t="s">
        <v>576</v>
      </c>
      <c r="M2" s="725" t="s">
        <v>577</v>
      </c>
      <c r="N2" s="725" t="s">
        <v>578</v>
      </c>
      <c r="O2" s="725" t="s">
        <v>580</v>
      </c>
      <c r="P2" s="725" t="s">
        <v>581</v>
      </c>
      <c r="Q2" s="730" t="s">
        <v>579</v>
      </c>
      <c r="R2" s="744" t="s">
        <v>49</v>
      </c>
      <c r="S2" s="725" t="s">
        <v>582</v>
      </c>
      <c r="T2" s="725" t="s">
        <v>583</v>
      </c>
      <c r="U2" s="725"/>
      <c r="V2" s="725" t="s">
        <v>584</v>
      </c>
      <c r="W2" s="725" t="s">
        <v>301</v>
      </c>
      <c r="X2" s="725" t="s">
        <v>585</v>
      </c>
      <c r="Y2" s="725" t="s">
        <v>586</v>
      </c>
      <c r="Z2" s="725" t="s">
        <v>587</v>
      </c>
      <c r="AA2" s="725" t="s">
        <v>588</v>
      </c>
      <c r="AB2" s="725" t="s">
        <v>589</v>
      </c>
      <c r="AC2" s="725" t="s">
        <v>590</v>
      </c>
      <c r="AD2" s="725" t="s">
        <v>591</v>
      </c>
      <c r="AE2" s="725" t="s">
        <v>92</v>
      </c>
      <c r="AF2" s="725" t="s">
        <v>592</v>
      </c>
      <c r="AG2" s="725" t="s">
        <v>593</v>
      </c>
      <c r="AH2" s="725" t="s">
        <v>594</v>
      </c>
      <c r="AI2" s="730" t="s">
        <v>595</v>
      </c>
      <c r="AJ2" s="735" t="s">
        <v>68</v>
      </c>
      <c r="AK2" s="725" t="s">
        <v>49</v>
      </c>
      <c r="AL2" s="725" t="s">
        <v>78</v>
      </c>
      <c r="AM2" s="725" t="s">
        <v>596</v>
      </c>
      <c r="AN2" s="725" t="s">
        <v>597</v>
      </c>
      <c r="AO2" s="725" t="s">
        <v>598</v>
      </c>
      <c r="AP2" s="725" t="s">
        <v>151</v>
      </c>
      <c r="AQ2" s="725" t="s">
        <v>599</v>
      </c>
      <c r="AR2" s="725" t="s">
        <v>600</v>
      </c>
      <c r="AS2" s="725" t="s">
        <v>601</v>
      </c>
      <c r="AT2" s="725" t="s">
        <v>582</v>
      </c>
      <c r="AU2" s="725" t="s">
        <v>583</v>
      </c>
      <c r="AV2" s="725"/>
      <c r="AW2" s="725" t="s">
        <v>584</v>
      </c>
      <c r="AX2" s="725" t="s">
        <v>602</v>
      </c>
      <c r="AY2" s="725" t="s">
        <v>603</v>
      </c>
      <c r="AZ2" s="725" t="s">
        <v>585</v>
      </c>
      <c r="BA2" s="725" t="s">
        <v>604</v>
      </c>
      <c r="BB2" s="725" t="s">
        <v>586</v>
      </c>
      <c r="BC2" s="725" t="s">
        <v>587</v>
      </c>
      <c r="BD2" s="725" t="s">
        <v>588</v>
      </c>
      <c r="BE2" s="725" t="s">
        <v>589</v>
      </c>
      <c r="BF2" s="725" t="s">
        <v>590</v>
      </c>
      <c r="BG2" s="725" t="s">
        <v>591</v>
      </c>
      <c r="BH2" s="725" t="s">
        <v>92</v>
      </c>
      <c r="BI2" s="725" t="s">
        <v>592</v>
      </c>
      <c r="BJ2" s="725" t="s">
        <v>593</v>
      </c>
      <c r="BK2" s="725" t="s">
        <v>605</v>
      </c>
      <c r="BL2" s="725" t="s">
        <v>606</v>
      </c>
      <c r="BM2" s="725" t="s">
        <v>607</v>
      </c>
      <c r="BN2" s="725" t="s">
        <v>608</v>
      </c>
      <c r="BO2" s="725" t="s">
        <v>609</v>
      </c>
      <c r="BP2" s="725" t="s">
        <v>610</v>
      </c>
      <c r="BR2" s="732" t="s">
        <v>39</v>
      </c>
      <c r="BS2" s="732"/>
      <c r="BT2" s="732"/>
      <c r="BU2" s="732"/>
      <c r="BV2" s="732" t="s">
        <v>145</v>
      </c>
      <c r="BW2" s="732"/>
      <c r="BX2" s="732"/>
      <c r="BY2" s="732"/>
      <c r="BZ2" s="732"/>
      <c r="CA2" s="732" t="s">
        <v>150</v>
      </c>
      <c r="CB2" s="732"/>
      <c r="CC2" s="732"/>
      <c r="CD2" s="732"/>
      <c r="CE2" s="732"/>
      <c r="CF2" s="732"/>
      <c r="CG2" s="732" t="s">
        <v>553</v>
      </c>
      <c r="CH2" s="732"/>
      <c r="CI2" s="732"/>
      <c r="CJ2" s="732"/>
      <c r="CK2" s="732"/>
      <c r="CL2" s="732" t="s">
        <v>146</v>
      </c>
      <c r="CM2" s="732"/>
      <c r="CN2" s="732"/>
      <c r="CO2" s="732"/>
      <c r="CP2" s="732" t="s">
        <v>554</v>
      </c>
      <c r="CQ2" s="732"/>
      <c r="CR2" s="732"/>
      <c r="CS2" s="732"/>
      <c r="CT2" s="732" t="s">
        <v>70</v>
      </c>
      <c r="CU2" s="732"/>
      <c r="CV2" s="732"/>
      <c r="CW2" s="732"/>
      <c r="CY2" s="732" t="s">
        <v>96</v>
      </c>
      <c r="CZ2" s="732"/>
      <c r="DA2" s="732"/>
      <c r="DB2" s="351"/>
      <c r="DC2" s="352"/>
      <c r="DD2" s="353"/>
      <c r="DE2" s="354"/>
      <c r="DF2" s="354"/>
      <c r="DG2" s="351"/>
    </row>
    <row r="3" spans="1:111" s="374" customFormat="1" ht="19.5" customHeight="1" x14ac:dyDescent="0.2">
      <c r="A3" s="28"/>
      <c r="B3" s="748"/>
      <c r="C3" s="726"/>
      <c r="D3" s="743"/>
      <c r="E3" s="726"/>
      <c r="F3" s="726"/>
      <c r="G3" s="726"/>
      <c r="H3" s="726"/>
      <c r="I3" s="726"/>
      <c r="J3" s="726"/>
      <c r="K3" s="743"/>
      <c r="L3" s="726"/>
      <c r="M3" s="726"/>
      <c r="N3" s="726"/>
      <c r="O3" s="726"/>
      <c r="P3" s="726"/>
      <c r="Q3" s="731"/>
      <c r="R3" s="736"/>
      <c r="S3" s="726"/>
      <c r="T3" s="373" t="s">
        <v>43</v>
      </c>
      <c r="U3" s="373" t="s">
        <v>63</v>
      </c>
      <c r="V3" s="726"/>
      <c r="W3" s="726"/>
      <c r="X3" s="726"/>
      <c r="Y3" s="726"/>
      <c r="Z3" s="726"/>
      <c r="AA3" s="726"/>
      <c r="AB3" s="726"/>
      <c r="AC3" s="726"/>
      <c r="AD3" s="726"/>
      <c r="AE3" s="726"/>
      <c r="AF3" s="726"/>
      <c r="AG3" s="726"/>
      <c r="AH3" s="726"/>
      <c r="AI3" s="731"/>
      <c r="AJ3" s="736"/>
      <c r="AK3" s="726"/>
      <c r="AL3" s="726"/>
      <c r="AM3" s="726"/>
      <c r="AN3" s="726"/>
      <c r="AO3" s="726"/>
      <c r="AP3" s="726"/>
      <c r="AQ3" s="726"/>
      <c r="AR3" s="726"/>
      <c r="AS3" s="726"/>
      <c r="AT3" s="726"/>
      <c r="AU3" s="373" t="s">
        <v>80</v>
      </c>
      <c r="AV3" s="373" t="s">
        <v>44</v>
      </c>
      <c r="AW3" s="726"/>
      <c r="AX3" s="726"/>
      <c r="AY3" s="726"/>
      <c r="AZ3" s="726"/>
      <c r="BA3" s="726"/>
      <c r="BB3" s="726"/>
      <c r="BC3" s="726"/>
      <c r="BD3" s="726"/>
      <c r="BE3" s="726"/>
      <c r="BF3" s="726"/>
      <c r="BG3" s="726"/>
      <c r="BH3" s="726"/>
      <c r="BI3" s="726"/>
      <c r="BJ3" s="726"/>
      <c r="BK3" s="726"/>
      <c r="BL3" s="726"/>
      <c r="BM3" s="726"/>
      <c r="BN3" s="726"/>
      <c r="BO3" s="726"/>
      <c r="BP3" s="726"/>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685</v>
      </c>
      <c r="V5" s="425" t="s">
        <v>685</v>
      </c>
      <c r="X5" s="425" t="s">
        <v>685</v>
      </c>
      <c r="Y5" s="214"/>
      <c r="Z5" s="214" t="s">
        <v>685</v>
      </c>
      <c r="AA5" s="214" t="s">
        <v>685</v>
      </c>
      <c r="AB5" s="425" t="s">
        <v>685</v>
      </c>
      <c r="AC5" s="425" t="s">
        <v>685</v>
      </c>
      <c r="AF5" s="425" t="s">
        <v>685</v>
      </c>
      <c r="AG5" s="426" t="s">
        <v>685</v>
      </c>
      <c r="AH5" s="426" t="s">
        <v>685</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2" t="s">
        <v>81</v>
      </c>
      <c r="CH7" s="732"/>
      <c r="CI7" s="732"/>
      <c r="CJ7"/>
      <c r="CK7"/>
      <c r="CL7" s="732" t="s">
        <v>81</v>
      </c>
      <c r="CM7" s="732"/>
      <c r="CN7"/>
      <c r="CO7"/>
      <c r="CP7" s="732" t="s">
        <v>81</v>
      </c>
      <c r="CQ7" s="732"/>
      <c r="CR7"/>
      <c r="CS7"/>
      <c r="CT7" s="732" t="s">
        <v>81</v>
      </c>
      <c r="CU7" s="732"/>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24"/>
      <c r="Z11" s="724"/>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38"/>
      <c r="BW21" s="739"/>
      <c r="CY21" s="5">
        <v>2.7</v>
      </c>
      <c r="CZ21" s="5">
        <v>42.2</v>
      </c>
      <c r="DA21" s="5" t="s">
        <v>116</v>
      </c>
    </row>
    <row r="22" spans="12:105" ht="13.5" thickBot="1" x14ac:dyDescent="0.25">
      <c r="BV22" s="740"/>
      <c r="BW22" s="741"/>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7"/>
      <c r="BS29" s="737"/>
      <c r="BT29" s="737"/>
      <c r="BU29" s="737"/>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2" priority="150" operator="equal">
      <formula>0</formula>
    </cfRule>
  </conditionalFormatting>
  <conditionalFormatting sqref="AM4:AM9">
    <cfRule type="cellIs" dxfId="131" priority="126" operator="lessThan">
      <formula>$J$4</formula>
    </cfRule>
  </conditionalFormatting>
  <conditionalFormatting sqref="AN6:AN9">
    <cfRule type="cellIs" dxfId="130" priority="73" operator="equal">
      <formula>0</formula>
    </cfRule>
  </conditionalFormatting>
  <conditionalFormatting sqref="O4:P4">
    <cfRule type="cellIs" dxfId="129" priority="69" operator="equal">
      <formula>0</formula>
    </cfRule>
    <cfRule type="containsErrors" dxfId="128" priority="154">
      <formula>ISERROR(O4)</formula>
    </cfRule>
  </conditionalFormatting>
  <conditionalFormatting sqref="I4">
    <cfRule type="cellIs" dxfId="127" priority="32" operator="greaterThan">
      <formula>18</formula>
    </cfRule>
  </conditionalFormatting>
  <conditionalFormatting sqref="L4">
    <cfRule type="cellIs" dxfId="126" priority="31" operator="greaterThan">
      <formula>100</formula>
    </cfRule>
  </conditionalFormatting>
  <conditionalFormatting sqref="AJ4:AJ9">
    <cfRule type="containsErrors" dxfId="125" priority="19">
      <formula>ISERROR(AJ4)</formula>
    </cfRule>
  </conditionalFormatting>
  <conditionalFormatting sqref="G4:H4">
    <cfRule type="cellIs" dxfId="124" priority="3" operator="equal">
      <formula>0</formula>
    </cfRule>
  </conditionalFormatting>
  <conditionalFormatting sqref="H4">
    <cfRule type="cellIs" dxfId="123"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49" t="s">
        <v>0</v>
      </c>
      <c r="C2" s="749"/>
      <c r="D2" s="749"/>
      <c r="E2" s="749"/>
      <c r="F2" s="749"/>
      <c r="G2" s="749"/>
      <c r="H2" s="749"/>
      <c r="I2" s="749"/>
      <c r="J2" s="749"/>
      <c r="K2" s="749"/>
      <c r="L2" s="749"/>
      <c r="M2" s="749"/>
      <c r="N2" s="750"/>
      <c r="O2" s="750"/>
      <c r="P2" s="751" t="s">
        <v>39</v>
      </c>
      <c r="Q2" s="749"/>
      <c r="R2" s="749"/>
      <c r="S2" s="749"/>
      <c r="T2" s="749"/>
      <c r="U2" s="749"/>
      <c r="V2" s="749"/>
      <c r="W2" s="749"/>
      <c r="X2" s="749"/>
      <c r="Y2" s="749"/>
      <c r="Z2" s="749"/>
      <c r="AA2" s="749"/>
      <c r="AB2" s="749"/>
      <c r="AC2" s="749"/>
      <c r="AD2" s="749"/>
      <c r="AE2" s="749"/>
      <c r="AF2" s="749"/>
      <c r="AG2" s="749"/>
      <c r="AH2" s="749"/>
      <c r="AI2" s="749"/>
      <c r="AJ2" s="749"/>
      <c r="AK2" s="749"/>
      <c r="AL2" s="750"/>
      <c r="AM2" s="97"/>
      <c r="AN2" s="62"/>
      <c r="AO2" s="752" t="s">
        <v>68</v>
      </c>
      <c r="AP2" s="753"/>
      <c r="AQ2" s="753"/>
      <c r="AR2" s="753"/>
      <c r="AS2" s="753"/>
      <c r="AT2" s="753"/>
      <c r="AU2" s="753"/>
      <c r="AV2" s="753"/>
      <c r="AW2" s="753"/>
      <c r="AX2" s="753"/>
      <c r="AY2" s="753"/>
      <c r="AZ2" s="753"/>
      <c r="BA2" s="753"/>
      <c r="BB2" s="753"/>
      <c r="BC2" s="753"/>
      <c r="BD2" s="753"/>
      <c r="BE2" s="753"/>
      <c r="BF2" s="753"/>
      <c r="BG2" s="753"/>
      <c r="BH2" s="753"/>
      <c r="BI2" s="753"/>
      <c r="BJ2" s="753"/>
      <c r="BK2" s="753"/>
      <c r="BL2" s="753"/>
      <c r="BM2" s="753"/>
      <c r="BN2" s="753"/>
      <c r="BO2" s="753"/>
      <c r="BP2" s="753"/>
      <c r="BQ2" s="753"/>
      <c r="BR2" s="753"/>
      <c r="BS2" s="753"/>
      <c r="BT2" s="753"/>
      <c r="BU2" s="754"/>
      <c r="BW2" s="102" t="s">
        <v>94</v>
      </c>
      <c r="BX2" s="103"/>
      <c r="BY2" s="755" t="s">
        <v>67</v>
      </c>
      <c r="BZ2" s="755"/>
      <c r="CA2" s="755"/>
      <c r="CB2" s="755"/>
      <c r="CC2" s="755"/>
      <c r="CD2" s="755"/>
      <c r="CE2" s="755"/>
      <c r="CF2" s="755"/>
      <c r="CG2" s="755"/>
      <c r="CH2" s="755"/>
      <c r="CI2" s="755"/>
      <c r="CJ2" s="755"/>
      <c r="CK2" s="755"/>
      <c r="CL2" s="755"/>
      <c r="CM2" s="755"/>
      <c r="CN2" s="755"/>
      <c r="CO2" s="755"/>
      <c r="CP2" s="755"/>
      <c r="CQ2" s="755"/>
      <c r="CR2" s="755"/>
      <c r="CS2" s="755"/>
      <c r="CT2" s="755"/>
      <c r="CU2" s="755"/>
      <c r="CV2" s="755"/>
      <c r="CW2" s="755"/>
      <c r="CX2" s="755"/>
      <c r="CY2" s="755"/>
      <c r="CZ2" s="755"/>
      <c r="DA2" s="755"/>
      <c r="DB2" s="755"/>
      <c r="DC2" s="755"/>
      <c r="DD2" s="755"/>
      <c r="DE2" s="755"/>
    </row>
    <row r="3" spans="2:109" ht="18" customHeight="1" thickBot="1" x14ac:dyDescent="0.25">
      <c r="B3" s="760" t="s">
        <v>1</v>
      </c>
      <c r="C3" s="760" t="s">
        <v>2</v>
      </c>
      <c r="D3" s="756" t="s">
        <v>4</v>
      </c>
      <c r="E3" s="756" t="s">
        <v>170</v>
      </c>
      <c r="F3" s="756" t="s">
        <v>5</v>
      </c>
      <c r="G3" s="756" t="s">
        <v>74</v>
      </c>
      <c r="H3" s="756" t="s">
        <v>169</v>
      </c>
      <c r="I3" s="756" t="s">
        <v>76</v>
      </c>
      <c r="J3" s="756" t="s">
        <v>6</v>
      </c>
      <c r="K3" s="756" t="s">
        <v>75</v>
      </c>
      <c r="L3" s="756" t="s">
        <v>7</v>
      </c>
      <c r="M3" s="756" t="s">
        <v>87</v>
      </c>
      <c r="N3" s="756" t="s">
        <v>260</v>
      </c>
      <c r="O3" s="759" t="s">
        <v>8</v>
      </c>
      <c r="P3" s="761" t="s">
        <v>49</v>
      </c>
      <c r="Q3" s="756" t="s">
        <v>104</v>
      </c>
      <c r="R3" s="756" t="s">
        <v>105</v>
      </c>
      <c r="S3" s="758" t="s">
        <v>109</v>
      </c>
      <c r="T3" s="757" t="s">
        <v>106</v>
      </c>
      <c r="U3" s="757" t="s">
        <v>219</v>
      </c>
      <c r="V3" s="756" t="s">
        <v>583</v>
      </c>
      <c r="W3" s="756"/>
      <c r="X3" s="756" t="s">
        <v>66</v>
      </c>
      <c r="Y3" s="756" t="s">
        <v>41</v>
      </c>
      <c r="Z3" s="756" t="s">
        <v>42</v>
      </c>
      <c r="AA3" s="756" t="s">
        <v>108</v>
      </c>
      <c r="AB3" s="756" t="s">
        <v>112</v>
      </c>
      <c r="AC3" s="756" t="s">
        <v>48</v>
      </c>
      <c r="AD3" s="756" t="s">
        <v>45</v>
      </c>
      <c r="AE3" s="756" t="s">
        <v>171</v>
      </c>
      <c r="AF3" s="756" t="s">
        <v>65</v>
      </c>
      <c r="AG3" s="756" t="s">
        <v>46</v>
      </c>
      <c r="AH3" s="756" t="s">
        <v>47</v>
      </c>
      <c r="AI3" s="756" t="s">
        <v>91</v>
      </c>
      <c r="AJ3" s="756" t="s">
        <v>92</v>
      </c>
      <c r="AK3" s="756" t="s">
        <v>90</v>
      </c>
      <c r="AL3" s="759" t="s">
        <v>93</v>
      </c>
      <c r="AM3" s="759" t="s">
        <v>218</v>
      </c>
      <c r="AN3" s="759" t="s">
        <v>256</v>
      </c>
      <c r="AO3" s="764" t="s">
        <v>143</v>
      </c>
      <c r="AP3" s="756" t="s">
        <v>49</v>
      </c>
      <c r="AQ3" s="762" t="s">
        <v>78</v>
      </c>
      <c r="AR3" s="762" t="s">
        <v>152</v>
      </c>
      <c r="AS3" s="762" t="s">
        <v>164</v>
      </c>
      <c r="AT3" s="762" t="s">
        <v>71</v>
      </c>
      <c r="AU3" s="762" t="s">
        <v>151</v>
      </c>
      <c r="AV3" s="762" t="s">
        <v>162</v>
      </c>
      <c r="AW3" s="762" t="s">
        <v>73</v>
      </c>
      <c r="AX3" s="762" t="s">
        <v>77</v>
      </c>
      <c r="AY3" s="756" t="s">
        <v>62</v>
      </c>
      <c r="AZ3" s="756" t="s">
        <v>40</v>
      </c>
      <c r="BA3" s="756"/>
      <c r="BB3" s="756" t="s">
        <v>66</v>
      </c>
      <c r="BC3" s="756" t="s">
        <v>79</v>
      </c>
      <c r="BD3" s="756" t="s">
        <v>86</v>
      </c>
      <c r="BE3" s="756" t="s">
        <v>42</v>
      </c>
      <c r="BF3" s="756" t="s">
        <v>185</v>
      </c>
      <c r="BG3" s="756" t="s">
        <v>48</v>
      </c>
      <c r="BH3" s="756" t="s">
        <v>45</v>
      </c>
      <c r="BI3" s="756" t="s">
        <v>65</v>
      </c>
      <c r="BJ3" s="756" t="s">
        <v>46</v>
      </c>
      <c r="BK3" s="756" t="s">
        <v>47</v>
      </c>
      <c r="BL3" s="756" t="s">
        <v>91</v>
      </c>
      <c r="BM3" s="756" t="s">
        <v>92</v>
      </c>
      <c r="BN3" s="756" t="s">
        <v>90</v>
      </c>
      <c r="BO3" s="756" t="s">
        <v>93</v>
      </c>
      <c r="BP3" s="756" t="s">
        <v>117</v>
      </c>
      <c r="BQ3" s="756" t="s">
        <v>118</v>
      </c>
      <c r="BR3" s="756" t="s">
        <v>119</v>
      </c>
      <c r="BS3" s="756" t="s">
        <v>120</v>
      </c>
      <c r="BT3" s="756" t="s">
        <v>121</v>
      </c>
      <c r="BU3" s="756" t="s">
        <v>122</v>
      </c>
      <c r="BW3" s="104" t="s">
        <v>103</v>
      </c>
      <c r="BX3" s="103"/>
      <c r="BY3" s="766" t="s">
        <v>39</v>
      </c>
      <c r="BZ3" s="766"/>
      <c r="CA3" s="766"/>
      <c r="CB3" s="766"/>
      <c r="CC3" s="766"/>
      <c r="CD3" s="766" t="s">
        <v>145</v>
      </c>
      <c r="CE3" s="766"/>
      <c r="CF3" s="766"/>
      <c r="CG3" s="766"/>
      <c r="CH3" s="766"/>
      <c r="CI3" s="766" t="s">
        <v>150</v>
      </c>
      <c r="CJ3" s="766"/>
      <c r="CK3" s="766"/>
      <c r="CL3" s="766"/>
      <c r="CM3" s="766"/>
      <c r="CN3" s="766"/>
      <c r="CO3" s="766" t="s">
        <v>553</v>
      </c>
      <c r="CP3" s="766"/>
      <c r="CQ3" s="766"/>
      <c r="CR3" s="766"/>
      <c r="CS3" s="766"/>
      <c r="CT3" s="766" t="s">
        <v>146</v>
      </c>
      <c r="CU3" s="766"/>
      <c r="CV3" s="766"/>
      <c r="CW3" s="766"/>
      <c r="CX3" s="766" t="s">
        <v>554</v>
      </c>
      <c r="CY3" s="766"/>
      <c r="CZ3" s="766"/>
      <c r="DA3" s="766"/>
      <c r="DB3" s="766" t="s">
        <v>70</v>
      </c>
      <c r="DC3" s="766"/>
      <c r="DD3" s="766"/>
      <c r="DE3" s="766"/>
    </row>
    <row r="4" spans="2:109" ht="21.75" customHeight="1" thickBot="1" x14ac:dyDescent="0.3">
      <c r="B4" s="760"/>
      <c r="C4" s="760"/>
      <c r="D4" s="756"/>
      <c r="E4" s="756"/>
      <c r="F4" s="756"/>
      <c r="G4" s="756"/>
      <c r="H4" s="756"/>
      <c r="I4" s="756"/>
      <c r="J4" s="756"/>
      <c r="K4" s="756"/>
      <c r="L4" s="756"/>
      <c r="M4" s="756"/>
      <c r="N4" s="756"/>
      <c r="O4" s="759"/>
      <c r="P4" s="761"/>
      <c r="Q4" s="756"/>
      <c r="R4" s="756"/>
      <c r="S4" s="758"/>
      <c r="T4" s="757"/>
      <c r="U4" s="757"/>
      <c r="V4" s="3" t="s">
        <v>43</v>
      </c>
      <c r="W4" s="3" t="s">
        <v>63</v>
      </c>
      <c r="X4" s="756"/>
      <c r="Y4" s="756"/>
      <c r="Z4" s="756"/>
      <c r="AA4" s="756"/>
      <c r="AB4" s="756"/>
      <c r="AC4" s="756"/>
      <c r="AD4" s="756"/>
      <c r="AE4" s="756"/>
      <c r="AF4" s="756"/>
      <c r="AG4" s="756"/>
      <c r="AH4" s="756"/>
      <c r="AI4" s="756"/>
      <c r="AJ4" s="756"/>
      <c r="AK4" s="756"/>
      <c r="AL4" s="759"/>
      <c r="AM4" s="759"/>
      <c r="AN4" s="759"/>
      <c r="AO4" s="765"/>
      <c r="AP4" s="756"/>
      <c r="AQ4" s="763"/>
      <c r="AR4" s="763"/>
      <c r="AS4" s="763"/>
      <c r="AT4" s="763"/>
      <c r="AU4" s="763"/>
      <c r="AV4" s="763"/>
      <c r="AW4" s="763"/>
      <c r="AX4" s="763"/>
      <c r="AY4" s="756"/>
      <c r="AZ4" s="3" t="s">
        <v>80</v>
      </c>
      <c r="BA4" s="3" t="s">
        <v>44</v>
      </c>
      <c r="BB4" s="756"/>
      <c r="BC4" s="756"/>
      <c r="BD4" s="756"/>
      <c r="BE4" s="756"/>
      <c r="BF4" s="756"/>
      <c r="BG4" s="756"/>
      <c r="BH4" s="756"/>
      <c r="BI4" s="756"/>
      <c r="BJ4" s="756"/>
      <c r="BK4" s="756"/>
      <c r="BL4" s="756"/>
      <c r="BM4" s="756"/>
      <c r="BN4" s="756"/>
      <c r="BO4" s="756"/>
      <c r="BP4" s="756"/>
      <c r="BQ4" s="756"/>
      <c r="BR4" s="756"/>
      <c r="BS4" s="756"/>
      <c r="BT4" s="756"/>
      <c r="BU4" s="756"/>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9">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66" t="s">
        <v>105</v>
      </c>
      <c r="BZ7" s="766"/>
      <c r="CA7" s="766"/>
      <c r="CB7" s="766"/>
      <c r="CC7" s="766"/>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66" t="s">
        <v>81</v>
      </c>
      <c r="CP8" s="766"/>
      <c r="CQ8" s="766"/>
      <c r="CR8" s="103"/>
      <c r="CS8" s="103"/>
      <c r="CT8" s="766" t="s">
        <v>81</v>
      </c>
      <c r="CU8" s="766"/>
      <c r="CV8" s="103"/>
      <c r="CW8" s="103"/>
      <c r="CX8" s="766" t="s">
        <v>81</v>
      </c>
      <c r="CY8" s="766"/>
      <c r="CZ8" s="103"/>
      <c r="DA8" s="103"/>
      <c r="DB8" s="766" t="s">
        <v>81</v>
      </c>
      <c r="DC8" s="766"/>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66" t="s">
        <v>109</v>
      </c>
      <c r="BZ10" s="766"/>
      <c r="CA10" s="766"/>
      <c r="CB10" s="766"/>
      <c r="CC10" s="766"/>
      <c r="CD10" s="766" t="s">
        <v>81</v>
      </c>
      <c r="CE10" s="766"/>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67"/>
      <c r="BZ29" s="767"/>
      <c r="CA29" s="767"/>
      <c r="CB29" s="767"/>
      <c r="CC29" s="767"/>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2" priority="19" operator="equal">
      <formula>0</formula>
    </cfRule>
  </conditionalFormatting>
  <conditionalFormatting sqref="BR5:BU10 K5 T5:U5 X5 Z5:AH5 BL5:BM5 BP5:BQ5 AO6:AO10 BB6:BB10 BC6:BD6 BN5:BO10 BE5:BK10 AK5:BD5 U7:W7 AW6:AY10">
    <cfRule type="containsErrors" dxfId="121" priority="18">
      <formula>ISERROR(K5)</formula>
    </cfRule>
  </conditionalFormatting>
  <conditionalFormatting sqref="U5 U7:W7">
    <cfRule type="cellIs" dxfId="120" priority="17" operator="lessThanOrEqual">
      <formula>0.67</formula>
    </cfRule>
  </conditionalFormatting>
  <conditionalFormatting sqref="AR5:AR10">
    <cfRule type="cellIs" dxfId="119" priority="15" operator="equal">
      <formula>0</formula>
    </cfRule>
    <cfRule type="cellIs" dxfId="118" priority="16" operator="lessThan">
      <formula>$I$5</formula>
    </cfRule>
  </conditionalFormatting>
  <conditionalFormatting sqref="AS7:AS10">
    <cfRule type="cellIs" dxfId="117" priority="14" operator="equal">
      <formula>0</formula>
    </cfRule>
  </conditionalFormatting>
  <conditionalFormatting sqref="AR8">
    <cfRule type="cellIs" dxfId="116" priority="13" operator="greaterThan">
      <formula>6500</formula>
    </cfRule>
  </conditionalFormatting>
  <conditionalFormatting sqref="L5:N5">
    <cfRule type="cellIs" dxfId="115" priority="11" operator="equal">
      <formula>0</formula>
    </cfRule>
    <cfRule type="containsErrors" dxfId="114" priority="12">
      <formula>ISERROR(L5)</formula>
    </cfRule>
  </conditionalFormatting>
  <conditionalFormatting sqref="F5">
    <cfRule type="cellIs" dxfId="113" priority="2" operator="greaterThan">
      <formula>18</formula>
    </cfRule>
  </conditionalFormatting>
  <conditionalFormatting sqref="I5">
    <cfRule type="cellIs" dxfId="112"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8"/>
      <c r="C3" s="769"/>
      <c r="D3" s="769"/>
      <c r="E3" s="769"/>
      <c r="F3" s="769"/>
      <c r="G3" s="769"/>
      <c r="H3" s="769"/>
      <c r="I3" s="769"/>
      <c r="J3" s="769"/>
      <c r="K3" s="769"/>
      <c r="L3" s="769"/>
      <c r="M3" s="769"/>
      <c r="N3" s="769"/>
      <c r="O3" s="769"/>
      <c r="P3" s="769"/>
      <c r="Q3" s="770"/>
      <c r="R3" s="769"/>
      <c r="S3" s="769"/>
      <c r="T3" s="769"/>
      <c r="U3" s="769"/>
      <c r="V3" s="769"/>
      <c r="W3" s="769"/>
      <c r="X3" s="769"/>
      <c r="Y3" s="769"/>
      <c r="Z3" s="769"/>
      <c r="AA3" s="769"/>
      <c r="AB3" s="769"/>
      <c r="AC3" s="769"/>
      <c r="AD3" s="769"/>
      <c r="AE3" s="769"/>
      <c r="AF3" s="769"/>
      <c r="AG3" s="769"/>
      <c r="AH3" s="769"/>
      <c r="AI3" s="769"/>
      <c r="AJ3" s="769"/>
      <c r="AK3" s="769"/>
      <c r="AL3" s="769"/>
      <c r="AM3" s="769"/>
      <c r="AN3" s="98"/>
      <c r="AO3" s="61"/>
      <c r="AP3" s="771"/>
      <c r="AQ3" s="772"/>
      <c r="AR3" s="772"/>
      <c r="AS3" s="772"/>
      <c r="AT3" s="772"/>
      <c r="AU3" s="772"/>
      <c r="AV3" s="772"/>
      <c r="AW3" s="772"/>
      <c r="AX3" s="772"/>
      <c r="AY3" s="772"/>
      <c r="AZ3" s="772"/>
      <c r="BA3" s="772"/>
      <c r="BB3" s="772"/>
      <c r="BC3" s="772"/>
      <c r="BD3" s="772"/>
      <c r="BE3" s="772"/>
      <c r="BF3" s="772"/>
      <c r="BG3" s="772"/>
      <c r="BH3" s="772"/>
      <c r="BI3" s="772"/>
      <c r="BJ3" s="772"/>
      <c r="BK3" s="772"/>
      <c r="BL3" s="772"/>
      <c r="BM3" s="772"/>
      <c r="BN3" s="772"/>
      <c r="BO3" s="772"/>
      <c r="BP3" s="772"/>
      <c r="BQ3" s="772"/>
      <c r="BR3" s="772"/>
      <c r="BS3" s="772"/>
      <c r="BT3" s="772"/>
      <c r="BU3" s="772"/>
      <c r="BV3" s="772"/>
      <c r="BX3" s="102"/>
      <c r="BY3" s="103"/>
      <c r="BZ3" s="755"/>
      <c r="CA3" s="755"/>
      <c r="CB3" s="755"/>
      <c r="CC3" s="755"/>
      <c r="CD3" s="755"/>
      <c r="CE3" s="755"/>
      <c r="CF3" s="755"/>
      <c r="CG3" s="755"/>
      <c r="CH3" s="755"/>
      <c r="CI3" s="755"/>
      <c r="CJ3" s="755"/>
      <c r="CK3" s="755"/>
      <c r="CL3" s="755"/>
      <c r="CM3" s="755"/>
      <c r="CN3" s="755"/>
      <c r="CO3" s="755"/>
      <c r="CP3" s="755"/>
      <c r="CQ3" s="755"/>
      <c r="CR3" s="755"/>
      <c r="CS3" s="755"/>
      <c r="CT3" s="755"/>
      <c r="CU3" s="755"/>
      <c r="CV3" s="755"/>
      <c r="CW3" s="755"/>
      <c r="CX3" s="755"/>
      <c r="CY3" s="755"/>
      <c r="CZ3" s="755"/>
      <c r="DA3" s="755"/>
      <c r="DB3" s="755"/>
      <c r="DC3" s="755"/>
      <c r="DD3" s="755"/>
      <c r="DE3" s="755"/>
    </row>
    <row r="4" spans="2:109" ht="13.5" thickBot="1" x14ac:dyDescent="0.25">
      <c r="B4" s="749" t="s">
        <v>0</v>
      </c>
      <c r="C4" s="749"/>
      <c r="D4" s="749"/>
      <c r="E4" s="749"/>
      <c r="F4" s="749"/>
      <c r="G4" s="749"/>
      <c r="H4" s="749"/>
      <c r="I4" s="749"/>
      <c r="J4" s="749"/>
      <c r="K4" s="749"/>
      <c r="L4" s="749"/>
      <c r="M4" s="749"/>
      <c r="N4" s="749"/>
      <c r="O4" s="750"/>
      <c r="P4" s="750"/>
      <c r="Q4" s="751" t="s">
        <v>58</v>
      </c>
      <c r="R4" s="749"/>
      <c r="S4" s="749"/>
      <c r="T4" s="749"/>
      <c r="U4" s="749"/>
      <c r="V4" s="749"/>
      <c r="W4" s="749"/>
      <c r="X4" s="749"/>
      <c r="Y4" s="749"/>
      <c r="Z4" s="749"/>
      <c r="AA4" s="749"/>
      <c r="AB4" s="749"/>
      <c r="AC4" s="749"/>
      <c r="AD4" s="749"/>
      <c r="AE4" s="749"/>
      <c r="AF4" s="749"/>
      <c r="AG4" s="749"/>
      <c r="AH4" s="749"/>
      <c r="AI4" s="749"/>
      <c r="AJ4" s="749"/>
      <c r="AK4" s="749"/>
      <c r="AL4" s="749"/>
      <c r="AM4" s="750"/>
      <c r="AN4" s="97"/>
      <c r="AO4" s="62"/>
      <c r="AP4" s="752" t="s">
        <v>68</v>
      </c>
      <c r="AQ4" s="753"/>
      <c r="AR4" s="753"/>
      <c r="AS4" s="753"/>
      <c r="AT4" s="753"/>
      <c r="AU4" s="753"/>
      <c r="AV4" s="753"/>
      <c r="AW4" s="753"/>
      <c r="AX4" s="753"/>
      <c r="AY4" s="753"/>
      <c r="AZ4" s="753"/>
      <c r="BA4" s="753"/>
      <c r="BB4" s="753"/>
      <c r="BC4" s="753"/>
      <c r="BD4" s="753"/>
      <c r="BE4" s="753"/>
      <c r="BF4" s="753"/>
      <c r="BG4" s="753"/>
      <c r="BH4" s="753"/>
      <c r="BI4" s="753"/>
      <c r="BJ4" s="753"/>
      <c r="BK4" s="753"/>
      <c r="BL4" s="753"/>
      <c r="BM4" s="753"/>
      <c r="BN4" s="753"/>
      <c r="BO4" s="753"/>
      <c r="BP4" s="753"/>
      <c r="BQ4" s="753"/>
      <c r="BR4" s="753"/>
      <c r="BS4" s="753"/>
      <c r="BT4" s="753"/>
      <c r="BU4" s="753"/>
      <c r="BV4" s="754"/>
      <c r="BX4" s="102" t="s">
        <v>94</v>
      </c>
      <c r="BY4" s="103"/>
      <c r="BZ4" s="755" t="s">
        <v>67</v>
      </c>
      <c r="CA4" s="755"/>
      <c r="CB4" s="755"/>
      <c r="CC4" s="755"/>
      <c r="CD4" s="755"/>
      <c r="CE4" s="755"/>
      <c r="CF4" s="755"/>
      <c r="CG4" s="755"/>
      <c r="CH4" s="755"/>
      <c r="CI4" s="755"/>
      <c r="CJ4" s="755"/>
      <c r="CK4" s="755"/>
      <c r="CL4" s="755"/>
      <c r="CM4" s="755"/>
      <c r="CN4" s="755"/>
      <c r="CO4" s="755"/>
      <c r="CP4" s="755"/>
      <c r="CQ4" s="755"/>
      <c r="CR4" s="755"/>
      <c r="CS4" s="755"/>
      <c r="CT4" s="755"/>
      <c r="CU4" s="755"/>
      <c r="CV4" s="755"/>
      <c r="CW4" s="755"/>
      <c r="CX4" s="755"/>
      <c r="CY4" s="755"/>
      <c r="CZ4" s="755"/>
      <c r="DA4" s="755"/>
      <c r="DB4" s="755"/>
      <c r="DC4" s="755"/>
      <c r="DD4" s="755"/>
      <c r="DE4" s="755"/>
    </row>
    <row r="5" spans="2:109" ht="18" customHeight="1" thickBot="1" x14ac:dyDescent="0.25">
      <c r="B5" s="760" t="s">
        <v>1</v>
      </c>
      <c r="C5" s="760" t="s">
        <v>2</v>
      </c>
      <c r="D5" s="756" t="s">
        <v>4</v>
      </c>
      <c r="E5" s="756" t="s">
        <v>170</v>
      </c>
      <c r="F5" s="756" t="s">
        <v>259</v>
      </c>
      <c r="G5" s="756" t="s">
        <v>257</v>
      </c>
      <c r="H5" s="756" t="s">
        <v>258</v>
      </c>
      <c r="I5" s="756" t="s">
        <v>74</v>
      </c>
      <c r="J5" s="762" t="s">
        <v>76</v>
      </c>
      <c r="K5" s="756" t="s">
        <v>6</v>
      </c>
      <c r="L5" s="756" t="s">
        <v>169</v>
      </c>
      <c r="M5" s="756" t="s">
        <v>7</v>
      </c>
      <c r="N5" s="756" t="s">
        <v>87</v>
      </c>
      <c r="O5" s="756" t="s">
        <v>260</v>
      </c>
      <c r="P5" s="759" t="s">
        <v>8</v>
      </c>
      <c r="Q5" s="761" t="s">
        <v>49</v>
      </c>
      <c r="R5" s="756" t="s">
        <v>104</v>
      </c>
      <c r="S5" s="756" t="s">
        <v>105</v>
      </c>
      <c r="T5" s="758" t="s">
        <v>109</v>
      </c>
      <c r="U5" s="757" t="s">
        <v>106</v>
      </c>
      <c r="V5" s="757" t="s">
        <v>107</v>
      </c>
      <c r="W5" s="756" t="s">
        <v>40</v>
      </c>
      <c r="X5" s="756"/>
      <c r="Y5" s="756" t="s">
        <v>66</v>
      </c>
      <c r="Z5" s="756" t="s">
        <v>301</v>
      </c>
      <c r="AA5" s="756" t="s">
        <v>42</v>
      </c>
      <c r="AB5" s="756" t="s">
        <v>108</v>
      </c>
      <c r="AC5" s="756" t="s">
        <v>112</v>
      </c>
      <c r="AD5" s="756" t="s">
        <v>48</v>
      </c>
      <c r="AE5" s="756" t="s">
        <v>45</v>
      </c>
      <c r="AF5" s="756" t="s">
        <v>171</v>
      </c>
      <c r="AG5" s="756" t="s">
        <v>65</v>
      </c>
      <c r="AH5" s="756" t="s">
        <v>46</v>
      </c>
      <c r="AI5" s="756" t="s">
        <v>47</v>
      </c>
      <c r="AJ5" s="756" t="s">
        <v>91</v>
      </c>
      <c r="AK5" s="756" t="s">
        <v>92</v>
      </c>
      <c r="AL5" s="756" t="s">
        <v>90</v>
      </c>
      <c r="AM5" s="759" t="s">
        <v>93</v>
      </c>
      <c r="AN5" s="759" t="s">
        <v>218</v>
      </c>
      <c r="AO5" s="759" t="s">
        <v>256</v>
      </c>
      <c r="AP5" s="764" t="s">
        <v>143</v>
      </c>
      <c r="AQ5" s="756" t="s">
        <v>49</v>
      </c>
      <c r="AR5" s="762" t="s">
        <v>78</v>
      </c>
      <c r="AS5" s="762" t="s">
        <v>152</v>
      </c>
      <c r="AT5" s="762" t="s">
        <v>164</v>
      </c>
      <c r="AU5" s="762" t="s">
        <v>71</v>
      </c>
      <c r="AV5" s="762" t="s">
        <v>151</v>
      </c>
      <c r="AW5" s="762" t="s">
        <v>162</v>
      </c>
      <c r="AX5" s="762" t="s">
        <v>73</v>
      </c>
      <c r="AY5" s="762" t="s">
        <v>77</v>
      </c>
      <c r="AZ5" s="756" t="s">
        <v>62</v>
      </c>
      <c r="BA5" s="756" t="s">
        <v>40</v>
      </c>
      <c r="BB5" s="756"/>
      <c r="BC5" s="756" t="s">
        <v>66</v>
      </c>
      <c r="BD5" s="756" t="s">
        <v>79</v>
      </c>
      <c r="BE5" s="756" t="s">
        <v>86</v>
      </c>
      <c r="BF5" s="756" t="s">
        <v>42</v>
      </c>
      <c r="BG5" s="756" t="s">
        <v>185</v>
      </c>
      <c r="BH5" s="756" t="s">
        <v>48</v>
      </c>
      <c r="BI5" s="756" t="s">
        <v>45</v>
      </c>
      <c r="BJ5" s="756" t="s">
        <v>65</v>
      </c>
      <c r="BK5" s="756" t="s">
        <v>46</v>
      </c>
      <c r="BL5" s="756" t="s">
        <v>47</v>
      </c>
      <c r="BM5" s="756" t="s">
        <v>91</v>
      </c>
      <c r="BN5" s="756" t="s">
        <v>92</v>
      </c>
      <c r="BO5" s="756" t="s">
        <v>90</v>
      </c>
      <c r="BP5" s="756" t="s">
        <v>93</v>
      </c>
      <c r="BQ5" s="756" t="s">
        <v>117</v>
      </c>
      <c r="BR5" s="756" t="s">
        <v>118</v>
      </c>
      <c r="BS5" s="756" t="s">
        <v>119</v>
      </c>
      <c r="BT5" s="756" t="s">
        <v>120</v>
      </c>
      <c r="BU5" s="756" t="s">
        <v>121</v>
      </c>
      <c r="BV5" s="756" t="s">
        <v>122</v>
      </c>
      <c r="BX5" s="104" t="s">
        <v>103</v>
      </c>
      <c r="BY5" s="103"/>
      <c r="BZ5" s="766" t="s">
        <v>58</v>
      </c>
      <c r="CA5" s="766"/>
      <c r="CB5" s="766"/>
      <c r="CC5" s="766"/>
      <c r="CD5" s="766" t="s">
        <v>145</v>
      </c>
      <c r="CE5" s="766"/>
      <c r="CF5" s="766"/>
      <c r="CG5" s="766"/>
      <c r="CH5" s="766"/>
      <c r="CI5" s="766" t="s">
        <v>150</v>
      </c>
      <c r="CJ5" s="766"/>
      <c r="CK5" s="766"/>
      <c r="CL5" s="766"/>
      <c r="CM5" s="766"/>
      <c r="CN5" s="766"/>
      <c r="CO5" s="766" t="s">
        <v>144</v>
      </c>
      <c r="CP5" s="766"/>
      <c r="CQ5" s="766"/>
      <c r="CR5" s="766"/>
      <c r="CS5" s="766"/>
      <c r="CT5" s="766" t="s">
        <v>146</v>
      </c>
      <c r="CU5" s="766"/>
      <c r="CV5" s="766"/>
      <c r="CW5" s="766"/>
      <c r="CX5" s="766" t="s">
        <v>148</v>
      </c>
      <c r="CY5" s="766"/>
      <c r="CZ5" s="766"/>
      <c r="DA5" s="766"/>
      <c r="DB5" s="766" t="s">
        <v>70</v>
      </c>
      <c r="DC5" s="766"/>
      <c r="DD5" s="766"/>
      <c r="DE5" s="766"/>
    </row>
    <row r="6" spans="2:109" ht="21.75" customHeight="1" thickBot="1" x14ac:dyDescent="0.3">
      <c r="B6" s="760"/>
      <c r="C6" s="760"/>
      <c r="D6" s="756"/>
      <c r="E6" s="756"/>
      <c r="F6" s="756"/>
      <c r="G6" s="756"/>
      <c r="H6" s="756"/>
      <c r="I6" s="756"/>
      <c r="J6" s="763"/>
      <c r="K6" s="756"/>
      <c r="L6" s="756"/>
      <c r="M6" s="756"/>
      <c r="N6" s="756"/>
      <c r="O6" s="756"/>
      <c r="P6" s="759"/>
      <c r="Q6" s="761"/>
      <c r="R6" s="756"/>
      <c r="S6" s="756"/>
      <c r="T6" s="758"/>
      <c r="U6" s="757"/>
      <c r="V6" s="757"/>
      <c r="W6" s="3" t="s">
        <v>43</v>
      </c>
      <c r="X6" s="3" t="s">
        <v>63</v>
      </c>
      <c r="Y6" s="756"/>
      <c r="Z6" s="756"/>
      <c r="AA6" s="756"/>
      <c r="AB6" s="756"/>
      <c r="AC6" s="756"/>
      <c r="AD6" s="756"/>
      <c r="AE6" s="756"/>
      <c r="AF6" s="756"/>
      <c r="AG6" s="756"/>
      <c r="AH6" s="756"/>
      <c r="AI6" s="756"/>
      <c r="AJ6" s="756"/>
      <c r="AK6" s="756"/>
      <c r="AL6" s="756"/>
      <c r="AM6" s="759"/>
      <c r="AN6" s="759"/>
      <c r="AO6" s="759"/>
      <c r="AP6" s="765"/>
      <c r="AQ6" s="756"/>
      <c r="AR6" s="763"/>
      <c r="AS6" s="763"/>
      <c r="AT6" s="763"/>
      <c r="AU6" s="763"/>
      <c r="AV6" s="763"/>
      <c r="AW6" s="763"/>
      <c r="AX6" s="763"/>
      <c r="AY6" s="763"/>
      <c r="AZ6" s="756"/>
      <c r="BA6" s="3" t="s">
        <v>80</v>
      </c>
      <c r="BB6" s="3" t="s">
        <v>44</v>
      </c>
      <c r="BC6" s="756"/>
      <c r="BD6" s="756"/>
      <c r="BE6" s="756"/>
      <c r="BF6" s="756"/>
      <c r="BG6" s="756"/>
      <c r="BH6" s="756"/>
      <c r="BI6" s="756"/>
      <c r="BJ6" s="756"/>
      <c r="BK6" s="756"/>
      <c r="BL6" s="756"/>
      <c r="BM6" s="756"/>
      <c r="BN6" s="756"/>
      <c r="BO6" s="756"/>
      <c r="BP6" s="756"/>
      <c r="BQ6" s="756"/>
      <c r="BR6" s="756"/>
      <c r="BS6" s="756"/>
      <c r="BT6" s="756"/>
      <c r="BU6" s="756"/>
      <c r="BV6" s="756"/>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66" t="s">
        <v>105</v>
      </c>
      <c r="CA9" s="766"/>
      <c r="CB9" s="766"/>
      <c r="CC9" s="766"/>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66" t="s">
        <v>81</v>
      </c>
      <c r="CP10" s="766"/>
      <c r="CQ10" s="766"/>
      <c r="CR10" s="103"/>
      <c r="CS10" s="103"/>
      <c r="CT10" s="766" t="s">
        <v>81</v>
      </c>
      <c r="CU10" s="766"/>
      <c r="CV10" s="103"/>
      <c r="CW10" s="103"/>
      <c r="CX10" s="766" t="s">
        <v>81</v>
      </c>
      <c r="CY10" s="766"/>
      <c r="CZ10" s="103"/>
      <c r="DA10" s="103"/>
      <c r="DB10" s="766" t="s">
        <v>81</v>
      </c>
      <c r="DC10" s="766"/>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66" t="s">
        <v>109</v>
      </c>
      <c r="CA12" s="766"/>
      <c r="CB12" s="766"/>
      <c r="CC12" s="766"/>
      <c r="CD12" s="766" t="s">
        <v>81</v>
      </c>
      <c r="CE12" s="766"/>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67"/>
      <c r="CA31" s="767"/>
      <c r="CB31" s="767"/>
      <c r="CC31" s="767"/>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1" priority="85" operator="equal">
      <formula>0</formula>
    </cfRule>
  </conditionalFormatting>
  <conditionalFormatting sqref="BO7:BP12 BS7:BV12 U7:V7 Y7 AA7:AI7 AP7:AP12 BC7:BC12 AX7:AZ12 BD7:BE8 BF7:BL12 AL7:BV7">
    <cfRule type="containsErrors" dxfId="110" priority="83">
      <formula>ISERROR(U7)</formula>
    </cfRule>
  </conditionalFormatting>
  <conditionalFormatting sqref="V7">
    <cfRule type="cellIs" dxfId="109" priority="72" operator="lessThanOrEqual">
      <formula>0.67</formula>
    </cfRule>
  </conditionalFormatting>
  <conditionalFormatting sqref="AS7:AS12">
    <cfRule type="cellIs" dxfId="108" priority="68" operator="equal">
      <formula>0</formula>
    </cfRule>
    <cfRule type="cellIs" dxfId="107" priority="69" operator="lessThan">
      <formula>$J$7</formula>
    </cfRule>
  </conditionalFormatting>
  <conditionalFormatting sqref="AT9:AT12">
    <cfRule type="cellIs" dxfId="106" priority="60" operator="equal">
      <formula>0</formula>
    </cfRule>
  </conditionalFormatting>
  <conditionalFormatting sqref="AS10">
    <cfRule type="cellIs" dxfId="105" priority="57" operator="greaterThan">
      <formula>6500</formula>
    </cfRule>
  </conditionalFormatting>
  <conditionalFormatting sqref="M7:O7">
    <cfRule type="cellIs" dxfId="104" priority="55" operator="equal">
      <formula>0</formula>
    </cfRule>
    <cfRule type="containsErrors" dxfId="103" priority="56">
      <formula>ISERROR(M7)</formula>
    </cfRule>
  </conditionalFormatting>
  <conditionalFormatting sqref="G7">
    <cfRule type="cellIs" dxfId="102" priority="51" operator="greaterThan">
      <formula>18</formula>
    </cfRule>
  </conditionalFormatting>
  <conditionalFormatting sqref="H7">
    <cfRule type="cellIs" dxfId="101" priority="50" operator="greaterThan">
      <formula>18</formula>
    </cfRule>
  </conditionalFormatting>
  <conditionalFormatting sqref="J7">
    <cfRule type="cellIs" dxfId="100" priority="49" operator="greaterThan">
      <formula>100</formula>
    </cfRule>
  </conditionalFormatting>
  <conditionalFormatting sqref="G7:H7 J7:L7">
    <cfRule type="cellIs" dxfId="99" priority="48" operator="equal">
      <formula>0</formula>
    </cfRule>
  </conditionalFormatting>
  <conditionalFormatting sqref="M7:O7">
    <cfRule type="cellIs" dxfId="98" priority="46" operator="equal">
      <formula>0</formula>
    </cfRule>
    <cfRule type="containsErrors" dxfId="97" priority="47">
      <formula>ISERROR(M7)</formula>
    </cfRule>
  </conditionalFormatting>
  <conditionalFormatting sqref="BS13:BV18 BE13:BE18 BO13:BO18 BJ13:BJ18 G13:H13 J13:L13">
    <cfRule type="cellIs" dxfId="96" priority="45" operator="equal">
      <formula>0</formula>
    </cfRule>
  </conditionalFormatting>
  <conditionalFormatting sqref="BO13:BP18 BS13:BV18 U13:V13 Y13 AA13:AI13 AL13:AN13 BC13:BC18 AX13:AZ18 BD13:BE14 BF13:BL18 AS13:AW13 BQ13:BR13 BA13:BB13 BM13:BN13">
    <cfRule type="containsErrors" dxfId="95" priority="44">
      <formula>ISERROR(U13)</formula>
    </cfRule>
  </conditionalFormatting>
  <conditionalFormatting sqref="V13">
    <cfRule type="cellIs" dxfId="94" priority="43" operator="lessThanOrEqual">
      <formula>0.67</formula>
    </cfRule>
  </conditionalFormatting>
  <conditionalFormatting sqref="AS13:AS18">
    <cfRule type="cellIs" dxfId="93" priority="41" operator="equal">
      <formula>0</formula>
    </cfRule>
    <cfRule type="cellIs" dxfId="92" priority="42" operator="lessThan">
      <formula>$J$7</formula>
    </cfRule>
  </conditionalFormatting>
  <conditionalFormatting sqref="AT15:AT18">
    <cfRule type="cellIs" dxfId="91" priority="40" operator="equal">
      <formula>0</formula>
    </cfRule>
  </conditionalFormatting>
  <conditionalFormatting sqref="AS16">
    <cfRule type="cellIs" dxfId="90" priority="39" operator="greaterThan">
      <formula>6500</formula>
    </cfRule>
  </conditionalFormatting>
  <conditionalFormatting sqref="M13:O13">
    <cfRule type="cellIs" dxfId="89" priority="37" operator="equal">
      <formula>0</formula>
    </cfRule>
    <cfRule type="containsErrors" dxfId="88" priority="38">
      <formula>ISERROR(M13)</formula>
    </cfRule>
  </conditionalFormatting>
  <conditionalFormatting sqref="G13">
    <cfRule type="cellIs" dxfId="87" priority="36" operator="greaterThan">
      <formula>18</formula>
    </cfRule>
  </conditionalFormatting>
  <conditionalFormatting sqref="H13">
    <cfRule type="cellIs" dxfId="86" priority="35" operator="greaterThan">
      <formula>18</formula>
    </cfRule>
  </conditionalFormatting>
  <conditionalFormatting sqref="J13">
    <cfRule type="cellIs" dxfId="85" priority="34" operator="greaterThan">
      <formula>100</formula>
    </cfRule>
  </conditionalFormatting>
  <conditionalFormatting sqref="G13:H13 J13:L13">
    <cfRule type="cellIs" dxfId="84" priority="33" operator="equal">
      <formula>0</formula>
    </cfRule>
  </conditionalFormatting>
  <conditionalFormatting sqref="M13:O13">
    <cfRule type="cellIs" dxfId="83" priority="31" operator="equal">
      <formula>0</formula>
    </cfRule>
    <cfRule type="containsErrors" dxfId="82" priority="32">
      <formula>ISERROR(M13)</formula>
    </cfRule>
  </conditionalFormatting>
  <conditionalFormatting sqref="BS19:BV24 BE19:BE24 BO19:BO24 BJ19:BJ24 G19:H19 J19:L19">
    <cfRule type="cellIs" dxfId="81" priority="30" operator="equal">
      <formula>0</formula>
    </cfRule>
  </conditionalFormatting>
  <conditionalFormatting sqref="BO19:BP24 BS19:BV24 U19:V19 Y19 AA19:AI19 AL19:AN19 BC19:BC24 AX19:AZ24 BD19:BE20 BF19:BL24 AS19:AW19 BQ19:BR19 BA19:BB19 BM19:BN19">
    <cfRule type="containsErrors" dxfId="80" priority="29">
      <formula>ISERROR(U19)</formula>
    </cfRule>
  </conditionalFormatting>
  <conditionalFormatting sqref="V19">
    <cfRule type="cellIs" dxfId="79" priority="28" operator="lessThanOrEqual">
      <formula>0.67</formula>
    </cfRule>
  </conditionalFormatting>
  <conditionalFormatting sqref="AS19:AS24">
    <cfRule type="cellIs" dxfId="78" priority="26" operator="equal">
      <formula>0</formula>
    </cfRule>
    <cfRule type="cellIs" dxfId="77" priority="27" operator="lessThan">
      <formula>$J$7</formula>
    </cfRule>
  </conditionalFormatting>
  <conditionalFormatting sqref="AT21:AT24">
    <cfRule type="cellIs" dxfId="76" priority="25" operator="equal">
      <formula>0</formula>
    </cfRule>
  </conditionalFormatting>
  <conditionalFormatting sqref="AS22">
    <cfRule type="cellIs" dxfId="75" priority="24" operator="greaterThan">
      <formula>6500</formula>
    </cfRule>
  </conditionalFormatting>
  <conditionalFormatting sqref="M19:O19">
    <cfRule type="cellIs" dxfId="74" priority="22" operator="equal">
      <formula>0</formula>
    </cfRule>
    <cfRule type="containsErrors" dxfId="73" priority="23">
      <formula>ISERROR(M19)</formula>
    </cfRule>
  </conditionalFormatting>
  <conditionalFormatting sqref="G19">
    <cfRule type="cellIs" dxfId="72" priority="21" operator="greaterThan">
      <formula>18</formula>
    </cfRule>
  </conditionalFormatting>
  <conditionalFormatting sqref="H19">
    <cfRule type="cellIs" dxfId="71" priority="20" operator="greaterThan">
      <formula>18</formula>
    </cfRule>
  </conditionalFormatting>
  <conditionalFormatting sqref="J19">
    <cfRule type="cellIs" dxfId="70" priority="19" operator="greaterThan">
      <formula>100</formula>
    </cfRule>
  </conditionalFormatting>
  <conditionalFormatting sqref="G19:H19 J19:L19">
    <cfRule type="cellIs" dxfId="69" priority="18" operator="equal">
      <formula>0</formula>
    </cfRule>
  </conditionalFormatting>
  <conditionalFormatting sqref="M19:O19">
    <cfRule type="cellIs" dxfId="68" priority="16" operator="equal">
      <formula>0</formula>
    </cfRule>
    <cfRule type="containsErrors" dxfId="67" priority="17">
      <formula>ISERROR(M19)</formula>
    </cfRule>
  </conditionalFormatting>
  <conditionalFormatting sqref="BS25:BV30 BE25:BE30 BO25:BO30 BJ25:BJ30 G25:H25 J25:L25">
    <cfRule type="cellIs" dxfId="66" priority="15" operator="equal">
      <formula>0</formula>
    </cfRule>
  </conditionalFormatting>
  <conditionalFormatting sqref="BO25:BP30 BS25:BV30 U25:V25 Y25 AA25:AI25 AL25:AN25 BC25:BC30 AX25:AZ30 BD25:BE26 BF25:BL30 AS25:AW25 BQ25:BR25 BA25:BB25 BM25:BN25">
    <cfRule type="containsErrors" dxfId="65" priority="14">
      <formula>ISERROR(U25)</formula>
    </cfRule>
  </conditionalFormatting>
  <conditionalFormatting sqref="V25">
    <cfRule type="cellIs" dxfId="64" priority="13" operator="lessThanOrEqual">
      <formula>0.67</formula>
    </cfRule>
  </conditionalFormatting>
  <conditionalFormatting sqref="AS25:AS30">
    <cfRule type="cellIs" dxfId="63" priority="11" operator="equal">
      <formula>0</formula>
    </cfRule>
    <cfRule type="cellIs" dxfId="62" priority="12" operator="lessThan">
      <formula>$J$7</formula>
    </cfRule>
  </conditionalFormatting>
  <conditionalFormatting sqref="AT27:AT30">
    <cfRule type="cellIs" dxfId="61" priority="10" operator="equal">
      <formula>0</formula>
    </cfRule>
  </conditionalFormatting>
  <conditionalFormatting sqref="AS28">
    <cfRule type="cellIs" dxfId="60" priority="9" operator="greaterThan">
      <formula>6500</formula>
    </cfRule>
  </conditionalFormatting>
  <conditionalFormatting sqref="M25:O25">
    <cfRule type="cellIs" dxfId="59" priority="7" operator="equal">
      <formula>0</formula>
    </cfRule>
    <cfRule type="containsErrors" dxfId="58" priority="8">
      <formula>ISERROR(M25)</formula>
    </cfRule>
  </conditionalFormatting>
  <conditionalFormatting sqref="G25">
    <cfRule type="cellIs" dxfId="57" priority="6" operator="greaterThan">
      <formula>18</formula>
    </cfRule>
  </conditionalFormatting>
  <conditionalFormatting sqref="H25">
    <cfRule type="cellIs" dxfId="56" priority="5" operator="greaterThan">
      <formula>18</formula>
    </cfRule>
  </conditionalFormatting>
  <conditionalFormatting sqref="J25">
    <cfRule type="cellIs" dxfId="55" priority="4" operator="greaterThan">
      <formula>100</formula>
    </cfRule>
  </conditionalFormatting>
  <conditionalFormatting sqref="G25:H25 J25:L25">
    <cfRule type="cellIs" dxfId="54" priority="3" operator="equal">
      <formula>0</formula>
    </cfRule>
  </conditionalFormatting>
  <conditionalFormatting sqref="M25:O25">
    <cfRule type="cellIs" dxfId="53" priority="1" operator="equal">
      <formula>0</formula>
    </cfRule>
    <cfRule type="containsErrors" dxfId="52"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U58" sqref="U58"/>
    </sheetView>
  </sheetViews>
  <sheetFormatPr defaultColWidth="9.140625" defaultRowHeight="12.75" x14ac:dyDescent="0.2"/>
  <cols>
    <col min="1" max="1" width="55.4257812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786" t="s">
        <v>633</v>
      </c>
      <c r="P2" s="786"/>
      <c r="Q2" s="396"/>
    </row>
    <row r="3" spans="2:20" ht="15" customHeight="1" x14ac:dyDescent="0.2">
      <c r="B3" s="397"/>
      <c r="C3" s="701"/>
      <c r="D3" s="702"/>
      <c r="E3" s="702"/>
      <c r="F3" s="702"/>
      <c r="G3" s="707" t="s">
        <v>696</v>
      </c>
      <c r="H3" s="707"/>
      <c r="I3" s="707"/>
      <c r="J3" s="707"/>
      <c r="K3" s="707"/>
      <c r="L3" s="707"/>
      <c r="M3" s="707"/>
      <c r="N3" s="707"/>
      <c r="O3" s="707"/>
      <c r="P3" s="707"/>
      <c r="Q3" s="398"/>
    </row>
    <row r="4" spans="2:20" ht="15" customHeight="1" x14ac:dyDescent="0.2">
      <c r="B4" s="397"/>
      <c r="C4" s="703"/>
      <c r="D4" s="704"/>
      <c r="E4" s="704"/>
      <c r="F4" s="704"/>
      <c r="G4" s="707"/>
      <c r="H4" s="707"/>
      <c r="I4" s="707"/>
      <c r="J4" s="707"/>
      <c r="K4" s="707"/>
      <c r="L4" s="707"/>
      <c r="M4" s="707"/>
      <c r="N4" s="707"/>
      <c r="O4" s="707"/>
      <c r="P4" s="707"/>
      <c r="Q4" s="398"/>
    </row>
    <row r="5" spans="2:20" ht="15" customHeight="1" x14ac:dyDescent="0.2">
      <c r="B5" s="397"/>
      <c r="C5" s="705"/>
      <c r="D5" s="706"/>
      <c r="E5" s="706"/>
      <c r="F5" s="706"/>
      <c r="G5" s="707"/>
      <c r="H5" s="707"/>
      <c r="I5" s="707"/>
      <c r="J5" s="707"/>
      <c r="K5" s="707"/>
      <c r="L5" s="707"/>
      <c r="M5" s="707"/>
      <c r="N5" s="707"/>
      <c r="O5" s="707"/>
      <c r="P5" s="707"/>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87" t="s">
        <v>692</v>
      </c>
      <c r="D8" s="787"/>
      <c r="E8" s="713" t="str">
        <f ca="1">IFERROR(MID(CELL("nome.arquivo",A1),FIND("C.S.",CELL("nome.arquivo",A1))+5,LEN(CELL("nome.arquivo",A1) )),"{Salvar Este Arquivo}")</f>
        <v>PJT XXXX</v>
      </c>
      <c r="F8" s="713"/>
      <c r="G8" s="532"/>
      <c r="H8" s="708" t="s">
        <v>695</v>
      </c>
      <c r="I8" s="708"/>
      <c r="J8" s="714"/>
      <c r="K8" s="714"/>
      <c r="L8" s="714"/>
      <c r="M8" s="383"/>
      <c r="N8" s="788" t="s">
        <v>613</v>
      </c>
      <c r="O8" s="789"/>
      <c r="P8" s="790"/>
      <c r="Q8" s="398"/>
    </row>
    <row r="9" spans="2:20" ht="15" customHeight="1" x14ac:dyDescent="0.2">
      <c r="B9" s="397"/>
      <c r="C9" s="383"/>
      <c r="D9" s="383"/>
      <c r="E9" s="713"/>
      <c r="F9" s="713"/>
      <c r="G9" s="532"/>
      <c r="H9" s="383"/>
      <c r="I9" s="383"/>
      <c r="J9" s="714"/>
      <c r="K9" s="714"/>
      <c r="L9" s="714"/>
      <c r="M9" s="383"/>
      <c r="N9" s="410"/>
      <c r="O9" s="419" t="s">
        <v>615</v>
      </c>
      <c r="P9" s="420"/>
      <c r="Q9" s="398"/>
    </row>
    <row r="10" spans="2:20" ht="15" customHeight="1" x14ac:dyDescent="0.2">
      <c r="B10" s="397"/>
      <c r="C10" s="383"/>
      <c r="D10" s="383"/>
      <c r="E10" s="383"/>
      <c r="F10" s="383"/>
      <c r="G10" s="383"/>
      <c r="H10" s="383"/>
      <c r="I10" s="383"/>
      <c r="J10" s="383"/>
      <c r="K10" s="383"/>
      <c r="L10" s="383"/>
      <c r="M10" s="383"/>
      <c r="N10" s="449"/>
      <c r="O10" s="419" t="s">
        <v>693</v>
      </c>
      <c r="P10" s="420"/>
      <c r="Q10" s="398"/>
    </row>
    <row r="11" spans="2:20" ht="15" customHeight="1" x14ac:dyDescent="0.2">
      <c r="B11" s="397"/>
      <c r="C11" s="708" t="s">
        <v>612</v>
      </c>
      <c r="D11" s="708"/>
      <c r="E11" s="709"/>
      <c r="F11" s="709"/>
      <c r="G11" s="709"/>
      <c r="H11" s="709"/>
      <c r="I11" s="709"/>
      <c r="J11" s="709"/>
      <c r="K11" s="383"/>
      <c r="L11" s="534" t="s">
        <v>790</v>
      </c>
      <c r="M11" s="383"/>
      <c r="N11" s="411"/>
      <c r="O11" s="419" t="s">
        <v>694</v>
      </c>
      <c r="P11" s="420"/>
      <c r="Q11" s="398"/>
    </row>
    <row r="12" spans="2:20" ht="15" customHeight="1" x14ac:dyDescent="0.2">
      <c r="B12" s="397"/>
      <c r="C12" s="708" t="s">
        <v>614</v>
      </c>
      <c r="D12" s="708"/>
      <c r="E12" s="709"/>
      <c r="F12" s="709"/>
      <c r="G12" s="709"/>
      <c r="H12" s="709"/>
      <c r="I12" s="709"/>
      <c r="J12" s="709"/>
      <c r="K12" s="383"/>
      <c r="L12" s="430">
        <v>0</v>
      </c>
      <c r="M12" s="383"/>
      <c r="N12" s="412"/>
      <c r="O12" s="383" t="s">
        <v>631</v>
      </c>
      <c r="P12" s="413"/>
      <c r="Q12" s="398"/>
    </row>
    <row r="13" spans="2:20" ht="15" customHeight="1" x14ac:dyDescent="0.2">
      <c r="B13" s="397"/>
      <c r="C13" s="708" t="s">
        <v>616</v>
      </c>
      <c r="D13" s="708"/>
      <c r="E13" s="783"/>
      <c r="F13" s="783"/>
      <c r="G13" s="783"/>
      <c r="H13" s="783"/>
      <c r="I13" s="783"/>
      <c r="J13" s="783"/>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88" t="s">
        <v>648</v>
      </c>
      <c r="D15" s="688"/>
      <c r="E15" s="688"/>
      <c r="F15" s="688"/>
      <c r="G15" s="688"/>
      <c r="H15" s="688"/>
      <c r="I15" s="688"/>
      <c r="J15" s="688"/>
      <c r="K15" s="688"/>
      <c r="L15" s="688"/>
      <c r="M15" s="688"/>
      <c r="N15" s="688"/>
      <c r="O15" s="688"/>
      <c r="P15" s="688"/>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84" t="s">
        <v>767</v>
      </c>
      <c r="D17" s="685"/>
      <c r="E17" s="685"/>
      <c r="F17" s="450">
        <v>1</v>
      </c>
      <c r="G17" s="451"/>
      <c r="K17" s="672" t="s">
        <v>773</v>
      </c>
      <c r="L17" s="672"/>
      <c r="N17" s="652" t="s">
        <v>865</v>
      </c>
      <c r="O17" s="399"/>
      <c r="P17" s="400" t="s">
        <v>717</v>
      </c>
      <c r="Q17" s="398"/>
      <c r="R17" s="407"/>
      <c r="U17" s="407"/>
    </row>
    <row r="18" spans="2:21" ht="15" customHeight="1" x14ac:dyDescent="0.2">
      <c r="B18" s="397"/>
      <c r="C18"/>
      <c r="D18"/>
      <c r="E18"/>
      <c r="F18"/>
      <c r="G18" s="451"/>
      <c r="K18" s="390">
        <f t="array" ref="K18">SUM(F25:F49*E25:E49)</f>
        <v>0</v>
      </c>
      <c r="L18" s="391" t="s">
        <v>731</v>
      </c>
      <c r="M18" s="383"/>
      <c r="N18" s="383"/>
      <c r="O18" s="401" t="str">
        <f>IFERROR(ROUNDUP((O17*1000)/K18,0),"")</f>
        <v/>
      </c>
      <c r="P18" s="400" t="s">
        <v>619</v>
      </c>
      <c r="Q18" s="398"/>
      <c r="R18" s="407"/>
    </row>
    <row r="19" spans="2:21" ht="15" customHeight="1" x14ac:dyDescent="0.2">
      <c r="B19" s="397"/>
      <c r="C19" s="773" t="s">
        <v>864</v>
      </c>
      <c r="D19" s="774"/>
      <c r="E19" s="775"/>
      <c r="G19" s="651" t="s">
        <v>863</v>
      </c>
      <c r="H19" s="657">
        <v>0</v>
      </c>
      <c r="I19" s="655" t="s">
        <v>774</v>
      </c>
      <c r="J19" s="383"/>
      <c r="K19" s="383"/>
      <c r="L19" s="383"/>
      <c r="M19" s="383"/>
      <c r="N19" s="383"/>
      <c r="Q19" s="398"/>
      <c r="R19" s="407"/>
    </row>
    <row r="20" spans="2:21" ht="15" customHeight="1" x14ac:dyDescent="0.2">
      <c r="B20" s="397"/>
      <c r="C20" s="717" t="s">
        <v>768</v>
      </c>
      <c r="D20" s="717"/>
      <c r="E20" s="654" t="b">
        <v>0</v>
      </c>
      <c r="H20" s="658" t="e">
        <f>IF(I19="R$/PC",ROUNDUP(1000/K18,0)*H19,ROUND((H19/1000)*K18,2))</f>
        <v>#DIV/0!</v>
      </c>
      <c r="I20" s="653" t="str">
        <f>IF(I19="R$/PC","R$/Ton","R$/PC")</f>
        <v>R$/Ton</v>
      </c>
      <c r="K20" s="672" t="s">
        <v>777</v>
      </c>
      <c r="L20" s="672"/>
      <c r="M20" s="383"/>
      <c r="N20" s="530" t="s">
        <v>636</v>
      </c>
      <c r="O20" s="529"/>
      <c r="P20" s="453" t="s">
        <v>716</v>
      </c>
      <c r="Q20" s="398"/>
    </row>
    <row r="21" spans="2:21" ht="15" customHeight="1" x14ac:dyDescent="0.2">
      <c r="B21" s="397"/>
      <c r="C21" s="717" t="s">
        <v>769</v>
      </c>
      <c r="D21" s="717"/>
      <c r="E21" s="654" t="b">
        <v>0</v>
      </c>
      <c r="H21" s="656"/>
      <c r="K21" s="390">
        <f>SUM(M25:M49)</f>
        <v>0</v>
      </c>
      <c r="L21" s="391" t="s">
        <v>781</v>
      </c>
      <c r="M21" s="383"/>
      <c r="O21" s="564">
        <f>IF(P21="Ton/mês",ROUND(O20*K18/1000,3),ROUNDUP(O20*1000/K18,0))</f>
        <v>0</v>
      </c>
      <c r="P21" s="540"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4" t="s">
        <v>770</v>
      </c>
      <c r="D23" s="785"/>
      <c r="E23" s="785"/>
      <c r="F23" s="785"/>
      <c r="G23" s="785"/>
      <c r="H23" s="785"/>
      <c r="I23" s="785"/>
      <c r="J23" s="785"/>
      <c r="K23" s="785"/>
      <c r="L23" s="785"/>
      <c r="M23" s="785"/>
      <c r="N23" s="785"/>
      <c r="O23" s="785"/>
      <c r="P23" s="785"/>
      <c r="Q23" s="398"/>
    </row>
    <row r="24" spans="2:21" ht="15" customHeight="1" x14ac:dyDescent="0.2">
      <c r="B24" s="397"/>
      <c r="C24" s="678" t="s">
        <v>534</v>
      </c>
      <c r="D24" s="678"/>
      <c r="E24" s="533" t="s">
        <v>535</v>
      </c>
      <c r="F24" s="542" t="s">
        <v>772</v>
      </c>
      <c r="G24" s="678" t="s">
        <v>771</v>
      </c>
      <c r="H24" s="678"/>
      <c r="I24" s="782" t="s">
        <v>775</v>
      </c>
      <c r="J24" s="782"/>
      <c r="K24" s="782" t="s">
        <v>776</v>
      </c>
      <c r="L24" s="782"/>
      <c r="M24" s="782" t="s">
        <v>777</v>
      </c>
      <c r="N24" s="782"/>
      <c r="O24" s="678" t="s">
        <v>778</v>
      </c>
      <c r="P24" s="678"/>
      <c r="Q24" s="398"/>
      <c r="R24" s="407"/>
    </row>
    <row r="25" spans="2:21" ht="15" customHeight="1" x14ac:dyDescent="0.2">
      <c r="B25" s="397"/>
      <c r="C25" s="780"/>
      <c r="D25" s="781"/>
      <c r="E25" s="431"/>
      <c r="F25" s="562"/>
      <c r="G25" s="563"/>
      <c r="H25" s="392" t="s">
        <v>774</v>
      </c>
      <c r="I25" s="435">
        <f t="shared" ref="I25:I49" si="0">IFERROR(G25*(1000/E25),0)</f>
        <v>0</v>
      </c>
      <c r="J25" s="392" t="s">
        <v>781</v>
      </c>
      <c r="K25" s="543"/>
      <c r="L25" s="392" t="s">
        <v>781</v>
      </c>
      <c r="M25" s="390">
        <f>IF(I25&gt;0,PRODUCT(I25,O25),PRODUCT(K25,O25))</f>
        <v>0</v>
      </c>
      <c r="N25" s="392" t="s">
        <v>781</v>
      </c>
      <c r="O25" s="777">
        <f t="shared" ref="O25:O49" si="1">IFERROR(ROUND(F25*E25/$K$18,4),0)</f>
        <v>0</v>
      </c>
      <c r="P25" s="777"/>
      <c r="Q25" s="398"/>
    </row>
    <row r="26" spans="2:21" ht="15" customHeight="1" x14ac:dyDescent="0.2">
      <c r="B26" s="397"/>
      <c r="C26" s="780"/>
      <c r="D26" s="781"/>
      <c r="E26" s="431"/>
      <c r="F26" s="562"/>
      <c r="G26" s="563"/>
      <c r="H26" s="392" t="s">
        <v>774</v>
      </c>
      <c r="I26" s="435">
        <f t="shared" si="0"/>
        <v>0</v>
      </c>
      <c r="J26" s="392" t="s">
        <v>781</v>
      </c>
      <c r="K26" s="543"/>
      <c r="L26" s="392" t="s">
        <v>781</v>
      </c>
      <c r="M26" s="390">
        <f t="shared" ref="M26:M49" si="2">IF(I26&gt;0,PRODUCT(I26,O26),PRODUCT(K26,O26))</f>
        <v>0</v>
      </c>
      <c r="N26" s="392" t="s">
        <v>781</v>
      </c>
      <c r="O26" s="777">
        <f t="shared" si="1"/>
        <v>0</v>
      </c>
      <c r="P26" s="777"/>
      <c r="Q26" s="398"/>
      <c r="R26" s="407"/>
    </row>
    <row r="27" spans="2:21" ht="15" customHeight="1" x14ac:dyDescent="0.2">
      <c r="B27" s="397"/>
      <c r="C27" s="780"/>
      <c r="D27" s="781"/>
      <c r="E27" s="431"/>
      <c r="F27" s="562"/>
      <c r="G27" s="563"/>
      <c r="H27" s="392" t="s">
        <v>774</v>
      </c>
      <c r="I27" s="435">
        <f t="shared" si="0"/>
        <v>0</v>
      </c>
      <c r="J27" s="392" t="s">
        <v>781</v>
      </c>
      <c r="K27" s="543"/>
      <c r="L27" s="392" t="s">
        <v>781</v>
      </c>
      <c r="M27" s="390">
        <f t="shared" si="2"/>
        <v>0</v>
      </c>
      <c r="N27" s="392" t="s">
        <v>781</v>
      </c>
      <c r="O27" s="777">
        <f t="shared" si="1"/>
        <v>0</v>
      </c>
      <c r="P27" s="777"/>
      <c r="Q27" s="398"/>
      <c r="R27" s="407"/>
    </row>
    <row r="28" spans="2:21" ht="15" customHeight="1" x14ac:dyDescent="0.2">
      <c r="B28" s="397"/>
      <c r="C28" s="780"/>
      <c r="D28" s="781"/>
      <c r="E28" s="431"/>
      <c r="F28" s="562"/>
      <c r="G28" s="563"/>
      <c r="H28" s="392" t="s">
        <v>774</v>
      </c>
      <c r="I28" s="435">
        <f t="shared" si="0"/>
        <v>0</v>
      </c>
      <c r="J28" s="392" t="s">
        <v>781</v>
      </c>
      <c r="K28" s="543"/>
      <c r="L28" s="392" t="s">
        <v>781</v>
      </c>
      <c r="M28" s="390">
        <f t="shared" si="2"/>
        <v>0</v>
      </c>
      <c r="N28" s="392" t="s">
        <v>781</v>
      </c>
      <c r="O28" s="777">
        <f t="shared" si="1"/>
        <v>0</v>
      </c>
      <c r="P28" s="777"/>
      <c r="Q28" s="398"/>
      <c r="R28" s="407"/>
    </row>
    <row r="29" spans="2:21" ht="15" customHeight="1" x14ac:dyDescent="0.2">
      <c r="B29" s="397"/>
      <c r="C29" s="780"/>
      <c r="D29" s="781"/>
      <c r="E29" s="431"/>
      <c r="F29" s="562"/>
      <c r="G29" s="563"/>
      <c r="H29" s="392" t="s">
        <v>774</v>
      </c>
      <c r="I29" s="435">
        <f t="shared" si="0"/>
        <v>0</v>
      </c>
      <c r="J29" s="392" t="s">
        <v>781</v>
      </c>
      <c r="K29" s="543"/>
      <c r="L29" s="392" t="s">
        <v>781</v>
      </c>
      <c r="M29" s="390">
        <f t="shared" si="2"/>
        <v>0</v>
      </c>
      <c r="N29" s="392" t="s">
        <v>781</v>
      </c>
      <c r="O29" s="777">
        <f t="shared" si="1"/>
        <v>0</v>
      </c>
      <c r="P29" s="777"/>
      <c r="Q29" s="398"/>
      <c r="R29" s="407"/>
    </row>
    <row r="30" spans="2:21" ht="15" customHeight="1" x14ac:dyDescent="0.2">
      <c r="B30" s="397"/>
      <c r="C30" s="780"/>
      <c r="D30" s="781"/>
      <c r="E30" s="431"/>
      <c r="F30" s="562"/>
      <c r="G30" s="563"/>
      <c r="H30" s="392" t="s">
        <v>774</v>
      </c>
      <c r="I30" s="435">
        <f t="shared" si="0"/>
        <v>0</v>
      </c>
      <c r="J30" s="392" t="s">
        <v>781</v>
      </c>
      <c r="K30" s="543"/>
      <c r="L30" s="392" t="s">
        <v>781</v>
      </c>
      <c r="M30" s="390">
        <f t="shared" si="2"/>
        <v>0</v>
      </c>
      <c r="N30" s="392" t="s">
        <v>781</v>
      </c>
      <c r="O30" s="777">
        <f t="shared" si="1"/>
        <v>0</v>
      </c>
      <c r="P30" s="777"/>
      <c r="Q30" s="398"/>
      <c r="R30" s="407"/>
    </row>
    <row r="31" spans="2:21" ht="15" customHeight="1" x14ac:dyDescent="0.2">
      <c r="B31" s="397"/>
      <c r="C31" s="780"/>
      <c r="D31" s="781"/>
      <c r="E31" s="431"/>
      <c r="F31" s="562"/>
      <c r="G31" s="563"/>
      <c r="H31" s="392" t="s">
        <v>774</v>
      </c>
      <c r="I31" s="435">
        <f t="shared" si="0"/>
        <v>0</v>
      </c>
      <c r="J31" s="392" t="s">
        <v>781</v>
      </c>
      <c r="K31" s="543"/>
      <c r="L31" s="392" t="s">
        <v>781</v>
      </c>
      <c r="M31" s="390">
        <f t="shared" si="2"/>
        <v>0</v>
      </c>
      <c r="N31" s="392" t="s">
        <v>781</v>
      </c>
      <c r="O31" s="777">
        <f t="shared" si="1"/>
        <v>0</v>
      </c>
      <c r="P31" s="777"/>
      <c r="Q31" s="398"/>
      <c r="R31" s="407"/>
    </row>
    <row r="32" spans="2:21" ht="15" customHeight="1" x14ac:dyDescent="0.2">
      <c r="B32" s="397"/>
      <c r="C32" s="780"/>
      <c r="D32" s="781"/>
      <c r="E32" s="431"/>
      <c r="F32" s="562"/>
      <c r="G32" s="563"/>
      <c r="H32" s="392" t="s">
        <v>774</v>
      </c>
      <c r="I32" s="435">
        <f t="shared" si="0"/>
        <v>0</v>
      </c>
      <c r="J32" s="392" t="s">
        <v>781</v>
      </c>
      <c r="K32" s="543"/>
      <c r="L32" s="392" t="s">
        <v>781</v>
      </c>
      <c r="M32" s="390">
        <f t="shared" si="2"/>
        <v>0</v>
      </c>
      <c r="N32" s="392" t="s">
        <v>781</v>
      </c>
      <c r="O32" s="777">
        <f t="shared" si="1"/>
        <v>0</v>
      </c>
      <c r="P32" s="777"/>
      <c r="Q32" s="398"/>
      <c r="R32" s="407"/>
    </row>
    <row r="33" spans="2:18" ht="15" customHeight="1" x14ac:dyDescent="0.2">
      <c r="B33" s="397"/>
      <c r="C33" s="780"/>
      <c r="D33" s="781"/>
      <c r="E33" s="431"/>
      <c r="F33" s="562"/>
      <c r="G33" s="563"/>
      <c r="H33" s="392" t="s">
        <v>774</v>
      </c>
      <c r="I33" s="435">
        <f t="shared" si="0"/>
        <v>0</v>
      </c>
      <c r="J33" s="392" t="s">
        <v>781</v>
      </c>
      <c r="K33" s="543"/>
      <c r="L33" s="392" t="s">
        <v>781</v>
      </c>
      <c r="M33" s="390">
        <f t="shared" si="2"/>
        <v>0</v>
      </c>
      <c r="N33" s="392" t="s">
        <v>781</v>
      </c>
      <c r="O33" s="777">
        <f t="shared" si="1"/>
        <v>0</v>
      </c>
      <c r="P33" s="777"/>
      <c r="Q33" s="398"/>
      <c r="R33" s="407"/>
    </row>
    <row r="34" spans="2:18" ht="15" customHeight="1" x14ac:dyDescent="0.2">
      <c r="B34" s="397"/>
      <c r="C34" s="780"/>
      <c r="D34" s="781"/>
      <c r="E34" s="431"/>
      <c r="F34" s="562"/>
      <c r="G34" s="563"/>
      <c r="H34" s="392" t="s">
        <v>774</v>
      </c>
      <c r="I34" s="435">
        <f t="shared" si="0"/>
        <v>0</v>
      </c>
      <c r="J34" s="392" t="s">
        <v>781</v>
      </c>
      <c r="K34" s="543"/>
      <c r="L34" s="392" t="s">
        <v>781</v>
      </c>
      <c r="M34" s="390">
        <f t="shared" si="2"/>
        <v>0</v>
      </c>
      <c r="N34" s="392" t="s">
        <v>781</v>
      </c>
      <c r="O34" s="777">
        <f t="shared" si="1"/>
        <v>0</v>
      </c>
      <c r="P34" s="777"/>
      <c r="Q34" s="398"/>
      <c r="R34" s="407"/>
    </row>
    <row r="35" spans="2:18" ht="15" customHeight="1" x14ac:dyDescent="0.2">
      <c r="B35" s="397"/>
      <c r="C35" s="780"/>
      <c r="D35" s="781"/>
      <c r="E35" s="431"/>
      <c r="F35" s="562"/>
      <c r="G35" s="563"/>
      <c r="H35" s="392" t="s">
        <v>774</v>
      </c>
      <c r="I35" s="435">
        <f t="shared" si="0"/>
        <v>0</v>
      </c>
      <c r="J35" s="392" t="s">
        <v>781</v>
      </c>
      <c r="K35" s="543"/>
      <c r="L35" s="392" t="s">
        <v>781</v>
      </c>
      <c r="M35" s="390">
        <f t="shared" si="2"/>
        <v>0</v>
      </c>
      <c r="N35" s="392" t="s">
        <v>781</v>
      </c>
      <c r="O35" s="777">
        <f t="shared" si="1"/>
        <v>0</v>
      </c>
      <c r="P35" s="777"/>
      <c r="Q35" s="398"/>
      <c r="R35" s="407"/>
    </row>
    <row r="36" spans="2:18" ht="15" customHeight="1" x14ac:dyDescent="0.2">
      <c r="B36" s="397"/>
      <c r="C36" s="780"/>
      <c r="D36" s="781"/>
      <c r="E36" s="431"/>
      <c r="F36" s="562"/>
      <c r="G36" s="563"/>
      <c r="H36" s="392" t="s">
        <v>774</v>
      </c>
      <c r="I36" s="435">
        <f t="shared" si="0"/>
        <v>0</v>
      </c>
      <c r="J36" s="392" t="s">
        <v>781</v>
      </c>
      <c r="K36" s="543"/>
      <c r="L36" s="392" t="s">
        <v>781</v>
      </c>
      <c r="M36" s="390">
        <f t="shared" si="2"/>
        <v>0</v>
      </c>
      <c r="N36" s="392" t="s">
        <v>781</v>
      </c>
      <c r="O36" s="777">
        <f t="shared" si="1"/>
        <v>0</v>
      </c>
      <c r="P36" s="777"/>
      <c r="Q36" s="398"/>
      <c r="R36" s="407"/>
    </row>
    <row r="37" spans="2:18" ht="15" customHeight="1" x14ac:dyDescent="0.2">
      <c r="B37" s="397"/>
      <c r="C37" s="780"/>
      <c r="D37" s="781"/>
      <c r="E37" s="431"/>
      <c r="F37" s="562"/>
      <c r="G37" s="563"/>
      <c r="H37" s="392" t="s">
        <v>774</v>
      </c>
      <c r="I37" s="435">
        <f t="shared" si="0"/>
        <v>0</v>
      </c>
      <c r="J37" s="392" t="s">
        <v>781</v>
      </c>
      <c r="K37" s="543"/>
      <c r="L37" s="392" t="s">
        <v>781</v>
      </c>
      <c r="M37" s="390">
        <f t="shared" si="2"/>
        <v>0</v>
      </c>
      <c r="N37" s="392" t="s">
        <v>781</v>
      </c>
      <c r="O37" s="777">
        <f t="shared" si="1"/>
        <v>0</v>
      </c>
      <c r="P37" s="777"/>
      <c r="Q37" s="398"/>
      <c r="R37" s="407"/>
    </row>
    <row r="38" spans="2:18" ht="15" customHeight="1" x14ac:dyDescent="0.2">
      <c r="B38" s="397"/>
      <c r="C38" s="780"/>
      <c r="D38" s="781"/>
      <c r="E38" s="431"/>
      <c r="F38" s="562"/>
      <c r="G38" s="563"/>
      <c r="H38" s="392" t="s">
        <v>774</v>
      </c>
      <c r="I38" s="435">
        <f t="shared" si="0"/>
        <v>0</v>
      </c>
      <c r="J38" s="392" t="s">
        <v>781</v>
      </c>
      <c r="K38" s="543"/>
      <c r="L38" s="392" t="s">
        <v>781</v>
      </c>
      <c r="M38" s="390">
        <f t="shared" si="2"/>
        <v>0</v>
      </c>
      <c r="N38" s="392" t="s">
        <v>781</v>
      </c>
      <c r="O38" s="777">
        <f t="shared" si="1"/>
        <v>0</v>
      </c>
      <c r="P38" s="777"/>
      <c r="Q38" s="398"/>
      <c r="R38" s="407"/>
    </row>
    <row r="39" spans="2:18" ht="15" customHeight="1" x14ac:dyDescent="0.2">
      <c r="B39" s="397"/>
      <c r="C39" s="780"/>
      <c r="D39" s="781"/>
      <c r="E39" s="431"/>
      <c r="F39" s="562"/>
      <c r="G39" s="563"/>
      <c r="H39" s="392" t="s">
        <v>774</v>
      </c>
      <c r="I39" s="435">
        <f t="shared" si="0"/>
        <v>0</v>
      </c>
      <c r="J39" s="392" t="s">
        <v>781</v>
      </c>
      <c r="K39" s="543"/>
      <c r="L39" s="392" t="s">
        <v>781</v>
      </c>
      <c r="M39" s="390">
        <f t="shared" si="2"/>
        <v>0</v>
      </c>
      <c r="N39" s="392" t="s">
        <v>781</v>
      </c>
      <c r="O39" s="777">
        <f t="shared" si="1"/>
        <v>0</v>
      </c>
      <c r="P39" s="777"/>
      <c r="Q39" s="398"/>
      <c r="R39" s="407"/>
    </row>
    <row r="40" spans="2:18" ht="15" customHeight="1" x14ac:dyDescent="0.2">
      <c r="B40" s="397"/>
      <c r="C40" s="780"/>
      <c r="D40" s="781"/>
      <c r="E40" s="431"/>
      <c r="F40" s="562"/>
      <c r="G40" s="563"/>
      <c r="H40" s="392" t="s">
        <v>774</v>
      </c>
      <c r="I40" s="435">
        <f t="shared" si="0"/>
        <v>0</v>
      </c>
      <c r="J40" s="392" t="s">
        <v>781</v>
      </c>
      <c r="K40" s="543"/>
      <c r="L40" s="392" t="s">
        <v>781</v>
      </c>
      <c r="M40" s="390">
        <f t="shared" si="2"/>
        <v>0</v>
      </c>
      <c r="N40" s="392" t="s">
        <v>781</v>
      </c>
      <c r="O40" s="777">
        <f t="shared" si="1"/>
        <v>0</v>
      </c>
      <c r="P40" s="777"/>
      <c r="Q40" s="398"/>
      <c r="R40" s="407"/>
    </row>
    <row r="41" spans="2:18" ht="15" customHeight="1" x14ac:dyDescent="0.2">
      <c r="B41" s="397"/>
      <c r="C41" s="780"/>
      <c r="D41" s="781"/>
      <c r="E41" s="431"/>
      <c r="F41" s="562"/>
      <c r="G41" s="563"/>
      <c r="H41" s="392" t="s">
        <v>774</v>
      </c>
      <c r="I41" s="435">
        <f t="shared" si="0"/>
        <v>0</v>
      </c>
      <c r="J41" s="392" t="s">
        <v>781</v>
      </c>
      <c r="K41" s="543"/>
      <c r="L41" s="392" t="s">
        <v>781</v>
      </c>
      <c r="M41" s="390">
        <f t="shared" si="2"/>
        <v>0</v>
      </c>
      <c r="N41" s="392" t="s">
        <v>781</v>
      </c>
      <c r="O41" s="777">
        <f t="shared" si="1"/>
        <v>0</v>
      </c>
      <c r="P41" s="777"/>
      <c r="Q41" s="398"/>
      <c r="R41" s="407"/>
    </row>
    <row r="42" spans="2:18" ht="15" customHeight="1" x14ac:dyDescent="0.2">
      <c r="B42" s="397"/>
      <c r="C42" s="780"/>
      <c r="D42" s="781"/>
      <c r="E42" s="431"/>
      <c r="F42" s="562"/>
      <c r="G42" s="563"/>
      <c r="H42" s="392" t="s">
        <v>774</v>
      </c>
      <c r="I42" s="435">
        <f t="shared" si="0"/>
        <v>0</v>
      </c>
      <c r="J42" s="392" t="s">
        <v>781</v>
      </c>
      <c r="K42" s="543"/>
      <c r="L42" s="392" t="s">
        <v>781</v>
      </c>
      <c r="M42" s="390">
        <f t="shared" si="2"/>
        <v>0</v>
      </c>
      <c r="N42" s="392" t="s">
        <v>781</v>
      </c>
      <c r="O42" s="777">
        <f t="shared" si="1"/>
        <v>0</v>
      </c>
      <c r="P42" s="777"/>
      <c r="Q42" s="398"/>
      <c r="R42" s="407"/>
    </row>
    <row r="43" spans="2:18" ht="15" customHeight="1" x14ac:dyDescent="0.2">
      <c r="B43" s="397"/>
      <c r="C43" s="780"/>
      <c r="D43" s="781"/>
      <c r="E43" s="431"/>
      <c r="F43" s="562"/>
      <c r="G43" s="563"/>
      <c r="H43" s="392" t="s">
        <v>774</v>
      </c>
      <c r="I43" s="435">
        <f t="shared" si="0"/>
        <v>0</v>
      </c>
      <c r="J43" s="392" t="s">
        <v>781</v>
      </c>
      <c r="K43" s="543"/>
      <c r="L43" s="392" t="s">
        <v>781</v>
      </c>
      <c r="M43" s="390">
        <f t="shared" si="2"/>
        <v>0</v>
      </c>
      <c r="N43" s="392" t="s">
        <v>781</v>
      </c>
      <c r="O43" s="777">
        <f t="shared" si="1"/>
        <v>0</v>
      </c>
      <c r="P43" s="777"/>
      <c r="Q43" s="398"/>
      <c r="R43" s="407"/>
    </row>
    <row r="44" spans="2:18" ht="15" customHeight="1" x14ac:dyDescent="0.2">
      <c r="B44" s="397"/>
      <c r="C44" s="780"/>
      <c r="D44" s="781"/>
      <c r="E44" s="431"/>
      <c r="F44" s="562"/>
      <c r="G44" s="563"/>
      <c r="H44" s="392" t="s">
        <v>774</v>
      </c>
      <c r="I44" s="435">
        <f t="shared" si="0"/>
        <v>0</v>
      </c>
      <c r="J44" s="392" t="s">
        <v>781</v>
      </c>
      <c r="K44" s="543"/>
      <c r="L44" s="392" t="s">
        <v>781</v>
      </c>
      <c r="M44" s="390">
        <f t="shared" si="2"/>
        <v>0</v>
      </c>
      <c r="N44" s="392" t="s">
        <v>781</v>
      </c>
      <c r="O44" s="777">
        <f t="shared" si="1"/>
        <v>0</v>
      </c>
      <c r="P44" s="777"/>
      <c r="Q44" s="398"/>
      <c r="R44" s="407"/>
    </row>
    <row r="45" spans="2:18" ht="15" customHeight="1" x14ac:dyDescent="0.2">
      <c r="B45" s="397"/>
      <c r="C45" s="780"/>
      <c r="D45" s="781"/>
      <c r="E45" s="431"/>
      <c r="F45" s="562"/>
      <c r="G45" s="563"/>
      <c r="H45" s="392" t="s">
        <v>774</v>
      </c>
      <c r="I45" s="435">
        <f t="shared" si="0"/>
        <v>0</v>
      </c>
      <c r="J45" s="392" t="s">
        <v>781</v>
      </c>
      <c r="K45" s="543"/>
      <c r="L45" s="392" t="s">
        <v>781</v>
      </c>
      <c r="M45" s="390">
        <f t="shared" si="2"/>
        <v>0</v>
      </c>
      <c r="N45" s="392" t="s">
        <v>781</v>
      </c>
      <c r="O45" s="777">
        <f t="shared" si="1"/>
        <v>0</v>
      </c>
      <c r="P45" s="777"/>
      <c r="Q45" s="398"/>
      <c r="R45" s="407"/>
    </row>
    <row r="46" spans="2:18" ht="15" customHeight="1" x14ac:dyDescent="0.2">
      <c r="B46" s="397"/>
      <c r="C46" s="780"/>
      <c r="D46" s="781"/>
      <c r="E46" s="431"/>
      <c r="F46" s="562"/>
      <c r="G46" s="563"/>
      <c r="H46" s="392" t="s">
        <v>774</v>
      </c>
      <c r="I46" s="435">
        <f t="shared" si="0"/>
        <v>0</v>
      </c>
      <c r="J46" s="392" t="s">
        <v>781</v>
      </c>
      <c r="K46" s="543"/>
      <c r="L46" s="392" t="s">
        <v>781</v>
      </c>
      <c r="M46" s="390">
        <f t="shared" si="2"/>
        <v>0</v>
      </c>
      <c r="N46" s="392" t="s">
        <v>781</v>
      </c>
      <c r="O46" s="777">
        <f t="shared" si="1"/>
        <v>0</v>
      </c>
      <c r="P46" s="777"/>
      <c r="Q46" s="398"/>
      <c r="R46" s="407"/>
    </row>
    <row r="47" spans="2:18" ht="15" customHeight="1" x14ac:dyDescent="0.2">
      <c r="B47" s="397"/>
      <c r="C47" s="780"/>
      <c r="D47" s="781"/>
      <c r="E47" s="431"/>
      <c r="F47" s="562"/>
      <c r="G47" s="563"/>
      <c r="H47" s="392" t="s">
        <v>774</v>
      </c>
      <c r="I47" s="435">
        <f t="shared" si="0"/>
        <v>0</v>
      </c>
      <c r="J47" s="392" t="s">
        <v>781</v>
      </c>
      <c r="K47" s="543"/>
      <c r="L47" s="392" t="s">
        <v>781</v>
      </c>
      <c r="M47" s="390">
        <f t="shared" si="2"/>
        <v>0</v>
      </c>
      <c r="N47" s="392" t="s">
        <v>781</v>
      </c>
      <c r="O47" s="777">
        <f t="shared" si="1"/>
        <v>0</v>
      </c>
      <c r="P47" s="777"/>
      <c r="Q47" s="398"/>
      <c r="R47" s="407"/>
    </row>
    <row r="48" spans="2:18" ht="15" customHeight="1" x14ac:dyDescent="0.2">
      <c r="B48" s="397"/>
      <c r="C48" s="780"/>
      <c r="D48" s="781"/>
      <c r="E48" s="431"/>
      <c r="F48" s="562"/>
      <c r="G48" s="563"/>
      <c r="H48" s="392" t="s">
        <v>774</v>
      </c>
      <c r="I48" s="435">
        <f t="shared" si="0"/>
        <v>0</v>
      </c>
      <c r="J48" s="392" t="s">
        <v>781</v>
      </c>
      <c r="K48" s="543"/>
      <c r="L48" s="392" t="s">
        <v>781</v>
      </c>
      <c r="M48" s="390">
        <f t="shared" si="2"/>
        <v>0</v>
      </c>
      <c r="N48" s="392" t="s">
        <v>781</v>
      </c>
      <c r="O48" s="777">
        <f t="shared" si="1"/>
        <v>0</v>
      </c>
      <c r="P48" s="777"/>
      <c r="Q48" s="398"/>
      <c r="R48" s="407"/>
    </row>
    <row r="49" spans="2:25" ht="15" customHeight="1" x14ac:dyDescent="0.2">
      <c r="B49" s="397"/>
      <c r="C49" s="780"/>
      <c r="D49" s="781"/>
      <c r="E49" s="431"/>
      <c r="F49" s="562"/>
      <c r="G49" s="563"/>
      <c r="H49" s="392" t="s">
        <v>774</v>
      </c>
      <c r="I49" s="435">
        <f t="shared" si="0"/>
        <v>0</v>
      </c>
      <c r="J49" s="392" t="s">
        <v>781</v>
      </c>
      <c r="K49" s="543"/>
      <c r="L49" s="392" t="s">
        <v>781</v>
      </c>
      <c r="M49" s="390">
        <f t="shared" si="2"/>
        <v>0</v>
      </c>
      <c r="N49" s="392" t="s">
        <v>781</v>
      </c>
      <c r="O49" s="777">
        <f t="shared" si="1"/>
        <v>0</v>
      </c>
      <c r="P49" s="777"/>
      <c r="Q49" s="398"/>
      <c r="R49" s="407"/>
    </row>
    <row r="50" spans="2:25" ht="15" customHeight="1" x14ac:dyDescent="0.2">
      <c r="B50" s="397"/>
      <c r="C50" s="532"/>
      <c r="D50" s="532"/>
      <c r="E50" s="532"/>
      <c r="F50" s="532"/>
      <c r="G50" s="379"/>
      <c r="H50" s="379"/>
      <c r="I50" s="379"/>
      <c r="J50" s="379"/>
      <c r="K50" s="383"/>
      <c r="L50" s="383"/>
      <c r="M50" s="383"/>
      <c r="N50" s="383"/>
      <c r="O50" s="383"/>
      <c r="P50" s="383"/>
      <c r="Q50" s="398"/>
      <c r="R50" s="407"/>
    </row>
    <row r="51" spans="2:25" ht="20.100000000000001" customHeight="1" x14ac:dyDescent="0.2">
      <c r="B51" s="397"/>
      <c r="C51" s="688" t="s">
        <v>791</v>
      </c>
      <c r="D51" s="688"/>
      <c r="E51" s="688"/>
      <c r="F51" s="688"/>
      <c r="G51" s="688"/>
      <c r="H51" s="688"/>
      <c r="I51" s="688"/>
      <c r="J51" s="688"/>
      <c r="K51" s="688"/>
      <c r="L51" s="688"/>
      <c r="M51" s="688"/>
      <c r="N51" s="688"/>
      <c r="O51" s="688"/>
      <c r="P51" s="688"/>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696" t="s">
        <v>49</v>
      </c>
      <c r="D53" s="697"/>
      <c r="E53" s="383"/>
      <c r="F53" s="383"/>
      <c r="I53" s="672" t="s">
        <v>784</v>
      </c>
      <c r="J53" s="672"/>
      <c r="K53" s="696" t="s">
        <v>786</v>
      </c>
      <c r="L53" s="697"/>
      <c r="M53" s="697"/>
      <c r="N53" s="695" t="s">
        <v>782</v>
      </c>
      <c r="O53" s="678"/>
      <c r="P53" s="678"/>
      <c r="Q53" s="398"/>
    </row>
    <row r="54" spans="2:25" s="385" customFormat="1" ht="15" customHeight="1" x14ac:dyDescent="0.2">
      <c r="B54" s="402"/>
      <c r="C54" s="692"/>
      <c r="D54" s="693"/>
      <c r="E54" s="694"/>
      <c r="F54" s="531"/>
      <c r="I54" s="409"/>
      <c r="J54" s="392" t="s">
        <v>785</v>
      </c>
      <c r="K54" s="791"/>
      <c r="L54" s="792"/>
      <c r="M54" s="556" t="s">
        <v>785</v>
      </c>
      <c r="N54" s="565"/>
      <c r="O54" s="778" t="s">
        <v>783</v>
      </c>
      <c r="P54" s="779"/>
      <c r="Q54" s="403"/>
    </row>
    <row r="55" spans="2:25" s="385" customFormat="1" ht="15" customHeight="1" x14ac:dyDescent="0.2">
      <c r="B55" s="402"/>
      <c r="C55" s="531"/>
      <c r="D55" s="531"/>
      <c r="E55" s="531"/>
      <c r="F55" s="532"/>
      <c r="K55" s="532"/>
      <c r="L55" s="532"/>
      <c r="M55" s="532"/>
      <c r="N55" s="532"/>
      <c r="O55" s="531"/>
      <c r="P55" s="531"/>
      <c r="Q55" s="403"/>
    </row>
    <row r="56" spans="2:25" ht="15" customHeight="1" x14ac:dyDescent="0.2">
      <c r="B56" s="397"/>
      <c r="C56" s="696" t="s">
        <v>698</v>
      </c>
      <c r="D56" s="697"/>
      <c r="E56"/>
      <c r="F56" s="532"/>
      <c r="G56" s="532"/>
      <c r="H56" s="383"/>
      <c r="I56" s="383"/>
      <c r="K56" s="776" t="s">
        <v>64</v>
      </c>
      <c r="L56" s="776"/>
      <c r="M56" s="776" t="s">
        <v>789</v>
      </c>
      <c r="N56" s="776"/>
      <c r="O56" s="678" t="s">
        <v>583</v>
      </c>
      <c r="P56" s="678"/>
      <c r="Q56" s="398"/>
      <c r="W56"/>
      <c r="X56"/>
      <c r="Y56"/>
    </row>
    <row r="57" spans="2:25" ht="15" customHeight="1" x14ac:dyDescent="0.2">
      <c r="B57" s="397"/>
      <c r="E57" s="383"/>
      <c r="F57" s="532"/>
      <c r="G57" s="383"/>
      <c r="H57" s="383"/>
      <c r="I57" s="383"/>
      <c r="K57" s="409"/>
      <c r="L57" s="556" t="s">
        <v>292</v>
      </c>
      <c r="M57" s="409"/>
      <c r="N57" s="556" t="s">
        <v>653</v>
      </c>
      <c r="O57" s="409"/>
      <c r="P57" s="392" t="s">
        <v>728</v>
      </c>
      <c r="Q57" s="398"/>
      <c r="W57"/>
      <c r="X57"/>
      <c r="Y57"/>
    </row>
    <row r="58" spans="2:25" ht="15" customHeight="1" x14ac:dyDescent="0.2">
      <c r="B58" s="397"/>
      <c r="E58" s="532"/>
      <c r="F58" s="532"/>
      <c r="G58" s="383"/>
      <c r="H58" s="383"/>
      <c r="I58" s="383"/>
      <c r="J58" s="552"/>
      <c r="K58" s="552"/>
      <c r="L58" s="552"/>
      <c r="M58" s="552"/>
      <c r="N58" s="552"/>
      <c r="O58" s="409"/>
      <c r="P58" s="392" t="s">
        <v>664</v>
      </c>
      <c r="Q58" s="398"/>
      <c r="S58"/>
      <c r="T58"/>
      <c r="U58"/>
      <c r="V58"/>
      <c r="W58"/>
      <c r="X58"/>
      <c r="Y58"/>
    </row>
    <row r="59" spans="2:25" ht="15" customHeight="1" x14ac:dyDescent="0.2">
      <c r="B59" s="397"/>
      <c r="C59" s="456"/>
      <c r="D59" s="456"/>
      <c r="E59" s="456"/>
      <c r="F59" s="417"/>
      <c r="G59" s="418"/>
      <c r="H59" s="418"/>
      <c r="I59" s="418"/>
      <c r="J59" s="553"/>
      <c r="K59" s="672" t="s">
        <v>814</v>
      </c>
      <c r="L59" s="672"/>
      <c r="M59" s="672" t="s">
        <v>804</v>
      </c>
      <c r="N59" s="672"/>
      <c r="Q59" s="398"/>
      <c r="W59"/>
      <c r="X59"/>
      <c r="Y59"/>
    </row>
    <row r="60" spans="2:25" ht="15" customHeight="1" x14ac:dyDescent="0.2">
      <c r="B60" s="397"/>
      <c r="C60" s="383"/>
      <c r="D60" s="383"/>
      <c r="E60" s="383"/>
      <c r="F60" s="383"/>
      <c r="G60" s="383"/>
      <c r="H60" s="383"/>
      <c r="I60" s="383"/>
      <c r="J60" s="552"/>
      <c r="K60" s="614">
        <v>8.48</v>
      </c>
      <c r="L60" s="556" t="s">
        <v>653</v>
      </c>
      <c r="M60" s="675">
        <v>1</v>
      </c>
      <c r="N60" s="675"/>
      <c r="Q60" s="398"/>
      <c r="W60"/>
      <c r="X60"/>
      <c r="Y60"/>
    </row>
    <row r="61" spans="2:25" ht="15" customHeight="1" x14ac:dyDescent="0.2">
      <c r="B61" s="397"/>
      <c r="C61" s="383"/>
      <c r="D61" s="383"/>
      <c r="E61" s="383"/>
      <c r="F61" s="383"/>
      <c r="G61" s="383"/>
      <c r="H61" s="383"/>
      <c r="I61" s="383"/>
      <c r="J61" s="552"/>
      <c r="K61" s="554"/>
      <c r="L61" s="554"/>
      <c r="M61" s="554"/>
      <c r="N61" s="554"/>
      <c r="O61" s="554"/>
      <c r="P61" s="554"/>
      <c r="Q61" s="398"/>
      <c r="S61"/>
      <c r="T61"/>
      <c r="U61"/>
      <c r="V61"/>
      <c r="W61"/>
      <c r="X61"/>
      <c r="Y61"/>
    </row>
    <row r="62" spans="2:25" ht="15" customHeight="1" x14ac:dyDescent="0.2">
      <c r="B62" s="397"/>
      <c r="C62" s="383"/>
      <c r="D62" s="383"/>
      <c r="E62" s="383"/>
      <c r="F62" s="383"/>
      <c r="G62" s="383"/>
      <c r="H62" s="383"/>
      <c r="I62" s="418"/>
      <c r="J62" s="553"/>
      <c r="K62" s="776" t="s">
        <v>787</v>
      </c>
      <c r="L62" s="776"/>
      <c r="M62" s="776" t="s">
        <v>721</v>
      </c>
      <c r="N62" s="776"/>
      <c r="O62" s="776" t="s">
        <v>721</v>
      </c>
      <c r="P62" s="776"/>
      <c r="Q62" s="398"/>
      <c r="S62"/>
      <c r="T62"/>
      <c r="U62"/>
      <c r="V62"/>
      <c r="W62"/>
      <c r="X62"/>
      <c r="Y62"/>
    </row>
    <row r="63" spans="2:25" ht="15" customHeight="1" x14ac:dyDescent="0.2">
      <c r="B63" s="397"/>
      <c r="C63" s="383"/>
      <c r="D63" s="383"/>
      <c r="E63" s="383"/>
      <c r="F63" s="383"/>
      <c r="G63" s="383"/>
      <c r="H63" s="383"/>
      <c r="I63" s="383"/>
      <c r="J63" s="552"/>
      <c r="K63" s="558">
        <f>(60*N54)/200</f>
        <v>0</v>
      </c>
      <c r="L63" s="556" t="s">
        <v>785</v>
      </c>
      <c r="M63" s="558">
        <f>SUM(K63,K54,I54)</f>
        <v>0</v>
      </c>
      <c r="N63" s="556" t="s">
        <v>785</v>
      </c>
      <c r="O63" s="558">
        <f>M63/60</f>
        <v>0</v>
      </c>
      <c r="P63" s="556" t="s">
        <v>788</v>
      </c>
      <c r="Q63" s="398"/>
      <c r="S63"/>
      <c r="T63"/>
      <c r="U63"/>
      <c r="V63"/>
      <c r="W63"/>
      <c r="X63"/>
      <c r="Y63"/>
    </row>
    <row r="64" spans="2:25" ht="15" customHeight="1" x14ac:dyDescent="0.2">
      <c r="B64" s="397"/>
      <c r="C64" s="383"/>
      <c r="D64" s="383"/>
      <c r="E64" s="383"/>
      <c r="F64" s="383"/>
      <c r="G64" s="383"/>
      <c r="H64" s="383"/>
      <c r="I64" s="383"/>
      <c r="J64" s="552"/>
      <c r="K64" s="554"/>
      <c r="L64" s="554"/>
      <c r="M64" s="554"/>
      <c r="N64" s="554"/>
      <c r="O64" s="553"/>
      <c r="P64" s="553"/>
      <c r="Q64" s="398"/>
      <c r="S64"/>
      <c r="T64"/>
      <c r="U64"/>
      <c r="V64"/>
      <c r="W64"/>
      <c r="X64"/>
      <c r="Y64"/>
    </row>
    <row r="65" spans="2:25" ht="15" customHeight="1" x14ac:dyDescent="0.2">
      <c r="B65" s="397"/>
      <c r="C65" s="383"/>
      <c r="D65" s="383"/>
      <c r="E65" s="383"/>
      <c r="F65" s="383"/>
      <c r="G65" s="383"/>
      <c r="H65" s="383"/>
      <c r="I65" s="379"/>
      <c r="J65" s="555"/>
      <c r="K65" s="776" t="s">
        <v>697</v>
      </c>
      <c r="L65" s="776"/>
      <c r="Q65" s="398"/>
      <c r="S65"/>
      <c r="T65"/>
      <c r="U65"/>
      <c r="V65"/>
      <c r="W65"/>
      <c r="X65"/>
      <c r="Y65"/>
    </row>
    <row r="66" spans="2:25" ht="15" customHeight="1" x14ac:dyDescent="0.2">
      <c r="B66" s="397"/>
      <c r="C66" s="383"/>
      <c r="D66" s="383"/>
      <c r="E66" s="383"/>
      <c r="F66" s="383"/>
      <c r="G66" s="383"/>
      <c r="H66" s="383"/>
      <c r="I66" s="379"/>
      <c r="J66" s="555"/>
      <c r="K66" s="558">
        <f>M57+O58/60</f>
        <v>0</v>
      </c>
      <c r="L66" s="556" t="s">
        <v>653</v>
      </c>
      <c r="Q66" s="398"/>
      <c r="S66"/>
      <c r="T66"/>
      <c r="U66"/>
      <c r="V66"/>
      <c r="W66"/>
      <c r="X66"/>
      <c r="Y66"/>
    </row>
    <row r="67" spans="2:25" ht="15" customHeight="1" x14ac:dyDescent="0.2">
      <c r="B67" s="397"/>
      <c r="C67" s="383"/>
      <c r="D67" s="383"/>
      <c r="E67" s="383"/>
      <c r="F67" s="383"/>
      <c r="G67" s="383"/>
      <c r="H67" s="383"/>
      <c r="I67" s="379"/>
      <c r="J67" s="555"/>
      <c r="K67" s="552"/>
      <c r="L67" s="552"/>
      <c r="M67" s="552"/>
      <c r="N67" s="552"/>
      <c r="O67" s="552"/>
      <c r="P67" s="552"/>
      <c r="Q67" s="398"/>
      <c r="S67"/>
      <c r="T67"/>
      <c r="U67"/>
      <c r="V67"/>
      <c r="W67"/>
      <c r="X67"/>
      <c r="Y67"/>
    </row>
    <row r="68" spans="2:25" ht="15" customHeight="1" x14ac:dyDescent="0.2">
      <c r="B68" s="397"/>
      <c r="C68" s="383"/>
      <c r="D68" s="383"/>
      <c r="E68" s="383"/>
      <c r="F68" s="383"/>
      <c r="G68" s="383"/>
      <c r="H68" s="383"/>
      <c r="I68" s="379"/>
      <c r="J68" s="555"/>
      <c r="K68" s="776" t="s">
        <v>649</v>
      </c>
      <c r="L68" s="776"/>
      <c r="M68" s="776" t="s">
        <v>651</v>
      </c>
      <c r="N68" s="776"/>
      <c r="O68" s="776" t="s">
        <v>686</v>
      </c>
      <c r="P68" s="776"/>
      <c r="Q68" s="398"/>
      <c r="S68"/>
      <c r="T68"/>
      <c r="U68"/>
      <c r="V68"/>
      <c r="W68"/>
      <c r="X68"/>
      <c r="Y68"/>
    </row>
    <row r="69" spans="2:25" ht="15" customHeight="1" x14ac:dyDescent="0.2">
      <c r="B69" s="397"/>
      <c r="C69" s="383"/>
      <c r="D69" s="383"/>
      <c r="E69" s="383"/>
      <c r="F69" s="383"/>
      <c r="G69" s="383"/>
      <c r="H69" s="383"/>
      <c r="I69" s="379"/>
      <c r="J69" s="555"/>
      <c r="K69" s="557">
        <f>IFERROR(VLOOKUP(C54,'Listas de Dados'!I:T,2,0),0)</f>
        <v>0</v>
      </c>
      <c r="L69" s="556" t="s">
        <v>292</v>
      </c>
      <c r="M69" s="557">
        <f>IFERROR(ROUND(K18*O57/O17/1000*100,2),0)</f>
        <v>0</v>
      </c>
      <c r="N69" s="556" t="s">
        <v>292</v>
      </c>
      <c r="O69" s="558">
        <f>SUM(K69,M69)</f>
        <v>0</v>
      </c>
      <c r="P69" s="556" t="s">
        <v>292</v>
      </c>
      <c r="Q69" s="398"/>
      <c r="S69"/>
      <c r="T69"/>
      <c r="U69"/>
      <c r="V69"/>
      <c r="W69"/>
      <c r="X69"/>
      <c r="Y69"/>
    </row>
    <row r="70" spans="2:25" ht="15" customHeight="1" x14ac:dyDescent="0.2">
      <c r="B70" s="397"/>
      <c r="C70" s="383"/>
      <c r="D70" s="383"/>
      <c r="E70" s="383"/>
      <c r="F70" s="383"/>
      <c r="G70" s="383"/>
      <c r="H70" s="383"/>
      <c r="I70" s="379"/>
      <c r="J70" s="555"/>
      <c r="K70" s="552"/>
      <c r="L70" s="552"/>
      <c r="M70" s="555"/>
      <c r="N70" s="552"/>
      <c r="O70" s="555"/>
      <c r="P70" s="555"/>
      <c r="Q70" s="398"/>
    </row>
    <row r="71" spans="2:25" ht="15" customHeight="1" x14ac:dyDescent="0.2">
      <c r="B71" s="397"/>
      <c r="C71" s="383"/>
      <c r="D71" s="383"/>
      <c r="E71" s="383"/>
      <c r="F71" s="383"/>
      <c r="G71" s="383"/>
      <c r="H71" s="383"/>
      <c r="I71" s="379"/>
      <c r="J71" s="555"/>
      <c r="K71" s="776" t="s">
        <v>655</v>
      </c>
      <c r="L71" s="776"/>
      <c r="M71" s="776" t="s">
        <v>652</v>
      </c>
      <c r="N71" s="776"/>
      <c r="Q71" s="398"/>
    </row>
    <row r="72" spans="2:25" ht="15" customHeight="1" x14ac:dyDescent="0.2">
      <c r="B72" s="397"/>
      <c r="C72" s="383"/>
      <c r="D72" s="383"/>
      <c r="E72" s="383"/>
      <c r="F72" s="383"/>
      <c r="G72" s="383"/>
      <c r="H72" s="383"/>
      <c r="I72" s="379"/>
      <c r="J72" s="555"/>
      <c r="K72" s="558">
        <f>IFERROR(K66*60/O17,0)</f>
        <v>0</v>
      </c>
      <c r="L72" s="556" t="s">
        <v>654</v>
      </c>
      <c r="M72" s="558">
        <f>IFERROR(M63/(K18)/60*1000*((1+(100-K57)/100)),0)</f>
        <v>0</v>
      </c>
      <c r="N72" s="556" t="s">
        <v>654</v>
      </c>
      <c r="Q72" s="398"/>
    </row>
    <row r="73" spans="2:25" ht="15" customHeight="1" x14ac:dyDescent="0.2">
      <c r="B73" s="397"/>
      <c r="C73" s="383"/>
      <c r="D73" s="383"/>
      <c r="E73" s="383"/>
      <c r="F73" s="383"/>
      <c r="G73" s="383"/>
      <c r="H73" s="383"/>
      <c r="I73" s="379"/>
      <c r="J73" s="555"/>
      <c r="K73" s="552"/>
      <c r="L73" s="552"/>
      <c r="M73" s="555"/>
      <c r="N73" s="552"/>
      <c r="O73" s="555"/>
      <c r="P73" s="555"/>
      <c r="Q73" s="398"/>
    </row>
    <row r="74" spans="2:25" ht="15" customHeight="1" x14ac:dyDescent="0.2">
      <c r="B74" s="397"/>
      <c r="C74" s="383"/>
      <c r="D74" s="383"/>
      <c r="E74" s="379"/>
      <c r="F74" s="383"/>
      <c r="G74" s="379"/>
      <c r="H74" s="379"/>
      <c r="I74" s="379"/>
      <c r="J74" s="555"/>
      <c r="K74" s="776" t="s">
        <v>656</v>
      </c>
      <c r="L74" s="776"/>
      <c r="M74" s="776" t="s">
        <v>656</v>
      </c>
      <c r="N74" s="776"/>
      <c r="O74" s="776" t="s">
        <v>658</v>
      </c>
      <c r="P74" s="776"/>
      <c r="Q74" s="398"/>
    </row>
    <row r="75" spans="2:25" ht="15" customHeight="1" x14ac:dyDescent="0.2">
      <c r="B75" s="397"/>
      <c r="C75" s="383"/>
      <c r="D75" s="383"/>
      <c r="E75" s="379"/>
      <c r="F75" s="383"/>
      <c r="G75" s="379"/>
      <c r="H75" s="379"/>
      <c r="I75" s="379"/>
      <c r="J75" s="555"/>
      <c r="K75" s="558">
        <f>IFERROR(M72*O17/60,0)</f>
        <v>0</v>
      </c>
      <c r="L75" s="556" t="s">
        <v>653</v>
      </c>
      <c r="M75" s="558">
        <f>IFERROR(K75/(K60*M60),0)</f>
        <v>0</v>
      </c>
      <c r="N75" s="556" t="s">
        <v>657</v>
      </c>
      <c r="O75" s="558">
        <f>IFERROR(((M72*O17/60)+K66)/(K60*M60),0)</f>
        <v>0</v>
      </c>
      <c r="P75" s="556" t="s">
        <v>657</v>
      </c>
      <c r="Q75" s="398"/>
    </row>
    <row r="76" spans="2:25" ht="15" customHeight="1" x14ac:dyDescent="0.2">
      <c r="B76" s="397"/>
      <c r="C76" s="383"/>
      <c r="D76" s="383"/>
      <c r="E76" s="379"/>
      <c r="F76" s="383"/>
      <c r="G76" s="379"/>
      <c r="H76" s="379"/>
      <c r="I76" s="379"/>
      <c r="J76" s="555"/>
      <c r="Q76" s="398"/>
    </row>
    <row r="77" spans="2:25" ht="15" customHeight="1" x14ac:dyDescent="0.2">
      <c r="B77" s="397"/>
      <c r="C77" s="383"/>
      <c r="D77" s="383"/>
      <c r="E77" s="379"/>
      <c r="F77" s="383"/>
      <c r="G77" s="379"/>
      <c r="H77" s="379"/>
      <c r="I77" s="379"/>
      <c r="J77" s="555"/>
      <c r="K77" s="699"/>
      <c r="L77" s="699"/>
      <c r="M77" s="699"/>
      <c r="N77" s="699"/>
      <c r="O77" s="699"/>
      <c r="P77" s="699"/>
      <c r="Q77" s="398"/>
    </row>
    <row r="78" spans="2:25" ht="15" customHeight="1" x14ac:dyDescent="0.2">
      <c r="B78" s="397"/>
      <c r="C78" s="383"/>
      <c r="D78" s="383"/>
      <c r="E78" s="379"/>
      <c r="F78" s="383"/>
      <c r="G78" s="379"/>
      <c r="H78" s="379"/>
      <c r="I78" s="379"/>
      <c r="J78" s="555"/>
      <c r="K78" s="699"/>
      <c r="L78" s="699"/>
      <c r="M78" s="699"/>
      <c r="N78" s="699"/>
      <c r="O78" s="699"/>
      <c r="P78" s="699"/>
      <c r="Q78" s="398"/>
    </row>
    <row r="79" spans="2:25" ht="15" customHeight="1" x14ac:dyDescent="0.2">
      <c r="B79" s="397"/>
      <c r="C79" s="538"/>
      <c r="D79" s="538"/>
      <c r="E79" s="538"/>
      <c r="F79" s="538"/>
      <c r="G79" s="538"/>
      <c r="H79" s="538"/>
      <c r="I79" s="538"/>
      <c r="J79" s="538"/>
      <c r="K79" s="538"/>
      <c r="L79" s="538"/>
      <c r="M79" s="538"/>
      <c r="N79" s="538"/>
      <c r="O79" s="538"/>
      <c r="P79" s="538"/>
      <c r="Q79" s="398"/>
    </row>
    <row r="80" spans="2:25" ht="15" customHeight="1" x14ac:dyDescent="0.2">
      <c r="B80" s="397"/>
      <c r="C80" s="532"/>
      <c r="D80" s="532"/>
      <c r="E80" s="532"/>
      <c r="F80" s="532"/>
      <c r="G80" s="532"/>
      <c r="H80" s="532"/>
      <c r="I80" s="532"/>
      <c r="J80" s="532"/>
      <c r="K80" s="532"/>
      <c r="L80" s="532"/>
      <c r="M80" s="532"/>
      <c r="N80" s="532"/>
      <c r="O80" s="532"/>
      <c r="P80" s="532"/>
      <c r="Q80" s="398"/>
    </row>
    <row r="81" spans="2:17" ht="15" customHeight="1" thickBot="1" x14ac:dyDescent="0.25">
      <c r="B81" s="404"/>
      <c r="C81" s="457"/>
      <c r="D81" s="457"/>
      <c r="E81" s="457"/>
      <c r="F81" s="457"/>
      <c r="G81" s="457"/>
      <c r="H81" s="457"/>
      <c r="I81" s="457"/>
      <c r="J81" s="457"/>
      <c r="K81" s="457"/>
      <c r="L81" s="457"/>
      <c r="M81" s="457"/>
      <c r="N81" s="457"/>
      <c r="O81" s="457"/>
      <c r="P81" s="457"/>
      <c r="Q81" s="406"/>
    </row>
    <row r="85" spans="2:17" x14ac:dyDescent="0.2">
      <c r="B85" s="664" t="s">
        <v>628</v>
      </c>
      <c r="C85" s="665"/>
      <c r="D85" s="667" t="s">
        <v>2</v>
      </c>
      <c r="E85" s="667"/>
      <c r="F85" s="667"/>
      <c r="G85" s="667"/>
      <c r="H85" s="667"/>
      <c r="I85" s="667"/>
      <c r="J85" s="667"/>
      <c r="K85" s="667"/>
      <c r="L85" s="667"/>
      <c r="M85" s="667" t="s">
        <v>629</v>
      </c>
      <c r="N85" s="667"/>
      <c r="O85" s="667"/>
      <c r="P85" s="664" t="s">
        <v>630</v>
      </c>
      <c r="Q85" s="665"/>
    </row>
    <row r="86" spans="2:17" x14ac:dyDescent="0.2">
      <c r="B86" s="664" t="s">
        <v>634</v>
      </c>
      <c r="C86" s="665"/>
      <c r="D86" s="666" t="s">
        <v>747</v>
      </c>
      <c r="E86" s="666"/>
      <c r="F86" s="666"/>
      <c r="G86" s="666"/>
      <c r="H86" s="666"/>
      <c r="I86" s="666"/>
      <c r="J86" s="666"/>
      <c r="K86" s="666"/>
      <c r="L86" s="666"/>
      <c r="M86" s="667" t="s">
        <v>635</v>
      </c>
      <c r="N86" s="667"/>
      <c r="O86" s="667"/>
      <c r="P86" s="668">
        <v>44469</v>
      </c>
      <c r="Q86" s="669"/>
    </row>
    <row r="87" spans="2:17" x14ac:dyDescent="0.2">
      <c r="B87" s="407"/>
      <c r="C87" s="407"/>
      <c r="D87" s="407"/>
      <c r="E87" s="407"/>
      <c r="F87" s="407"/>
      <c r="G87" s="407"/>
      <c r="H87" s="407"/>
      <c r="I87" s="407"/>
      <c r="J87" s="407"/>
      <c r="K87" s="407"/>
      <c r="L87" s="407"/>
      <c r="M87" s="407"/>
      <c r="N87" s="407"/>
      <c r="O87" s="407"/>
      <c r="P87" s="407"/>
      <c r="Q87" s="407"/>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s>
  <conditionalFormatting sqref="O18:P18">
    <cfRule type="containsText" dxfId="51" priority="23" stopIfTrue="1" operator="containsText" text="FALSO">
      <formula>NOT(ISERROR(SEARCH("FALSO",O18)))</formula>
    </cfRule>
  </conditionalFormatting>
  <conditionalFormatting sqref="P20">
    <cfRule type="containsText" dxfId="50" priority="19" stopIfTrue="1" operator="containsText" text="FALSO">
      <formula>NOT(ISERROR(SEARCH("FALSO",P20)))</formula>
    </cfRule>
  </conditionalFormatting>
  <conditionalFormatting sqref="K18:L18">
    <cfRule type="containsText" dxfId="49" priority="17" stopIfTrue="1" operator="containsText" text="FALSO">
      <formula>NOT(ISERROR(SEARCH("FALSO",K18)))</formula>
    </cfRule>
  </conditionalFormatting>
  <conditionalFormatting sqref="P21">
    <cfRule type="containsText" dxfId="48" priority="5" stopIfTrue="1" operator="containsText" text="FALSO">
      <formula>NOT(ISERROR(SEARCH("FALSO",P21)))</formula>
    </cfRule>
  </conditionalFormatting>
  <conditionalFormatting sqref="K21:L21">
    <cfRule type="containsText" dxfId="47" priority="4" stopIfTrue="1" operator="containsText" text="FALSO">
      <formula>NOT(ISERROR(SEARCH("FALSO",K21)))</formula>
    </cfRule>
  </conditionalFormatting>
  <conditionalFormatting sqref="I19">
    <cfRule type="containsText" dxfId="46" priority="3" stopIfTrue="1" operator="containsText" text="FALSO">
      <formula>NOT(ISERROR(SEARCH("FALSO",I19)))</formula>
    </cfRule>
  </conditionalFormatting>
  <conditionalFormatting sqref="I20">
    <cfRule type="containsText" dxfId="45"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766</v>
      </c>
      <c r="G2" s="425" t="s">
        <v>766</v>
      </c>
      <c r="H2" s="425" t="s">
        <v>766</v>
      </c>
      <c r="I2" s="425" t="s">
        <v>766</v>
      </c>
      <c r="J2" s="425" t="s">
        <v>766</v>
      </c>
      <c r="K2" s="425" t="s">
        <v>766</v>
      </c>
      <c r="L2" s="425" t="s">
        <v>766</v>
      </c>
      <c r="M2" s="425" t="s">
        <v>766</v>
      </c>
      <c r="N2" s="425" t="s">
        <v>766</v>
      </c>
      <c r="O2" s="425" t="s">
        <v>766</v>
      </c>
      <c r="Q2" s="425" t="s">
        <v>766</v>
      </c>
      <c r="R2" s="425" t="s">
        <v>766</v>
      </c>
      <c r="S2" s="546" t="s">
        <v>766</v>
      </c>
      <c r="T2" s="214" t="s">
        <v>766</v>
      </c>
      <c r="U2" s="214" t="s">
        <v>766</v>
      </c>
      <c r="V2" s="214" t="s">
        <v>766</v>
      </c>
      <c r="W2" s="214" t="s">
        <v>766</v>
      </c>
      <c r="X2" s="214" t="s">
        <v>766</v>
      </c>
      <c r="Y2" s="214" t="s">
        <v>766</v>
      </c>
      <c r="Z2" s="214" t="s">
        <v>766</v>
      </c>
      <c r="AA2" s="214" t="s">
        <v>766</v>
      </c>
      <c r="AB2" s="214" t="s">
        <v>766</v>
      </c>
      <c r="AC2" s="214" t="s">
        <v>766</v>
      </c>
      <c r="AD2" s="214" t="s">
        <v>766</v>
      </c>
      <c r="AE2" s="214" t="s">
        <v>766</v>
      </c>
      <c r="AF2" s="214"/>
      <c r="AG2" s="214"/>
      <c r="AH2" s="214" t="s">
        <v>766</v>
      </c>
      <c r="AI2" s="214" t="s">
        <v>766</v>
      </c>
      <c r="AJ2" s="214" t="s">
        <v>766</v>
      </c>
      <c r="AK2" s="214" t="s">
        <v>766</v>
      </c>
      <c r="AL2" s="214" t="s">
        <v>766</v>
      </c>
      <c r="AM2" s="214" t="s">
        <v>766</v>
      </c>
      <c r="AN2" s="214" t="s">
        <v>766</v>
      </c>
      <c r="AO2" s="214" t="s">
        <v>766</v>
      </c>
      <c r="AP2" s="214" t="s">
        <v>766</v>
      </c>
      <c r="AQ2" s="214" t="s">
        <v>766</v>
      </c>
      <c r="AR2" s="214" t="s">
        <v>766</v>
      </c>
      <c r="AS2" s="214" t="s">
        <v>766</v>
      </c>
      <c r="AT2" s="214" t="s">
        <v>766</v>
      </c>
      <c r="AU2" s="425" t="s">
        <v>766</v>
      </c>
      <c r="BC2" s="425" t="s">
        <v>766</v>
      </c>
      <c r="BD2" s="425" t="s">
        <v>766</v>
      </c>
      <c r="BE2" s="425" t="s">
        <v>766</v>
      </c>
      <c r="BF2" s="425" t="s">
        <v>766</v>
      </c>
      <c r="BG2" s="425" t="s">
        <v>766</v>
      </c>
      <c r="CE2" s="425" t="s">
        <v>766</v>
      </c>
      <c r="CF2" s="425" t="s">
        <v>766</v>
      </c>
    </row>
    <row r="3" spans="1:84" ht="19.5" thickBot="1" x14ac:dyDescent="0.25">
      <c r="B3" s="732" t="s">
        <v>0</v>
      </c>
      <c r="C3" s="732"/>
      <c r="D3" s="732"/>
      <c r="E3" s="732"/>
      <c r="F3" s="732"/>
      <c r="G3" s="732"/>
      <c r="H3" s="732"/>
      <c r="I3" s="732"/>
      <c r="J3" s="732"/>
      <c r="K3" s="732"/>
      <c r="L3" s="732"/>
      <c r="M3" s="732"/>
      <c r="N3" s="732"/>
      <c r="O3" s="732"/>
      <c r="P3" s="732"/>
      <c r="Q3" s="732"/>
      <c r="R3" s="800"/>
      <c r="S3" s="801" t="s">
        <v>68</v>
      </c>
      <c r="T3" s="802"/>
      <c r="U3" s="802"/>
      <c r="V3" s="802"/>
      <c r="W3" s="802"/>
      <c r="X3" s="802"/>
      <c r="Y3" s="802"/>
      <c r="Z3" s="802"/>
      <c r="AA3" s="802"/>
      <c r="AB3" s="802"/>
      <c r="AC3" s="802"/>
      <c r="AD3" s="802"/>
      <c r="AE3" s="802"/>
      <c r="AF3" s="802"/>
      <c r="AG3" s="802"/>
      <c r="AH3" s="802"/>
      <c r="AI3" s="802"/>
      <c r="AJ3" s="802"/>
      <c r="AK3" s="802"/>
      <c r="AL3" s="802"/>
      <c r="AM3" s="802"/>
      <c r="AN3" s="802"/>
      <c r="AO3" s="802"/>
      <c r="AP3" s="802"/>
      <c r="AQ3" s="802"/>
      <c r="AR3" s="802"/>
      <c r="AS3" s="802"/>
      <c r="AT3" s="802"/>
      <c r="AV3" s="324" t="s">
        <v>94</v>
      </c>
      <c r="AW3" s="103"/>
      <c r="AX3" s="732" t="s">
        <v>67</v>
      </c>
      <c r="AY3" s="732"/>
      <c r="AZ3" s="732"/>
      <c r="BA3" s="732"/>
      <c r="BB3" s="732"/>
      <c r="BC3" s="732"/>
      <c r="BD3" s="732"/>
      <c r="BE3" s="732"/>
      <c r="BF3" s="732"/>
      <c r="BG3" s="732"/>
      <c r="BH3" s="732"/>
      <c r="BI3" s="732"/>
      <c r="BJ3" s="732"/>
      <c r="BK3" s="732"/>
      <c r="BL3" s="732"/>
      <c r="BM3" s="732"/>
      <c r="BN3" s="732"/>
      <c r="BO3" s="732"/>
      <c r="BP3" s="732"/>
      <c r="BQ3" s="732"/>
      <c r="BR3" s="732"/>
      <c r="BS3" s="732"/>
      <c r="BT3" s="732"/>
      <c r="BU3" s="732"/>
      <c r="BV3" s="732"/>
      <c r="BW3" s="732"/>
      <c r="BX3" s="732"/>
      <c r="BY3" s="732"/>
      <c r="BZ3" s="732"/>
      <c r="CA3" s="732"/>
      <c r="CB3" s="732"/>
      <c r="CC3" s="732"/>
      <c r="CD3" s="732"/>
    </row>
    <row r="4" spans="1:84" ht="18" customHeight="1" thickBot="1" x14ac:dyDescent="0.25">
      <c r="B4" s="815" t="s">
        <v>1</v>
      </c>
      <c r="C4" s="815" t="s">
        <v>2</v>
      </c>
      <c r="D4" s="799" t="s">
        <v>756</v>
      </c>
      <c r="E4" s="803" t="s">
        <v>526</v>
      </c>
      <c r="F4" s="804"/>
      <c r="G4" s="804"/>
      <c r="H4" s="804"/>
      <c r="I4" s="804"/>
      <c r="J4" s="804"/>
      <c r="K4" s="804"/>
      <c r="L4" s="804"/>
      <c r="M4" s="804"/>
      <c r="N4" s="805"/>
      <c r="O4" s="808" t="s">
        <v>757</v>
      </c>
      <c r="P4" s="799" t="s">
        <v>758</v>
      </c>
      <c r="Q4" s="797" t="s">
        <v>550</v>
      </c>
      <c r="R4" s="810" t="s">
        <v>579</v>
      </c>
      <c r="S4" s="811" t="s">
        <v>143</v>
      </c>
      <c r="T4" s="799" t="s">
        <v>49</v>
      </c>
      <c r="U4" s="797" t="s">
        <v>527</v>
      </c>
      <c r="V4" s="797" t="s">
        <v>528</v>
      </c>
      <c r="W4" s="797" t="s">
        <v>529</v>
      </c>
      <c r="X4" s="797" t="s">
        <v>530</v>
      </c>
      <c r="Y4" s="797" t="s">
        <v>531</v>
      </c>
      <c r="Z4" s="813" t="s">
        <v>532</v>
      </c>
      <c r="AA4" s="814"/>
      <c r="AB4" s="799" t="s">
        <v>584</v>
      </c>
      <c r="AC4" s="799" t="s">
        <v>602</v>
      </c>
      <c r="AD4" s="799" t="s">
        <v>603</v>
      </c>
      <c r="AE4" s="799" t="s">
        <v>585</v>
      </c>
      <c r="AF4" s="799" t="s">
        <v>586</v>
      </c>
      <c r="AG4" s="799" t="s">
        <v>587</v>
      </c>
      <c r="AH4" s="799" t="s">
        <v>588</v>
      </c>
      <c r="AI4" s="799" t="s">
        <v>589</v>
      </c>
      <c r="AJ4" s="799" t="s">
        <v>590</v>
      </c>
      <c r="AK4" s="799" t="s">
        <v>591</v>
      </c>
      <c r="AL4" s="799" t="s">
        <v>92</v>
      </c>
      <c r="AM4" s="799" t="s">
        <v>592</v>
      </c>
      <c r="AN4" s="799" t="s">
        <v>593</v>
      </c>
      <c r="AO4" s="797" t="s">
        <v>605</v>
      </c>
      <c r="AP4" s="797" t="s">
        <v>606</v>
      </c>
      <c r="AQ4" s="797" t="s">
        <v>607</v>
      </c>
      <c r="AR4" s="797" t="s">
        <v>608</v>
      </c>
      <c r="AS4" s="797" t="s">
        <v>609</v>
      </c>
      <c r="AT4" s="797" t="s">
        <v>610</v>
      </c>
      <c r="AV4" s="325" t="s">
        <v>103</v>
      </c>
      <c r="AW4" s="103"/>
      <c r="AX4" s="766" t="s">
        <v>39</v>
      </c>
      <c r="AY4" s="766"/>
      <c r="AZ4" s="766"/>
      <c r="BA4" s="766"/>
      <c r="BB4" s="766"/>
      <c r="BC4" s="796" t="s">
        <v>145</v>
      </c>
      <c r="BD4" s="796"/>
      <c r="BE4" s="796"/>
      <c r="BF4" s="796"/>
      <c r="BG4" s="796"/>
      <c r="BH4" s="793" t="s">
        <v>150</v>
      </c>
      <c r="BI4" s="794"/>
      <c r="BJ4" s="794"/>
      <c r="BK4" s="794"/>
      <c r="BL4" s="794"/>
      <c r="BM4" s="795"/>
      <c r="BN4" s="793" t="s">
        <v>144</v>
      </c>
      <c r="BO4" s="794"/>
      <c r="BP4" s="794"/>
      <c r="BQ4" s="794"/>
      <c r="BR4" s="795"/>
      <c r="BS4" s="793" t="s">
        <v>146</v>
      </c>
      <c r="BT4" s="794"/>
      <c r="BU4" s="794"/>
      <c r="BV4" s="795"/>
      <c r="BW4" s="793" t="s">
        <v>148</v>
      </c>
      <c r="BX4" s="794"/>
      <c r="BY4" s="794"/>
      <c r="BZ4" s="795"/>
      <c r="CA4" s="793" t="s">
        <v>70</v>
      </c>
      <c r="CB4" s="794"/>
      <c r="CC4" s="794"/>
      <c r="CD4" s="795"/>
    </row>
    <row r="5" spans="1:84" ht="21.75" customHeight="1" thickBot="1" x14ac:dyDescent="0.3">
      <c r="B5" s="815"/>
      <c r="C5" s="815"/>
      <c r="D5" s="799"/>
      <c r="E5" s="806"/>
      <c r="F5" s="678"/>
      <c r="G5" s="678"/>
      <c r="H5" s="678"/>
      <c r="I5" s="678"/>
      <c r="J5" s="678"/>
      <c r="K5" s="678"/>
      <c r="L5" s="678"/>
      <c r="M5" s="678"/>
      <c r="N5" s="807"/>
      <c r="O5" s="809"/>
      <c r="P5" s="799"/>
      <c r="Q5" s="798"/>
      <c r="R5" s="810"/>
      <c r="S5" s="812"/>
      <c r="T5" s="799"/>
      <c r="U5" s="798"/>
      <c r="V5" s="798"/>
      <c r="W5" s="798"/>
      <c r="X5" s="798"/>
      <c r="Y5" s="798"/>
      <c r="Z5" s="539" t="s">
        <v>80</v>
      </c>
      <c r="AA5" s="539" t="s">
        <v>44</v>
      </c>
      <c r="AB5" s="799"/>
      <c r="AC5" s="799"/>
      <c r="AD5" s="799"/>
      <c r="AE5" s="799"/>
      <c r="AF5" s="799"/>
      <c r="AG5" s="799"/>
      <c r="AH5" s="799"/>
      <c r="AI5" s="799"/>
      <c r="AJ5" s="799"/>
      <c r="AK5" s="799"/>
      <c r="AL5" s="799"/>
      <c r="AM5" s="799"/>
      <c r="AN5" s="799"/>
      <c r="AO5" s="798"/>
      <c r="AP5" s="798"/>
      <c r="AQ5" s="798"/>
      <c r="AR5" s="798"/>
      <c r="AS5" s="798"/>
      <c r="AT5" s="798"/>
      <c r="AV5" s="325" t="s">
        <v>95</v>
      </c>
      <c r="AW5" s="103"/>
      <c r="AX5" s="325" t="s">
        <v>49</v>
      </c>
      <c r="AY5" s="325" t="s">
        <v>50</v>
      </c>
      <c r="AZ5" s="105" t="s">
        <v>220</v>
      </c>
      <c r="BA5" s="105" t="s">
        <v>221</v>
      </c>
      <c r="BB5" s="325" t="s">
        <v>64</v>
      </c>
      <c r="BC5" s="520" t="s">
        <v>49</v>
      </c>
      <c r="BD5" s="520" t="s">
        <v>50</v>
      </c>
      <c r="BE5" s="520" t="s">
        <v>61</v>
      </c>
      <c r="BF5" s="520" t="s">
        <v>64</v>
      </c>
      <c r="BG5" s="520"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8">
        <v>1000</v>
      </c>
      <c r="B6" s="377"/>
      <c r="C6" s="377"/>
      <c r="D6" s="541">
        <f>F11</f>
        <v>40</v>
      </c>
      <c r="E6" s="513" t="s">
        <v>534</v>
      </c>
      <c r="F6" s="513" t="s">
        <v>549</v>
      </c>
      <c r="G6" s="514" t="s">
        <v>535</v>
      </c>
      <c r="H6" s="515" t="s">
        <v>548</v>
      </c>
      <c r="I6" s="515" t="s">
        <v>546</v>
      </c>
      <c r="J6" s="515" t="s">
        <v>536</v>
      </c>
      <c r="K6" s="515" t="s">
        <v>537</v>
      </c>
      <c r="L6" s="515" t="s">
        <v>538</v>
      </c>
      <c r="M6" s="515" t="s">
        <v>539</v>
      </c>
      <c r="N6" s="515" t="s">
        <v>540</v>
      </c>
      <c r="O6" s="429">
        <f>IFERROR(ROUNDUP(P6,0),0)</f>
        <v>25</v>
      </c>
      <c r="P6" s="327">
        <f>1000/D6</f>
        <v>25</v>
      </c>
      <c r="Q6" s="429">
        <f>IFERROR(R6*1000/D6,0)</f>
        <v>0</v>
      </c>
      <c r="R6" s="537"/>
      <c r="S6" s="547" t="s">
        <v>547</v>
      </c>
      <c r="T6" s="548" t="s">
        <v>541</v>
      </c>
      <c r="U6" s="536"/>
      <c r="V6" s="535">
        <f>(60*U6)/200</f>
        <v>0</v>
      </c>
      <c r="W6" s="536"/>
      <c r="X6" s="536"/>
      <c r="Y6" s="536"/>
      <c r="Z6" s="536"/>
      <c r="AA6" s="536"/>
      <c r="AB6" s="535">
        <f>Y6+AA6/60</f>
        <v>0</v>
      </c>
      <c r="AC6" s="535">
        <f>SUM(V6:X6)</f>
        <v>0</v>
      </c>
      <c r="AD6" s="535">
        <f>AC6/60</f>
        <v>0</v>
      </c>
      <c r="AE6" s="536">
        <v>80</v>
      </c>
      <c r="AF6" s="331" t="e">
        <f>(W6-#REF!*#REF!)/W6*100</f>
        <v>#REF!</v>
      </c>
      <c r="AG6" s="333" t="e">
        <f>(D6*#REF!*Z6/1000)/1000/R6*100</f>
        <v>#REF!</v>
      </c>
      <c r="AH6" s="535" t="e">
        <f>(D6*Z6)/1000/R6*100</f>
        <v>#DIV/0!</v>
      </c>
      <c r="AI6" s="535">
        <f>AC6/(D6)/60*1000*((1+(100-AE6)/100))</f>
        <v>0</v>
      </c>
      <c r="AJ6" s="535" t="e">
        <f>AB6*60/R6</f>
        <v>#DIV/0!</v>
      </c>
      <c r="AK6" s="549"/>
      <c r="AL6" s="549"/>
      <c r="AM6" s="535">
        <f>(AI6*R6)/60+AB6</f>
        <v>0</v>
      </c>
      <c r="AN6" s="535" t="e">
        <f>AM6/(AK6*AL6)</f>
        <v>#DIV/0!</v>
      </c>
      <c r="AO6" s="550"/>
      <c r="AP6" s="550"/>
      <c r="AQ6" s="535" t="e">
        <f>#REF!/100*AP6</f>
        <v>#REF!</v>
      </c>
      <c r="AR6" s="535" t="e">
        <f>AJ6/60*AO6</f>
        <v>#DIV/0!</v>
      </c>
      <c r="AS6" s="535">
        <f>AI6/60*AO6</f>
        <v>0</v>
      </c>
      <c r="AT6" s="535" t="e">
        <f>AQ6+AR6+AS6</f>
        <v>#REF!</v>
      </c>
      <c r="AV6" s="344">
        <v>0.6</v>
      </c>
      <c r="AW6" s="519"/>
      <c r="AX6" s="343" t="s">
        <v>57</v>
      </c>
      <c r="AY6" s="343">
        <v>10</v>
      </c>
      <c r="AZ6" s="345">
        <v>4</v>
      </c>
      <c r="BA6" s="345">
        <v>30</v>
      </c>
      <c r="BB6" s="343">
        <v>50</v>
      </c>
      <c r="BC6" s="444" t="s">
        <v>541</v>
      </c>
      <c r="BD6" s="444">
        <v>1.5</v>
      </c>
      <c r="BE6" s="444">
        <f>15/60</f>
        <v>0.25</v>
      </c>
      <c r="BF6" s="444">
        <v>80</v>
      </c>
      <c r="BG6" s="444">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6"/>
      <c r="F7" s="335">
        <f>G7*H7</f>
        <v>20</v>
      </c>
      <c r="G7" s="357">
        <v>10</v>
      </c>
      <c r="H7" s="357">
        <v>2</v>
      </c>
      <c r="I7" s="469">
        <f>IFERROR(1000/G7,0)</f>
        <v>100</v>
      </c>
      <c r="J7" s="460" t="s">
        <v>543</v>
      </c>
      <c r="K7" s="469">
        <f>IFERROR(J7*I7,0)</f>
        <v>0</v>
      </c>
      <c r="L7" s="461" t="s">
        <v>543</v>
      </c>
      <c r="M7" s="469">
        <f>IFERROR(H7*G7/$D6,0)</f>
        <v>0.5</v>
      </c>
      <c r="N7" s="469">
        <f>IF(K7&gt;0,PRODUCT(K7,M7),PRODUCT(L7,M7))</f>
        <v>0.5</v>
      </c>
      <c r="S7" s="551"/>
      <c r="T7" s="167"/>
      <c r="U7" s="167" t="s">
        <v>685</v>
      </c>
      <c r="V7" s="167"/>
      <c r="W7" s="167" t="s">
        <v>685</v>
      </c>
      <c r="X7" s="167"/>
      <c r="Y7" s="167"/>
      <c r="Z7" s="167" t="s">
        <v>685</v>
      </c>
      <c r="AA7" s="167" t="s">
        <v>685</v>
      </c>
      <c r="AB7" s="167" t="s">
        <v>685</v>
      </c>
      <c r="AC7" s="167" t="s">
        <v>685</v>
      </c>
      <c r="AD7" s="167" t="s">
        <v>685</v>
      </c>
      <c r="AE7" s="167" t="s">
        <v>685</v>
      </c>
      <c r="AF7" s="167" t="s">
        <v>685</v>
      </c>
      <c r="AG7" s="167" t="s">
        <v>685</v>
      </c>
      <c r="AH7" s="167" t="s">
        <v>685</v>
      </c>
      <c r="AI7" s="167" t="s">
        <v>685</v>
      </c>
      <c r="AJ7" s="167" t="s">
        <v>685</v>
      </c>
      <c r="AK7" s="167" t="s">
        <v>685</v>
      </c>
      <c r="AL7" s="167" t="s">
        <v>685</v>
      </c>
      <c r="AM7" s="167" t="s">
        <v>685</v>
      </c>
      <c r="AN7" s="167" t="s">
        <v>685</v>
      </c>
      <c r="AO7" s="167"/>
      <c r="AP7" s="167"/>
      <c r="AQ7" s="167"/>
      <c r="AR7" s="167"/>
      <c r="AS7" s="167"/>
      <c r="AT7" s="167"/>
      <c r="AV7" s="106">
        <v>0.75</v>
      </c>
      <c r="AW7" s="103"/>
      <c r="AX7" s="103"/>
      <c r="AY7" s="326"/>
      <c r="AZ7" s="103"/>
      <c r="BA7" s="103"/>
      <c r="BB7" s="103"/>
      <c r="BC7" s="444" t="s">
        <v>543</v>
      </c>
      <c r="BD7" s="444">
        <v>1.5</v>
      </c>
      <c r="BE7" s="444">
        <f>15/60</f>
        <v>0.25</v>
      </c>
      <c r="BF7" s="444">
        <v>80</v>
      </c>
      <c r="BG7" s="444">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6"/>
      <c r="F8" s="335">
        <f>G8*H8</f>
        <v>20</v>
      </c>
      <c r="G8" s="357">
        <v>20</v>
      </c>
      <c r="H8" s="357">
        <v>1</v>
      </c>
      <c r="I8" s="469">
        <f>IFERROR(1000/G8,0)</f>
        <v>50</v>
      </c>
      <c r="J8" s="460" t="s">
        <v>543</v>
      </c>
      <c r="K8" s="469">
        <f>IFERROR(J8*I8,0)</f>
        <v>0</v>
      </c>
      <c r="L8" s="357" t="s">
        <v>544</v>
      </c>
      <c r="M8" s="469">
        <f>IFERROR(H8*G8/$D6,0)</f>
        <v>0.5</v>
      </c>
      <c r="N8" s="469">
        <f>IF(K8&gt;0,PRODUCT(K8,M8),PRODUCT(L8,M8))</f>
        <v>0.5</v>
      </c>
      <c r="S8" s="551"/>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4"/>
      <c r="BD8" s="444"/>
      <c r="BE8" s="444"/>
      <c r="BF8" s="444"/>
      <c r="BG8" s="444"/>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6"/>
      <c r="F9" s="335">
        <f>G9*H9</f>
        <v>0</v>
      </c>
      <c r="G9" s="357">
        <v>0</v>
      </c>
      <c r="H9" s="357">
        <v>0</v>
      </c>
      <c r="I9" s="469">
        <f>IFERROR(1000/G9,0)</f>
        <v>0</v>
      </c>
      <c r="J9" s="460" t="s">
        <v>543</v>
      </c>
      <c r="K9" s="469">
        <f>IFERROR(J9*I9,0)</f>
        <v>0</v>
      </c>
      <c r="L9" s="357" t="s">
        <v>543</v>
      </c>
      <c r="M9" s="469">
        <f>IFERROR(H9*G9/$D6,0)</f>
        <v>0</v>
      </c>
      <c r="N9" s="469">
        <f>IF(K9&gt;0,PRODUCT(K9,M9),PRODUCT(L9,M9))</f>
        <v>0</v>
      </c>
      <c r="AV9" s="106"/>
      <c r="AW9" s="103"/>
      <c r="AX9" s="103"/>
      <c r="AY9" s="326"/>
      <c r="AZ9" s="103"/>
      <c r="BA9" s="103"/>
      <c r="BB9" s="103"/>
      <c r="BC9" s="444"/>
      <c r="BD9" s="444"/>
      <c r="BE9" s="444"/>
      <c r="BF9" s="444"/>
      <c r="BG9" s="444"/>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6"/>
      <c r="F10" s="335">
        <f>G10*H10</f>
        <v>0</v>
      </c>
      <c r="G10" s="357">
        <v>0</v>
      </c>
      <c r="H10" s="357">
        <v>0</v>
      </c>
      <c r="I10" s="469">
        <f>IFERROR(1000/G10,0)</f>
        <v>0</v>
      </c>
      <c r="J10" s="460" t="s">
        <v>543</v>
      </c>
      <c r="K10" s="469">
        <f>IFERROR(J10*I10,0)</f>
        <v>0</v>
      </c>
      <c r="L10" s="357" t="s">
        <v>543</v>
      </c>
      <c r="M10" s="469">
        <f>IFERROR(H10*G10/$D6,0)</f>
        <v>0</v>
      </c>
      <c r="N10" s="469">
        <f>IF(K10&gt;0,PRODUCT(K10,M10),PRODUCT(L10,M10))</f>
        <v>0</v>
      </c>
      <c r="AU10" s="336"/>
      <c r="AV10" s="106">
        <v>0.95</v>
      </c>
      <c r="AW10" s="103"/>
      <c r="AX10" s="107" t="s">
        <v>89</v>
      </c>
      <c r="AY10" s="107">
        <v>0</v>
      </c>
      <c r="AZ10" s="107">
        <v>0</v>
      </c>
      <c r="BA10" s="114"/>
      <c r="BB10" s="109"/>
      <c r="BC10" s="444"/>
      <c r="BD10" s="444"/>
      <c r="BE10" s="444"/>
      <c r="BF10" s="444"/>
      <c r="BG10" s="444"/>
      <c r="BH10" s="103"/>
      <c r="BI10" s="103"/>
      <c r="BJ10" s="103"/>
      <c r="BK10" s="103"/>
      <c r="BL10" s="103"/>
      <c r="BM10" s="103"/>
      <c r="BN10" s="793" t="s">
        <v>81</v>
      </c>
      <c r="BO10" s="794"/>
      <c r="BP10" s="795"/>
      <c r="BQ10" s="103"/>
      <c r="BR10" s="103"/>
      <c r="BS10" s="793" t="s">
        <v>81</v>
      </c>
      <c r="BT10" s="795"/>
      <c r="BU10" s="103"/>
      <c r="BV10" s="103"/>
      <c r="BW10" s="793" t="s">
        <v>81</v>
      </c>
      <c r="BX10" s="795"/>
      <c r="BY10" s="103"/>
      <c r="BZ10" s="103"/>
      <c r="CA10" s="793" t="s">
        <v>81</v>
      </c>
      <c r="CB10" s="795"/>
      <c r="CC10" s="103"/>
      <c r="CD10" s="103"/>
    </row>
    <row r="11" spans="1:84" ht="18.75" x14ac:dyDescent="0.25">
      <c r="F11" s="544">
        <f>SUM(F7:F10)</f>
        <v>40</v>
      </c>
      <c r="L11" s="517"/>
      <c r="M11" s="517" t="s">
        <v>545</v>
      </c>
      <c r="N11" s="506">
        <f>SUM(N7:N10)</f>
        <v>1</v>
      </c>
      <c r="AU11" s="337"/>
      <c r="AV11" s="106">
        <v>1.2</v>
      </c>
      <c r="AW11" s="103"/>
      <c r="AX11" s="766" t="s">
        <v>109</v>
      </c>
      <c r="AY11" s="766"/>
      <c r="AZ11" s="766"/>
      <c r="BA11" s="766"/>
      <c r="BB11" s="766"/>
      <c r="BC11" s="732" t="s">
        <v>81</v>
      </c>
      <c r="BD11" s="732"/>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4"/>
      <c r="BD12" s="444"/>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44" priority="7" operator="equal">
      <formula>0</formula>
    </cfRule>
  </conditionalFormatting>
  <conditionalFormatting sqref="AO6:AP6 AC7:AD9 S7:S12 AB7:AB12 V7:Y12 AQ6:AT12 AM6:AN12 S6:T6 V6 Z6:AD6 AE6:AJ12 AK6:AL6">
    <cfRule type="containsErrors" dxfId="43" priority="6">
      <formula>ISERROR(S6)</formula>
    </cfRule>
  </conditionalFormatting>
  <conditionalFormatting sqref="U10:U12">
    <cfRule type="cellIs" dxfId="42" priority="5" operator="equal">
      <formula>0</formula>
    </cfRule>
  </conditionalFormatting>
  <conditionalFormatting sqref="O6:Q6">
    <cfRule type="cellIs" dxfId="41" priority="3" operator="equal">
      <formula>0</formula>
    </cfRule>
    <cfRule type="containsErrors" dxfId="40" priority="4">
      <formula>ISERROR(O6)</formula>
    </cfRule>
  </conditionalFormatting>
  <conditionalFormatting sqref="L7">
    <cfRule type="cellIs" dxfId="39" priority="1" operator="equal">
      <formula>0</formula>
    </cfRule>
    <cfRule type="containsErrors" dxfId="38"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6" t="s">
        <v>748</v>
      </c>
      <c r="E2" s="817"/>
      <c r="F2" s="817"/>
      <c r="G2" s="818"/>
      <c r="H2" s="816" t="s">
        <v>866</v>
      </c>
      <c r="I2" s="817"/>
      <c r="J2" s="817"/>
      <c r="K2" s="817"/>
      <c r="L2" s="817"/>
      <c r="M2" s="817"/>
      <c r="N2" s="818"/>
    </row>
    <row r="3" spans="4:14" ht="12.75" customHeight="1" x14ac:dyDescent="0.2">
      <c r="D3" s="816"/>
      <c r="E3" s="817"/>
      <c r="F3" s="817"/>
      <c r="G3" s="818"/>
      <c r="H3" s="816"/>
      <c r="I3" s="817"/>
      <c r="J3" s="817"/>
      <c r="K3" s="817"/>
      <c r="L3" s="817"/>
      <c r="M3" s="817"/>
      <c r="N3" s="818"/>
    </row>
    <row r="4" spans="4:14" x14ac:dyDescent="0.2">
      <c r="D4" s="648" t="s">
        <v>861</v>
      </c>
      <c r="E4" s="649"/>
      <c r="F4" s="650" t="s">
        <v>862</v>
      </c>
      <c r="G4" s="381"/>
      <c r="H4" s="380"/>
      <c r="I4" s="380"/>
      <c r="J4" s="380"/>
      <c r="K4" s="380"/>
      <c r="L4" s="380"/>
      <c r="M4" s="380"/>
      <c r="N4" s="381"/>
    </row>
    <row r="5" spans="4:14" x14ac:dyDescent="0.2">
      <c r="D5" s="645"/>
      <c r="E5" s="380"/>
      <c r="F5" s="647"/>
      <c r="G5" s="381"/>
      <c r="H5" s="380"/>
      <c r="I5" s="380"/>
      <c r="J5" s="380"/>
      <c r="K5" s="380"/>
      <c r="L5" s="380"/>
      <c r="M5" s="380"/>
      <c r="N5" s="381"/>
    </row>
    <row r="6" spans="4:14" x14ac:dyDescent="0.2">
      <c r="D6" s="645"/>
      <c r="E6" s="380"/>
      <c r="F6" s="646"/>
      <c r="G6" s="381"/>
      <c r="H6" s="380"/>
      <c r="I6" s="380"/>
      <c r="J6" s="380"/>
      <c r="K6" s="380"/>
      <c r="L6" s="380"/>
      <c r="M6" s="380"/>
      <c r="N6" s="381"/>
    </row>
    <row r="7" spans="4:14" x14ac:dyDescent="0.2">
      <c r="D7" s="382"/>
      <c r="E7" s="380"/>
      <c r="F7" s="646"/>
      <c r="G7" s="381"/>
      <c r="H7" s="380"/>
      <c r="I7" s="380"/>
      <c r="J7" s="380"/>
      <c r="K7" s="380"/>
      <c r="L7" s="380"/>
      <c r="M7" s="380"/>
      <c r="N7" s="381"/>
    </row>
    <row r="8" spans="4:14" x14ac:dyDescent="0.2">
      <c r="D8" s="382"/>
      <c r="E8" s="380"/>
      <c r="F8" s="646"/>
      <c r="G8" s="381"/>
      <c r="H8" s="380"/>
      <c r="I8" s="380"/>
      <c r="J8" s="380"/>
      <c r="K8" s="380"/>
      <c r="L8" s="380"/>
      <c r="M8" s="380"/>
      <c r="N8" s="381"/>
    </row>
    <row r="9" spans="4:14" x14ac:dyDescent="0.2">
      <c r="D9" s="382"/>
      <c r="E9" s="380"/>
      <c r="F9" s="646"/>
      <c r="G9" s="381"/>
      <c r="H9" s="380"/>
      <c r="I9" s="380"/>
      <c r="J9" s="380"/>
      <c r="K9" s="380"/>
      <c r="L9" s="380"/>
      <c r="M9" s="380"/>
      <c r="N9" s="381"/>
    </row>
    <row r="10" spans="4:14" x14ac:dyDescent="0.2">
      <c r="D10" s="382"/>
      <c r="E10" s="380"/>
      <c r="F10" s="646"/>
      <c r="G10" s="381"/>
      <c r="H10" s="380"/>
      <c r="I10" s="380"/>
      <c r="J10" s="380"/>
      <c r="K10" s="380"/>
      <c r="L10" s="380"/>
      <c r="M10" s="380"/>
      <c r="N10" s="381"/>
    </row>
    <row r="11" spans="4:14" x14ac:dyDescent="0.2">
      <c r="D11" s="382"/>
      <c r="E11" s="380"/>
      <c r="F11" s="646"/>
      <c r="G11" s="381"/>
      <c r="H11" s="380"/>
      <c r="I11" s="380"/>
      <c r="J11" s="380"/>
      <c r="K11" s="380"/>
      <c r="L11" s="380"/>
      <c r="M11" s="380"/>
      <c r="N11" s="381"/>
    </row>
    <row r="12" spans="4:14" x14ac:dyDescent="0.2">
      <c r="D12" s="382"/>
      <c r="E12" s="380"/>
      <c r="F12" s="646"/>
      <c r="G12" s="381"/>
      <c r="H12" s="380"/>
      <c r="I12" s="380"/>
      <c r="J12" s="380"/>
      <c r="K12" s="380"/>
      <c r="L12" s="380"/>
      <c r="M12" s="380"/>
      <c r="N12" s="381"/>
    </row>
    <row r="13" spans="4:14" x14ac:dyDescent="0.2">
      <c r="D13" s="382"/>
      <c r="E13" s="380"/>
      <c r="F13" s="646"/>
      <c r="G13" s="381"/>
      <c r="H13" s="380"/>
      <c r="I13" s="380"/>
      <c r="J13" s="380"/>
      <c r="K13" s="380"/>
      <c r="L13" s="380"/>
      <c r="M13" s="380"/>
      <c r="N13" s="381"/>
    </row>
    <row r="14" spans="4:14" x14ac:dyDescent="0.2">
      <c r="D14" s="382"/>
      <c r="E14" s="380"/>
      <c r="F14" s="646"/>
      <c r="G14" s="381"/>
      <c r="H14" s="380"/>
      <c r="I14" s="380"/>
      <c r="J14" s="380"/>
      <c r="K14" s="380"/>
      <c r="L14" s="380"/>
      <c r="M14" s="380"/>
      <c r="N14" s="381"/>
    </row>
    <row r="15" spans="4:14" x14ac:dyDescent="0.2">
      <c r="D15" s="382"/>
      <c r="E15" s="380"/>
      <c r="F15" s="646"/>
      <c r="G15" s="381"/>
      <c r="H15" s="380"/>
      <c r="I15" s="380"/>
      <c r="J15" s="380"/>
      <c r="K15" s="380"/>
      <c r="L15" s="380"/>
      <c r="M15" s="380"/>
      <c r="N15" s="381"/>
    </row>
    <row r="16" spans="4:14" x14ac:dyDescent="0.2">
      <c r="D16" s="382"/>
      <c r="E16" s="380"/>
      <c r="F16" s="646"/>
      <c r="G16" s="381"/>
      <c r="H16" s="380"/>
      <c r="I16" s="380"/>
      <c r="J16" s="380"/>
      <c r="K16" s="380"/>
      <c r="L16" s="380"/>
      <c r="M16" s="380"/>
      <c r="N16" s="381"/>
    </row>
    <row r="17" spans="4:14" x14ac:dyDescent="0.2">
      <c r="D17" s="382"/>
      <c r="E17" s="380"/>
      <c r="F17" s="646"/>
      <c r="G17" s="381"/>
      <c r="H17" s="380"/>
      <c r="I17" s="380"/>
      <c r="J17" s="380"/>
      <c r="K17" s="380"/>
      <c r="L17" s="380"/>
      <c r="M17" s="380"/>
      <c r="N17" s="381"/>
    </row>
    <row r="18" spans="4:14" x14ac:dyDescent="0.2">
      <c r="D18" s="382"/>
      <c r="E18" s="380"/>
      <c r="F18" s="646"/>
      <c r="G18" s="381"/>
      <c r="H18" s="380"/>
      <c r="I18" s="380"/>
      <c r="J18" s="380"/>
      <c r="K18" s="380"/>
      <c r="L18" s="380"/>
      <c r="M18" s="380"/>
      <c r="N18" s="381"/>
    </row>
    <row r="19" spans="4:14" x14ac:dyDescent="0.2">
      <c r="D19" s="382"/>
      <c r="E19" s="380"/>
      <c r="F19" s="646"/>
      <c r="G19" s="381"/>
      <c r="H19" s="380"/>
      <c r="I19" s="380"/>
      <c r="J19" s="380"/>
      <c r="K19" s="380"/>
      <c r="L19" s="380"/>
      <c r="M19" s="380"/>
      <c r="N19" s="381"/>
    </row>
    <row r="20" spans="4:14" x14ac:dyDescent="0.2">
      <c r="D20" s="382"/>
      <c r="E20" s="380"/>
      <c r="F20" s="646"/>
      <c r="G20" s="381"/>
      <c r="H20" s="380"/>
      <c r="I20" s="380"/>
      <c r="J20" s="380"/>
      <c r="K20" s="380"/>
      <c r="L20" s="380"/>
      <c r="M20" s="380"/>
      <c r="N20" s="381"/>
    </row>
    <row r="21" spans="4:14" x14ac:dyDescent="0.2">
      <c r="D21" s="382"/>
      <c r="E21" s="380"/>
      <c r="F21" s="646"/>
      <c r="G21" s="381"/>
      <c r="H21" s="380"/>
      <c r="I21" s="380"/>
      <c r="J21" s="380"/>
      <c r="K21" s="380"/>
      <c r="L21" s="380"/>
      <c r="M21" s="380"/>
      <c r="N21" s="381"/>
    </row>
    <row r="22" spans="4:14" x14ac:dyDescent="0.2">
      <c r="D22" s="382"/>
      <c r="E22" s="380"/>
      <c r="F22" s="646"/>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63"/>
    </row>
    <row r="32" spans="4:14" x14ac:dyDescent="0.2">
      <c r="H32" s="663"/>
    </row>
    <row r="33" spans="8:8" x14ac:dyDescent="0.2">
      <c r="H33" s="663"/>
    </row>
    <row r="34" spans="8:8" x14ac:dyDescent="0.2">
      <c r="H34" s="663"/>
    </row>
    <row r="35" spans="8:8" x14ac:dyDescent="0.2">
      <c r="H35" s="663"/>
    </row>
    <row r="36" spans="8:8" x14ac:dyDescent="0.2">
      <c r="H36" s="663"/>
    </row>
    <row r="37" spans="8:8" x14ac:dyDescent="0.2">
      <c r="H37" s="663"/>
    </row>
    <row r="38" spans="8:8" x14ac:dyDescent="0.2">
      <c r="H38" s="663"/>
    </row>
    <row r="39" spans="8:8" x14ac:dyDescent="0.2">
      <c r="H39" s="663"/>
    </row>
    <row r="40" spans="8:8" x14ac:dyDescent="0.2">
      <c r="H40" s="663"/>
    </row>
    <row r="41" spans="8:8" x14ac:dyDescent="0.2">
      <c r="H41" s="663"/>
    </row>
    <row r="42" spans="8:8" x14ac:dyDescent="0.2">
      <c r="H42" s="663"/>
    </row>
    <row r="43" spans="8:8" x14ac:dyDescent="0.2">
      <c r="H43" s="663"/>
    </row>
    <row r="44" spans="8:8" x14ac:dyDescent="0.2">
      <c r="H44" s="663"/>
    </row>
    <row r="45" spans="8:8" x14ac:dyDescent="0.2">
      <c r="H45" s="663"/>
    </row>
    <row r="46" spans="8:8" x14ac:dyDescent="0.2">
      <c r="H46" s="663"/>
    </row>
    <row r="47" spans="8:8" x14ac:dyDescent="0.2">
      <c r="H47" s="663"/>
    </row>
    <row r="48" spans="8:8" x14ac:dyDescent="0.2">
      <c r="H48" s="663"/>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CN51"/>
  <sheetViews>
    <sheetView showGridLines="0" workbookViewId="0">
      <selection activeCell="A26" sqref="A26"/>
    </sheetView>
  </sheetViews>
  <sheetFormatPr defaultRowHeight="12.75" x14ac:dyDescent="0.2"/>
  <cols>
    <col min="1" max="1" width="14" style="167" customWidth="1"/>
    <col min="2" max="2" width="20.7109375" style="167" bestFit="1" customWidth="1"/>
    <col min="3" max="3" width="7.85546875" style="167" bestFit="1" customWidth="1"/>
    <col min="4" max="4" width="12.7109375" style="167" customWidth="1"/>
    <col min="5" max="5" width="13.28515625" style="167" bestFit="1" customWidth="1"/>
    <col min="6" max="8" width="12.140625" style="167" customWidth="1"/>
    <col min="9" max="9" width="33.5703125" style="167" bestFit="1" customWidth="1"/>
    <col min="10" max="10" width="6.7109375" style="167" bestFit="1" customWidth="1"/>
    <col min="11" max="11" width="6" style="167" bestFit="1" customWidth="1"/>
    <col min="12" max="12" width="9.28515625" style="167" bestFit="1" customWidth="1"/>
    <col min="13" max="13" width="9.140625" style="167" bestFit="1" customWidth="1"/>
    <col min="14" max="14" width="21" style="167" bestFit="1" customWidth="1"/>
    <col min="15" max="15" width="5.42578125" style="167" customWidth="1"/>
    <col min="16" max="16" width="33.5703125" style="167" bestFit="1" customWidth="1"/>
    <col min="17" max="17" width="17" style="167" bestFit="1" customWidth="1"/>
    <col min="18" max="18" width="19.5703125" style="167" bestFit="1" customWidth="1"/>
    <col min="19" max="19" width="19.28515625" style="167" bestFit="1" customWidth="1"/>
    <col min="20" max="20" width="20.42578125" style="167" bestFit="1" customWidth="1"/>
    <col min="21" max="21" width="9.140625" style="167" customWidth="1"/>
    <col min="22" max="22" width="9.85546875" style="167" bestFit="1" customWidth="1"/>
    <col min="23" max="23" width="11.5703125" style="167" bestFit="1" customWidth="1"/>
    <col min="24" max="24" width="10.85546875" style="167" bestFit="1" customWidth="1"/>
    <col min="25" max="25" width="9.140625" style="141"/>
    <col min="26" max="26" width="12.85546875" style="141" bestFit="1" customWidth="1"/>
    <col min="27" max="27" width="11.140625" style="141" bestFit="1" customWidth="1"/>
    <col min="28" max="28" width="16.85546875" style="141" bestFit="1" customWidth="1"/>
    <col min="29" max="29" width="9.140625" style="141"/>
    <col min="30" max="30" width="24.140625" style="141" bestFit="1" customWidth="1"/>
    <col min="31" max="31" width="19.7109375" style="141" bestFit="1" customWidth="1"/>
    <col min="32" max="32" width="12.42578125" style="141" bestFit="1" customWidth="1"/>
    <col min="33" max="33" width="9.140625" style="141"/>
    <col min="34" max="34" width="33.85546875" style="141" bestFit="1" customWidth="1"/>
    <col min="35" max="36" width="9.140625" style="141"/>
    <col min="37" max="37" width="12.85546875" style="141" bestFit="1" customWidth="1"/>
    <col min="38" max="38" width="5.85546875" style="141" bestFit="1" customWidth="1"/>
    <col min="39" max="39" width="9.140625" style="141"/>
    <col min="40" max="40" width="12.42578125" style="141" bestFit="1" customWidth="1"/>
    <col min="41" max="41" width="12.28515625" style="141" bestFit="1" customWidth="1"/>
    <col min="42" max="42" width="22.42578125" style="141" bestFit="1" customWidth="1"/>
    <col min="43" max="43" width="9.85546875" style="141" bestFit="1" customWidth="1"/>
    <col min="44" max="44" width="9.140625" style="141"/>
    <col min="45" max="45" width="9.28515625" style="141" bestFit="1" customWidth="1"/>
    <col min="46" max="46" width="9.85546875" style="141" bestFit="1" customWidth="1"/>
    <col min="47" max="47" width="11.140625" style="141" bestFit="1" customWidth="1"/>
    <col min="48" max="48" width="6.7109375" style="141" bestFit="1" customWidth="1"/>
    <col min="49" max="49" width="11.7109375" style="141" bestFit="1" customWidth="1"/>
    <col min="50" max="50" width="9.140625" style="141"/>
    <col min="51" max="51" width="20.140625" style="141" bestFit="1" customWidth="1"/>
    <col min="52" max="52" width="17.140625" style="141" customWidth="1"/>
    <col min="53" max="16384" width="9.140625" style="141"/>
  </cols>
  <sheetData>
    <row r="1" spans="1:92" s="644" customFormat="1" ht="12.75" customHeight="1" x14ac:dyDescent="0.2">
      <c r="A1" s="819" t="s">
        <v>737</v>
      </c>
      <c r="B1" s="819"/>
      <c r="C1" s="819"/>
      <c r="D1" s="819"/>
      <c r="E1" s="819"/>
      <c r="F1" s="819"/>
      <c r="I1" s="819" t="s">
        <v>736</v>
      </c>
      <c r="J1" s="819"/>
      <c r="K1" s="819"/>
      <c r="L1" s="819"/>
      <c r="M1" s="819"/>
      <c r="N1" s="819"/>
      <c r="O1" s="819"/>
      <c r="P1" s="819"/>
      <c r="Q1" s="819"/>
      <c r="R1" s="819"/>
      <c r="S1" s="819"/>
      <c r="T1" s="819"/>
      <c r="V1" s="819" t="s">
        <v>94</v>
      </c>
      <c r="W1" s="819"/>
      <c r="X1" s="819"/>
      <c r="Z1" s="819" t="s">
        <v>94</v>
      </c>
      <c r="AA1" s="819"/>
      <c r="AB1" s="819"/>
      <c r="AU1" s="644" t="s">
        <v>832</v>
      </c>
      <c r="AY1" s="820" t="s">
        <v>855</v>
      </c>
      <c r="AZ1" s="821"/>
    </row>
    <row r="2" spans="1:92" s="644" customFormat="1" ht="12.75" customHeight="1" x14ac:dyDescent="0.2">
      <c r="A2" s="819" t="s">
        <v>735</v>
      </c>
      <c r="B2" s="819"/>
      <c r="C2" s="819"/>
      <c r="D2" s="819"/>
      <c r="E2" s="819"/>
      <c r="F2" s="819"/>
      <c r="I2" s="819" t="s">
        <v>735</v>
      </c>
      <c r="J2" s="819"/>
      <c r="K2" s="819"/>
      <c r="L2" s="819"/>
      <c r="M2" s="819"/>
      <c r="N2" s="819"/>
      <c r="P2" s="819" t="s">
        <v>745</v>
      </c>
      <c r="Q2" s="819"/>
      <c r="R2" s="819"/>
      <c r="S2" s="819"/>
      <c r="T2" s="819"/>
      <c r="V2" s="819" t="s">
        <v>96</v>
      </c>
      <c r="W2" s="819"/>
      <c r="X2" s="819"/>
      <c r="Z2" s="819" t="s">
        <v>109</v>
      </c>
      <c r="AA2" s="819"/>
      <c r="AB2" s="819"/>
      <c r="AD2" s="819" t="s">
        <v>667</v>
      </c>
      <c r="AE2" s="819"/>
      <c r="AF2" s="819"/>
      <c r="AH2" s="819"/>
      <c r="AI2" s="819"/>
      <c r="AK2" s="819" t="s">
        <v>109</v>
      </c>
      <c r="AL2" s="819"/>
      <c r="AN2" s="819" t="s">
        <v>105</v>
      </c>
      <c r="AO2" s="819"/>
      <c r="AP2" s="819"/>
      <c r="AQ2" s="819"/>
      <c r="AS2" s="644" t="s">
        <v>95</v>
      </c>
      <c r="AT2" s="644" t="s">
        <v>822</v>
      </c>
      <c r="AU2" s="644" t="s">
        <v>823</v>
      </c>
      <c r="AV2" s="644" t="s">
        <v>50</v>
      </c>
      <c r="AW2" s="644" t="s">
        <v>509</v>
      </c>
    </row>
    <row r="3" spans="1:92" s="644" customFormat="1" x14ac:dyDescent="0.2">
      <c r="A3" s="644" t="s">
        <v>49</v>
      </c>
      <c r="B3" s="644" t="s">
        <v>689</v>
      </c>
      <c r="C3" s="644" t="s">
        <v>50</v>
      </c>
      <c r="D3" s="644" t="s">
        <v>690</v>
      </c>
      <c r="E3" s="644" t="s">
        <v>691</v>
      </c>
      <c r="F3" s="644" t="s">
        <v>725</v>
      </c>
      <c r="H3" s="644" t="s">
        <v>81</v>
      </c>
      <c r="I3" s="644" t="s">
        <v>49</v>
      </c>
      <c r="J3" s="644" t="s">
        <v>50</v>
      </c>
      <c r="K3" s="644" t="s">
        <v>61</v>
      </c>
      <c r="L3" s="644" t="s">
        <v>64</v>
      </c>
      <c r="M3" s="644" t="s">
        <v>72</v>
      </c>
      <c r="N3" s="644" t="s">
        <v>611</v>
      </c>
      <c r="P3" s="644" t="s">
        <v>49</v>
      </c>
      <c r="Q3" s="644" t="s">
        <v>742</v>
      </c>
      <c r="R3" s="644" t="s">
        <v>743</v>
      </c>
      <c r="S3" s="644" t="s">
        <v>744</v>
      </c>
      <c r="T3" s="644" t="s">
        <v>738</v>
      </c>
      <c r="V3" s="644" t="s">
        <v>95</v>
      </c>
      <c r="W3" s="644" t="s">
        <v>97</v>
      </c>
      <c r="X3" s="644" t="s">
        <v>98</v>
      </c>
      <c r="Z3" s="644" t="s">
        <v>154</v>
      </c>
      <c r="AA3" s="644" t="s">
        <v>95</v>
      </c>
      <c r="AB3" s="644" t="s">
        <v>699</v>
      </c>
      <c r="AD3" s="644" t="s">
        <v>637</v>
      </c>
      <c r="AE3" s="644" t="s">
        <v>665</v>
      </c>
      <c r="AF3" s="644" t="s">
        <v>666</v>
      </c>
      <c r="AH3" s="644" t="s">
        <v>684</v>
      </c>
      <c r="AK3" s="644" t="s">
        <v>154</v>
      </c>
      <c r="AL3" s="644" t="s">
        <v>687</v>
      </c>
      <c r="AN3" s="644" t="s">
        <v>49</v>
      </c>
      <c r="AO3" s="644" t="s">
        <v>81</v>
      </c>
      <c r="AP3" s="644" t="s">
        <v>705</v>
      </c>
      <c r="AQ3" s="644" t="s">
        <v>706</v>
      </c>
      <c r="AS3" s="644" t="s">
        <v>824</v>
      </c>
      <c r="AT3" s="644" t="s">
        <v>825</v>
      </c>
      <c r="AU3" s="644" t="s">
        <v>825</v>
      </c>
      <c r="AV3" s="644" t="s">
        <v>826</v>
      </c>
      <c r="AW3" s="644" t="s">
        <v>827</v>
      </c>
      <c r="AY3" s="644" t="s">
        <v>49</v>
      </c>
      <c r="AZ3" s="644" t="s">
        <v>856</v>
      </c>
      <c r="CN3" s="644">
        <v>1</v>
      </c>
    </row>
    <row r="4" spans="1:92" x14ac:dyDescent="0.2">
      <c r="A4" s="376" t="s">
        <v>638</v>
      </c>
      <c r="B4" s="376">
        <v>1</v>
      </c>
      <c r="C4" s="571">
        <v>2.9000000000000001E-2</v>
      </c>
      <c r="D4" s="355">
        <v>1.5</v>
      </c>
      <c r="E4" s="355"/>
      <c r="F4" s="378">
        <v>70</v>
      </c>
      <c r="G4" s="141"/>
      <c r="H4" s="141"/>
      <c r="I4" s="376" t="s">
        <v>669</v>
      </c>
      <c r="J4" s="376">
        <v>1.5</v>
      </c>
      <c r="K4" s="376">
        <v>0.25</v>
      </c>
      <c r="L4" s="559">
        <v>90</v>
      </c>
      <c r="M4" s="1">
        <v>50</v>
      </c>
      <c r="N4" s="376"/>
      <c r="P4" s="448" t="s">
        <v>675</v>
      </c>
      <c r="Q4" s="445">
        <v>90</v>
      </c>
      <c r="R4" s="445">
        <v>80</v>
      </c>
      <c r="S4" s="445">
        <v>80</v>
      </c>
      <c r="T4" s="376"/>
      <c r="V4" s="358">
        <v>0.6</v>
      </c>
      <c r="W4" s="358">
        <v>9.5299999999999994</v>
      </c>
      <c r="X4" s="358" t="s">
        <v>10</v>
      </c>
      <c r="Z4" s="358" t="s">
        <v>110</v>
      </c>
      <c r="AA4" s="358"/>
      <c r="AB4" s="358">
        <v>1</v>
      </c>
      <c r="AD4" s="376" t="s">
        <v>638</v>
      </c>
      <c r="AE4" s="376" t="s">
        <v>647</v>
      </c>
      <c r="AF4" s="376" t="s">
        <v>644</v>
      </c>
      <c r="AH4" s="376"/>
      <c r="AI4" s="376"/>
      <c r="AK4" s="376" t="s">
        <v>110</v>
      </c>
      <c r="AL4" s="445">
        <v>0</v>
      </c>
      <c r="AN4" s="376" t="s">
        <v>644</v>
      </c>
      <c r="AO4" s="376" t="s">
        <v>82</v>
      </c>
      <c r="AP4" s="356" t="str">
        <f t="shared" ref="AP4:AP9" si="0">AN4&amp;AO4</f>
        <v>Perfiladeira 1Leve</v>
      </c>
      <c r="AQ4" s="445">
        <v>2</v>
      </c>
      <c r="AS4" s="612">
        <v>0</v>
      </c>
      <c r="AT4" s="612">
        <v>0.95</v>
      </c>
      <c r="AU4" s="612">
        <v>3.85</v>
      </c>
      <c r="AV4" s="612">
        <v>1.5</v>
      </c>
      <c r="AW4" s="612">
        <v>0.08</v>
      </c>
      <c r="AY4" s="643" t="s">
        <v>644</v>
      </c>
      <c r="AZ4" s="643" t="s">
        <v>59</v>
      </c>
    </row>
    <row r="5" spans="1:92" x14ac:dyDescent="0.2">
      <c r="A5" s="376" t="s">
        <v>639</v>
      </c>
      <c r="B5" s="376">
        <v>2</v>
      </c>
      <c r="C5" s="571">
        <v>3.2000000000000001E-2</v>
      </c>
      <c r="D5" s="355">
        <v>2.5</v>
      </c>
      <c r="E5" s="355"/>
      <c r="F5" s="378">
        <v>70</v>
      </c>
      <c r="G5" s="141"/>
      <c r="H5" s="141"/>
      <c r="I5" s="376" t="s">
        <v>671</v>
      </c>
      <c r="J5" s="376">
        <v>1</v>
      </c>
      <c r="K5" s="376">
        <v>0.25</v>
      </c>
      <c r="L5" s="560">
        <v>65</v>
      </c>
      <c r="M5" s="376">
        <v>50</v>
      </c>
      <c r="N5" s="376">
        <v>0.9</v>
      </c>
      <c r="P5" s="448" t="s">
        <v>676</v>
      </c>
      <c r="Q5" s="445">
        <v>90</v>
      </c>
      <c r="R5" s="445">
        <v>80</v>
      </c>
      <c r="S5" s="445">
        <v>80</v>
      </c>
      <c r="T5" s="376"/>
      <c r="V5" s="358">
        <v>0.75</v>
      </c>
      <c r="W5" s="358">
        <v>10</v>
      </c>
      <c r="X5" s="358" t="s">
        <v>116</v>
      </c>
      <c r="Z5" s="358" t="s">
        <v>111</v>
      </c>
      <c r="AA5" s="358">
        <v>8</v>
      </c>
      <c r="AB5" s="358">
        <v>1</v>
      </c>
      <c r="AD5" s="376" t="s">
        <v>639</v>
      </c>
      <c r="AE5" s="376"/>
      <c r="AF5" s="376" t="s">
        <v>645</v>
      </c>
      <c r="AH5" s="376" t="s">
        <v>671</v>
      </c>
      <c r="AI5" s="376"/>
      <c r="AK5" s="376" t="s">
        <v>111</v>
      </c>
      <c r="AL5" s="445">
        <v>1</v>
      </c>
      <c r="AN5" s="376" t="s">
        <v>644</v>
      </c>
      <c r="AO5" s="376" t="s">
        <v>700</v>
      </c>
      <c r="AP5" s="356" t="str">
        <f t="shared" si="0"/>
        <v>Perfiladeira 1Média</v>
      </c>
      <c r="AQ5" s="445">
        <v>4</v>
      </c>
      <c r="AS5" s="612">
        <v>3.75</v>
      </c>
      <c r="AT5" s="612">
        <v>0.95</v>
      </c>
      <c r="AU5" s="612">
        <v>3.85</v>
      </c>
      <c r="AV5" s="612">
        <v>1.5</v>
      </c>
      <c r="AW5" s="612">
        <v>0.08</v>
      </c>
      <c r="AY5" s="643" t="s">
        <v>645</v>
      </c>
      <c r="AZ5" s="643" t="s">
        <v>60</v>
      </c>
    </row>
    <row r="6" spans="1:92" x14ac:dyDescent="0.2">
      <c r="A6" s="376" t="s">
        <v>640</v>
      </c>
      <c r="B6" s="376">
        <v>3</v>
      </c>
      <c r="C6" s="571">
        <v>4.4999999999999998E-2</v>
      </c>
      <c r="D6" s="355">
        <v>2.5</v>
      </c>
      <c r="E6" s="355"/>
      <c r="F6" s="378">
        <v>70</v>
      </c>
      <c r="G6" s="141"/>
      <c r="H6" s="141"/>
      <c r="I6" s="376" t="s">
        <v>670</v>
      </c>
      <c r="J6" s="376">
        <v>1</v>
      </c>
      <c r="K6" s="376">
        <v>0.25</v>
      </c>
      <c r="L6" s="560">
        <v>65</v>
      </c>
      <c r="M6" s="376">
        <v>50</v>
      </c>
      <c r="N6" s="376">
        <v>0.9</v>
      </c>
      <c r="P6" s="444" t="s">
        <v>672</v>
      </c>
      <c r="Q6" s="445">
        <v>90</v>
      </c>
      <c r="R6" s="445">
        <v>80</v>
      </c>
      <c r="S6" s="445">
        <v>80</v>
      </c>
      <c r="T6" s="444"/>
      <c r="V6" s="358">
        <v>0.9</v>
      </c>
      <c r="W6" s="358">
        <v>12</v>
      </c>
      <c r="X6" s="358" t="s">
        <v>116</v>
      </c>
      <c r="Z6" s="358" t="s">
        <v>188</v>
      </c>
      <c r="AA6" s="358">
        <v>3</v>
      </c>
      <c r="AB6" s="358">
        <v>1</v>
      </c>
      <c r="AD6" s="376" t="s">
        <v>640</v>
      </c>
      <c r="AE6" s="376"/>
      <c r="AF6" s="376" t="s">
        <v>646</v>
      </c>
      <c r="AH6" s="376" t="s">
        <v>669</v>
      </c>
      <c r="AI6" s="376"/>
      <c r="AN6" s="376" t="s">
        <v>644</v>
      </c>
      <c r="AO6" s="376" t="s">
        <v>84</v>
      </c>
      <c r="AP6" s="356" t="str">
        <f t="shared" si="0"/>
        <v>Perfiladeira 1Pesada</v>
      </c>
      <c r="AQ6" s="445">
        <v>6</v>
      </c>
      <c r="AS6" s="612">
        <v>3.8</v>
      </c>
      <c r="AT6" s="612">
        <v>0.35</v>
      </c>
      <c r="AU6" s="612">
        <v>2.95</v>
      </c>
      <c r="AV6" s="612">
        <v>2.5</v>
      </c>
      <c r="AW6" s="612">
        <v>5.5E-2</v>
      </c>
      <c r="AY6" s="643" t="s">
        <v>646</v>
      </c>
      <c r="AZ6" s="643" t="s">
        <v>857</v>
      </c>
    </row>
    <row r="7" spans="1:92" x14ac:dyDescent="0.2">
      <c r="A7" s="376" t="s">
        <v>641</v>
      </c>
      <c r="B7" s="376">
        <v>4</v>
      </c>
      <c r="C7" s="571">
        <v>3.6999999999999998E-2</v>
      </c>
      <c r="D7" s="355">
        <v>2.4</v>
      </c>
      <c r="E7" s="355"/>
      <c r="F7" s="378">
        <v>70</v>
      </c>
      <c r="G7" s="141"/>
      <c r="H7" s="141"/>
      <c r="I7" s="376" t="s">
        <v>675</v>
      </c>
      <c r="J7" s="376"/>
      <c r="K7" s="376">
        <v>0.75</v>
      </c>
      <c r="L7" s="560">
        <v>80</v>
      </c>
      <c r="M7" s="376">
        <v>400</v>
      </c>
      <c r="N7" s="444"/>
      <c r="P7" s="444" t="s">
        <v>673</v>
      </c>
      <c r="Q7" s="445">
        <v>90</v>
      </c>
      <c r="R7" s="445">
        <v>80</v>
      </c>
      <c r="S7" s="445">
        <v>80</v>
      </c>
      <c r="T7" s="444"/>
      <c r="V7" s="358">
        <v>0.95</v>
      </c>
      <c r="W7" s="358">
        <v>12.7</v>
      </c>
      <c r="X7" s="358" t="s">
        <v>11</v>
      </c>
      <c r="AD7" s="376" t="s">
        <v>641</v>
      </c>
      <c r="AE7" s="376"/>
      <c r="AF7" s="376"/>
      <c r="AH7" s="376" t="s">
        <v>670</v>
      </c>
      <c r="AI7" s="376"/>
      <c r="AN7" s="376" t="s">
        <v>645</v>
      </c>
      <c r="AO7" s="376" t="s">
        <v>704</v>
      </c>
      <c r="AP7" s="356" t="str">
        <f t="shared" si="0"/>
        <v>Perfiladeira 2Indiferente</v>
      </c>
      <c r="AQ7" s="445">
        <v>0.5</v>
      </c>
      <c r="AS7" s="612">
        <v>6.3</v>
      </c>
      <c r="AT7" s="612">
        <v>0.35</v>
      </c>
      <c r="AU7" s="612">
        <v>2.95</v>
      </c>
      <c r="AV7" s="612">
        <v>2.5</v>
      </c>
      <c r="AW7" s="612">
        <v>5.5E-2</v>
      </c>
      <c r="AY7" s="643" t="s">
        <v>638</v>
      </c>
      <c r="AZ7" s="643" t="s">
        <v>51</v>
      </c>
    </row>
    <row r="8" spans="1:92" x14ac:dyDescent="0.2">
      <c r="A8" s="376" t="s">
        <v>642</v>
      </c>
      <c r="B8" s="376">
        <v>5</v>
      </c>
      <c r="C8" s="571">
        <v>0.06</v>
      </c>
      <c r="D8" s="355">
        <v>6</v>
      </c>
      <c r="E8" s="355"/>
      <c r="F8" s="378">
        <v>65</v>
      </c>
      <c r="G8" s="141"/>
      <c r="H8" s="141"/>
      <c r="I8" s="376" t="s">
        <v>676</v>
      </c>
      <c r="J8" s="376"/>
      <c r="K8" s="376">
        <v>0.75</v>
      </c>
      <c r="L8" s="560">
        <v>80</v>
      </c>
      <c r="M8" s="376">
        <v>400</v>
      </c>
      <c r="N8" s="444"/>
      <c r="P8" s="444" t="s">
        <v>681</v>
      </c>
      <c r="Q8" s="445">
        <v>90</v>
      </c>
      <c r="R8" s="445">
        <v>80</v>
      </c>
      <c r="S8" s="445">
        <v>80</v>
      </c>
      <c r="T8" s="444"/>
      <c r="V8" s="358">
        <v>1.06</v>
      </c>
      <c r="W8" s="358">
        <v>15.88</v>
      </c>
      <c r="X8" s="358" t="s">
        <v>12</v>
      </c>
      <c r="AD8" s="376" t="s">
        <v>642</v>
      </c>
      <c r="AE8" s="376"/>
      <c r="AF8" s="376"/>
      <c r="AH8" s="376" t="s">
        <v>672</v>
      </c>
      <c r="AI8" s="376"/>
      <c r="AN8" s="376" t="s">
        <v>646</v>
      </c>
      <c r="AO8" s="376" t="s">
        <v>704</v>
      </c>
      <c r="AP8" s="356" t="str">
        <f t="shared" si="0"/>
        <v>Perfiladeira 3Indiferente</v>
      </c>
      <c r="AQ8" s="445">
        <v>2</v>
      </c>
      <c r="AY8" s="643" t="s">
        <v>639</v>
      </c>
      <c r="AZ8" s="643" t="s">
        <v>52</v>
      </c>
    </row>
    <row r="9" spans="1:92" x14ac:dyDescent="0.2">
      <c r="A9" s="376" t="s">
        <v>643</v>
      </c>
      <c r="B9" s="376">
        <v>6</v>
      </c>
      <c r="C9" s="571">
        <v>0.02</v>
      </c>
      <c r="D9" s="355">
        <v>2.5</v>
      </c>
      <c r="E9" s="355"/>
      <c r="F9" s="378">
        <v>70</v>
      </c>
      <c r="G9" s="141"/>
      <c r="H9" s="141"/>
      <c r="I9" s="376" t="s">
        <v>672</v>
      </c>
      <c r="J9" s="376"/>
      <c r="K9" s="358">
        <v>0.35</v>
      </c>
      <c r="L9" s="561">
        <v>80</v>
      </c>
      <c r="M9" s="378">
        <v>120</v>
      </c>
      <c r="N9" s="444"/>
      <c r="P9" s="444" t="s">
        <v>677</v>
      </c>
      <c r="Q9" s="445">
        <v>70</v>
      </c>
      <c r="R9" s="445">
        <v>65</v>
      </c>
      <c r="S9" s="445">
        <v>60</v>
      </c>
      <c r="T9" s="444"/>
      <c r="V9" s="358">
        <v>1.2</v>
      </c>
      <c r="W9" s="358">
        <v>19.05</v>
      </c>
      <c r="X9" s="358" t="s">
        <v>13</v>
      </c>
      <c r="AD9" s="376" t="s">
        <v>643</v>
      </c>
      <c r="AE9" s="376"/>
      <c r="AF9" s="376"/>
      <c r="AH9" s="376" t="s">
        <v>673</v>
      </c>
      <c r="AI9" s="376"/>
      <c r="AN9" s="376" t="s">
        <v>647</v>
      </c>
      <c r="AO9" s="376" t="s">
        <v>704</v>
      </c>
      <c r="AP9" s="356" t="str">
        <f t="shared" si="0"/>
        <v>Formadora 7Indiferente</v>
      </c>
      <c r="AQ9" s="445">
        <v>1</v>
      </c>
      <c r="AY9" s="643" t="s">
        <v>640</v>
      </c>
      <c r="AZ9" s="643" t="s">
        <v>53</v>
      </c>
    </row>
    <row r="10" spans="1:92" x14ac:dyDescent="0.2">
      <c r="A10" s="376" t="s">
        <v>647</v>
      </c>
      <c r="B10" s="376">
        <v>7</v>
      </c>
      <c r="C10" s="571">
        <v>0.1</v>
      </c>
      <c r="D10" s="355">
        <v>4</v>
      </c>
      <c r="E10" s="355">
        <v>30</v>
      </c>
      <c r="F10" s="378">
        <v>50</v>
      </c>
      <c r="G10" s="141"/>
      <c r="H10" s="141"/>
      <c r="I10" s="376" t="s">
        <v>673</v>
      </c>
      <c r="J10" s="376"/>
      <c r="K10" s="358">
        <v>1</v>
      </c>
      <c r="L10" s="561">
        <v>80</v>
      </c>
      <c r="M10" s="378">
        <v>120</v>
      </c>
      <c r="N10" s="444"/>
      <c r="P10" s="444" t="s">
        <v>678</v>
      </c>
      <c r="Q10" s="445">
        <v>70</v>
      </c>
      <c r="R10" s="445">
        <v>65</v>
      </c>
      <c r="S10" s="445">
        <v>60</v>
      </c>
      <c r="T10" s="444"/>
      <c r="V10" s="358">
        <v>1.25</v>
      </c>
      <c r="W10" s="358">
        <v>20.65</v>
      </c>
      <c r="X10" s="358" t="s">
        <v>116</v>
      </c>
      <c r="AD10" s="376"/>
      <c r="AE10" s="376"/>
      <c r="AF10" s="376"/>
      <c r="AH10" s="376" t="s">
        <v>681</v>
      </c>
      <c r="AI10" s="376"/>
      <c r="AN10" s="617"/>
      <c r="AO10" s="617"/>
      <c r="AP10" s="619" t="str">
        <f>AN10&amp;AO10</f>
        <v/>
      </c>
      <c r="AQ10" s="445"/>
      <c r="AY10" s="643" t="s">
        <v>641</v>
      </c>
      <c r="AZ10" s="643" t="s">
        <v>54</v>
      </c>
    </row>
    <row r="11" spans="1:92" x14ac:dyDescent="0.2">
      <c r="A11" s="376" t="s">
        <v>644</v>
      </c>
      <c r="B11" s="376">
        <v>8</v>
      </c>
      <c r="C11" s="571">
        <v>1.7999999999999999E-2</v>
      </c>
      <c r="D11" s="355">
        <v>30</v>
      </c>
      <c r="E11" s="355"/>
      <c r="F11" s="378">
        <v>70</v>
      </c>
      <c r="G11" s="141"/>
      <c r="H11" s="141"/>
      <c r="I11" s="376" t="s">
        <v>681</v>
      </c>
      <c r="J11" s="376"/>
      <c r="K11" s="358">
        <v>1</v>
      </c>
      <c r="L11" s="561">
        <v>80</v>
      </c>
      <c r="M11" s="378">
        <v>120</v>
      </c>
      <c r="N11" s="444"/>
      <c r="P11" s="444" t="s">
        <v>674</v>
      </c>
      <c r="Q11" s="445">
        <v>90</v>
      </c>
      <c r="R11" s="445">
        <v>80</v>
      </c>
      <c r="S11" s="445">
        <v>80</v>
      </c>
      <c r="T11" s="444"/>
      <c r="V11" s="358">
        <v>1.5</v>
      </c>
      <c r="W11" s="358">
        <v>22.22</v>
      </c>
      <c r="X11" s="358" t="s">
        <v>14</v>
      </c>
      <c r="AD11" s="376"/>
      <c r="AE11" s="376"/>
      <c r="AF11" s="376"/>
      <c r="AH11" s="376" t="s">
        <v>674</v>
      </c>
      <c r="AI11" s="376"/>
      <c r="AY11" s="643" t="s">
        <v>642</v>
      </c>
      <c r="AZ11" s="643" t="s">
        <v>55</v>
      </c>
    </row>
    <row r="12" spans="1:92" x14ac:dyDescent="0.2">
      <c r="A12" s="376" t="s">
        <v>645</v>
      </c>
      <c r="B12" s="376">
        <v>9</v>
      </c>
      <c r="C12" s="571">
        <v>1.7999999999999999E-2</v>
      </c>
      <c r="D12" s="355">
        <v>30</v>
      </c>
      <c r="E12" s="355"/>
      <c r="F12" s="378">
        <v>70</v>
      </c>
      <c r="G12" s="141"/>
      <c r="H12" s="141"/>
      <c r="I12" s="376" t="s">
        <v>679</v>
      </c>
      <c r="J12" s="376"/>
      <c r="K12" s="358">
        <v>1</v>
      </c>
      <c r="L12" s="561">
        <v>80</v>
      </c>
      <c r="M12" s="378">
        <v>50</v>
      </c>
      <c r="N12" s="444"/>
      <c r="P12" s="444" t="s">
        <v>669</v>
      </c>
      <c r="Q12" s="445">
        <v>65</v>
      </c>
      <c r="R12" s="445">
        <v>65</v>
      </c>
      <c r="S12" s="445">
        <v>65</v>
      </c>
      <c r="T12" s="444"/>
      <c r="V12" s="358">
        <v>1.45</v>
      </c>
      <c r="W12" s="358"/>
      <c r="X12" s="358"/>
      <c r="AD12"/>
      <c r="AE12"/>
      <c r="AF12"/>
      <c r="AH12" s="376" t="s">
        <v>675</v>
      </c>
      <c r="AI12" s="376"/>
      <c r="AY12" s="643" t="s">
        <v>643</v>
      </c>
      <c r="AZ12" s="643" t="s">
        <v>56</v>
      </c>
    </row>
    <row r="13" spans="1:92" x14ac:dyDescent="0.2">
      <c r="A13" s="376" t="s">
        <v>646</v>
      </c>
      <c r="B13" s="376">
        <v>10</v>
      </c>
      <c r="C13" s="571">
        <v>1.7999999999999999E-2</v>
      </c>
      <c r="D13" s="355">
        <v>30</v>
      </c>
      <c r="E13" s="355"/>
      <c r="F13" s="378">
        <v>70</v>
      </c>
      <c r="G13" s="141"/>
      <c r="H13" s="141"/>
      <c r="I13" s="376" t="s">
        <v>677</v>
      </c>
      <c r="J13" s="376">
        <v>3</v>
      </c>
      <c r="K13" s="358">
        <v>1</v>
      </c>
      <c r="L13" s="560"/>
      <c r="M13" s="444"/>
      <c r="N13" s="444"/>
      <c r="P13" s="444" t="s">
        <v>671</v>
      </c>
      <c r="Q13" s="445">
        <v>65</v>
      </c>
      <c r="R13" s="445">
        <v>65</v>
      </c>
      <c r="S13" s="445">
        <v>65</v>
      </c>
      <c r="T13" s="444"/>
      <c r="V13" s="358">
        <v>1.55</v>
      </c>
      <c r="W13" s="358">
        <v>25.4</v>
      </c>
      <c r="X13" s="358" t="s">
        <v>15</v>
      </c>
      <c r="AD13"/>
      <c r="AE13"/>
      <c r="AF13"/>
      <c r="AH13" s="376" t="s">
        <v>676</v>
      </c>
      <c r="AI13" s="376"/>
      <c r="AY13" s="643" t="s">
        <v>647</v>
      </c>
      <c r="AZ13" s="643" t="s">
        <v>57</v>
      </c>
    </row>
    <row r="14" spans="1:92" x14ac:dyDescent="0.2">
      <c r="A14" s="141"/>
      <c r="B14" s="141"/>
      <c r="C14" s="141"/>
      <c r="D14" s="141"/>
      <c r="E14" s="141"/>
      <c r="F14" s="141"/>
      <c r="G14" s="141"/>
      <c r="H14" s="141"/>
      <c r="I14" s="376" t="s">
        <v>678</v>
      </c>
      <c r="J14" s="376">
        <v>3</v>
      </c>
      <c r="K14" s="358">
        <v>1</v>
      </c>
      <c r="L14" s="560"/>
      <c r="M14" s="444"/>
      <c r="N14" s="444"/>
      <c r="P14" s="444" t="s">
        <v>670</v>
      </c>
      <c r="Q14" s="445">
        <v>65</v>
      </c>
      <c r="R14" s="445">
        <v>65</v>
      </c>
      <c r="S14" s="445">
        <v>65</v>
      </c>
      <c r="T14" s="444"/>
      <c r="V14" s="358">
        <v>1.8</v>
      </c>
      <c r="W14" s="358">
        <v>28.57</v>
      </c>
      <c r="X14" s="358" t="s">
        <v>16</v>
      </c>
      <c r="AH14" s="376" t="s">
        <v>677</v>
      </c>
      <c r="AI14" s="376"/>
      <c r="AY14" s="643" t="s">
        <v>680</v>
      </c>
      <c r="AZ14" s="662" t="s">
        <v>875</v>
      </c>
    </row>
    <row r="15" spans="1:92" x14ac:dyDescent="0.2">
      <c r="I15" s="376" t="s">
        <v>674</v>
      </c>
      <c r="J15" s="376"/>
      <c r="K15" s="376">
        <v>0.5</v>
      </c>
      <c r="L15" s="560"/>
      <c r="M15" s="444"/>
      <c r="N15" s="444"/>
      <c r="P15" s="444" t="s">
        <v>679</v>
      </c>
      <c r="Q15" s="445">
        <v>75</v>
      </c>
      <c r="R15" s="445">
        <v>70</v>
      </c>
      <c r="S15" s="445">
        <v>65</v>
      </c>
      <c r="T15" s="444"/>
      <c r="V15" s="358">
        <v>1.9</v>
      </c>
      <c r="W15" s="358">
        <v>31.75</v>
      </c>
      <c r="X15" s="358" t="s">
        <v>17</v>
      </c>
      <c r="AH15" s="376" t="s">
        <v>678</v>
      </c>
      <c r="AI15" s="376"/>
      <c r="AY15" s="643" t="s">
        <v>682</v>
      </c>
      <c r="AZ15" s="662" t="s">
        <v>876</v>
      </c>
    </row>
    <row r="16" spans="1:92" x14ac:dyDescent="0.2">
      <c r="I16" s="444" t="s">
        <v>680</v>
      </c>
      <c r="J16" s="444">
        <v>1</v>
      </c>
      <c r="K16" s="444"/>
      <c r="L16" s="560"/>
      <c r="M16" s="444"/>
      <c r="N16" s="444"/>
      <c r="P16" s="444"/>
      <c r="Q16" s="445"/>
      <c r="R16" s="445"/>
      <c r="S16" s="445"/>
      <c r="T16" s="445"/>
      <c r="V16" s="358">
        <v>1.95</v>
      </c>
      <c r="W16" s="358">
        <v>33.4</v>
      </c>
      <c r="X16" s="358" t="s">
        <v>116</v>
      </c>
      <c r="AH16" s="376" t="s">
        <v>679</v>
      </c>
      <c r="AI16" s="376"/>
      <c r="AY16" s="643" t="s">
        <v>683</v>
      </c>
      <c r="AZ16" s="662" t="s">
        <v>876</v>
      </c>
    </row>
    <row r="17" spans="1:52" x14ac:dyDescent="0.2">
      <c r="I17" s="444" t="s">
        <v>682</v>
      </c>
      <c r="J17" s="444">
        <v>1</v>
      </c>
      <c r="K17" s="444"/>
      <c r="L17" s="560"/>
      <c r="M17" s="444"/>
      <c r="N17" s="444"/>
      <c r="P17" s="444"/>
      <c r="Q17" s="445"/>
      <c r="R17" s="445"/>
      <c r="S17" s="445"/>
      <c r="T17" s="445"/>
      <c r="V17" s="358">
        <v>2</v>
      </c>
      <c r="W17" s="358">
        <v>33.700000000000003</v>
      </c>
      <c r="X17" s="358" t="s">
        <v>116</v>
      </c>
      <c r="AH17" s="376" t="s">
        <v>680</v>
      </c>
      <c r="AI17" s="376"/>
      <c r="AY17" s="643"/>
      <c r="AZ17" s="662"/>
    </row>
    <row r="18" spans="1:52" x14ac:dyDescent="0.2">
      <c r="I18" s="444" t="s">
        <v>683</v>
      </c>
      <c r="J18" s="444">
        <v>1</v>
      </c>
      <c r="K18" s="444"/>
      <c r="L18" s="560"/>
      <c r="M18" s="444"/>
      <c r="N18" s="444"/>
      <c r="P18" s="610"/>
      <c r="Q18" s="445"/>
      <c r="R18" s="445"/>
      <c r="S18" s="445"/>
      <c r="T18" s="445"/>
      <c r="V18" s="358">
        <v>2.25</v>
      </c>
      <c r="W18" s="358">
        <v>34.93</v>
      </c>
      <c r="X18" s="358" t="s">
        <v>18</v>
      </c>
      <c r="AH18" s="376" t="s">
        <v>682</v>
      </c>
      <c r="AI18" s="376"/>
      <c r="AY18" s="643"/>
      <c r="AZ18" s="643"/>
    </row>
    <row r="19" spans="1:52" x14ac:dyDescent="0.2">
      <c r="I19" s="437"/>
      <c r="J19" s="437"/>
      <c r="P19"/>
      <c r="V19" s="358">
        <v>2.2999999999999998</v>
      </c>
      <c r="W19" s="358">
        <v>38.1</v>
      </c>
      <c r="X19" s="358" t="s">
        <v>19</v>
      </c>
      <c r="AH19" s="376" t="s">
        <v>683</v>
      </c>
      <c r="AI19" s="376"/>
      <c r="AY19" s="643"/>
      <c r="AZ19" s="643"/>
    </row>
    <row r="20" spans="1:52" x14ac:dyDescent="0.2">
      <c r="I20" s="437"/>
      <c r="J20" s="437"/>
      <c r="P20"/>
      <c r="V20" s="358">
        <v>2.65</v>
      </c>
      <c r="W20" s="358">
        <v>41.27</v>
      </c>
      <c r="X20" s="358" t="s">
        <v>20</v>
      </c>
      <c r="AH20" s="376"/>
      <c r="AI20" s="376"/>
      <c r="AY20" s="643"/>
      <c r="AZ20" s="643"/>
    </row>
    <row r="21" spans="1:52" x14ac:dyDescent="0.2">
      <c r="E21"/>
      <c r="F21"/>
      <c r="P21"/>
      <c r="V21" s="358">
        <v>2.7</v>
      </c>
      <c r="W21" s="358">
        <v>42.2</v>
      </c>
      <c r="X21" s="358" t="s">
        <v>116</v>
      </c>
      <c r="AH21" s="376"/>
      <c r="AI21" s="376"/>
      <c r="AY21" s="643"/>
      <c r="AZ21" s="643"/>
    </row>
    <row r="22" spans="1:52" x14ac:dyDescent="0.2">
      <c r="E22"/>
      <c r="F22"/>
      <c r="P22"/>
      <c r="V22" s="358">
        <v>3</v>
      </c>
      <c r="W22" s="358">
        <v>42.4</v>
      </c>
      <c r="X22" s="358" t="s">
        <v>116</v>
      </c>
      <c r="AH22" s="376"/>
      <c r="AI22" s="376"/>
      <c r="AY22" s="643"/>
      <c r="AZ22" s="643"/>
    </row>
    <row r="23" spans="1:52" x14ac:dyDescent="0.2">
      <c r="E23"/>
      <c r="F23"/>
      <c r="P23"/>
      <c r="V23" s="358">
        <v>3.35</v>
      </c>
      <c r="W23" s="358">
        <v>44.45</v>
      </c>
      <c r="X23" s="358" t="s">
        <v>21</v>
      </c>
      <c r="AH23" s="376"/>
      <c r="AI23" s="376"/>
      <c r="AY23" s="643"/>
      <c r="AZ23" s="643"/>
    </row>
    <row r="24" spans="1:52" x14ac:dyDescent="0.2">
      <c r="E24"/>
      <c r="F24"/>
      <c r="P24"/>
      <c r="V24" s="358">
        <v>3.75</v>
      </c>
      <c r="W24" s="358">
        <v>47.62</v>
      </c>
      <c r="X24" s="358" t="s">
        <v>22</v>
      </c>
      <c r="AH24" s="376"/>
      <c r="AI24" s="376"/>
    </row>
    <row r="25" spans="1:52" x14ac:dyDescent="0.2">
      <c r="E25"/>
      <c r="F25"/>
      <c r="V25" s="358">
        <v>4.25</v>
      </c>
      <c r="W25" s="358">
        <v>48.3</v>
      </c>
      <c r="X25" s="358" t="s">
        <v>116</v>
      </c>
      <c r="AH25" s="376"/>
      <c r="AI25" s="376"/>
    </row>
    <row r="26" spans="1:52" x14ac:dyDescent="0.2">
      <c r="V26" s="358">
        <v>4.5</v>
      </c>
      <c r="W26" s="358">
        <v>50.8</v>
      </c>
      <c r="X26" s="358" t="s">
        <v>23</v>
      </c>
      <c r="AH26" s="376"/>
      <c r="AI26" s="376"/>
    </row>
    <row r="27" spans="1:52" x14ac:dyDescent="0.2">
      <c r="V27" s="358">
        <v>4.75</v>
      </c>
      <c r="W27" s="358">
        <v>53.97</v>
      </c>
      <c r="X27" s="358" t="s">
        <v>99</v>
      </c>
      <c r="AH27" s="376"/>
      <c r="AI27" s="376"/>
    </row>
    <row r="28" spans="1:52" x14ac:dyDescent="0.2">
      <c r="V28" s="358">
        <v>5</v>
      </c>
      <c r="W28" s="358">
        <v>57.15</v>
      </c>
      <c r="X28" s="358" t="s">
        <v>24</v>
      </c>
      <c r="AH28" s="376"/>
      <c r="AI28" s="376"/>
    </row>
    <row r="29" spans="1:52" x14ac:dyDescent="0.2">
      <c r="A29" s="21"/>
      <c r="B29" s="21"/>
      <c r="C29" s="21"/>
      <c r="D29" s="21"/>
      <c r="E29" s="21"/>
      <c r="F29" s="21"/>
      <c r="G29" s="21"/>
      <c r="H29" s="21"/>
      <c r="V29" s="358">
        <v>5.4</v>
      </c>
      <c r="W29" s="358">
        <v>60.3</v>
      </c>
      <c r="X29" s="358" t="s">
        <v>25</v>
      </c>
      <c r="AH29" s="376"/>
      <c r="AI29" s="376"/>
    </row>
    <row r="30" spans="1:52" x14ac:dyDescent="0.2">
      <c r="A30" s="437"/>
      <c r="B30" s="437"/>
      <c r="C30" s="437"/>
      <c r="D30" s="437"/>
      <c r="E30" s="437"/>
      <c r="F30" s="437"/>
      <c r="G30" s="437"/>
      <c r="H30" s="443"/>
      <c r="V30" s="358">
        <v>6.3</v>
      </c>
      <c r="W30" s="358">
        <v>63.5</v>
      </c>
      <c r="X30" s="358" t="s">
        <v>26</v>
      </c>
      <c r="AH30" s="376"/>
      <c r="AI30" s="376"/>
    </row>
    <row r="31" spans="1:52" x14ac:dyDescent="0.2">
      <c r="A31" s="437"/>
      <c r="B31" s="437"/>
      <c r="C31" s="437"/>
      <c r="D31" s="437"/>
      <c r="E31" s="437"/>
      <c r="F31" s="437"/>
      <c r="G31" s="437"/>
      <c r="H31" s="443"/>
      <c r="V31" s="358">
        <v>7.3</v>
      </c>
      <c r="W31" s="358">
        <v>70</v>
      </c>
      <c r="X31" s="358" t="s">
        <v>116</v>
      </c>
    </row>
    <row r="32" spans="1:52" x14ac:dyDescent="0.2">
      <c r="V32" s="358">
        <v>8</v>
      </c>
      <c r="W32" s="358">
        <v>73.03</v>
      </c>
      <c r="X32" s="358" t="s">
        <v>100</v>
      </c>
    </row>
    <row r="33" spans="22:24" x14ac:dyDescent="0.2">
      <c r="V33" s="358">
        <v>8.18</v>
      </c>
      <c r="W33" s="358">
        <v>76.099999999999994</v>
      </c>
      <c r="X33" s="358" t="s">
        <v>116</v>
      </c>
    </row>
    <row r="34" spans="22:24" x14ac:dyDescent="0.2">
      <c r="V34" s="358">
        <v>8.56</v>
      </c>
      <c r="W34" s="358">
        <v>76.2</v>
      </c>
      <c r="X34" s="358" t="s">
        <v>27</v>
      </c>
    </row>
    <row r="35" spans="22:24" x14ac:dyDescent="0.2">
      <c r="W35" s="358">
        <v>80</v>
      </c>
      <c r="X35" s="358" t="s">
        <v>116</v>
      </c>
    </row>
    <row r="36" spans="22:24" x14ac:dyDescent="0.2">
      <c r="W36" s="358">
        <v>82.55</v>
      </c>
      <c r="X36" s="358" t="s">
        <v>28</v>
      </c>
    </row>
    <row r="37" spans="22:24" x14ac:dyDescent="0.2">
      <c r="W37" s="358">
        <v>88.9</v>
      </c>
      <c r="X37" s="358" t="s">
        <v>29</v>
      </c>
    </row>
    <row r="38" spans="22:24" x14ac:dyDescent="0.2">
      <c r="W38" s="358">
        <v>95.25</v>
      </c>
      <c r="X38" s="358" t="s">
        <v>101</v>
      </c>
    </row>
    <row r="39" spans="22:24" x14ac:dyDescent="0.2">
      <c r="W39" s="358">
        <v>101.6</v>
      </c>
      <c r="X39" s="358" t="s">
        <v>30</v>
      </c>
    </row>
    <row r="40" spans="22:24" x14ac:dyDescent="0.2">
      <c r="W40" s="358">
        <v>111.13</v>
      </c>
      <c r="X40" s="358" t="s">
        <v>113</v>
      </c>
    </row>
    <row r="41" spans="22:24" x14ac:dyDescent="0.2">
      <c r="W41" s="358">
        <v>114.3</v>
      </c>
      <c r="X41" s="358" t="s">
        <v>31</v>
      </c>
    </row>
    <row r="42" spans="22:24" x14ac:dyDescent="0.2">
      <c r="W42" s="358">
        <v>122</v>
      </c>
      <c r="X42" s="358" t="s">
        <v>115</v>
      </c>
    </row>
    <row r="43" spans="22:24" x14ac:dyDescent="0.2">
      <c r="W43" s="358">
        <v>123.83</v>
      </c>
      <c r="X43" s="358" t="s">
        <v>114</v>
      </c>
    </row>
    <row r="44" spans="22:24" x14ac:dyDescent="0.2">
      <c r="W44" s="358">
        <v>127</v>
      </c>
      <c r="X44" s="358" t="s">
        <v>32</v>
      </c>
    </row>
    <row r="45" spans="22:24" x14ac:dyDescent="0.2">
      <c r="W45" s="358">
        <v>139.69999999999999</v>
      </c>
      <c r="X45" s="358" t="s">
        <v>33</v>
      </c>
    </row>
    <row r="46" spans="22:24" x14ac:dyDescent="0.2">
      <c r="W46" s="358">
        <v>152.4</v>
      </c>
      <c r="X46" s="358" t="s">
        <v>34</v>
      </c>
    </row>
    <row r="47" spans="22:24" x14ac:dyDescent="0.2">
      <c r="W47" s="358">
        <v>165.1</v>
      </c>
      <c r="X47" s="358" t="s">
        <v>116</v>
      </c>
    </row>
    <row r="48" spans="22:24" x14ac:dyDescent="0.2">
      <c r="W48" s="358">
        <v>168.3</v>
      </c>
      <c r="X48" s="358" t="s">
        <v>35</v>
      </c>
    </row>
    <row r="49" spans="23:24" x14ac:dyDescent="0.2">
      <c r="W49" s="358">
        <v>193.7</v>
      </c>
      <c r="X49" s="358" t="s">
        <v>36</v>
      </c>
    </row>
    <row r="50" spans="23:24" x14ac:dyDescent="0.2">
      <c r="W50" s="358">
        <v>219.1</v>
      </c>
      <c r="X50" s="358" t="s">
        <v>37</v>
      </c>
    </row>
    <row r="51" spans="23:24" x14ac:dyDescent="0.2">
      <c r="W51" s="358">
        <v>273.05</v>
      </c>
      <c r="X51" s="358" t="s">
        <v>38</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37" priority="27">
      <formula>_xlfn.ISFORMULA(INDIRECT(ADDRESS(ROW(),COLUMN())))</formula>
    </cfRule>
  </conditionalFormatting>
  <conditionalFormatting sqref="Z1:AB6">
    <cfRule type="expression" dxfId="36" priority="26">
      <formula>_xlfn.ISFORMULA(INDIRECT(ADDRESS(ROW(),COLUMN())))</formula>
    </cfRule>
  </conditionalFormatting>
  <conditionalFormatting sqref="AD3:AE3">
    <cfRule type="expression" dxfId="35" priority="25">
      <formula>_xlfn.ISFORMULA(INDIRECT(ADDRESS(ROW(),COLUMN())))</formula>
    </cfRule>
  </conditionalFormatting>
  <conditionalFormatting sqref="A11:A12 C11:F12">
    <cfRule type="expression" dxfId="34" priority="24">
      <formula>_xlfn.ISFORMULA(INDIRECT(ADDRESS(ROW(),COLUMN())))</formula>
    </cfRule>
  </conditionalFormatting>
  <conditionalFormatting sqref="A13 C13:F13">
    <cfRule type="expression" dxfId="33" priority="22">
      <formula>_xlfn.ISFORMULA(INDIRECT(ADDRESS(ROW(),COLUMN())))</formula>
    </cfRule>
  </conditionalFormatting>
  <conditionalFormatting sqref="A10 C10:F10">
    <cfRule type="expression" dxfId="32" priority="21">
      <formula>_xlfn.ISFORMULA(INDIRECT(ADDRESS(ROW(),COLUMN())))</formula>
    </cfRule>
  </conditionalFormatting>
  <conditionalFormatting sqref="K4:K6">
    <cfRule type="expression" dxfId="31" priority="19">
      <formula>_xlfn.ISFORMULA(INDIRECT(ADDRESS(ROW(),COLUMN())))</formula>
    </cfRule>
  </conditionalFormatting>
  <conditionalFormatting sqref="Q4:T5 T6:T15">
    <cfRule type="expression" dxfId="30" priority="18">
      <formula>_xlfn.ISFORMULA(INDIRECT(ADDRESS(ROW(),COLUMN())))</formula>
    </cfRule>
  </conditionalFormatting>
  <conditionalFormatting sqref="P11 P4:P5">
    <cfRule type="expression" dxfId="29" priority="17">
      <formula>_xlfn.ISFORMULA(INDIRECT(ADDRESS(ROW(),COLUMN())))</formula>
    </cfRule>
  </conditionalFormatting>
  <conditionalFormatting sqref="M14 M9:M12">
    <cfRule type="expression" dxfId="28" priority="14">
      <formula>_xlfn.ISFORMULA(INDIRECT(ADDRESS(ROW(),COLUMN())))</formula>
    </cfRule>
  </conditionalFormatting>
  <conditionalFormatting sqref="I11:L11">
    <cfRule type="expression" dxfId="27" priority="15">
      <formula>_xlfn.ISFORMULA(INDIRECT(ADDRESS(ROW(),COLUMN())))</formula>
    </cfRule>
  </conditionalFormatting>
  <conditionalFormatting sqref="M11">
    <cfRule type="expression" dxfId="26" priority="13">
      <formula>_xlfn.ISFORMULA(INDIRECT(ADDRESS(ROW(),COLUMN())))</formula>
    </cfRule>
  </conditionalFormatting>
  <conditionalFormatting sqref="P6:P7">
    <cfRule type="expression" dxfId="25" priority="12">
      <formula>_xlfn.ISFORMULA(INDIRECT(ADDRESS(ROW(),COLUMN())))</formula>
    </cfRule>
  </conditionalFormatting>
  <conditionalFormatting sqref="P8">
    <cfRule type="expression" dxfId="24" priority="11">
      <formula>_xlfn.ISFORMULA(INDIRECT(ADDRESS(ROW(),COLUMN())))</formula>
    </cfRule>
  </conditionalFormatting>
  <conditionalFormatting sqref="P9:P10">
    <cfRule type="expression" dxfId="23" priority="10">
      <formula>_xlfn.ISFORMULA(INDIRECT(ADDRESS(ROW(),COLUMN())))</formula>
    </cfRule>
  </conditionalFormatting>
  <conditionalFormatting sqref="Q13:S14">
    <cfRule type="expression" dxfId="22" priority="7">
      <formula>_xlfn.ISFORMULA(INDIRECT(ADDRESS(ROW(),COLUMN())))</formula>
    </cfRule>
  </conditionalFormatting>
  <conditionalFormatting sqref="P12:P14">
    <cfRule type="expression" dxfId="21" priority="8">
      <formula>_xlfn.ISFORMULA(INDIRECT(ADDRESS(ROW(),COLUMN())))</formula>
    </cfRule>
  </conditionalFormatting>
  <conditionalFormatting sqref="J16:N16">
    <cfRule type="expression" dxfId="20" priority="6">
      <formula>_xlfn.ISFORMULA(INDIRECT(ADDRESS(ROW(),COLUMN())))</formula>
    </cfRule>
  </conditionalFormatting>
  <conditionalFormatting sqref="J17:N18">
    <cfRule type="expression" dxfId="19" priority="5">
      <formula>_xlfn.ISFORMULA(INDIRECT(ADDRESS(ROW(),COLUMN())))</formula>
    </cfRule>
  </conditionalFormatting>
  <conditionalFormatting sqref="Q15 S15">
    <cfRule type="expression" dxfId="18" priority="4">
      <formula>_xlfn.ISFORMULA(INDIRECT(ADDRESS(ROW(),COLUMN())))</formula>
    </cfRule>
  </conditionalFormatting>
  <conditionalFormatting sqref="Q16:Q18 S16:T18">
    <cfRule type="expression" dxfId="17" priority="3">
      <formula>_xlfn.ISFORMULA(INDIRECT(ADDRESS(ROW(),COLUMN())))</formula>
    </cfRule>
  </conditionalFormatting>
  <conditionalFormatting sqref="R15">
    <cfRule type="expression" dxfId="16" priority="2">
      <formula>_xlfn.ISFORMULA(INDIRECT(ADDRESS(ROW(),COLUMN())))</formula>
    </cfRule>
  </conditionalFormatting>
  <conditionalFormatting sqref="R16:R18">
    <cfRule type="expression" dxfId="15"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2" t="s">
        <v>261</v>
      </c>
      <c r="C4" s="732"/>
      <c r="D4" s="732"/>
      <c r="E4" s="732"/>
      <c r="F4" s="732"/>
      <c r="G4" s="732"/>
      <c r="H4" s="732"/>
      <c r="I4" s="732"/>
      <c r="J4" s="732"/>
      <c r="K4" s="732"/>
      <c r="L4" s="732"/>
      <c r="M4" s="732"/>
      <c r="N4" s="732"/>
      <c r="O4" s="732"/>
      <c r="P4" s="732"/>
      <c r="Q4" s="732"/>
      <c r="R4" s="732"/>
      <c r="S4" s="732"/>
      <c r="T4" s="732"/>
      <c r="U4" s="732"/>
      <c r="V4" s="732"/>
      <c r="W4" s="732"/>
    </row>
    <row r="5" spans="2:23" s="167" customFormat="1" ht="30" customHeight="1" x14ac:dyDescent="0.2">
      <c r="B5" s="512" t="s">
        <v>749</v>
      </c>
      <c r="C5" s="512" t="s">
        <v>750</v>
      </c>
      <c r="D5" s="512" t="s">
        <v>751</v>
      </c>
      <c r="E5" s="512" t="s">
        <v>172</v>
      </c>
      <c r="F5" s="512" t="s">
        <v>173</v>
      </c>
      <c r="G5" s="512" t="s">
        <v>178</v>
      </c>
      <c r="H5" s="512" t="s">
        <v>177</v>
      </c>
      <c r="I5" s="512" t="s">
        <v>752</v>
      </c>
      <c r="J5" s="512" t="s">
        <v>183</v>
      </c>
      <c r="K5" s="512" t="s">
        <v>184</v>
      </c>
      <c r="L5" s="512" t="s">
        <v>870</v>
      </c>
      <c r="M5" s="512" t="s">
        <v>869</v>
      </c>
      <c r="N5" s="659" t="s">
        <v>868</v>
      </c>
      <c r="O5" s="512" t="s">
        <v>182</v>
      </c>
      <c r="P5" s="512" t="s">
        <v>181</v>
      </c>
      <c r="Q5" s="512" t="s">
        <v>180</v>
      </c>
      <c r="R5" s="512" t="s">
        <v>179</v>
      </c>
      <c r="S5" s="512" t="s">
        <v>176</v>
      </c>
      <c r="T5" s="512" t="s">
        <v>174</v>
      </c>
      <c r="U5" s="512" t="s">
        <v>572</v>
      </c>
      <c r="V5" s="567" t="s">
        <v>793</v>
      </c>
      <c r="W5" s="512" t="s">
        <v>175</v>
      </c>
    </row>
    <row r="6" spans="2:23" x14ac:dyDescent="0.2">
      <c r="B6" s="660"/>
      <c r="C6" s="570">
        <v>200</v>
      </c>
      <c r="D6" s="570">
        <v>60</v>
      </c>
      <c r="E6" s="570"/>
      <c r="F6" s="377"/>
      <c r="G6" s="570"/>
      <c r="H6" s="570"/>
      <c r="I6" s="364">
        <f>ROUND((PI()*(C6/1000/2)^2)*(D6/1000)*(F6)*7850,3)</f>
        <v>0</v>
      </c>
      <c r="J6" s="508">
        <v>2200</v>
      </c>
      <c r="K6" s="508">
        <v>4850</v>
      </c>
      <c r="L6" s="508">
        <v>35</v>
      </c>
      <c r="M6" s="508">
        <v>11</v>
      </c>
      <c r="N6" s="508">
        <v>2000</v>
      </c>
      <c r="O6" s="511">
        <f>I6*L6</f>
        <v>0</v>
      </c>
      <c r="P6" s="511">
        <f>I6*0.8*M6</f>
        <v>0</v>
      </c>
      <c r="Q6" s="511">
        <f>F6*N6</f>
        <v>0</v>
      </c>
      <c r="R6" s="511">
        <f>G6*J6+H6*K6</f>
        <v>0</v>
      </c>
      <c r="S6" s="508">
        <v>50000</v>
      </c>
      <c r="T6" s="508">
        <v>10000</v>
      </c>
      <c r="U6" s="508">
        <v>2400</v>
      </c>
      <c r="V6" s="569">
        <v>1</v>
      </c>
      <c r="W6" s="568">
        <f>SUM(O6,P6,Q6,R6,S6,T6,U6*V6)</f>
        <v>62400</v>
      </c>
    </row>
    <row r="9" spans="2:23" ht="15.75" customHeight="1" x14ac:dyDescent="0.2">
      <c r="B9" s="732" t="s">
        <v>262</v>
      </c>
      <c r="C9" s="732"/>
      <c r="D9" s="732"/>
      <c r="E9" s="732"/>
      <c r="F9" s="732"/>
      <c r="G9" s="732"/>
      <c r="H9" s="732"/>
      <c r="I9" s="732"/>
      <c r="J9" s="732"/>
      <c r="K9" s="732"/>
      <c r="L9" s="732"/>
      <c r="M9" s="732"/>
      <c r="N9" s="732"/>
      <c r="O9" s="732"/>
      <c r="P9" s="732"/>
      <c r="Q9" s="732"/>
      <c r="R9" s="732"/>
      <c r="S9" s="732"/>
      <c r="T9" s="732"/>
      <c r="U9" s="732"/>
      <c r="V9" s="732"/>
      <c r="W9" s="732"/>
    </row>
    <row r="10" spans="2:23" s="167" customFormat="1" ht="42" customHeight="1" x14ac:dyDescent="0.2">
      <c r="B10" s="512" t="s">
        <v>749</v>
      </c>
      <c r="D10" s="512" t="s">
        <v>753</v>
      </c>
      <c r="E10" s="512" t="s">
        <v>263</v>
      </c>
      <c r="F10" s="512" t="s">
        <v>754</v>
      </c>
      <c r="H10" s="512" t="s">
        <v>753</v>
      </c>
      <c r="I10" s="512" t="s">
        <v>266</v>
      </c>
      <c r="J10" s="512" t="s">
        <v>755</v>
      </c>
      <c r="L10" s="512" t="s">
        <v>753</v>
      </c>
      <c r="M10" s="512" t="s">
        <v>265</v>
      </c>
      <c r="N10" s="512" t="s">
        <v>264</v>
      </c>
      <c r="P10" s="512" t="s">
        <v>753</v>
      </c>
      <c r="Q10" s="512" t="s">
        <v>267</v>
      </c>
      <c r="R10" s="512" t="s">
        <v>268</v>
      </c>
      <c r="T10" s="512" t="s">
        <v>269</v>
      </c>
      <c r="W10" s="512" t="s">
        <v>175</v>
      </c>
    </row>
    <row r="11" spans="2:23" x14ac:dyDescent="0.2">
      <c r="B11" s="507" t="s">
        <v>116</v>
      </c>
      <c r="C11" s="117" t="s">
        <v>272</v>
      </c>
      <c r="D11" s="365"/>
      <c r="E11" s="508">
        <v>12000</v>
      </c>
      <c r="F11" s="364">
        <f>D11*E11</f>
        <v>0</v>
      </c>
      <c r="G11" s="117" t="s">
        <v>272</v>
      </c>
      <c r="H11" s="365"/>
      <c r="I11" s="508">
        <v>10000</v>
      </c>
      <c r="J11" s="364">
        <f>H11*I11</f>
        <v>0</v>
      </c>
      <c r="K11" s="117" t="s">
        <v>270</v>
      </c>
      <c r="L11" s="365"/>
      <c r="M11" s="508">
        <v>9000</v>
      </c>
      <c r="N11" s="364">
        <f>L11*M11</f>
        <v>0</v>
      </c>
      <c r="O11" s="117" t="s">
        <v>270</v>
      </c>
      <c r="P11" s="365"/>
      <c r="Q11" s="508">
        <v>50000</v>
      </c>
      <c r="R11" s="509">
        <f>P11*Q11</f>
        <v>0</v>
      </c>
      <c r="T11" s="510"/>
      <c r="W11" s="568">
        <f>SUM(F11:F12)+SUM(J11:J12)+SUM(N11:N12)+SUM(R11:R12)+T11</f>
        <v>0</v>
      </c>
    </row>
    <row r="12" spans="2:23" x14ac:dyDescent="0.2">
      <c r="C12" s="117" t="s">
        <v>273</v>
      </c>
      <c r="D12" s="461"/>
      <c r="E12" s="504">
        <v>20000</v>
      </c>
      <c r="F12" s="356">
        <f>D12*E12</f>
        <v>0</v>
      </c>
      <c r="G12" s="117" t="s">
        <v>273</v>
      </c>
      <c r="H12" s="461"/>
      <c r="I12" s="504">
        <v>15000</v>
      </c>
      <c r="J12" s="356">
        <f>H12*I12</f>
        <v>0</v>
      </c>
      <c r="K12" s="117" t="s">
        <v>271</v>
      </c>
      <c r="L12" s="461"/>
      <c r="M12" s="504">
        <v>14000</v>
      </c>
      <c r="N12" s="356">
        <f>L12*M12</f>
        <v>0</v>
      </c>
      <c r="O12" s="117" t="s">
        <v>271</v>
      </c>
      <c r="P12" s="461"/>
      <c r="Q12" s="504">
        <v>80000</v>
      </c>
      <c r="R12" s="505">
        <f>P12*Q12</f>
        <v>0</v>
      </c>
    </row>
    <row r="13" spans="2:23" x14ac:dyDescent="0.2">
      <c r="N13" s="118"/>
      <c r="R13" s="118"/>
    </row>
    <row r="16" spans="2:23" x14ac:dyDescent="0.2">
      <c r="B16" s="467"/>
      <c r="C16" s="28" t="s">
        <v>425</v>
      </c>
    </row>
    <row r="17" spans="2:3" x14ac:dyDescent="0.2">
      <c r="B17" s="461"/>
      <c r="C17" s="28" t="s">
        <v>421</v>
      </c>
    </row>
    <row r="18" spans="2:3" x14ac:dyDescent="0.2">
      <c r="B18" s="468"/>
      <c r="C18" s="28" t="s">
        <v>424</v>
      </c>
    </row>
    <row r="19" spans="2:3" x14ac:dyDescent="0.2">
      <c r="B19" s="356"/>
      <c r="C19" s="28" t="s">
        <v>422</v>
      </c>
    </row>
    <row r="20" spans="2:3" x14ac:dyDescent="0.2">
      <c r="B20" s="506"/>
      <c r="C20" s="28" t="s">
        <v>423</v>
      </c>
    </row>
  </sheetData>
  <mergeCells count="2">
    <mergeCell ref="B4:W4"/>
    <mergeCell ref="B9:W9"/>
  </mergeCells>
  <conditionalFormatting sqref="R11">
    <cfRule type="containsErrors" dxfId="14" priority="8">
      <formula>ISERROR(R11)</formula>
    </cfRule>
  </conditionalFormatting>
  <conditionalFormatting sqref="R12">
    <cfRule type="containsErrors" dxfId="13" priority="7">
      <formula>ISERROR(R12)</formula>
    </cfRule>
  </conditionalFormatting>
  <conditionalFormatting sqref="F12">
    <cfRule type="containsErrors" dxfId="12" priority="5">
      <formula>ISERROR(F12)</formula>
    </cfRule>
  </conditionalFormatting>
  <conditionalFormatting sqref="J12">
    <cfRule type="containsErrors" dxfId="11" priority="4">
      <formula>ISERROR(J12)</formula>
    </cfRule>
  </conditionalFormatting>
  <conditionalFormatting sqref="B20">
    <cfRule type="containsErrors" dxfId="10" priority="3">
      <formula>ISERROR(B20)</formula>
    </cfRule>
  </conditionalFormatting>
  <conditionalFormatting sqref="W6">
    <cfRule type="containsErrors" dxfId="9" priority="2">
      <formula>ISERROR(W6)</formula>
    </cfRule>
  </conditionalFormatting>
  <conditionalFormatting sqref="W11">
    <cfRule type="containsErrors" dxfId="8"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5" t="s">
        <v>274</v>
      </c>
      <c r="D5" s="825"/>
      <c r="E5" s="825"/>
      <c r="F5" s="825"/>
      <c r="G5" s="825"/>
      <c r="H5" s="825"/>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5" t="s">
        <v>275</v>
      </c>
      <c r="D9" s="825"/>
      <c r="E9" s="825"/>
      <c r="F9" s="825"/>
      <c r="G9" s="825"/>
      <c r="H9" s="825"/>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3" t="s">
        <v>293</v>
      </c>
      <c r="D15" s="823"/>
      <c r="E15" s="823"/>
      <c r="F15" s="823"/>
      <c r="G15" s="823"/>
      <c r="H15" s="823"/>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22"/>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22"/>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22" t="s">
        <v>441</v>
      </c>
      <c r="D31" s="218">
        <f>180+(F29/2)</f>
        <v>212.4</v>
      </c>
      <c r="E31" s="50" t="s">
        <v>442</v>
      </c>
      <c r="F31" s="50"/>
      <c r="G31" s="50"/>
      <c r="H31" s="50"/>
      <c r="I31" s="201"/>
    </row>
    <row r="32" spans="2:31" x14ac:dyDescent="0.2">
      <c r="B32" s="200"/>
      <c r="C32" s="822"/>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4" t="s">
        <v>290</v>
      </c>
      <c r="D66" s="824"/>
      <c r="E66" s="824"/>
      <c r="F66" s="824"/>
      <c r="G66" s="824"/>
      <c r="H66" s="824"/>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5" t="s">
        <v>302</v>
      </c>
      <c r="D81" s="825"/>
      <c r="E81" s="825"/>
      <c r="F81" s="825"/>
      <c r="G81" s="825"/>
      <c r="H81" s="825"/>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7" priority="4" stopIfTrue="1" operator="equal">
      <formula>$D$17</formula>
    </cfRule>
  </conditionalFormatting>
  <conditionalFormatting sqref="D61">
    <cfRule type="cellIs" dxfId="6" priority="3" stopIfTrue="1" operator="equal">
      <formula>$D$62</formula>
    </cfRule>
  </conditionalFormatting>
  <conditionalFormatting sqref="C62:E62">
    <cfRule type="expression" dxfId="5" priority="2" stopIfTrue="1">
      <formula>$D$62&lt;&gt;$D$17</formula>
    </cfRule>
  </conditionalFormatting>
  <conditionalFormatting sqref="C61:E61">
    <cfRule type="expression" dxfId="4"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37" t="s">
        <v>470</v>
      </c>
      <c r="C2" s="838"/>
      <c r="D2" s="838"/>
      <c r="E2" s="838"/>
      <c r="F2" s="839"/>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31" t="s">
        <v>477</v>
      </c>
      <c r="C8" s="832"/>
      <c r="D8" s="832"/>
      <c r="E8" s="832"/>
      <c r="F8" s="833"/>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40" t="s">
        <v>485</v>
      </c>
      <c r="C25" s="841"/>
      <c r="D25" s="841"/>
      <c r="E25" s="841"/>
      <c r="F25" s="842"/>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26" t="s">
        <v>487</v>
      </c>
      <c r="N27" s="826"/>
      <c r="O27" s="826"/>
      <c r="P27" s="826" t="s">
        <v>488</v>
      </c>
      <c r="Q27" s="826"/>
      <c r="R27" s="826"/>
      <c r="S27" s="826" t="s">
        <v>489</v>
      </c>
      <c r="T27" s="826"/>
      <c r="U27" s="826"/>
      <c r="V27" s="826" t="s">
        <v>490</v>
      </c>
      <c r="W27" s="826"/>
      <c r="X27" s="826"/>
      <c r="Y27" s="826" t="s">
        <v>491</v>
      </c>
      <c r="Z27" s="826"/>
      <c r="AA27" s="826"/>
      <c r="AB27" s="826" t="s">
        <v>492</v>
      </c>
      <c r="AC27" s="826"/>
      <c r="AD27" s="826"/>
      <c r="AE27" s="826" t="s">
        <v>493</v>
      </c>
      <c r="AF27" s="826"/>
      <c r="AG27" s="826"/>
      <c r="AH27" s="826" t="s">
        <v>494</v>
      </c>
      <c r="AI27" s="826"/>
      <c r="AJ27" s="826"/>
      <c r="AK27" s="826" t="s">
        <v>495</v>
      </c>
      <c r="AL27" s="826"/>
      <c r="AM27" s="826"/>
      <c r="AN27" s="826" t="s">
        <v>496</v>
      </c>
      <c r="AO27" s="826"/>
      <c r="AP27" s="826"/>
      <c r="AQ27" s="826" t="s">
        <v>497</v>
      </c>
      <c r="AR27" s="826"/>
      <c r="AS27" s="826"/>
      <c r="AT27" s="826" t="s">
        <v>498</v>
      </c>
      <c r="AU27" s="826"/>
      <c r="AV27" s="826"/>
      <c r="AW27" s="826" t="s">
        <v>499</v>
      </c>
      <c r="AX27" s="826"/>
      <c r="AY27" s="826"/>
      <c r="AZ27" s="826" t="s">
        <v>500</v>
      </c>
      <c r="BA27" s="826"/>
      <c r="BB27" s="826"/>
      <c r="BC27" s="826" t="s">
        <v>501</v>
      </c>
      <c r="BD27" s="826"/>
      <c r="BE27" s="826"/>
      <c r="BF27" s="826" t="s">
        <v>502</v>
      </c>
      <c r="BG27" s="826"/>
      <c r="BH27" s="826"/>
      <c r="BI27" s="826" t="s">
        <v>503</v>
      </c>
      <c r="BJ27" s="826"/>
      <c r="BK27" s="826"/>
      <c r="BL27" s="826" t="s">
        <v>504</v>
      </c>
      <c r="BM27" s="826"/>
      <c r="BN27" s="826"/>
      <c r="BO27" s="826" t="s">
        <v>505</v>
      </c>
      <c r="BP27" s="826"/>
      <c r="BQ27" s="826"/>
      <c r="BR27" s="826" t="s">
        <v>506</v>
      </c>
      <c r="BS27" s="826"/>
      <c r="BT27" s="826"/>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6" t="s">
        <v>508</v>
      </c>
      <c r="D49" s="836"/>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6" t="s">
        <v>509</v>
      </c>
      <c r="D50" s="836"/>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6" t="s">
        <v>511</v>
      </c>
      <c r="D51" s="836"/>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28" t="s">
        <v>512</v>
      </c>
      <c r="C53" s="829"/>
      <c r="D53" s="829"/>
      <c r="E53" s="829"/>
      <c r="F53" s="830"/>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31" t="s">
        <v>513</v>
      </c>
      <c r="C55" s="832"/>
      <c r="D55" s="832"/>
      <c r="E55" s="832"/>
      <c r="F55" s="833"/>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31" t="s">
        <v>520</v>
      </c>
      <c r="C66" s="832"/>
      <c r="D66" s="832"/>
      <c r="E66" s="832"/>
      <c r="F66" s="833"/>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28" t="s">
        <v>58</v>
      </c>
      <c r="C77" s="829"/>
      <c r="D77" s="829"/>
      <c r="E77" s="829"/>
      <c r="F77" s="830"/>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31" t="s">
        <v>477</v>
      </c>
      <c r="C79" s="832"/>
      <c r="D79" s="832"/>
      <c r="E79" s="832"/>
      <c r="F79" s="833"/>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31" t="s">
        <v>485</v>
      </c>
      <c r="C83" s="832"/>
      <c r="D83" s="832"/>
      <c r="E83" s="832"/>
      <c r="F83" s="833"/>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34" t="s">
        <v>522</v>
      </c>
      <c r="C89" s="834"/>
    </row>
    <row r="90" spans="2:6" x14ac:dyDescent="0.2">
      <c r="B90" s="835" t="s">
        <v>523</v>
      </c>
      <c r="C90" s="835"/>
    </row>
    <row r="91" spans="2:6" x14ac:dyDescent="0.2">
      <c r="B91" s="827" t="s">
        <v>524</v>
      </c>
      <c r="C91" s="827"/>
    </row>
    <row r="92" spans="2:6" x14ac:dyDescent="0.2">
      <c r="B92" s="827" t="s">
        <v>523</v>
      </c>
      <c r="C92" s="827"/>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7" customFormat="1" ht="75" x14ac:dyDescent="0.2">
      <c r="B2" s="528" t="s">
        <v>759</v>
      </c>
      <c r="C2" s="528" t="s">
        <v>760</v>
      </c>
      <c r="D2" s="528" t="s">
        <v>761</v>
      </c>
      <c r="E2" s="528" t="s">
        <v>762</v>
      </c>
      <c r="F2" s="528" t="s">
        <v>763</v>
      </c>
    </row>
    <row r="3" spans="2:6" s="385" customFormat="1" x14ac:dyDescent="0.2">
      <c r="B3" s="377" t="s">
        <v>764</v>
      </c>
      <c r="C3" s="377">
        <v>0.95</v>
      </c>
      <c r="D3" s="377">
        <v>3.85</v>
      </c>
      <c r="E3" s="377">
        <v>1.5</v>
      </c>
      <c r="F3" s="377">
        <v>0.08</v>
      </c>
    </row>
    <row r="4" spans="2:6" s="385" customFormat="1" x14ac:dyDescent="0.2">
      <c r="B4" s="377" t="s">
        <v>765</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8"/>
      <c r="C4" s="769"/>
      <c r="D4" s="769"/>
      <c r="E4" s="769"/>
      <c r="F4" s="769"/>
      <c r="G4" s="769"/>
      <c r="H4" s="769"/>
      <c r="I4" s="769"/>
      <c r="J4" s="769"/>
      <c r="K4" s="769"/>
      <c r="L4" s="846"/>
    </row>
    <row r="5" spans="2:12" ht="18" customHeight="1" thickBot="1" x14ac:dyDescent="0.25">
      <c r="B5" s="843" t="s">
        <v>131</v>
      </c>
      <c r="C5" s="844"/>
      <c r="D5" s="844"/>
      <c r="E5" s="844"/>
      <c r="F5" s="844"/>
      <c r="G5" s="844"/>
      <c r="H5" s="844"/>
      <c r="I5" s="844"/>
      <c r="J5" s="844"/>
      <c r="K5" s="844"/>
      <c r="L5" s="845"/>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3" priority="2">
      <formula>ISERROR(L7)</formula>
    </cfRule>
  </conditionalFormatting>
  <conditionalFormatting sqref="K7">
    <cfRule type="containsErrors" dxfId="2"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49"/>
      <c r="C4" s="849"/>
      <c r="D4" s="849"/>
      <c r="E4" s="849"/>
      <c r="F4" s="849"/>
    </row>
    <row r="5" spans="2:12" ht="18" customHeight="1" thickBot="1" x14ac:dyDescent="0.25">
      <c r="B5" s="848" t="s">
        <v>129</v>
      </c>
      <c r="C5" s="848"/>
      <c r="D5" s="848"/>
      <c r="E5" s="848"/>
      <c r="F5" s="848"/>
      <c r="H5" s="848" t="s">
        <v>426</v>
      </c>
      <c r="I5" s="848"/>
      <c r="J5" s="848"/>
      <c r="K5" s="848"/>
      <c r="L5" s="848"/>
    </row>
    <row r="6" spans="2:12" ht="18" customHeight="1" thickBot="1" x14ac:dyDescent="0.25">
      <c r="B6" s="850" t="s">
        <v>254</v>
      </c>
      <c r="C6" s="850"/>
      <c r="D6" s="850"/>
      <c r="E6" s="850"/>
      <c r="F6" s="850"/>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7" t="s">
        <v>128</v>
      </c>
      <c r="C43" s="847"/>
      <c r="D43" s="847"/>
      <c r="E43" s="847"/>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1"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3" customWidth="1"/>
    <col min="2" max="2" width="4.28515625" style="471" customWidth="1"/>
    <col min="3" max="3" width="7.42578125" style="472" customWidth="1"/>
    <col min="4" max="4" width="2.28515625" style="472" customWidth="1"/>
    <col min="5" max="5" width="7.140625" style="472" customWidth="1"/>
    <col min="6" max="6" width="1.85546875" style="472" customWidth="1"/>
    <col min="7" max="7" width="33.140625" style="472" customWidth="1"/>
    <col min="8" max="8" width="3" style="472" hidden="1" customWidth="1"/>
    <col min="9" max="9" width="13.7109375" style="472" customWidth="1"/>
    <col min="10" max="10" width="4.42578125" style="472" customWidth="1"/>
    <col min="11" max="11" width="1.7109375" style="472" customWidth="1"/>
    <col min="12" max="12" width="2.5703125" style="472" customWidth="1"/>
    <col min="13" max="13" width="6.85546875" style="472" customWidth="1"/>
    <col min="14" max="14" width="10.42578125" style="472" customWidth="1"/>
    <col min="15" max="15" width="20.42578125" style="472" customWidth="1"/>
    <col min="16" max="16" width="9" style="472" customWidth="1"/>
    <col min="17" max="17" width="4.28515625" style="472" customWidth="1"/>
    <col min="18" max="16384" width="9.140625" style="472"/>
  </cols>
  <sheetData>
    <row r="1" spans="1:17" ht="23.25" customHeight="1" thickBot="1" x14ac:dyDescent="0.25">
      <c r="A1" s="470"/>
      <c r="G1" s="472" t="s">
        <v>330</v>
      </c>
    </row>
    <row r="2" spans="1:17" ht="13.5" thickTop="1" x14ac:dyDescent="0.2">
      <c r="B2" s="474"/>
      <c r="C2" s="475"/>
      <c r="D2" s="475"/>
      <c r="E2" s="476"/>
      <c r="G2" s="597" t="s">
        <v>331</v>
      </c>
      <c r="H2" s="598"/>
      <c r="I2" s="599">
        <v>76.2</v>
      </c>
      <c r="J2" s="582" t="s">
        <v>9</v>
      </c>
      <c r="L2" s="579" t="s">
        <v>166</v>
      </c>
      <c r="M2" s="580">
        <v>60</v>
      </c>
      <c r="N2" s="854" t="s">
        <v>331</v>
      </c>
      <c r="O2" s="854"/>
      <c r="P2" s="581">
        <f>(2*3.14159265359*M4+2*(M2-2*M4)+2*(M3-2*M4))/3.14159265359</f>
        <v>60.929581789403152</v>
      </c>
      <c r="Q2" s="582" t="s">
        <v>9</v>
      </c>
    </row>
    <row r="3" spans="1:17" x14ac:dyDescent="0.2">
      <c r="B3" s="851" t="s">
        <v>332</v>
      </c>
      <c r="C3" s="852"/>
      <c r="D3" s="852"/>
      <c r="E3" s="853"/>
      <c r="G3" s="583" t="s">
        <v>333</v>
      </c>
      <c r="H3" s="477"/>
      <c r="I3" s="600">
        <v>2.7</v>
      </c>
      <c r="J3" s="585" t="s">
        <v>9</v>
      </c>
      <c r="L3" s="583" t="s">
        <v>167</v>
      </c>
      <c r="M3" s="584">
        <v>40</v>
      </c>
      <c r="N3" s="855" t="s">
        <v>334</v>
      </c>
      <c r="O3" s="855"/>
      <c r="P3" s="401">
        <f>(2*3.14159265359*M4+2*(M2-2*M4)+2*(M3-2*M4))</f>
        <v>191.41592653589998</v>
      </c>
      <c r="Q3" s="585" t="s">
        <v>9</v>
      </c>
    </row>
    <row r="4" spans="1:17" ht="13.5" thickBot="1" x14ac:dyDescent="0.25">
      <c r="B4" s="481"/>
      <c r="C4" s="482"/>
      <c r="D4" s="482"/>
      <c r="E4" s="480"/>
      <c r="G4" s="583" t="s">
        <v>335</v>
      </c>
      <c r="H4" s="483" t="s">
        <v>336</v>
      </c>
      <c r="I4" s="401">
        <f>VLOOKUP(H4,A6:B22,2,0)</f>
        <v>5</v>
      </c>
      <c r="J4" s="585"/>
      <c r="L4" s="588" t="s">
        <v>337</v>
      </c>
      <c r="M4" s="589">
        <v>5</v>
      </c>
      <c r="N4" s="590">
        <f>M4/I3</f>
        <v>1.8518518518518516</v>
      </c>
      <c r="O4" s="596" t="s">
        <v>405</v>
      </c>
      <c r="P4" s="591">
        <v>0.02</v>
      </c>
      <c r="Q4" s="592"/>
    </row>
    <row r="5" spans="1:17" ht="14.25" thickTop="1" thickBot="1" x14ac:dyDescent="0.25">
      <c r="B5" s="481"/>
      <c r="C5" s="484" t="s">
        <v>338</v>
      </c>
      <c r="D5" s="485"/>
      <c r="E5" s="478" t="s">
        <v>339</v>
      </c>
      <c r="G5" s="601" t="s">
        <v>340</v>
      </c>
      <c r="H5" s="602"/>
      <c r="I5" s="603">
        <f>IF(I3&lt;=1,2,IF(I3&lt;=1.5,1.5,IF(I3&lt;=2.5,1.2,1)))</f>
        <v>1</v>
      </c>
      <c r="J5" s="587"/>
      <c r="L5" s="593" t="s">
        <v>341</v>
      </c>
      <c r="M5" s="594">
        <f>P3*(1+P4)</f>
        <v>195.24424506661799</v>
      </c>
      <c r="N5" s="856" t="s">
        <v>331</v>
      </c>
      <c r="O5" s="856"/>
      <c r="P5" s="594">
        <f>M5/3.14159265359</f>
        <v>62.148173425191217</v>
      </c>
      <c r="Q5" s="595" t="s">
        <v>9</v>
      </c>
    </row>
    <row r="6" spans="1:17" ht="14.25" thickTop="1" thickBot="1" x14ac:dyDescent="0.25">
      <c r="A6" s="486" t="str">
        <f>CONCATENATE(IF($I$3&gt;=C6,"&gt;",""),IF($I$3&lt;=E6,"&gt;",""))</f>
        <v>&gt;</v>
      </c>
      <c r="B6" s="487">
        <v>0</v>
      </c>
      <c r="C6" s="479">
        <v>0.6</v>
      </c>
      <c r="D6" s="485" t="s">
        <v>116</v>
      </c>
      <c r="E6" s="488">
        <v>1.06</v>
      </c>
    </row>
    <row r="7" spans="1:17" ht="13.5" thickTop="1" x14ac:dyDescent="0.2">
      <c r="A7" s="486" t="str">
        <f t="shared" ref="A7:A22" si="0">CONCATENATE(IF($I$3&gt;=C7,"&gt;",""),IF($I$3&lt;=E7,"&gt;",""))</f>
        <v>&gt;</v>
      </c>
      <c r="B7" s="487">
        <v>1</v>
      </c>
      <c r="C7" s="479">
        <v>1.2</v>
      </c>
      <c r="D7" s="485" t="s">
        <v>116</v>
      </c>
      <c r="E7" s="488">
        <v>1.35</v>
      </c>
      <c r="G7" s="579" t="s">
        <v>334</v>
      </c>
      <c r="H7" s="604"/>
      <c r="I7" s="581">
        <f>I2*3.14159265359</f>
        <v>239.38936020355803</v>
      </c>
      <c r="J7" s="582" t="s">
        <v>9</v>
      </c>
    </row>
    <row r="8" spans="1:17" x14ac:dyDescent="0.2">
      <c r="A8" s="486" t="str">
        <f t="shared" si="0"/>
        <v>&gt;</v>
      </c>
      <c r="B8" s="487">
        <v>2</v>
      </c>
      <c r="C8" s="479">
        <v>1.5</v>
      </c>
      <c r="D8" s="485" t="s">
        <v>116</v>
      </c>
      <c r="E8" s="488">
        <v>1.55</v>
      </c>
      <c r="G8" s="583" t="s">
        <v>342</v>
      </c>
      <c r="H8" s="489"/>
      <c r="I8" s="401">
        <f>(I2-I3)*3.14159265359</f>
        <v>230.90706003886501</v>
      </c>
      <c r="J8" s="585" t="s">
        <v>9</v>
      </c>
      <c r="L8" s="490"/>
      <c r="M8" s="491"/>
      <c r="N8" s="491"/>
      <c r="O8" s="490"/>
      <c r="P8" s="492"/>
      <c r="Q8" s="491"/>
    </row>
    <row r="9" spans="1:17" x14ac:dyDescent="0.2">
      <c r="A9" s="486" t="str">
        <f t="shared" si="0"/>
        <v>&gt;</v>
      </c>
      <c r="B9" s="487">
        <v>3</v>
      </c>
      <c r="C9" s="479">
        <v>1.8</v>
      </c>
      <c r="D9" s="485" t="s">
        <v>116</v>
      </c>
      <c r="E9" s="488">
        <v>2</v>
      </c>
      <c r="G9" s="605" t="s">
        <v>343</v>
      </c>
      <c r="H9" s="493"/>
      <c r="I9" s="401">
        <f>(I2-I3+0.7)*3.14159265359+1.2</f>
        <v>234.306174896378</v>
      </c>
      <c r="J9" s="585" t="s">
        <v>9</v>
      </c>
      <c r="L9" s="490"/>
      <c r="M9" s="494"/>
      <c r="N9" s="494"/>
      <c r="O9" s="490"/>
      <c r="P9" s="490"/>
      <c r="Q9" s="490"/>
    </row>
    <row r="10" spans="1:17" x14ac:dyDescent="0.2">
      <c r="A10" s="486" t="str">
        <f t="shared" si="0"/>
        <v>&gt;</v>
      </c>
      <c r="B10" s="487">
        <v>4</v>
      </c>
      <c r="C10" s="479">
        <v>2.25</v>
      </c>
      <c r="D10" s="485" t="s">
        <v>116</v>
      </c>
      <c r="E10" s="488">
        <v>2.2999999999999998</v>
      </c>
      <c r="G10" s="605" t="s">
        <v>344</v>
      </c>
      <c r="H10" s="493"/>
      <c r="I10" s="401">
        <f>(I2-I3+1.2)*3.14159265359+1.9</f>
        <v>236.57697122317302</v>
      </c>
      <c r="J10" s="585" t="s">
        <v>9</v>
      </c>
      <c r="L10" s="490"/>
      <c r="M10" s="494"/>
      <c r="N10" s="494"/>
      <c r="O10" s="490"/>
      <c r="P10" s="490"/>
      <c r="Q10" s="490"/>
    </row>
    <row r="11" spans="1:17" x14ac:dyDescent="0.2">
      <c r="A11" s="486" t="str">
        <f t="shared" si="0"/>
        <v>&gt;&gt;</v>
      </c>
      <c r="B11" s="487">
        <v>5</v>
      </c>
      <c r="C11" s="479">
        <v>2.65</v>
      </c>
      <c r="D11" s="485" t="s">
        <v>116</v>
      </c>
      <c r="E11" s="488">
        <v>2.7</v>
      </c>
      <c r="G11" s="583" t="s">
        <v>345</v>
      </c>
      <c r="H11" s="489"/>
      <c r="I11" s="401">
        <f>I2*3.14159265359-I4</f>
        <v>234.38936020355803</v>
      </c>
      <c r="J11" s="585" t="s">
        <v>9</v>
      </c>
      <c r="L11" s="490"/>
      <c r="M11" s="494"/>
      <c r="N11" s="494"/>
      <c r="O11" s="490"/>
      <c r="P11" s="490"/>
      <c r="Q11" s="490"/>
    </row>
    <row r="12" spans="1:17" ht="13.5" thickBot="1" x14ac:dyDescent="0.25">
      <c r="A12" s="486" t="str">
        <f t="shared" si="0"/>
        <v>&gt;</v>
      </c>
      <c r="B12" s="487">
        <v>6</v>
      </c>
      <c r="C12" s="479">
        <v>3</v>
      </c>
      <c r="D12" s="485" t="s">
        <v>116</v>
      </c>
      <c r="E12" s="488">
        <v>3</v>
      </c>
      <c r="G12" s="586" t="s">
        <v>346</v>
      </c>
      <c r="H12" s="606"/>
      <c r="I12" s="603">
        <f>(I2-(I3/2))*3.14159265359</f>
        <v>235.14821012121152</v>
      </c>
      <c r="J12" s="587" t="s">
        <v>9</v>
      </c>
      <c r="L12" s="495"/>
      <c r="M12" s="495"/>
      <c r="N12" s="495"/>
      <c r="O12" s="495"/>
      <c r="P12" s="495"/>
      <c r="Q12" s="495"/>
    </row>
    <row r="13" spans="1:17" ht="13.5" thickTop="1" x14ac:dyDescent="0.2">
      <c r="A13" s="486" t="str">
        <f t="shared" si="0"/>
        <v>&gt;</v>
      </c>
      <c r="B13" s="487">
        <v>7</v>
      </c>
      <c r="C13" s="479">
        <v>3.35</v>
      </c>
      <c r="D13" s="485" t="s">
        <v>116</v>
      </c>
      <c r="E13" s="488">
        <v>3.35</v>
      </c>
      <c r="G13" s="597" t="s">
        <v>807</v>
      </c>
      <c r="H13" s="607"/>
      <c r="I13" s="581">
        <f>(I2*3.14159265359)-(1.5*I3)</f>
        <v>235.33936020355802</v>
      </c>
      <c r="J13" s="582" t="s">
        <v>9</v>
      </c>
    </row>
    <row r="14" spans="1:17" x14ac:dyDescent="0.2">
      <c r="A14" s="486" t="str">
        <f t="shared" si="0"/>
        <v>&gt;</v>
      </c>
      <c r="B14" s="487">
        <v>8</v>
      </c>
      <c r="C14" s="479">
        <v>3.75</v>
      </c>
      <c r="D14" s="485" t="s">
        <v>116</v>
      </c>
      <c r="E14" s="488">
        <v>3.75</v>
      </c>
      <c r="G14" s="605" t="s">
        <v>808</v>
      </c>
      <c r="H14" s="496"/>
      <c r="I14" s="401">
        <f>(I2*3.14159265359)-(2.5*I3)</f>
        <v>232.63936020355803</v>
      </c>
      <c r="J14" s="585" t="s">
        <v>9</v>
      </c>
    </row>
    <row r="15" spans="1:17" x14ac:dyDescent="0.2">
      <c r="A15" s="486" t="str">
        <f>CONCATENATE(IF($I$3&gt;=C15,"&gt;",""),IF($I$3&lt;=E15,"&gt;",""))</f>
        <v>&gt;</v>
      </c>
      <c r="B15" s="487">
        <v>9</v>
      </c>
      <c r="C15" s="479">
        <v>4.25</v>
      </c>
      <c r="D15" s="485" t="s">
        <v>116</v>
      </c>
      <c r="E15" s="488">
        <v>4.25</v>
      </c>
      <c r="G15" s="583" t="s">
        <v>809</v>
      </c>
      <c r="H15" s="497"/>
      <c r="I15" s="401">
        <f>(M2*2)+(M3*2)-1.5*I3</f>
        <v>195.95</v>
      </c>
      <c r="J15" s="585" t="s">
        <v>9</v>
      </c>
    </row>
    <row r="16" spans="1:17" x14ac:dyDescent="0.2">
      <c r="A16" s="486" t="str">
        <f t="shared" si="0"/>
        <v>&gt;</v>
      </c>
      <c r="B16" s="487">
        <v>10</v>
      </c>
      <c r="C16" s="479">
        <v>4.75</v>
      </c>
      <c r="D16" s="485" t="s">
        <v>116</v>
      </c>
      <c r="E16" s="488">
        <v>4.75</v>
      </c>
      <c r="G16" s="583" t="s">
        <v>810</v>
      </c>
      <c r="H16" s="497"/>
      <c r="I16" s="401">
        <f>(M2*2)+(M3*2)-2.5*I3</f>
        <v>193.25</v>
      </c>
      <c r="J16" s="585" t="s">
        <v>9</v>
      </c>
    </row>
    <row r="17" spans="1:16" x14ac:dyDescent="0.2">
      <c r="A17" s="486" t="str">
        <f t="shared" si="0"/>
        <v>&gt;</v>
      </c>
      <c r="B17" s="487">
        <v>11</v>
      </c>
      <c r="C17" s="479">
        <v>5.4</v>
      </c>
      <c r="D17" s="485" t="s">
        <v>116</v>
      </c>
      <c r="E17" s="488">
        <v>5.4</v>
      </c>
      <c r="G17" s="605" t="s">
        <v>811</v>
      </c>
      <c r="H17" s="496"/>
      <c r="I17" s="401">
        <f>(I2-I3)*3.14159265359+I5*I3</f>
        <v>233.607060038865</v>
      </c>
      <c r="J17" s="585" t="s">
        <v>9</v>
      </c>
    </row>
    <row r="18" spans="1:16" ht="13.5" thickBot="1" x14ac:dyDescent="0.25">
      <c r="A18" s="486" t="str">
        <f t="shared" si="0"/>
        <v>&gt;</v>
      </c>
      <c r="B18" s="487">
        <v>12</v>
      </c>
      <c r="C18" s="479">
        <v>6.3</v>
      </c>
      <c r="D18" s="485" t="s">
        <v>116</v>
      </c>
      <c r="E18" s="488">
        <v>6.3</v>
      </c>
      <c r="G18" s="586" t="s">
        <v>347</v>
      </c>
      <c r="H18" s="608"/>
      <c r="I18" s="609"/>
      <c r="J18" s="587" t="s">
        <v>9</v>
      </c>
    </row>
    <row r="19" spans="1:16" ht="13.5" thickTop="1" x14ac:dyDescent="0.2">
      <c r="A19" s="486" t="str">
        <f t="shared" si="0"/>
        <v>&gt;</v>
      </c>
      <c r="B19" s="487">
        <v>13</v>
      </c>
      <c r="C19" s="479">
        <v>7</v>
      </c>
      <c r="D19" s="485" t="s">
        <v>116</v>
      </c>
      <c r="E19" s="488">
        <v>7</v>
      </c>
      <c r="I19" s="498"/>
      <c r="J19" s="499"/>
      <c r="K19" s="500"/>
      <c r="L19" s="500"/>
      <c r="M19" s="500"/>
      <c r="N19" s="500"/>
      <c r="O19" s="500"/>
      <c r="P19" s="500"/>
    </row>
    <row r="20" spans="1:16" x14ac:dyDescent="0.2">
      <c r="A20" s="486" t="str">
        <f t="shared" si="0"/>
        <v>&gt;</v>
      </c>
      <c r="B20" s="487">
        <v>14</v>
      </c>
      <c r="C20" s="479">
        <v>8</v>
      </c>
      <c r="D20" s="485" t="s">
        <v>116</v>
      </c>
      <c r="E20" s="488">
        <v>8</v>
      </c>
      <c r="O20" s="500"/>
      <c r="P20" s="500"/>
    </row>
    <row r="21" spans="1:16" x14ac:dyDescent="0.2">
      <c r="A21" s="486" t="str">
        <f t="shared" si="0"/>
        <v>&gt;</v>
      </c>
      <c r="B21" s="487">
        <v>15</v>
      </c>
      <c r="C21" s="479">
        <v>9.5</v>
      </c>
      <c r="D21" s="485" t="s">
        <v>116</v>
      </c>
      <c r="E21" s="488">
        <v>9.5</v>
      </c>
      <c r="O21" s="500"/>
      <c r="P21" s="500"/>
    </row>
    <row r="22" spans="1:16" ht="13.5" thickBot="1" x14ac:dyDescent="0.25">
      <c r="A22" s="486" t="str">
        <f t="shared" si="0"/>
        <v>&gt;</v>
      </c>
      <c r="B22" s="501"/>
      <c r="C22" s="502"/>
      <c r="D22" s="502"/>
      <c r="E22" s="503"/>
      <c r="O22" s="500"/>
      <c r="P22" s="500"/>
    </row>
    <row r="23" spans="1:16" ht="13.5" thickTop="1" x14ac:dyDescent="0.2">
      <c r="O23" s="500"/>
      <c r="P23" s="500"/>
    </row>
    <row r="24" spans="1:16" x14ac:dyDescent="0.2">
      <c r="B24" s="472"/>
    </row>
  </sheetData>
  <mergeCells count="4">
    <mergeCell ref="B3:E3"/>
    <mergeCell ref="N2:O2"/>
    <mergeCell ref="N3:O3"/>
    <mergeCell ref="N5:O5"/>
  </mergeCells>
  <conditionalFormatting sqref="A6:A22">
    <cfRule type="cellIs" dxfId="0"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49"/>
      <c r="C4" s="849"/>
      <c r="D4" s="849"/>
      <c r="E4" s="849"/>
    </row>
    <row r="5" spans="2:5" ht="16.5" customHeight="1" thickBot="1" x14ac:dyDescent="0.25">
      <c r="B5" s="843" t="s">
        <v>193</v>
      </c>
      <c r="C5" s="844"/>
      <c r="D5" s="844"/>
      <c r="E5" s="844"/>
    </row>
    <row r="6" spans="2:5" ht="30" customHeight="1" thickBot="1" x14ac:dyDescent="0.25">
      <c r="B6" s="857" t="s">
        <v>189</v>
      </c>
      <c r="C6" s="858"/>
      <c r="D6" s="857" t="s">
        <v>190</v>
      </c>
      <c r="E6" s="858"/>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8"/>
      <c r="C4" s="769"/>
      <c r="D4" s="769"/>
      <c r="E4" s="769"/>
      <c r="F4" s="769"/>
      <c r="G4" s="769"/>
    </row>
    <row r="5" spans="2:7" ht="18" customHeight="1" thickBot="1" x14ac:dyDescent="0.25">
      <c r="B5" s="843" t="s">
        <v>420</v>
      </c>
      <c r="C5" s="844"/>
      <c r="D5" s="844"/>
      <c r="E5" s="844"/>
      <c r="F5" s="844"/>
      <c r="G5" s="845"/>
    </row>
    <row r="6" spans="2:7" ht="18" customHeight="1" thickBot="1" x14ac:dyDescent="0.25">
      <c r="B6" s="863"/>
      <c r="C6" s="864"/>
      <c r="D6" s="864"/>
      <c r="E6" s="864"/>
      <c r="F6" s="864"/>
      <c r="G6" s="865"/>
    </row>
    <row r="7" spans="2:7" ht="13.5" thickBot="1" x14ac:dyDescent="0.25">
      <c r="B7" s="32"/>
      <c r="C7" s="32"/>
      <c r="D7" s="71" t="s">
        <v>9</v>
      </c>
      <c r="E7" s="71" t="s">
        <v>232</v>
      </c>
      <c r="F7" s="71" t="s">
        <v>50</v>
      </c>
      <c r="G7" s="71" t="s">
        <v>231</v>
      </c>
    </row>
    <row r="8" spans="2:7" ht="15.75" customHeight="1" thickBot="1" x14ac:dyDescent="0.25">
      <c r="B8" s="861" t="s">
        <v>230</v>
      </c>
      <c r="C8" s="862"/>
      <c r="D8" s="68">
        <v>596</v>
      </c>
    </row>
    <row r="9" spans="2:7" ht="15.75" customHeight="1" thickBot="1" x14ac:dyDescent="0.25">
      <c r="B9" s="861" t="s">
        <v>229</v>
      </c>
      <c r="C9" s="862"/>
      <c r="D9" s="68">
        <v>8</v>
      </c>
    </row>
    <row r="10" spans="2:7" ht="13.5" thickBot="1" x14ac:dyDescent="0.25">
      <c r="B10" s="861" t="s">
        <v>228</v>
      </c>
      <c r="C10" s="862"/>
      <c r="D10" s="68">
        <v>2</v>
      </c>
    </row>
    <row r="11" spans="2:7" ht="13.5" thickBot="1" x14ac:dyDescent="0.25">
      <c r="B11" s="861" t="s">
        <v>227</v>
      </c>
      <c r="C11" s="862"/>
      <c r="D11" s="70">
        <f>6*D9</f>
        <v>48</v>
      </c>
      <c r="E11" s="168" t="s">
        <v>406</v>
      </c>
    </row>
    <row r="12" spans="2:7" ht="13.5" thickBot="1" x14ac:dyDescent="0.25">
      <c r="B12" s="69"/>
      <c r="C12" s="69"/>
    </row>
    <row r="13" spans="2:7" ht="13.5" thickBot="1" x14ac:dyDescent="0.25">
      <c r="B13" s="859" t="s">
        <v>226</v>
      </c>
      <c r="C13" s="866"/>
      <c r="D13" s="68">
        <v>1200</v>
      </c>
      <c r="E13" s="66"/>
      <c r="F13" s="73">
        <f>(D13-($D$10*$D$8))/D13</f>
        <v>6.6666666666666671E-3</v>
      </c>
      <c r="G13" s="65">
        <f>E13*F13+E13</f>
        <v>0</v>
      </c>
    </row>
    <row r="14" spans="2:7" ht="13.5" thickBot="1" x14ac:dyDescent="0.25">
      <c r="B14" s="859" t="s">
        <v>225</v>
      </c>
      <c r="C14" s="860"/>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8"/>
      <c r="C4" s="769"/>
      <c r="D4" s="769"/>
    </row>
    <row r="5" spans="2:10" ht="18" customHeight="1" thickBot="1" x14ac:dyDescent="0.25">
      <c r="B5" s="843" t="s">
        <v>308</v>
      </c>
      <c r="C5" s="844"/>
      <c r="D5" s="844"/>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7"/>
      <c r="G13" s="867"/>
      <c r="H13" s="867"/>
      <c r="I13" s="867"/>
      <c r="J13" s="867"/>
    </row>
    <row r="14" spans="2:10" ht="13.5" customHeight="1" thickBot="1" x14ac:dyDescent="0.25">
      <c r="B14" s="132" t="s">
        <v>95</v>
      </c>
      <c r="C14" s="127">
        <v>3</v>
      </c>
      <c r="D14" s="28" t="s">
        <v>9</v>
      </c>
      <c r="F14" s="867"/>
      <c r="G14" s="867"/>
      <c r="H14" s="867"/>
      <c r="I14" s="867"/>
      <c r="J14" s="867"/>
    </row>
    <row r="15" spans="2:10" ht="13.5" thickBot="1" x14ac:dyDescent="0.25">
      <c r="B15" s="132" t="s">
        <v>312</v>
      </c>
      <c r="C15" s="129">
        <v>98</v>
      </c>
      <c r="D15" s="28" t="s">
        <v>9</v>
      </c>
      <c r="F15" s="867"/>
      <c r="G15" s="867"/>
      <c r="H15" s="867"/>
      <c r="I15" s="867"/>
      <c r="J15" s="867"/>
    </row>
    <row r="16" spans="2:10" ht="13.5" thickBot="1" x14ac:dyDescent="0.25">
      <c r="B16" s="132" t="s">
        <v>309</v>
      </c>
      <c r="C16" s="128">
        <v>100</v>
      </c>
      <c r="D16" s="28" t="s">
        <v>310</v>
      </c>
      <c r="F16" s="867"/>
      <c r="G16" s="867"/>
      <c r="H16" s="867"/>
      <c r="I16" s="867"/>
      <c r="J16" s="867"/>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8"/>
      <c r="C21" s="769"/>
      <c r="D21" s="769"/>
    </row>
    <row r="22" spans="2:4" ht="13.5" thickBot="1" x14ac:dyDescent="0.25">
      <c r="B22" s="843" t="s">
        <v>325</v>
      </c>
      <c r="C22" s="844"/>
      <c r="D22" s="844"/>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8"/>
      <c r="C43" s="769"/>
      <c r="D43" s="769"/>
    </row>
    <row r="44" spans="2:4" ht="13.5" thickBot="1" x14ac:dyDescent="0.25">
      <c r="B44" s="843" t="s">
        <v>326</v>
      </c>
      <c r="C44" s="844"/>
      <c r="D44" s="844"/>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25" t="s">
        <v>419</v>
      </c>
      <c r="C2" s="626" t="s">
        <v>351</v>
      </c>
      <c r="D2" s="627" t="s">
        <v>15</v>
      </c>
      <c r="E2" s="627" t="s">
        <v>23</v>
      </c>
      <c r="F2" s="627" t="s">
        <v>27</v>
      </c>
      <c r="G2" s="627" t="s">
        <v>30</v>
      </c>
      <c r="H2" s="627" t="s">
        <v>32</v>
      </c>
      <c r="I2" s="627" t="s">
        <v>34</v>
      </c>
      <c r="J2" s="627" t="s">
        <v>352</v>
      </c>
      <c r="K2" s="627" t="s">
        <v>353</v>
      </c>
      <c r="L2" s="628" t="s">
        <v>354</v>
      </c>
      <c r="M2" s="621"/>
    </row>
    <row r="3" spans="2:13" s="154" customFormat="1" ht="14.25" x14ac:dyDescent="0.2">
      <c r="B3" s="629" t="s">
        <v>351</v>
      </c>
      <c r="C3" s="630" t="s">
        <v>116</v>
      </c>
      <c r="D3" s="631">
        <v>25400</v>
      </c>
      <c r="E3" s="631">
        <v>50800</v>
      </c>
      <c r="F3" s="631">
        <v>76200</v>
      </c>
      <c r="G3" s="631">
        <v>101600</v>
      </c>
      <c r="H3" s="630" t="s">
        <v>355</v>
      </c>
      <c r="I3" s="631">
        <v>152400</v>
      </c>
      <c r="J3" s="631">
        <v>177800</v>
      </c>
      <c r="K3" s="631">
        <v>203200</v>
      </c>
      <c r="L3" s="632">
        <v>228600</v>
      </c>
      <c r="M3" s="622"/>
    </row>
    <row r="4" spans="2:13" ht="14.25" x14ac:dyDescent="0.2">
      <c r="B4" s="629"/>
      <c r="C4" s="630"/>
      <c r="D4" s="630"/>
      <c r="E4" s="630"/>
      <c r="F4" s="630"/>
      <c r="G4" s="630"/>
      <c r="H4" s="630"/>
      <c r="I4" s="630"/>
      <c r="J4" s="630"/>
      <c r="K4" s="630"/>
      <c r="L4" s="633"/>
      <c r="M4" s="623"/>
    </row>
    <row r="5" spans="2:13" ht="14.25" x14ac:dyDescent="0.2">
      <c r="B5" s="629" t="s">
        <v>356</v>
      </c>
      <c r="C5" s="630" t="s">
        <v>357</v>
      </c>
      <c r="D5" s="631">
        <v>26194</v>
      </c>
      <c r="E5" s="631">
        <v>51594</v>
      </c>
      <c r="F5" s="631">
        <v>76994</v>
      </c>
      <c r="G5" s="631">
        <v>102394</v>
      </c>
      <c r="H5" s="631">
        <v>127794</v>
      </c>
      <c r="I5" s="631">
        <v>153194</v>
      </c>
      <c r="J5" s="631">
        <v>178594</v>
      </c>
      <c r="K5" s="631">
        <v>203994</v>
      </c>
      <c r="L5" s="632">
        <v>229394</v>
      </c>
      <c r="M5" s="622"/>
    </row>
    <row r="6" spans="2:13" ht="17.25" customHeight="1" x14ac:dyDescent="0.2">
      <c r="B6" s="629" t="s">
        <v>358</v>
      </c>
      <c r="C6" s="631">
        <v>1588</v>
      </c>
      <c r="D6" s="631">
        <v>26988</v>
      </c>
      <c r="E6" s="631">
        <v>52388</v>
      </c>
      <c r="F6" s="631">
        <v>77788</v>
      </c>
      <c r="G6" s="631">
        <v>103188</v>
      </c>
      <c r="H6" s="631">
        <v>128588</v>
      </c>
      <c r="I6" s="631">
        <v>153388</v>
      </c>
      <c r="J6" s="631">
        <v>179388</v>
      </c>
      <c r="K6" s="631">
        <v>204788</v>
      </c>
      <c r="L6" s="632">
        <v>230188</v>
      </c>
      <c r="M6" s="624"/>
    </row>
    <row r="7" spans="2:13" ht="14.25" x14ac:dyDescent="0.2">
      <c r="B7" s="629" t="s">
        <v>359</v>
      </c>
      <c r="C7" s="631">
        <v>2381</v>
      </c>
      <c r="D7" s="631">
        <v>27781</v>
      </c>
      <c r="E7" s="631">
        <v>53181</v>
      </c>
      <c r="F7" s="631">
        <v>78581</v>
      </c>
      <c r="G7" s="631">
        <v>103981</v>
      </c>
      <c r="H7" s="631">
        <v>129381</v>
      </c>
      <c r="I7" s="631">
        <v>154781</v>
      </c>
      <c r="J7" s="631">
        <v>180181</v>
      </c>
      <c r="K7" s="631">
        <v>205581</v>
      </c>
      <c r="L7" s="632">
        <v>230981</v>
      </c>
      <c r="M7" s="624"/>
    </row>
    <row r="8" spans="2:13" ht="14.25" x14ac:dyDescent="0.2">
      <c r="B8" s="629" t="s">
        <v>360</v>
      </c>
      <c r="C8" s="631">
        <v>3175</v>
      </c>
      <c r="D8" s="631">
        <v>28575</v>
      </c>
      <c r="E8" s="631">
        <v>53975</v>
      </c>
      <c r="F8" s="631">
        <v>79375</v>
      </c>
      <c r="G8" s="631">
        <v>104775</v>
      </c>
      <c r="H8" s="631">
        <v>130175</v>
      </c>
      <c r="I8" s="631">
        <v>155575</v>
      </c>
      <c r="J8" s="631">
        <v>180975</v>
      </c>
      <c r="K8" s="631">
        <v>206375</v>
      </c>
      <c r="L8" s="632">
        <v>231775</v>
      </c>
      <c r="M8" s="624"/>
    </row>
    <row r="9" spans="2:13" ht="14.25" x14ac:dyDescent="0.2">
      <c r="B9" s="629"/>
      <c r="C9" s="630"/>
      <c r="D9" s="630"/>
      <c r="E9" s="630"/>
      <c r="F9" s="630"/>
      <c r="G9" s="630"/>
      <c r="H9" s="630"/>
      <c r="I9" s="630"/>
      <c r="J9" s="630"/>
      <c r="K9" s="630"/>
      <c r="L9" s="633"/>
      <c r="M9" s="623"/>
    </row>
    <row r="10" spans="2:13" ht="14.25" x14ac:dyDescent="0.2">
      <c r="B10" s="629" t="s">
        <v>361</v>
      </c>
      <c r="C10" s="631">
        <v>3969</v>
      </c>
      <c r="D10" s="631">
        <v>29369</v>
      </c>
      <c r="E10" s="631">
        <v>54769</v>
      </c>
      <c r="F10" s="631">
        <v>80169</v>
      </c>
      <c r="G10" s="631">
        <v>105569</v>
      </c>
      <c r="H10" s="631">
        <v>130969</v>
      </c>
      <c r="I10" s="631">
        <v>156369</v>
      </c>
      <c r="J10" s="631">
        <v>181769</v>
      </c>
      <c r="K10" s="631">
        <v>207169</v>
      </c>
      <c r="L10" s="632">
        <v>232569</v>
      </c>
      <c r="M10" s="622"/>
    </row>
    <row r="11" spans="2:13" ht="14.25" x14ac:dyDescent="0.2">
      <c r="B11" s="629" t="s">
        <v>362</v>
      </c>
      <c r="C11" s="631">
        <v>4763</v>
      </c>
      <c r="D11" s="631">
        <v>30163</v>
      </c>
      <c r="E11" s="631">
        <v>55563</v>
      </c>
      <c r="F11" s="631">
        <v>80963</v>
      </c>
      <c r="G11" s="631">
        <v>106363</v>
      </c>
      <c r="H11" s="631">
        <v>131763</v>
      </c>
      <c r="I11" s="631">
        <v>157163</v>
      </c>
      <c r="J11" s="631">
        <v>182563</v>
      </c>
      <c r="K11" s="631">
        <v>207963</v>
      </c>
      <c r="L11" s="632">
        <v>233363</v>
      </c>
      <c r="M11" s="624"/>
    </row>
    <row r="12" spans="2:13" ht="14.25" x14ac:dyDescent="0.2">
      <c r="B12" s="629" t="s">
        <v>363</v>
      </c>
      <c r="C12" s="631">
        <v>5556</v>
      </c>
      <c r="D12" s="631">
        <v>30950</v>
      </c>
      <c r="E12" s="631">
        <v>56356</v>
      </c>
      <c r="F12" s="631">
        <v>81756</v>
      </c>
      <c r="G12" s="631">
        <v>107156</v>
      </c>
      <c r="H12" s="631">
        <v>132556</v>
      </c>
      <c r="I12" s="631">
        <v>157956</v>
      </c>
      <c r="J12" s="631">
        <v>183356</v>
      </c>
      <c r="K12" s="631">
        <v>208756</v>
      </c>
      <c r="L12" s="632">
        <v>234156</v>
      </c>
      <c r="M12" s="622"/>
    </row>
    <row r="13" spans="2:13" ht="14.25" x14ac:dyDescent="0.2">
      <c r="B13" s="629" t="s">
        <v>364</v>
      </c>
      <c r="C13" s="631">
        <v>6350</v>
      </c>
      <c r="D13" s="631">
        <v>31750</v>
      </c>
      <c r="E13" s="631">
        <v>57150</v>
      </c>
      <c r="F13" s="631">
        <v>82550</v>
      </c>
      <c r="G13" s="631">
        <v>107950</v>
      </c>
      <c r="H13" s="631">
        <v>133350</v>
      </c>
      <c r="I13" s="631">
        <v>158750</v>
      </c>
      <c r="J13" s="631">
        <v>184150</v>
      </c>
      <c r="K13" s="631">
        <v>209550</v>
      </c>
      <c r="L13" s="632">
        <v>234950</v>
      </c>
      <c r="M13" s="624"/>
    </row>
    <row r="14" spans="2:13" ht="14.25" x14ac:dyDescent="0.2">
      <c r="B14" s="629"/>
      <c r="C14" s="630"/>
      <c r="D14" s="630"/>
      <c r="E14" s="630"/>
      <c r="F14" s="630"/>
      <c r="G14" s="630"/>
      <c r="H14" s="630"/>
      <c r="I14" s="630"/>
      <c r="J14" s="630"/>
      <c r="K14" s="630"/>
      <c r="L14" s="633"/>
      <c r="M14" s="623"/>
    </row>
    <row r="15" spans="2:13" ht="14.25" x14ac:dyDescent="0.2">
      <c r="B15" s="629" t="s">
        <v>365</v>
      </c>
      <c r="C15" s="631">
        <v>7144</v>
      </c>
      <c r="D15" s="631">
        <v>32544</v>
      </c>
      <c r="E15" s="631">
        <v>57944</v>
      </c>
      <c r="F15" s="631">
        <v>83344</v>
      </c>
      <c r="G15" s="631">
        <v>108744</v>
      </c>
      <c r="H15" s="631">
        <v>134144</v>
      </c>
      <c r="I15" s="631">
        <v>159544</v>
      </c>
      <c r="J15" s="631">
        <v>184944</v>
      </c>
      <c r="K15" s="631">
        <v>210344</v>
      </c>
      <c r="L15" s="632">
        <v>235744</v>
      </c>
      <c r="M15" s="622"/>
    </row>
    <row r="16" spans="2:13" ht="14.25" x14ac:dyDescent="0.2">
      <c r="B16" s="629" t="s">
        <v>366</v>
      </c>
      <c r="C16" s="631">
        <v>7938</v>
      </c>
      <c r="D16" s="631">
        <v>33338</v>
      </c>
      <c r="E16" s="631">
        <v>58738</v>
      </c>
      <c r="F16" s="631">
        <v>84138</v>
      </c>
      <c r="G16" s="631">
        <v>109538</v>
      </c>
      <c r="H16" s="631">
        <v>134938</v>
      </c>
      <c r="I16" s="631">
        <v>160388</v>
      </c>
      <c r="J16" s="631">
        <v>185738</v>
      </c>
      <c r="K16" s="631">
        <v>211138</v>
      </c>
      <c r="L16" s="632">
        <v>236538</v>
      </c>
      <c r="M16" s="624"/>
    </row>
    <row r="17" spans="2:13" ht="14.25" x14ac:dyDescent="0.2">
      <c r="B17" s="629" t="s">
        <v>367</v>
      </c>
      <c r="C17" s="631">
        <v>8731</v>
      </c>
      <c r="D17" s="631">
        <v>34131</v>
      </c>
      <c r="E17" s="631">
        <v>59531</v>
      </c>
      <c r="F17" s="631">
        <v>84931</v>
      </c>
      <c r="G17" s="631">
        <v>110331</v>
      </c>
      <c r="H17" s="631">
        <v>135731</v>
      </c>
      <c r="I17" s="631">
        <v>161131</v>
      </c>
      <c r="J17" s="631">
        <v>186531</v>
      </c>
      <c r="K17" s="631">
        <v>211931</v>
      </c>
      <c r="L17" s="632">
        <v>237331</v>
      </c>
      <c r="M17" s="622"/>
    </row>
    <row r="18" spans="2:13" ht="14.25" x14ac:dyDescent="0.2">
      <c r="B18" s="629" t="s">
        <v>10</v>
      </c>
      <c r="C18" s="631">
        <v>9525</v>
      </c>
      <c r="D18" s="631">
        <v>34925</v>
      </c>
      <c r="E18" s="631">
        <v>60325</v>
      </c>
      <c r="F18" s="631">
        <v>85725</v>
      </c>
      <c r="G18" s="631">
        <v>111125</v>
      </c>
      <c r="H18" s="631">
        <v>136525</v>
      </c>
      <c r="I18" s="631">
        <v>161925</v>
      </c>
      <c r="J18" s="631">
        <v>187325</v>
      </c>
      <c r="K18" s="631">
        <v>212725</v>
      </c>
      <c r="L18" s="632">
        <v>238125</v>
      </c>
      <c r="M18" s="624"/>
    </row>
    <row r="19" spans="2:13" ht="14.25" x14ac:dyDescent="0.2">
      <c r="B19" s="629"/>
      <c r="C19" s="630"/>
      <c r="D19" s="630"/>
      <c r="E19" s="630"/>
      <c r="F19" s="630"/>
      <c r="G19" s="630"/>
      <c r="H19" s="630"/>
      <c r="I19" s="630"/>
      <c r="J19" s="630"/>
      <c r="K19" s="630"/>
      <c r="L19" s="633"/>
      <c r="M19" s="623"/>
    </row>
    <row r="20" spans="2:13" ht="14.25" x14ac:dyDescent="0.2">
      <c r="B20" s="629" t="s">
        <v>368</v>
      </c>
      <c r="C20" s="631">
        <v>10319</v>
      </c>
      <c r="D20" s="631">
        <v>35719</v>
      </c>
      <c r="E20" s="631">
        <v>61119</v>
      </c>
      <c r="F20" s="631">
        <v>86519</v>
      </c>
      <c r="G20" s="631">
        <v>111919</v>
      </c>
      <c r="H20" s="631">
        <v>137319</v>
      </c>
      <c r="I20" s="631">
        <v>162719</v>
      </c>
      <c r="J20" s="631">
        <v>188199</v>
      </c>
      <c r="K20" s="631">
        <v>213519</v>
      </c>
      <c r="L20" s="632">
        <v>238919</v>
      </c>
      <c r="M20" s="622"/>
    </row>
    <row r="21" spans="2:13" ht="14.25" x14ac:dyDescent="0.2">
      <c r="B21" s="629" t="s">
        <v>369</v>
      </c>
      <c r="C21" s="631">
        <v>11113</v>
      </c>
      <c r="D21" s="631">
        <v>36513</v>
      </c>
      <c r="E21" s="631">
        <v>61913</v>
      </c>
      <c r="F21" s="631">
        <v>87313</v>
      </c>
      <c r="G21" s="631">
        <v>112713</v>
      </c>
      <c r="H21" s="631">
        <v>138113</v>
      </c>
      <c r="I21" s="631">
        <v>163513</v>
      </c>
      <c r="J21" s="631">
        <v>188913</v>
      </c>
      <c r="K21" s="631">
        <v>214313</v>
      </c>
      <c r="L21" s="632">
        <v>239713</v>
      </c>
      <c r="M21" s="624"/>
    </row>
    <row r="22" spans="2:13" ht="14.25" x14ac:dyDescent="0.2">
      <c r="B22" s="629" t="s">
        <v>370</v>
      </c>
      <c r="C22" s="631">
        <v>11906</v>
      </c>
      <c r="D22" s="631">
        <v>37306</v>
      </c>
      <c r="E22" s="631">
        <v>62706</v>
      </c>
      <c r="F22" s="631">
        <v>88106</v>
      </c>
      <c r="G22" s="631">
        <v>113506</v>
      </c>
      <c r="H22" s="631">
        <v>138906</v>
      </c>
      <c r="I22" s="631">
        <v>164306</v>
      </c>
      <c r="J22" s="631">
        <v>189706</v>
      </c>
      <c r="K22" s="631">
        <v>215106</v>
      </c>
      <c r="L22" s="632">
        <v>240506</v>
      </c>
      <c r="M22" s="622"/>
    </row>
    <row r="23" spans="2:13" ht="14.25" x14ac:dyDescent="0.2">
      <c r="B23" s="629" t="s">
        <v>11</v>
      </c>
      <c r="C23" s="631">
        <v>12700</v>
      </c>
      <c r="D23" s="631">
        <v>38100</v>
      </c>
      <c r="E23" s="631">
        <v>63500</v>
      </c>
      <c r="F23" s="631">
        <v>88900</v>
      </c>
      <c r="G23" s="631">
        <v>114300</v>
      </c>
      <c r="H23" s="631">
        <v>139700</v>
      </c>
      <c r="I23" s="631">
        <v>165100</v>
      </c>
      <c r="J23" s="631">
        <v>190500</v>
      </c>
      <c r="K23" s="631">
        <v>215900</v>
      </c>
      <c r="L23" s="632">
        <v>241300</v>
      </c>
      <c r="M23" s="624"/>
    </row>
    <row r="24" spans="2:13" ht="14.25" x14ac:dyDescent="0.2">
      <c r="B24" s="629"/>
      <c r="C24" s="630"/>
      <c r="D24" s="630"/>
      <c r="E24" s="630"/>
      <c r="F24" s="630"/>
      <c r="G24" s="630"/>
      <c r="H24" s="630"/>
      <c r="I24" s="630"/>
      <c r="J24" s="630"/>
      <c r="K24" s="630"/>
      <c r="L24" s="633"/>
      <c r="M24" s="623"/>
    </row>
    <row r="25" spans="2:13" ht="14.25" x14ac:dyDescent="0.2">
      <c r="B25" s="629" t="s">
        <v>371</v>
      </c>
      <c r="C25" s="631">
        <v>13494</v>
      </c>
      <c r="D25" s="631">
        <v>38894</v>
      </c>
      <c r="E25" s="631">
        <v>64294</v>
      </c>
      <c r="F25" s="631">
        <v>89694</v>
      </c>
      <c r="G25" s="631">
        <v>115094</v>
      </c>
      <c r="H25" s="631">
        <v>140494</v>
      </c>
      <c r="I25" s="631">
        <v>165894</v>
      </c>
      <c r="J25" s="631">
        <v>191294</v>
      </c>
      <c r="K25" s="631">
        <v>216694</v>
      </c>
      <c r="L25" s="632">
        <v>242094</v>
      </c>
      <c r="M25" s="622"/>
    </row>
    <row r="26" spans="2:13" ht="14.25" x14ac:dyDescent="0.2">
      <c r="B26" s="629" t="s">
        <v>372</v>
      </c>
      <c r="C26" s="631">
        <v>14288</v>
      </c>
      <c r="D26" s="631">
        <v>39688</v>
      </c>
      <c r="E26" s="631">
        <v>65088</v>
      </c>
      <c r="F26" s="631">
        <v>90488</v>
      </c>
      <c r="G26" s="631">
        <v>115888</v>
      </c>
      <c r="H26" s="631">
        <v>141288</v>
      </c>
      <c r="I26" s="631">
        <v>166688</v>
      </c>
      <c r="J26" s="631">
        <v>192088</v>
      </c>
      <c r="K26" s="631">
        <v>217488</v>
      </c>
      <c r="L26" s="632">
        <v>242888</v>
      </c>
      <c r="M26" s="624"/>
    </row>
    <row r="27" spans="2:13" ht="14.25" x14ac:dyDescent="0.2">
      <c r="B27" s="629" t="s">
        <v>373</v>
      </c>
      <c r="C27" s="631">
        <v>15081</v>
      </c>
      <c r="D27" s="631">
        <v>40481</v>
      </c>
      <c r="E27" s="631">
        <v>65881</v>
      </c>
      <c r="F27" s="631">
        <v>91281</v>
      </c>
      <c r="G27" s="631">
        <v>116681</v>
      </c>
      <c r="H27" s="631">
        <v>142081</v>
      </c>
      <c r="I27" s="631">
        <v>167481</v>
      </c>
      <c r="J27" s="631">
        <v>198881</v>
      </c>
      <c r="K27" s="631">
        <v>218281</v>
      </c>
      <c r="L27" s="632">
        <v>243681</v>
      </c>
      <c r="M27" s="622"/>
    </row>
    <row r="28" spans="2:13" ht="14.25" x14ac:dyDescent="0.2">
      <c r="B28" s="629" t="s">
        <v>12</v>
      </c>
      <c r="C28" s="631">
        <v>15875</v>
      </c>
      <c r="D28" s="631">
        <v>41275</v>
      </c>
      <c r="E28" s="631">
        <v>66675</v>
      </c>
      <c r="F28" s="631">
        <v>92075</v>
      </c>
      <c r="G28" s="631">
        <v>117475</v>
      </c>
      <c r="H28" s="631">
        <v>142875</v>
      </c>
      <c r="I28" s="631">
        <v>168275</v>
      </c>
      <c r="J28" s="631">
        <v>193675</v>
      </c>
      <c r="K28" s="631">
        <v>219075</v>
      </c>
      <c r="L28" s="632">
        <v>244475</v>
      </c>
      <c r="M28" s="624"/>
    </row>
    <row r="29" spans="2:13" ht="14.25" x14ac:dyDescent="0.2">
      <c r="B29" s="629"/>
      <c r="C29" s="630"/>
      <c r="D29" s="630"/>
      <c r="E29" s="630"/>
      <c r="F29" s="630"/>
      <c r="G29" s="630"/>
      <c r="H29" s="630"/>
      <c r="I29" s="630"/>
      <c r="J29" s="630"/>
      <c r="K29" s="630"/>
      <c r="L29" s="633"/>
      <c r="M29" s="623"/>
    </row>
    <row r="30" spans="2:13" ht="14.25" x14ac:dyDescent="0.2">
      <c r="B30" s="629" t="s">
        <v>374</v>
      </c>
      <c r="C30" s="631">
        <v>16669</v>
      </c>
      <c r="D30" s="631">
        <v>42069</v>
      </c>
      <c r="E30" s="631">
        <v>67469</v>
      </c>
      <c r="F30" s="631">
        <v>92869</v>
      </c>
      <c r="G30" s="631">
        <v>118269</v>
      </c>
      <c r="H30" s="631">
        <v>143669</v>
      </c>
      <c r="I30" s="631">
        <v>169069</v>
      </c>
      <c r="J30" s="631">
        <v>194469</v>
      </c>
      <c r="K30" s="631">
        <v>219869</v>
      </c>
      <c r="L30" s="632">
        <v>245269</v>
      </c>
      <c r="M30" s="622"/>
    </row>
    <row r="31" spans="2:13" ht="14.25" x14ac:dyDescent="0.2">
      <c r="B31" s="629" t="s">
        <v>375</v>
      </c>
      <c r="C31" s="631">
        <v>17463</v>
      </c>
      <c r="D31" s="631">
        <v>42863</v>
      </c>
      <c r="E31" s="631">
        <v>68263</v>
      </c>
      <c r="F31" s="631">
        <v>93663</v>
      </c>
      <c r="G31" s="631">
        <v>119063</v>
      </c>
      <c r="H31" s="631">
        <v>144463</v>
      </c>
      <c r="I31" s="631">
        <v>169863</v>
      </c>
      <c r="J31" s="631">
        <v>195263</v>
      </c>
      <c r="K31" s="631">
        <v>220663</v>
      </c>
      <c r="L31" s="632">
        <v>246063</v>
      </c>
      <c r="M31" s="624"/>
    </row>
    <row r="32" spans="2:13" ht="14.25" x14ac:dyDescent="0.2">
      <c r="B32" s="629" t="s">
        <v>376</v>
      </c>
      <c r="C32" s="631">
        <v>18256</v>
      </c>
      <c r="D32" s="631">
        <v>43656</v>
      </c>
      <c r="E32" s="631">
        <v>69056</v>
      </c>
      <c r="F32" s="631">
        <v>94456</v>
      </c>
      <c r="G32" s="631">
        <v>119856</v>
      </c>
      <c r="H32" s="631">
        <v>145656</v>
      </c>
      <c r="I32" s="631">
        <v>170656</v>
      </c>
      <c r="J32" s="631">
        <v>196056</v>
      </c>
      <c r="K32" s="631">
        <v>221456</v>
      </c>
      <c r="L32" s="632">
        <v>246856</v>
      </c>
      <c r="M32" s="622"/>
    </row>
    <row r="33" spans="2:13" ht="14.25" x14ac:dyDescent="0.2">
      <c r="B33" s="629" t="s">
        <v>13</v>
      </c>
      <c r="C33" s="631">
        <v>19050</v>
      </c>
      <c r="D33" s="631">
        <v>44450</v>
      </c>
      <c r="E33" s="631">
        <v>69850</v>
      </c>
      <c r="F33" s="631">
        <v>95250</v>
      </c>
      <c r="G33" s="631">
        <v>120650</v>
      </c>
      <c r="H33" s="631">
        <v>146050</v>
      </c>
      <c r="I33" s="631">
        <v>171450</v>
      </c>
      <c r="J33" s="631">
        <v>196850</v>
      </c>
      <c r="K33" s="631">
        <v>222250</v>
      </c>
      <c r="L33" s="632">
        <v>274650</v>
      </c>
      <c r="M33" s="624"/>
    </row>
    <row r="34" spans="2:13" ht="14.25" x14ac:dyDescent="0.2">
      <c r="B34" s="629"/>
      <c r="C34" s="630"/>
      <c r="D34" s="630"/>
      <c r="E34" s="630"/>
      <c r="F34" s="630"/>
      <c r="G34" s="630"/>
      <c r="H34" s="630"/>
      <c r="I34" s="630"/>
      <c r="J34" s="630"/>
      <c r="K34" s="630"/>
      <c r="L34" s="633"/>
      <c r="M34" s="623"/>
    </row>
    <row r="35" spans="2:13" ht="14.25" x14ac:dyDescent="0.2">
      <c r="B35" s="629" t="s">
        <v>377</v>
      </c>
      <c r="C35" s="631">
        <v>19844</v>
      </c>
      <c r="D35" s="631">
        <v>45244</v>
      </c>
      <c r="E35" s="631">
        <v>70644</v>
      </c>
      <c r="F35" s="631">
        <v>96044</v>
      </c>
      <c r="G35" s="631">
        <v>121444</v>
      </c>
      <c r="H35" s="631">
        <v>146844</v>
      </c>
      <c r="I35" s="631">
        <v>172244</v>
      </c>
      <c r="J35" s="631">
        <v>197644</v>
      </c>
      <c r="K35" s="631">
        <v>223044</v>
      </c>
      <c r="L35" s="632">
        <v>248444</v>
      </c>
      <c r="M35" s="622"/>
    </row>
    <row r="36" spans="2:13" ht="14.25" x14ac:dyDescent="0.2">
      <c r="B36" s="629" t="s">
        <v>378</v>
      </c>
      <c r="C36" s="631">
        <v>20638</v>
      </c>
      <c r="D36" s="631">
        <v>46038</v>
      </c>
      <c r="E36" s="631">
        <v>71438</v>
      </c>
      <c r="F36" s="631">
        <v>96838</v>
      </c>
      <c r="G36" s="631">
        <v>122238</v>
      </c>
      <c r="H36" s="631">
        <v>147638</v>
      </c>
      <c r="I36" s="631">
        <v>173038</v>
      </c>
      <c r="J36" s="631">
        <v>198438</v>
      </c>
      <c r="K36" s="631">
        <v>223838</v>
      </c>
      <c r="L36" s="632">
        <v>249238</v>
      </c>
      <c r="M36" s="624"/>
    </row>
    <row r="37" spans="2:13" ht="14.25" x14ac:dyDescent="0.2">
      <c r="B37" s="629" t="s">
        <v>379</v>
      </c>
      <c r="C37" s="631">
        <v>21431</v>
      </c>
      <c r="D37" s="631">
        <v>46831</v>
      </c>
      <c r="E37" s="631">
        <v>72231</v>
      </c>
      <c r="F37" s="631">
        <v>97631</v>
      </c>
      <c r="G37" s="631">
        <v>123031</v>
      </c>
      <c r="H37" s="631">
        <v>148431</v>
      </c>
      <c r="I37" s="631">
        <v>173831</v>
      </c>
      <c r="J37" s="631">
        <v>199231</v>
      </c>
      <c r="K37" s="631">
        <v>224631</v>
      </c>
      <c r="L37" s="632">
        <v>250031</v>
      </c>
      <c r="M37" s="622"/>
    </row>
    <row r="38" spans="2:13" ht="14.25" x14ac:dyDescent="0.2">
      <c r="B38" s="629" t="s">
        <v>14</v>
      </c>
      <c r="C38" s="631">
        <v>22225</v>
      </c>
      <c r="D38" s="631">
        <v>47625</v>
      </c>
      <c r="E38" s="631">
        <v>73025</v>
      </c>
      <c r="F38" s="631">
        <v>98425</v>
      </c>
      <c r="G38" s="631">
        <v>123825</v>
      </c>
      <c r="H38" s="631">
        <v>149255</v>
      </c>
      <c r="I38" s="631">
        <v>174225</v>
      </c>
      <c r="J38" s="631">
        <v>200025</v>
      </c>
      <c r="K38" s="631">
        <v>225425</v>
      </c>
      <c r="L38" s="632">
        <v>250825</v>
      </c>
      <c r="M38" s="624"/>
    </row>
    <row r="39" spans="2:13" ht="14.25" x14ac:dyDescent="0.2">
      <c r="B39" s="629"/>
      <c r="C39" s="630"/>
      <c r="D39" s="630"/>
      <c r="E39" s="630"/>
      <c r="F39" s="630"/>
      <c r="G39" s="630"/>
      <c r="H39" s="630"/>
      <c r="I39" s="630"/>
      <c r="J39" s="630"/>
      <c r="K39" s="630"/>
      <c r="L39" s="633"/>
      <c r="M39" s="623"/>
    </row>
    <row r="40" spans="2:13" ht="14.25" x14ac:dyDescent="0.2">
      <c r="B40" s="629" t="s">
        <v>380</v>
      </c>
      <c r="C40" s="631">
        <v>23019</v>
      </c>
      <c r="D40" s="631">
        <v>48419</v>
      </c>
      <c r="E40" s="631">
        <v>73819</v>
      </c>
      <c r="F40" s="631">
        <v>99219</v>
      </c>
      <c r="G40" s="631">
        <v>124619</v>
      </c>
      <c r="H40" s="631">
        <v>150019</v>
      </c>
      <c r="I40" s="631">
        <v>175419</v>
      </c>
      <c r="J40" s="631">
        <v>200819</v>
      </c>
      <c r="K40" s="631">
        <v>226219</v>
      </c>
      <c r="L40" s="632">
        <v>251619</v>
      </c>
      <c r="M40" s="622"/>
    </row>
    <row r="41" spans="2:13" ht="14.25" x14ac:dyDescent="0.2">
      <c r="B41" s="629" t="s">
        <v>381</v>
      </c>
      <c r="C41" s="631">
        <v>23813</v>
      </c>
      <c r="D41" s="631">
        <v>49213</v>
      </c>
      <c r="E41" s="631">
        <v>74613</v>
      </c>
      <c r="F41" s="631">
        <v>100013</v>
      </c>
      <c r="G41" s="631">
        <v>125413</v>
      </c>
      <c r="H41" s="631">
        <v>150813</v>
      </c>
      <c r="I41" s="631">
        <v>176213</v>
      </c>
      <c r="J41" s="631">
        <v>201613</v>
      </c>
      <c r="K41" s="631">
        <v>227013</v>
      </c>
      <c r="L41" s="632">
        <v>252413</v>
      </c>
      <c r="M41" s="624"/>
    </row>
    <row r="42" spans="2:13" ht="15" thickBot="1" x14ac:dyDescent="0.25">
      <c r="B42" s="634" t="s">
        <v>831</v>
      </c>
      <c r="C42" s="635">
        <v>24606</v>
      </c>
      <c r="D42" s="635">
        <v>50006</v>
      </c>
      <c r="E42" s="635">
        <v>75406</v>
      </c>
      <c r="F42" s="635">
        <v>100806</v>
      </c>
      <c r="G42" s="635">
        <v>126206</v>
      </c>
      <c r="H42" s="635">
        <v>151606</v>
      </c>
      <c r="I42" s="635">
        <v>177006</v>
      </c>
      <c r="J42" s="635">
        <v>202406</v>
      </c>
      <c r="K42" s="635">
        <v>227806</v>
      </c>
      <c r="L42" s="636">
        <v>253206</v>
      </c>
      <c r="M42" s="624"/>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68"/>
      <c r="D3" s="869"/>
      <c r="E3" s="869"/>
      <c r="F3" s="869"/>
      <c r="G3" s="869"/>
      <c r="H3" s="869"/>
      <c r="I3" s="869"/>
      <c r="J3" s="869"/>
      <c r="K3" s="870"/>
      <c r="L3" s="881" t="s">
        <v>382</v>
      </c>
      <c r="M3" s="882"/>
      <c r="N3" s="882"/>
      <c r="O3" s="882"/>
      <c r="P3" s="882"/>
      <c r="Q3" s="882"/>
      <c r="R3" s="882"/>
      <c r="S3" s="882"/>
      <c r="T3" s="882"/>
      <c r="U3" s="882"/>
      <c r="V3" s="882"/>
      <c r="W3" s="882"/>
      <c r="X3" s="883"/>
      <c r="Y3" s="146"/>
    </row>
    <row r="4" spans="2:25" ht="12.75" customHeight="1" x14ac:dyDescent="0.2">
      <c r="B4" s="145"/>
      <c r="C4" s="871"/>
      <c r="D4" s="872"/>
      <c r="E4" s="872"/>
      <c r="F4" s="872"/>
      <c r="G4" s="872"/>
      <c r="H4" s="872"/>
      <c r="I4" s="872"/>
      <c r="J4" s="872"/>
      <c r="K4" s="873"/>
      <c r="L4" s="884"/>
      <c r="M4" s="885"/>
      <c r="N4" s="885"/>
      <c r="O4" s="885"/>
      <c r="P4" s="885"/>
      <c r="Q4" s="885"/>
      <c r="R4" s="885"/>
      <c r="S4" s="885"/>
      <c r="T4" s="885"/>
      <c r="U4" s="885"/>
      <c r="V4" s="885"/>
      <c r="W4" s="885"/>
      <c r="X4" s="886"/>
      <c r="Y4" s="146"/>
    </row>
    <row r="5" spans="2:25" ht="12.75" customHeight="1" x14ac:dyDescent="0.2">
      <c r="B5" s="145"/>
      <c r="C5" s="871"/>
      <c r="D5" s="872"/>
      <c r="E5" s="872"/>
      <c r="F5" s="872"/>
      <c r="G5" s="872"/>
      <c r="H5" s="872"/>
      <c r="I5" s="872"/>
      <c r="J5" s="872"/>
      <c r="K5" s="873"/>
      <c r="L5" s="884"/>
      <c r="M5" s="885"/>
      <c r="N5" s="885"/>
      <c r="O5" s="885"/>
      <c r="P5" s="885"/>
      <c r="Q5" s="885"/>
      <c r="R5" s="885"/>
      <c r="S5" s="885"/>
      <c r="T5" s="885"/>
      <c r="U5" s="885"/>
      <c r="V5" s="885"/>
      <c r="W5" s="885"/>
      <c r="X5" s="886"/>
      <c r="Y5" s="146"/>
    </row>
    <row r="6" spans="2:25" ht="12.75" customHeight="1" x14ac:dyDescent="0.2">
      <c r="B6" s="145"/>
      <c r="C6" s="871"/>
      <c r="D6" s="872"/>
      <c r="E6" s="872"/>
      <c r="F6" s="872"/>
      <c r="G6" s="872"/>
      <c r="H6" s="872"/>
      <c r="I6" s="872"/>
      <c r="J6" s="872"/>
      <c r="K6" s="873"/>
      <c r="L6" s="884"/>
      <c r="M6" s="885"/>
      <c r="N6" s="885"/>
      <c r="O6" s="885"/>
      <c r="P6" s="885"/>
      <c r="Q6" s="885"/>
      <c r="R6" s="885"/>
      <c r="S6" s="885"/>
      <c r="T6" s="885"/>
      <c r="U6" s="885"/>
      <c r="V6" s="885"/>
      <c r="W6" s="885"/>
      <c r="X6" s="886"/>
      <c r="Y6" s="146"/>
    </row>
    <row r="7" spans="2:25" ht="13.5" customHeight="1" thickBot="1" x14ac:dyDescent="0.25">
      <c r="B7" s="145"/>
      <c r="C7" s="874"/>
      <c r="D7" s="875"/>
      <c r="E7" s="875"/>
      <c r="F7" s="875"/>
      <c r="G7" s="875"/>
      <c r="H7" s="875"/>
      <c r="I7" s="875"/>
      <c r="J7" s="875"/>
      <c r="K7" s="876"/>
      <c r="L7" s="887"/>
      <c r="M7" s="888"/>
      <c r="N7" s="888"/>
      <c r="O7" s="888"/>
      <c r="P7" s="888"/>
      <c r="Q7" s="888"/>
      <c r="R7" s="888"/>
      <c r="S7" s="888"/>
      <c r="T7" s="888"/>
      <c r="U7" s="888"/>
      <c r="V7" s="888"/>
      <c r="W7" s="888"/>
      <c r="X7" s="889"/>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90" t="s">
        <v>383</v>
      </c>
      <c r="D9" s="890"/>
      <c r="E9" s="890"/>
      <c r="F9" s="890"/>
      <c r="G9" s="890"/>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91" t="s">
        <v>385</v>
      </c>
      <c r="E11" s="891"/>
      <c r="F11" s="891"/>
      <c r="G11" s="891"/>
      <c r="H11" s="141"/>
      <c r="I11" s="156" t="s">
        <v>384</v>
      </c>
      <c r="J11" s="877">
        <v>762</v>
      </c>
      <c r="K11" s="878"/>
      <c r="L11" s="141"/>
      <c r="M11" s="141"/>
      <c r="N11" s="141"/>
      <c r="O11" s="141"/>
      <c r="P11" s="141"/>
      <c r="Q11" s="141"/>
      <c r="R11" s="141"/>
      <c r="S11" s="141"/>
      <c r="T11" s="141"/>
      <c r="U11" s="141"/>
      <c r="V11" s="141"/>
      <c r="W11" s="141"/>
      <c r="X11" s="141"/>
      <c r="Y11" s="146"/>
    </row>
    <row r="12" spans="2:25" ht="13.5" thickBot="1" x14ac:dyDescent="0.25">
      <c r="B12" s="145"/>
      <c r="C12" s="151" t="s">
        <v>386</v>
      </c>
      <c r="D12" s="891" t="s">
        <v>469</v>
      </c>
      <c r="E12" s="891"/>
      <c r="F12" s="891"/>
      <c r="G12" s="891"/>
      <c r="H12" s="141"/>
      <c r="I12" s="156" t="s">
        <v>386</v>
      </c>
      <c r="J12" s="877">
        <v>1829</v>
      </c>
      <c r="K12" s="878"/>
      <c r="L12" s="141"/>
      <c r="M12" s="141"/>
      <c r="N12" s="894">
        <f>(((PI()*(J12/1000/2)^2)*J13/1000)-((PI()*(J11/1000/2)^2)*J13/1000))*7.85</f>
        <v>20.453734607667172</v>
      </c>
      <c r="O12" s="894"/>
      <c r="P12" s="894"/>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77">
        <v>1200</v>
      </c>
      <c r="K13" s="878"/>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90" t="s">
        <v>387</v>
      </c>
      <c r="D15" s="890"/>
      <c r="E15" s="890"/>
      <c r="F15" s="890"/>
      <c r="G15" s="890"/>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91">
        <v>508</v>
      </c>
      <c r="E17" s="891"/>
      <c r="F17" s="891"/>
      <c r="G17" s="891"/>
      <c r="H17" s="141"/>
      <c r="I17" s="141" t="s">
        <v>85</v>
      </c>
      <c r="J17" s="141"/>
      <c r="K17" s="141"/>
      <c r="L17" s="879">
        <v>0.6</v>
      </c>
      <c r="M17" s="880"/>
      <c r="N17" s="157" t="s">
        <v>350</v>
      </c>
      <c r="O17" s="141"/>
      <c r="P17" s="141"/>
      <c r="Q17" s="141"/>
      <c r="R17" s="141"/>
      <c r="S17" s="141"/>
      <c r="T17" s="141"/>
      <c r="U17" s="141"/>
      <c r="V17" s="141"/>
      <c r="W17" s="141"/>
      <c r="X17" s="141"/>
      <c r="Y17" s="146"/>
    </row>
    <row r="18" spans="2:25" ht="13.5" thickBot="1" x14ac:dyDescent="0.25">
      <c r="B18" s="145"/>
      <c r="C18" s="151" t="s">
        <v>386</v>
      </c>
      <c r="D18" s="891" t="s">
        <v>389</v>
      </c>
      <c r="E18" s="891"/>
      <c r="F18" s="891"/>
      <c r="G18" s="891"/>
      <c r="H18" s="141"/>
      <c r="I18" s="141" t="s">
        <v>390</v>
      </c>
      <c r="J18" s="141"/>
      <c r="K18" s="141"/>
      <c r="L18" s="877">
        <v>109</v>
      </c>
      <c r="M18" s="878"/>
      <c r="N18" s="157" t="s">
        <v>9</v>
      </c>
      <c r="O18" s="141"/>
      <c r="Q18" s="895">
        <f>(L17*1000)/((L19/1000)*(L18/1000)*7850)</f>
        <v>233.74043125109569</v>
      </c>
      <c r="R18" s="895"/>
      <c r="S18" s="895"/>
      <c r="T18" s="157" t="s">
        <v>391</v>
      </c>
      <c r="U18" s="141"/>
      <c r="V18" s="141"/>
      <c r="W18" s="141"/>
      <c r="X18" s="141"/>
      <c r="Y18" s="146"/>
    </row>
    <row r="19" spans="2:25" ht="13.5" thickBot="1" x14ac:dyDescent="0.25">
      <c r="B19" s="145"/>
      <c r="C19" s="151"/>
      <c r="D19" s="159"/>
      <c r="E19" s="159"/>
      <c r="F19" s="159"/>
      <c r="G19" s="159"/>
      <c r="H19" s="141"/>
      <c r="I19" s="160" t="s">
        <v>95</v>
      </c>
      <c r="J19" s="141"/>
      <c r="K19" s="141"/>
      <c r="L19" s="877">
        <v>3</v>
      </c>
      <c r="M19" s="878"/>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79">
        <v>0.6</v>
      </c>
      <c r="M21" s="880"/>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95">
        <f>L21*1000/L23</f>
        <v>233.73587845734318</v>
      </c>
      <c r="R22" s="895"/>
      <c r="S22" s="895"/>
      <c r="T22" s="157" t="s">
        <v>391</v>
      </c>
      <c r="U22" s="141"/>
      <c r="V22" s="141"/>
      <c r="W22" s="141"/>
      <c r="X22" s="141"/>
      <c r="Y22" s="146"/>
    </row>
    <row r="23" spans="2:25" ht="13.5" thickBot="1" x14ac:dyDescent="0.25">
      <c r="B23" s="145"/>
      <c r="C23" s="151"/>
      <c r="D23" s="159"/>
      <c r="E23" s="159"/>
      <c r="F23" s="159"/>
      <c r="G23" s="159"/>
      <c r="H23" s="141"/>
      <c r="I23" s="153" t="s">
        <v>392</v>
      </c>
      <c r="J23" s="141"/>
      <c r="K23" s="141"/>
      <c r="L23" s="892">
        <v>2.5670000000000002</v>
      </c>
      <c r="M23" s="893"/>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68"/>
      <c r="D3" s="869"/>
      <c r="E3" s="869"/>
      <c r="F3" s="869"/>
      <c r="G3" s="869"/>
      <c r="H3" s="869"/>
      <c r="I3" s="869"/>
      <c r="J3" s="869"/>
      <c r="K3" s="870"/>
      <c r="L3" s="898" t="s">
        <v>395</v>
      </c>
      <c r="M3" s="899"/>
      <c r="N3" s="899"/>
      <c r="O3" s="899"/>
      <c r="P3" s="899"/>
      <c r="Q3" s="899"/>
      <c r="R3" s="899"/>
      <c r="S3" s="899"/>
      <c r="T3" s="899"/>
      <c r="U3" s="899"/>
      <c r="V3" s="899"/>
      <c r="W3" s="899"/>
      <c r="X3" s="899"/>
      <c r="Y3" s="899"/>
      <c r="Z3" s="899"/>
      <c r="AA3" s="899"/>
      <c r="AB3" s="899"/>
      <c r="AC3" s="899"/>
      <c r="AD3" s="899"/>
      <c r="AE3" s="899"/>
      <c r="AF3" s="899"/>
      <c r="AG3" s="899"/>
      <c r="AH3" s="899"/>
      <c r="AI3" s="899"/>
      <c r="AJ3" s="899"/>
      <c r="AK3" s="899"/>
      <c r="AL3" s="899"/>
      <c r="AM3" s="899"/>
      <c r="AN3" s="899"/>
      <c r="AO3" s="899"/>
      <c r="AP3" s="899"/>
      <c r="AQ3" s="899"/>
      <c r="AR3" s="899"/>
      <c r="AS3" s="899"/>
      <c r="AT3" s="899"/>
      <c r="AU3" s="900"/>
      <c r="AV3" s="146"/>
    </row>
    <row r="4" spans="2:48" ht="12.75" customHeight="1" x14ac:dyDescent="0.2">
      <c r="B4" s="145"/>
      <c r="C4" s="871"/>
      <c r="D4" s="872"/>
      <c r="E4" s="872"/>
      <c r="F4" s="872"/>
      <c r="G4" s="872"/>
      <c r="H4" s="872"/>
      <c r="I4" s="872"/>
      <c r="J4" s="872"/>
      <c r="K4" s="873"/>
      <c r="L4" s="901"/>
      <c r="M4" s="902"/>
      <c r="N4" s="902"/>
      <c r="O4" s="902"/>
      <c r="P4" s="902"/>
      <c r="Q4" s="902"/>
      <c r="R4" s="902"/>
      <c r="S4" s="902"/>
      <c r="T4" s="902"/>
      <c r="U4" s="902"/>
      <c r="V4" s="902"/>
      <c r="W4" s="902"/>
      <c r="X4" s="902"/>
      <c r="Y4" s="902"/>
      <c r="Z4" s="902"/>
      <c r="AA4" s="902"/>
      <c r="AB4" s="902"/>
      <c r="AC4" s="902"/>
      <c r="AD4" s="902"/>
      <c r="AE4" s="902"/>
      <c r="AF4" s="902"/>
      <c r="AG4" s="902"/>
      <c r="AH4" s="902"/>
      <c r="AI4" s="902"/>
      <c r="AJ4" s="902"/>
      <c r="AK4" s="902"/>
      <c r="AL4" s="902"/>
      <c r="AM4" s="902"/>
      <c r="AN4" s="902"/>
      <c r="AO4" s="902"/>
      <c r="AP4" s="902"/>
      <c r="AQ4" s="902"/>
      <c r="AR4" s="902"/>
      <c r="AS4" s="902"/>
      <c r="AT4" s="902"/>
      <c r="AU4" s="903"/>
      <c r="AV4" s="146"/>
    </row>
    <row r="5" spans="2:48" ht="12.75" customHeight="1" x14ac:dyDescent="0.2">
      <c r="B5" s="145"/>
      <c r="C5" s="871"/>
      <c r="D5" s="872"/>
      <c r="E5" s="872"/>
      <c r="F5" s="872"/>
      <c r="G5" s="872"/>
      <c r="H5" s="872"/>
      <c r="I5" s="872"/>
      <c r="J5" s="872"/>
      <c r="K5" s="873"/>
      <c r="L5" s="901"/>
      <c r="M5" s="902"/>
      <c r="N5" s="902"/>
      <c r="O5" s="902"/>
      <c r="P5" s="902"/>
      <c r="Q5" s="902"/>
      <c r="R5" s="902"/>
      <c r="S5" s="902"/>
      <c r="T5" s="902"/>
      <c r="U5" s="902"/>
      <c r="V5" s="902"/>
      <c r="W5" s="902"/>
      <c r="X5" s="902"/>
      <c r="Y5" s="902"/>
      <c r="Z5" s="902"/>
      <c r="AA5" s="902"/>
      <c r="AB5" s="902"/>
      <c r="AC5" s="902"/>
      <c r="AD5" s="902"/>
      <c r="AE5" s="902"/>
      <c r="AF5" s="902"/>
      <c r="AG5" s="902"/>
      <c r="AH5" s="902"/>
      <c r="AI5" s="902"/>
      <c r="AJ5" s="902"/>
      <c r="AK5" s="902"/>
      <c r="AL5" s="902"/>
      <c r="AM5" s="902"/>
      <c r="AN5" s="902"/>
      <c r="AO5" s="902"/>
      <c r="AP5" s="902"/>
      <c r="AQ5" s="902"/>
      <c r="AR5" s="902"/>
      <c r="AS5" s="902"/>
      <c r="AT5" s="902"/>
      <c r="AU5" s="903"/>
      <c r="AV5" s="146"/>
    </row>
    <row r="6" spans="2:48" ht="12.75" customHeight="1" x14ac:dyDescent="0.2">
      <c r="B6" s="145"/>
      <c r="C6" s="871"/>
      <c r="D6" s="872"/>
      <c r="E6" s="872"/>
      <c r="F6" s="872"/>
      <c r="G6" s="872"/>
      <c r="H6" s="872"/>
      <c r="I6" s="872"/>
      <c r="J6" s="872"/>
      <c r="K6" s="873"/>
      <c r="L6" s="901"/>
      <c r="M6" s="902"/>
      <c r="N6" s="902"/>
      <c r="O6" s="902"/>
      <c r="P6" s="902"/>
      <c r="Q6" s="902"/>
      <c r="R6" s="902"/>
      <c r="S6" s="902"/>
      <c r="T6" s="902"/>
      <c r="U6" s="902"/>
      <c r="V6" s="902"/>
      <c r="W6" s="902"/>
      <c r="X6" s="902"/>
      <c r="Y6" s="902"/>
      <c r="Z6" s="902"/>
      <c r="AA6" s="902"/>
      <c r="AB6" s="902"/>
      <c r="AC6" s="902"/>
      <c r="AD6" s="902"/>
      <c r="AE6" s="902"/>
      <c r="AF6" s="902"/>
      <c r="AG6" s="902"/>
      <c r="AH6" s="902"/>
      <c r="AI6" s="902"/>
      <c r="AJ6" s="902"/>
      <c r="AK6" s="902"/>
      <c r="AL6" s="902"/>
      <c r="AM6" s="902"/>
      <c r="AN6" s="902"/>
      <c r="AO6" s="902"/>
      <c r="AP6" s="902"/>
      <c r="AQ6" s="902"/>
      <c r="AR6" s="902"/>
      <c r="AS6" s="902"/>
      <c r="AT6" s="902"/>
      <c r="AU6" s="903"/>
      <c r="AV6" s="146"/>
    </row>
    <row r="7" spans="2:48" ht="13.5" customHeight="1" thickBot="1" x14ac:dyDescent="0.25">
      <c r="B7" s="145"/>
      <c r="C7" s="874"/>
      <c r="D7" s="875"/>
      <c r="E7" s="875"/>
      <c r="F7" s="875"/>
      <c r="G7" s="875"/>
      <c r="H7" s="875"/>
      <c r="I7" s="875"/>
      <c r="J7" s="875"/>
      <c r="K7" s="876"/>
      <c r="L7" s="904"/>
      <c r="M7" s="905"/>
      <c r="N7" s="905"/>
      <c r="O7" s="905"/>
      <c r="P7" s="905"/>
      <c r="Q7" s="905"/>
      <c r="R7" s="905"/>
      <c r="S7" s="905"/>
      <c r="T7" s="905"/>
      <c r="U7" s="905"/>
      <c r="V7" s="905"/>
      <c r="W7" s="905"/>
      <c r="X7" s="905"/>
      <c r="Y7" s="905"/>
      <c r="Z7" s="905"/>
      <c r="AA7" s="905"/>
      <c r="AB7" s="905"/>
      <c r="AC7" s="905"/>
      <c r="AD7" s="905"/>
      <c r="AE7" s="905"/>
      <c r="AF7" s="905"/>
      <c r="AG7" s="905"/>
      <c r="AH7" s="905"/>
      <c r="AI7" s="905"/>
      <c r="AJ7" s="905"/>
      <c r="AK7" s="905"/>
      <c r="AL7" s="905"/>
      <c r="AM7" s="905"/>
      <c r="AN7" s="905"/>
      <c r="AO7" s="905"/>
      <c r="AP7" s="905"/>
      <c r="AQ7" s="905"/>
      <c r="AR7" s="905"/>
      <c r="AS7" s="905"/>
      <c r="AT7" s="905"/>
      <c r="AU7" s="906"/>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90" t="s">
        <v>395</v>
      </c>
      <c r="D9" s="890"/>
      <c r="E9" s="890"/>
      <c r="F9" s="890"/>
      <c r="G9" s="890"/>
      <c r="H9" s="890"/>
      <c r="I9" s="890"/>
      <c r="J9" s="890"/>
      <c r="K9" s="894">
        <f>D11+(D12/6)+(D13/15)+(D14/5)+(D15/13)+(D16/4)</f>
        <v>0.16255512820512821</v>
      </c>
      <c r="L9" s="894"/>
      <c r="M9" s="161" t="s">
        <v>292</v>
      </c>
      <c r="N9" s="141"/>
      <c r="O9" s="141"/>
      <c r="P9" s="141"/>
      <c r="Q9" s="141"/>
      <c r="R9" s="141"/>
      <c r="S9" s="141"/>
      <c r="T9" s="141"/>
      <c r="U9" s="141"/>
      <c r="V9" s="141"/>
      <c r="W9" s="141"/>
      <c r="X9" s="141"/>
      <c r="Y9" s="162"/>
      <c r="Z9" s="890" t="s">
        <v>395</v>
      </c>
      <c r="AA9" s="890"/>
      <c r="AB9" s="890"/>
      <c r="AC9" s="890"/>
      <c r="AD9" s="890"/>
      <c r="AE9" s="890"/>
      <c r="AF9" s="890"/>
      <c r="AG9" s="890"/>
      <c r="AH9" s="894">
        <f>AA11+AA12/6+(AA13+AA14+AA15)/5+(AA16+AA17)/15</f>
        <v>0.16283333333333333</v>
      </c>
      <c r="AI9" s="894"/>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6">
        <v>0.08</v>
      </c>
      <c r="E11" s="897"/>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6">
        <v>0.08</v>
      </c>
      <c r="AB11" s="897"/>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6">
        <v>0.47099999999999997</v>
      </c>
      <c r="E12" s="897"/>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6">
        <v>0.47099999999999997</v>
      </c>
      <c r="AB12" s="897"/>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6">
        <v>4.0000000000000001E-3</v>
      </c>
      <c r="E13" s="897"/>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6">
        <v>1.4999999999999999E-2</v>
      </c>
      <c r="AB13" s="897"/>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6">
        <v>1.4999999999999999E-2</v>
      </c>
      <c r="E14" s="897"/>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6">
        <v>1E-3</v>
      </c>
      <c r="AB14" s="897"/>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6">
        <v>7.0000000000000001E-3</v>
      </c>
      <c r="E15" s="897"/>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6">
        <v>2E-3</v>
      </c>
      <c r="AB15" s="897"/>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6">
        <v>1E-3</v>
      </c>
      <c r="E16" s="897"/>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6">
        <v>4.0000000000000001E-3</v>
      </c>
      <c r="AB16" s="897"/>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6">
        <v>7.0000000000000001E-3</v>
      </c>
      <c r="AB17" s="897"/>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5"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7"/>
      <c r="C2" s="907"/>
      <c r="D2" s="907"/>
      <c r="E2" s="907"/>
      <c r="Q2" s="732" t="s">
        <v>560</v>
      </c>
      <c r="R2" s="732"/>
      <c r="S2" s="732"/>
      <c r="T2" s="732"/>
      <c r="U2" s="732"/>
      <c r="V2" s="732"/>
      <c r="W2" s="732"/>
      <c r="X2" s="732"/>
    </row>
    <row r="3" spans="2:24" ht="19.5" thickBot="1" x14ac:dyDescent="0.25">
      <c r="B3" s="732" t="s">
        <v>571</v>
      </c>
      <c r="C3" s="732"/>
      <c r="D3" s="732"/>
      <c r="E3" s="732"/>
    </row>
    <row r="4" spans="2:24" ht="7.5" customHeight="1" thickBot="1" x14ac:dyDescent="0.25">
      <c r="B4" s="32"/>
      <c r="C4" s="32"/>
      <c r="D4" s="32"/>
      <c r="E4" s="71"/>
    </row>
    <row r="5" spans="2:24" x14ac:dyDescent="0.2">
      <c r="B5" s="462"/>
      <c r="C5" s="463" t="s">
        <v>561</v>
      </c>
      <c r="D5" s="464">
        <v>150</v>
      </c>
      <c r="E5" s="28" t="s">
        <v>9</v>
      </c>
      <c r="G5">
        <v>82.688702386860399</v>
      </c>
    </row>
    <row r="6" spans="2:24" x14ac:dyDescent="0.2">
      <c r="B6" s="462"/>
      <c r="C6" s="463" t="s">
        <v>562</v>
      </c>
      <c r="D6" s="464">
        <v>84</v>
      </c>
      <c r="E6" s="28" t="s">
        <v>563</v>
      </c>
      <c r="G6">
        <v>32.194127845257697</v>
      </c>
    </row>
    <row r="7" spans="2:24" x14ac:dyDescent="0.2">
      <c r="B7" s="462"/>
      <c r="C7" s="463" t="s">
        <v>564</v>
      </c>
      <c r="D7" s="465">
        <v>480</v>
      </c>
      <c r="E7" s="28" t="s">
        <v>310</v>
      </c>
      <c r="G7">
        <v>15.1011245789048</v>
      </c>
    </row>
    <row r="8" spans="2:24" ht="15" x14ac:dyDescent="0.25">
      <c r="B8" s="462"/>
      <c r="C8" s="463" t="s">
        <v>565</v>
      </c>
      <c r="D8" s="466">
        <v>520990</v>
      </c>
      <c r="E8" s="28" t="s">
        <v>319</v>
      </c>
      <c r="G8">
        <v>3.2768125708321098E-2</v>
      </c>
      <c r="H8" s="350" t="s">
        <v>566</v>
      </c>
    </row>
    <row r="9" spans="2:24" x14ac:dyDescent="0.2">
      <c r="B9" s="462"/>
      <c r="C9" s="463" t="s">
        <v>567</v>
      </c>
      <c r="D9" s="356">
        <f>D5*G5+D6*G6+D7*G7+D8*G8-G9</f>
        <v>9436.7540819842179</v>
      </c>
      <c r="E9" s="28" t="s">
        <v>568</v>
      </c>
      <c r="G9">
        <v>29991.263625699001</v>
      </c>
    </row>
    <row r="10" spans="2:24" x14ac:dyDescent="0.2">
      <c r="B10" s="407"/>
      <c r="C10" s="133"/>
      <c r="D10" s="28"/>
      <c r="E10" s="28"/>
    </row>
    <row r="12" spans="2:24" ht="18.75" x14ac:dyDescent="0.2">
      <c r="B12" s="732" t="s">
        <v>569</v>
      </c>
      <c r="C12" s="732"/>
      <c r="D12" s="732"/>
    </row>
    <row r="13" spans="2:24" ht="7.5" customHeight="1" x14ac:dyDescent="0.2"/>
    <row r="14" spans="2:24" x14ac:dyDescent="0.2">
      <c r="B14" s="463" t="s">
        <v>408</v>
      </c>
      <c r="C14" s="466">
        <v>50000</v>
      </c>
      <c r="D14" s="444" t="s">
        <v>568</v>
      </c>
    </row>
    <row r="15" spans="2:24" x14ac:dyDescent="0.2">
      <c r="B15" s="463" t="s">
        <v>409</v>
      </c>
      <c r="C15" s="466">
        <v>75000</v>
      </c>
      <c r="D15" s="444" t="s">
        <v>568</v>
      </c>
    </row>
    <row r="35" spans="17:24" x14ac:dyDescent="0.2">
      <c r="Q35" s="908" t="s">
        <v>570</v>
      </c>
      <c r="R35" s="908"/>
      <c r="S35" s="908"/>
      <c r="T35" s="908"/>
      <c r="U35" s="908"/>
      <c r="V35" s="908"/>
      <c r="W35" s="908"/>
      <c r="X35" s="908"/>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8</vt:i4>
      </vt:variant>
    </vt:vector>
  </HeadingPairs>
  <TitlesOfParts>
    <vt:vector size="30"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2022-04-08T15:30:15Z</dcterms:modified>
</cp:coreProperties>
</file>