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
  <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 Id="xvbaRibbonId93" Type="http://schemas.microsoft.com/office/2007/relationships/ui/extensibility" Target="customUI/customUI14.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9364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K41" i="39" l="1"/>
  <c r="O80" i="39" l="1"/>
  <c r="Z36" i="39" l="1"/>
  <c r="Z35" i="39"/>
  <c r="Z34" i="39"/>
  <c r="Z33" i="39"/>
  <c r="O18" i="43" l="1"/>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J18" i="43" l="1" a="1"/>
  <c r="J18" i="43" s="1"/>
  <c r="O21" i="43" s="1"/>
  <c r="O27" i="43" l="1"/>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J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<sst xmlns="http://schemas.openxmlformats.org/spreadsheetml/2006/main" count="2422" uniqueCount="935">
  <si>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</si>
  <si>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</si>
  <si>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</si>
  <si>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</si>
  <si>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</si>
  <si>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</si>
  <si>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</si>
  <si>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</si>
  <si>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</si>
  <si>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</si>
  <si>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</si>
  <si>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</si>
  <si>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</si>
  <si>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</si>
  <si>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</si>
  <si>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</si>
  <si>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</si>
  <si>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</si>
  <si>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</si>
  <si>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</si>
  <si>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</si>
  <si>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</si>
  <si>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</si>
  <si>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</si>
  <si>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</si>
  <si>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</si>
  <si>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</si>
  <si>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</si>
  <si>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</si>
  <si>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</si>
  <si>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</si>
  <si>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</si>
  <si>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</si>
  <si>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</si>
  <si>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</si>
  <si>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</si>
  <si>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</si>
  <si>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</si>
  <si>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</si>
  <si>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</si>
  <si>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</si>
  <si>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</si>
  <si>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</si>
  <si>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</si>
  <si>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</si>
  <si>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</si>
  <si>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</si>
  <si>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</si>
  <si>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</si>
  <si>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</si>
  <si>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</si>
  <si>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</si>
  <si>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</si>
  <si>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</si>
  <si>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</si>
  <si>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</si>
  <si>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</si>
  <si>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</si>
  <si>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</si>
  <si>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</si>
  <si>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</si>
  <si>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</si>
  <si>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</si>
  <si>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</si>
  <si>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</si>
  <si>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</si>
  <si>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</si>
  <si>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</si>
  <si>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</si>
  <si>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</si>
  <si>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</si>
  <si>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</si>
  <si>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</si>
  <si>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</si>
  <si>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</si>
  <si>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</si>
  <si>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</si>
  <si>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</si>
  <si>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</si>
  <si>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</si>
  <si>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</si>
  <si>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</si>
  <si>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</si>
  <si>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</si>
  <si>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</si>
  <si>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</si>
  <si>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</si>
  <si>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</si>
  <si>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</si>
  <si>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</si>
  <si>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</si>
  <si>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</si>
  <si>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</si>
  <si>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</si>
  <si>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</si>
  <si>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</si>
  <si>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</si>
  <si>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</si>
  <si>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</si>
  <si>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</si>
  <si>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</si>
  <si>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</si>
  <si>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</si>
  <si>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</si>
  <si>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</si>
  <si>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</si>
  <si>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</si>
  <si>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</si>
  <si>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</si>
  <si>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</si>
  <si>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</si>
  <si>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</si>
  <si>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</si>
  <si>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</si>
  <si>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</si>
  <si>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</si>
  <si>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</si>
  <si>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</si>
  <si>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</si>
  <si>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</si>
  <si>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</si>
  <si>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</si>
  <si>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</si>
  <si>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</si>
  <si>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</si>
  <si>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</si>
  <si>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</si>
  <si>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</si>
  <si>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</si>
  <si>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</si>
  <si>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</si>
  <si>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</si>
  <si>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</si>
  <si>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</si>
  <si>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</si>
  <si>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</si>
  <si>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</si>
  <si>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</si>
  <si>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</si>
  <si>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</si>
  <si>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</si>
  <si>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</si>
  <si>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</si>
  <si>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</si>
  <si>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</si>
  <si>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</si>
  <si>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</si>
  <si>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</si>
  <si>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</si>
  <si>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</si>
  <si>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</si>
  <si>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</si>
  <si>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</si>
  <si>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</si>
  <si>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</si>
  <si>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</si>
  <si>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</si>
  <si>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</si>
  <si>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</si>
  <si>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</si>
  <si>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</si>
  <si>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</si>
  <si>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</si>
  <si>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</si>
  <si>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</si>
  <si>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</si>
  <si>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</si>
  <si>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</si>
  <si>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</si>
  <si>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</si>
  <si>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</si>
  <si>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</si>
  <si>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</si>
  <si>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</si>
  <si>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</si>
  <si>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</si>
  <si>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</si>
  <si>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</si>
  <si>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</si>
  <si>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</si>
  <si>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</si>
  <si>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</si>
  <si>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</si>
  <si>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</si>
  <si>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</si>
  <si>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</si>
  <si>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</si>
  <si>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</si>
  <si>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</si>
  <si>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</si>
  <si>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</si>
  <si>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</si>
  <si>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</si>
  <si>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</si>
  <si>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</si>
  <si>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</si>
  <si>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</si>
  <si>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</si>
  <si>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</si>
  <si>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</si>
  <si>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</si>
  <si>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</si>
  <si>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</si>
  <si>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</si>
  <si>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</si>
  <si>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</si>
  <si>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</si>
  <si>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</si>
  <si>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</si>
  <si>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</si>
  <si>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</si>
  <si>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</si>
  <si>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</si>
  <si>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</si>
  <si>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</si>
  <si>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</si>
  <si>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</si>
  <si>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</si>
  <si>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</si>
  <si>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</si>
  <si>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</si>
  <si>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</si>
  <si>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</si>
  <si>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</si>
  <si>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</si>
  <si>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</si>
  <si>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</si>
  <si>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</si>
  <si>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</si>
  <si>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</si>
  <si>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</si>
  <si>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</si>
  <si>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</si>
  <si>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</si>
  <si>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</si>
  <si>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</si>
  <si>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</si>
  <si>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</si>
  <si>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</si>
  <si>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</si>
  <si>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</si>
  <si>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</si>
  <si>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</si>
  <si>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</si>
  <si>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</si>
  <si>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</si>
  <si>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</si>
  <si>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</si>
  <si>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</si>
  <si>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</si>
  <si>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</si>
  <si>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</si>
  <si>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</si>
  <si>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</si>
  <si>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</si>
  <si>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</si>
  <si>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</si>
  <si>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</si>
  <si>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</si>
  <si>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</si>
  <si>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</si>
  <si>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</si>
  <si>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</si>
  <si>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</si>
  <si>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</si>
  <si>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</si>
  <si>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</si>
  <si>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</si>
  <si>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</si>
  <si>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</si>
  <si>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</si>
  <si>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</si>
  <si>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</si>
  <si>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</si>
  <si>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</si>
  <si>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</si>
  <si>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</si>
  <si>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</si>
  <si>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</si>
  <si>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</si>
  <si>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</si>
  <si>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</si>
  <si>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</si>
  <si>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</si>
  <si>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</si>
  <si>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</si>
  <si>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</si>
  <si>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</si>
  <si>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</si>
  <si>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</si>
  <si>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</si>
  <si>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</si>
  <si>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</si>
  <si>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</si>
  <si>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</si>
  <si>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</si>
  <si>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</si>
  <si>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</si>
  <si>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</si>
  <si>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</si>
  <si>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</si>
  <si>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</si>
  <si>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</si>
  <si>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</si>
  <si>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</si>
  <si>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</si>
  <si>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</si>
  <si>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</si>
  <si>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</si>
  <si>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</si>
  <si>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</si>
  <si>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</si>
  <si>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</si>
  <si>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</si>
  <si>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</si>
  <si>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</si>
  <si>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</si>
  <si>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</si>
  <si>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</si>
  <si>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</si>
  <si>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</si>
  <si>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</si>
  <si>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</si>
  <si>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</si>
  <si>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</si>
  <si>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</si>
  <si>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</si>
  <si>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</si>
  <si>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</si>
  <si>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</si>
  <si>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</si>
  <si>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</si>
  <si>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</si>
  <si>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</si>
  <si>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</si>
  <si>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</si>
  <si>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</si>
  <si>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</si>
  <si>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</si>
  <si>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</si>
  <si>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</si>
  <si>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</si>
  <si>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</si>
  <si>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</si>
  <si>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</si>
  <si>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</si>
  <si>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</si>
  <si>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</si>
  <si>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</si>
  <si>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</si>
  <si>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</si>
  <si>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</si>
  <si>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</si>
  <si>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</si>
  <si>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</si>
  <si>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</si>
  <si>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</si>
  <si>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</si>
  <si>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</si>
  <si>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</si>
  <si>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</si>
  <si>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</si>
  <si>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</si>
  <si>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</si>
  <si>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</si>
  <si>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</si>
  <si>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</si>
  <si>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</si>
  <si>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</si>
  <si>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</si>
  <si>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</si>
  <si>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</si>
  <si>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</si>
  <si>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</si>
  <si>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</si>
  <si>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</si>
  <si>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</si>
  <si>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</si>
  <si>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</si>
  <si>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</si>
  <si>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</si>
  <si>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</si>
  <si>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</si>
  <si>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</si>
  <si>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</si>
  <si>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</si>
  <si>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</si>
  <si>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</si>
  <si>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</si>
  <si>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</si>
  <si>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</si>
  <si>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</si>
  <si>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</si>
  <si>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</si>
  <si>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</si>
  <si>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</si>
  <si>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</si>
  <si>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</si>
  <si>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</si>
  <si>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</si>
  <si>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</si>
  <si>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</si>
  <si>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</si>
  <si>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</si>
  <si>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</si>
  <si>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</si>
  <si>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</si>
  <si>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</si>
  <si>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</si>
  <si>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</si>
  <si>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</si>
  <si>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</si>
  <si>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</si>
  <si>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</si>
  <si>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</si>
  <si>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</si>
  <si>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</si>
  <si>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</si>
  <si>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</si>
  <si>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</si>
  <si>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</si>
  <si>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</si>
  <si>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</si>
  <si>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</si>
  <si>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</si>
  <si>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</si>
  <si>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</si>
  <si>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</si>
  <si>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</si>
  <si>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</si>
  <si>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</si>
  <si>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</si>
  <si>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</si>
  <si>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</si>
  <si>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</si>
  <si>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</si>
  <si>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</si>
  <si>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</si>
  <si>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</si>
  <si>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</si>
  <si>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</si>
  <si>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</si>
  <si>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</si>
  <si>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</si>
  <si>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</si>
  <si>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</si>
  <si>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</si>
  <si>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</si>
  <si>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</si>
  <si>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</si>
  <si>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</si>
  <si>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</si>
  <si>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</si>
  <si>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</si>
  <si>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</si>
  <si>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</si>
  <si>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</si>
  <si>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</si>
  <si>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</si>
  <si>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</si>
  <si>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</si>
  <si>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</si>
  <si>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</si>
  <si>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</si>
  <si>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</si>
  <si>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</si>
  <si>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</si>
  <si>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</si>
  <si>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</si>
  <si>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</si>
  <si>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</si>
  <si>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</si>
  <si>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</si>
  <si>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</si>
  <si>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</si>
  <si>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</si>
  <si>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</si>
  <si>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</si>
  <si>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</si>
  <si>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</si>
  <si>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</si>
  <si>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</si>
  <si>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</si>
  <si>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</si>
  <si>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</si>
  <si>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</si>
  <si>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</si>
  <si>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</si>
  <si>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</si>
  <si>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</si>
  <si>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</si>
  <si>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</si>
  <si>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</si>
  <si>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</si>
  <si>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</si>
  <si>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</si>
  <si>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</si>
  <si>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</si>
  <si>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</si>
  <si>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</si>
  <si>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</si>
  <si>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</si>
  <si>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</si>
  <si>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</si>
  <si>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</si>
  <si>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</si>
  <si>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</si>
  <si>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</si>
  <si>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</si>
  <si>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</si>
  <si>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</si>
  <si>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</si>
  <si>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</si>
  <si>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</si>
  <si>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</si>
  <si>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</si>
  <si>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</si>
  <si>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</si>
  <si>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</si>
  <si>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</si>
  <si>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</si>
  <si>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</si>
  <si>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</si>
  <si>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</si>
  <si>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</si>
  <si>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</si>
  <si>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</si>
  <si>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</si>
  <si>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</si>
  <si>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</si>
  <si>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</si>
  <si>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</si>
  <si>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</si>
  <si>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</si>
  <si>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</si>
  <si>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</si>
  <si>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</si>
  <si>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</si>
  <si>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</si>
  <si>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</si>
  <si>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</si>
  <si>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</si>
  <si>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</si>
  <si>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</si>
  <si>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</si>
  <si>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</si>
  <si>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</si>
  <si>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</si>
  <si>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</si>
  <si>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</si>
  <si>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</si>
  <si>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</si>
  <si>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</si>
  <si>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</si>
  <si>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</si>
  <si>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</si>
  <si>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</si>
  <si>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</si>
  <si>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</si>
  <si>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</si>
  <si>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</si>
  <si>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</si>
  <si>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</si>
  <si>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</si>
  <si>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</si>
  <si>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</si>
  <si>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</si>
  <si>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</si>
  <si>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</si>
  <si>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</si>
  <si>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</si>
  <si>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</si>
  <si>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</si>
  <si>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</si>
  <si>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</si>
  <si>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</si>
  <si>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</si>
  <si>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</si>
  <si>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</si>
  <si>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</si>
  <si>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</si>
  <si>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</si>
  <si>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</si>
  <si>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</si>
  <si>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</si>
  <si>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</si>
  <si>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</si>
  <si>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</si>
  <si>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</si>
  <si>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</si>
  <si>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</si>
  <si>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</si>
  <si>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</si>
  <si>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</si>
  <si>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</si>
  <si>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</si>
  <si>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</si>
  <si>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</si>
  <si>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</si>
  <si>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</si>
  <si>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</si>
  <si>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</si>
  <si>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</si>
  <si>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</si>
  <si>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</si>
  <si>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</si>
  <si>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</si>
  <si>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</si>
  <si>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</si>
  <si>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</si>
  <si>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</si>
  <si>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</si>
  <si>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</si>
  <si>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</si>
  <si>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</si>
  <si>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</si>
  <si>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</si>
  <si>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</si>
  <si>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</si>
  <si>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</si>
  <si>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</si>
  <si>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</si>
  <si>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</si>
  <si>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</si>
  <si>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</si>
  <si>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</si>
  <si>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</si>
  <si>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</si>
  <si>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</si>
  <si>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</si>
  <si>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</si>
  <si>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</si>
  <si>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</si>
  <si>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</si>
  <si>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</si>
  <si>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</si>
  <si>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</si>
  <si>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</si>
  <si>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</si>
  <si>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</si>
  <si>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</si>
  <si>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</si>
  <si>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</si>
  <si>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</si>
  <si>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</si>
  <si>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</si>
  <si>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</si>
  <si>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</si>
  <si>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</si>
  <si>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</si>
  <si>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</si>
  <si>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</si>
  <si>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</si>
  <si>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</si>
  <si>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</si>
  <si>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Auxílio de Calculo</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</si>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</sst>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44" formatCode="_-&quot;R$&quot;\ * #,##0.00_-;\-&quot;R$&quot;\ * #,##0.00_-;_-&quot;R$&quot;\ * &quot;-&quot;??_-;_-@_-"/>
    <numFmt numFmtId="43" formatCode="_-* #,##0.00_-;\-* #,##0.00_-;_-* &quot;-&quot;??_-;_-@_-"/>
    <numFmt numFmtId="164" formatCode="_(&quot;R$ &quot;* #,##0.00_);_(&quot;R$ &quot;* \(#,##0.00\);_(&quot;R$ &quot;* &quot;-&quot;??_);_(@_)"/>
    <numFmt numFmtId="165" formatCode="_(* #,##0.00_);_(* \(#,##0.00\);_(* &quot;-&quot;??_);_(@_)"/>
    <numFmt numFmtId="166" formatCode="0.0"/>
    <numFmt numFmtId="167" formatCode="0.000"/>
    <numFmt numFmtId="168" formatCode="0.00000"/>
    <numFmt numFmtId="169" formatCode="0.0%"/>
    <numFmt numFmtId="170" formatCode="0.0\ &quot;x esp&quot;"/>
    <numFmt numFmtId="171" formatCode="0\°"/>
    <numFmt numFmtId="172" formatCode="0.00\ &quot;s&quot;"/>
    <numFmt numFmtId="173" formatCode="0.0000"/>
    <numFmt numFmtId="174"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4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09">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6"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6"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4"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7" fontId="0" fillId="9" borderId="37" xfId="0" applyNumberFormat="1" applyFill="1" applyBorder="1" applyAlignment="1">
      <alignment horizontal="center"/>
    </xf>
    <xf numFmtId="168" fontId="0" fillId="12" borderId="37" xfId="0" applyNumberFormat="1" applyFill="1" applyBorder="1" applyAlignment="1">
      <alignment horizontal="center"/>
    </xf>
    <xf numFmtId="167"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6" fontId="0" fillId="12" borderId="40" xfId="0" applyNumberFormat="1" applyFont="1" applyFill="1" applyBorder="1" applyAlignment="1">
      <alignment horizontal="center"/>
    </xf>
    <xf numFmtId="0" fontId="0" fillId="8" borderId="0" xfId="0" applyFill="1" applyBorder="1"/>
    <xf numFmtId="167"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7" fontId="0" fillId="8" borderId="0" xfId="0" applyNumberFormat="1" applyFill="1"/>
    <xf numFmtId="166"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6"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44" fontId="30" fillId="9" borderId="37" xfId="3" applyFont="1" applyFill="1" applyBorder="1" applyAlignment="1">
      <alignment horizontal="center"/>
    </xf>
    <xf numFmtId="44" fontId="3" fillId="8" borderId="0" xfId="3" applyFont="1" applyFill="1"/>
    <xf numFmtId="4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43" fontId="0" fillId="0" borderId="37" xfId="0" applyNumberFormat="1" applyBorder="1"/>
    <xf numFmtId="0" fontId="9" fillId="12" borderId="40" xfId="0" applyFont="1" applyFill="1" applyBorder="1"/>
    <xf numFmtId="0" fontId="0" fillId="12" borderId="0" xfId="0" applyFill="1" applyBorder="1"/>
    <xf numFmtId="164"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4"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44" fontId="30" fillId="14" borderId="37" xfId="3" applyFont="1" applyFill="1" applyBorder="1" applyAlignment="1">
      <alignment horizontal="left"/>
    </xf>
    <xf numFmtId="0" fontId="3" fillId="14" borderId="37" xfId="0" applyFont="1" applyFill="1" applyBorder="1" applyAlignment="1">
      <alignment horizontal="left"/>
    </xf>
    <xf numFmtId="164"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4"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4" fontId="0" fillId="15" borderId="39" xfId="0" applyNumberFormat="1" applyFill="1" applyBorder="1" applyAlignment="1">
      <alignment horizontal="center"/>
    </xf>
    <xf numFmtId="164"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6"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6" fontId="0" fillId="12" borderId="46" xfId="0" applyNumberFormat="1" applyFill="1" applyBorder="1" applyAlignment="1">
      <alignment horizontal="center"/>
    </xf>
    <xf numFmtId="0" fontId="11" fillId="8" borderId="0" xfId="0" applyFont="1" applyFill="1" applyAlignment="1">
      <alignment horizontal="right"/>
    </xf>
    <xf numFmtId="164"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7"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6" fontId="0" fillId="8" borderId="0" xfId="0" applyNumberFormat="1" applyFill="1"/>
    <xf numFmtId="169"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43"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7" fontId="0" fillId="8" borderId="37" xfId="0" applyNumberFormat="1" applyFont="1" applyFill="1" applyBorder="1" applyAlignment="1">
      <alignment horizontal="center"/>
    </xf>
    <xf numFmtId="166"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6" fontId="0" fillId="8" borderId="37" xfId="0" applyNumberFormat="1" applyFill="1" applyBorder="1" applyAlignment="1">
      <alignment horizontal="center"/>
    </xf>
    <xf numFmtId="166"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1"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1" fontId="0" fillId="18" borderId="47" xfId="0" applyNumberFormat="1" applyFill="1" applyBorder="1" applyAlignment="1">
      <alignment horizontal="center" vertical="center"/>
    </xf>
    <xf numFmtId="0" fontId="0" fillId="18" borderId="47" xfId="0" applyFill="1" applyBorder="1" applyAlignment="1">
      <alignment horizontal="center"/>
    </xf>
    <xf numFmtId="166"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6"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2"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1"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1" fontId="31" fillId="8" borderId="0" xfId="0" applyNumberFormat="1" applyFont="1" applyFill="1" applyBorder="1" applyAlignment="1">
      <alignment horizontal="right"/>
    </xf>
    <xf numFmtId="171" fontId="31" fillId="8" borderId="0" xfId="0" applyNumberFormat="1" applyFont="1" applyFill="1" applyBorder="1" applyAlignment="1">
      <alignment horizontal="center"/>
    </xf>
    <xf numFmtId="171" fontId="31" fillId="8" borderId="0" xfId="0" applyNumberFormat="1" applyFont="1" applyFill="1" applyBorder="1" applyAlignment="1">
      <alignment horizontal="left"/>
    </xf>
    <xf numFmtId="172"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6"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6" fontId="30" fillId="8" borderId="0" xfId="4" applyNumberFormat="1" applyFont="1" applyFill="1" applyBorder="1" applyAlignment="1">
      <alignment horizontal="center"/>
    </xf>
    <xf numFmtId="2" fontId="0" fillId="8" borderId="0" xfId="0" applyNumberFormat="1" applyFill="1" applyBorder="1" applyAlignment="1">
      <alignment vertical="center"/>
    </xf>
    <xf numFmtId="167"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6" fontId="0" fillId="15" borderId="31" xfId="0" applyNumberFormat="1" applyFill="1" applyBorder="1" applyAlignment="1">
      <alignment horizontal="center"/>
    </xf>
    <xf numFmtId="166"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7"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6"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3" fontId="49" fillId="11" borderId="37" xfId="0" applyNumberFormat="1" applyFont="1" applyFill="1" applyBorder="1" applyAlignment="1">
      <alignment horizontal="center"/>
    </xf>
    <xf numFmtId="173" fontId="0" fillId="21" borderId="52" xfId="0" applyNumberFormat="1" applyFill="1" applyBorder="1" applyAlignment="1">
      <alignment horizontal="center" vertical="center"/>
    </xf>
    <xf numFmtId="173"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6" fontId="0" fillId="15" borderId="32" xfId="0" applyNumberFormat="1" applyFill="1" applyBorder="1" applyAlignment="1">
      <alignment horizontal="center"/>
    </xf>
    <xf numFmtId="166"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6" fontId="44" fillId="11" borderId="37" xfId="5" applyNumberFormat="1" applyFont="1" applyFill="1" applyBorder="1" applyAlignment="1">
      <alignment horizontal="center"/>
    </xf>
    <xf numFmtId="0" fontId="0" fillId="12" borderId="37" xfId="0" applyFill="1" applyBorder="1" applyAlignment="1">
      <alignment horizontal="left" vertical="center"/>
    </xf>
    <xf numFmtId="166"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6"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7"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6" fontId="0" fillId="13" borderId="37" xfId="0" applyNumberFormat="1" applyFill="1" applyBorder="1" applyAlignment="1">
      <alignment horizontal="center"/>
    </xf>
    <xf numFmtId="0" fontId="0" fillId="12" borderId="37" xfId="0" applyFill="1" applyBorder="1" applyAlignment="1">
      <alignment horizontal="right" vertical="center"/>
    </xf>
    <xf numFmtId="167" fontId="0" fillId="13" borderId="37" xfId="0" applyNumberFormat="1" applyFill="1" applyBorder="1" applyAlignment="1">
      <alignment horizontal="center" vertical="center"/>
    </xf>
    <xf numFmtId="166"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6"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7"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6"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7"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6"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6"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6"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6"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6"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7"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7" fontId="59" fillId="19" borderId="65" xfId="17" applyNumberFormat="1" applyProtection="1">
      <alignment horizontal="center" vertical="center"/>
    </xf>
    <xf numFmtId="1" fontId="59" fillId="19" borderId="65" xfId="17" applyNumberFormat="1" applyProtection="1">
      <alignment horizontal="center" vertical="center"/>
    </xf>
    <xf numFmtId="166"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7"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7"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44" fontId="59" fillId="35" borderId="65" xfId="19" applyNumberFormat="1" applyProtection="1">
      <alignment horizontal="center" vertical="center"/>
    </xf>
    <xf numFmtId="4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44" fontId="59" fillId="35" borderId="76" xfId="19" applyNumberFormat="1" applyBorder="1" applyProtection="1">
      <alignment horizontal="center" vertical="center"/>
    </xf>
    <xf numFmtId="44" fontId="59" fillId="36" borderId="76" xfId="20" applyNumberFormat="1" applyBorder="1">
      <alignment horizontal="center" vertical="center"/>
    </xf>
    <xf numFmtId="44" fontId="59" fillId="19" borderId="76" xfId="17" applyNumberFormat="1" applyBorder="1" applyProtection="1">
      <alignment horizontal="center" vertical="center"/>
    </xf>
    <xf numFmtId="4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7"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7"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7"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44" fontId="59" fillId="40" borderId="76" xfId="3" applyFont="1" applyFill="1" applyBorder="1" applyAlignment="1">
      <alignment vertical="center"/>
    </xf>
    <xf numFmtId="174"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0"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44" fontId="59" fillId="35" borderId="65" xfId="3" applyFont="1" applyFill="1" applyBorder="1" applyAlignment="1" applyProtection="1">
      <alignment horizontal="center" vertical="center"/>
    </xf>
    <xf numFmtId="4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65" fillId="38" borderId="79" xfId="22" applyBorder="1" applyAlignment="1">
      <alignment horizontal="center" vertical="center"/>
    </xf>
    <xf numFmtId="0" fontId="65" fillId="38" borderId="0" xfId="22"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6" fontId="40" fillId="22" borderId="40" xfId="0" applyNumberFormat="1" applyFont="1" applyFill="1" applyBorder="1" applyAlignment="1">
      <alignment horizontal="center"/>
    </xf>
    <xf numFmtId="166"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7" fontId="40" fillId="17" borderId="0" xfId="0" applyNumberFormat="1" applyFont="1" applyFill="1" applyBorder="1" applyAlignment="1">
      <alignment horizontal="center"/>
    </xf>
    <xf numFmtId="166" fontId="40" fillId="17" borderId="0" xfId="0" applyNumberFormat="1" applyFont="1" applyFill="1" applyBorder="1" applyAlignment="1">
      <alignment horizontal="center"/>
    </xf>
    <xf numFmtId="0" fontId="40" fillId="22" borderId="0" xfId="0" applyFont="1" applyFill="1" applyAlignment="1">
      <alignment horizontal="center"/>
    </xf>
    <xf numFmtId="167"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6" fontId="0" fillId="0" borderId="0" xfId="0" applyNumberFormat="1" applyAlignment="1">
      <alignment horizontal="center"/>
    </xf>
    <xf numFmtId="0" fontId="40" fillId="22" borderId="0" xfId="0" applyFont="1" applyFill="1" applyBorder="1" applyAlignment="1">
      <alignment horizontal="center"/>
    </xf>
    <xf numFmtId="166"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1">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C$21"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514350</xdr:colOff>
          <xdr:row>20</xdr:row>
          <xdr:rowOff>9525</xdr:rowOff>
        </xdr:from>
        <xdr:to>
          <xdr:col>3</xdr:col>
          <xdr:colOff>114300</xdr:colOff>
          <xdr:row>21</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20</xdr:row>
          <xdr:rowOff>9525</xdr:rowOff>
        </xdr:from>
        <xdr:to>
          <xdr:col>5</xdr:col>
          <xdr:colOff>114300</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2" sqref="E22"/>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53" t="str">
        <f>LOOKUP(2,1/($B$164:B186&lt;&gt;""),$B$164:B186)&amp;"_"&amp;TEXT(LOOKUP(2,1/(P164:P186&lt;&gt;""),P164:P186),"aaaa")</f>
        <v>Versão 2.0_2022</v>
      </c>
      <c r="P2" s="753"/>
      <c r="Q2" s="444"/>
    </row>
    <row r="3" spans="2:21" ht="15" customHeight="1" x14ac:dyDescent="0.2">
      <c r="B3" s="445"/>
      <c r="C3" s="754"/>
      <c r="D3" s="755"/>
      <c r="E3" s="755"/>
      <c r="F3" s="755"/>
      <c r="G3" s="760" t="s">
        <v>740</v>
      </c>
      <c r="H3" s="760"/>
      <c r="I3" s="760"/>
      <c r="J3" s="760"/>
      <c r="K3" s="760"/>
      <c r="L3" s="760"/>
      <c r="M3" s="760"/>
      <c r="N3" s="760"/>
      <c r="O3" s="760"/>
      <c r="P3" s="760"/>
      <c r="Q3" s="446"/>
    </row>
    <row r="4" spans="2:21" ht="15" customHeight="1" x14ac:dyDescent="0.2">
      <c r="B4" s="445"/>
      <c r="C4" s="756"/>
      <c r="D4" s="757"/>
      <c r="E4" s="757"/>
      <c r="F4" s="757"/>
      <c r="G4" s="760"/>
      <c r="H4" s="760"/>
      <c r="I4" s="760"/>
      <c r="J4" s="760"/>
      <c r="K4" s="760"/>
      <c r="L4" s="760"/>
      <c r="M4" s="760"/>
      <c r="N4" s="760"/>
      <c r="O4" s="760"/>
      <c r="P4" s="760"/>
      <c r="Q4" s="446"/>
    </row>
    <row r="5" spans="2:21" ht="15" customHeight="1" x14ac:dyDescent="0.2">
      <c r="B5" s="445"/>
      <c r="C5" s="758"/>
      <c r="D5" s="759"/>
      <c r="E5" s="759"/>
      <c r="F5" s="759"/>
      <c r="G5" s="760"/>
      <c r="H5" s="760"/>
      <c r="I5" s="760"/>
      <c r="J5" s="760"/>
      <c r="K5" s="760"/>
      <c r="L5" s="760"/>
      <c r="M5" s="760"/>
      <c r="N5" s="760"/>
      <c r="O5" s="760"/>
      <c r="P5" s="760"/>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61" t="s">
        <v>736</v>
      </c>
      <c r="D8" s="761"/>
      <c r="E8" s="766" t="str">
        <f ca="1">IFERROR(MID(CELL("nome.arquivo",A1),FIND("]",CELL("nome.arquivo",A1))+1,LEN(CELL("nome.arquivo",A1) )),"{Salvar Este Arquivo}")</f>
        <v>PJT XXXX</v>
      </c>
      <c r="F8" s="766"/>
      <c r="G8" s="182"/>
      <c r="H8" s="761" t="s">
        <v>739</v>
      </c>
      <c r="I8" s="761"/>
      <c r="J8" s="767"/>
      <c r="K8" s="767"/>
      <c r="L8" s="767"/>
      <c r="M8" s="431"/>
      <c r="N8" s="763" t="s">
        <v>657</v>
      </c>
      <c r="O8" s="764"/>
      <c r="P8" s="765"/>
      <c r="Q8" s="446"/>
    </row>
    <row r="9" spans="2:21" ht="15" customHeight="1" x14ac:dyDescent="0.2">
      <c r="B9" s="445"/>
      <c r="C9" s="431"/>
      <c r="D9" s="431"/>
      <c r="E9" s="766"/>
      <c r="F9" s="766"/>
      <c r="G9" s="182"/>
      <c r="H9" s="431"/>
      <c r="I9" s="431"/>
      <c r="J9" s="767"/>
      <c r="K9" s="767"/>
      <c r="L9" s="767"/>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61" t="s">
        <v>656</v>
      </c>
      <c r="D11" s="761"/>
      <c r="E11" s="762"/>
      <c r="F11" s="762"/>
      <c r="G11" s="762"/>
      <c r="H11" s="762"/>
      <c r="I11" s="762"/>
      <c r="J11" s="762"/>
      <c r="K11" s="431"/>
      <c r="L11" s="586" t="s">
        <v>854</v>
      </c>
      <c r="M11" s="431"/>
      <c r="N11" s="459"/>
      <c r="O11" s="467" t="s">
        <v>738</v>
      </c>
      <c r="P11" s="468"/>
      <c r="Q11" s="446"/>
    </row>
    <row r="12" spans="2:21" ht="15" customHeight="1" x14ac:dyDescent="0.2">
      <c r="B12" s="445"/>
      <c r="C12" s="761" t="s">
        <v>658</v>
      </c>
      <c r="D12" s="761"/>
      <c r="E12" s="762"/>
      <c r="F12" s="762"/>
      <c r="G12" s="762"/>
      <c r="H12" s="762"/>
      <c r="I12" s="762"/>
      <c r="J12" s="762"/>
      <c r="K12" s="431"/>
      <c r="L12" s="478">
        <v>0</v>
      </c>
      <c r="M12" s="431"/>
      <c r="N12" s="460"/>
      <c r="O12" s="431" t="s">
        <v>675</v>
      </c>
      <c r="P12" s="461"/>
      <c r="Q12" s="446"/>
    </row>
    <row r="13" spans="2:21" ht="15" customHeight="1" x14ac:dyDescent="0.2">
      <c r="B13" s="445"/>
      <c r="C13" s="761" t="s">
        <v>660</v>
      </c>
      <c r="D13" s="761"/>
      <c r="E13" s="768"/>
      <c r="F13" s="768"/>
      <c r="G13" s="768"/>
      <c r="H13" s="768"/>
      <c r="I13" s="768"/>
      <c r="J13" s="768"/>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1" t="s">
        <v>692</v>
      </c>
      <c r="D15" s="741"/>
      <c r="E15" s="741"/>
      <c r="F15" s="741"/>
      <c r="G15" s="741"/>
      <c r="H15" s="741"/>
      <c r="I15" s="741"/>
      <c r="J15" s="741"/>
      <c r="K15" s="741"/>
      <c r="L15" s="741"/>
      <c r="M15" s="741"/>
      <c r="N15" s="741"/>
      <c r="O15" s="741"/>
      <c r="P15" s="741"/>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38" t="s">
        <v>907</v>
      </c>
      <c r="D17" s="739"/>
      <c r="E17" s="739"/>
      <c r="F17" s="498">
        <v>1</v>
      </c>
      <c r="G17" s="499"/>
      <c r="H17" s="726" t="s">
        <v>431</v>
      </c>
      <c r="I17" s="726"/>
      <c r="J17" s="726" t="s">
        <v>667</v>
      </c>
      <c r="K17" s="726"/>
      <c r="L17" s="431"/>
      <c r="M17" s="770" t="s">
        <v>661</v>
      </c>
      <c r="N17" s="770"/>
      <c r="O17" s="447"/>
      <c r="P17" s="448" t="s">
        <v>761</v>
      </c>
      <c r="Q17" s="446"/>
      <c r="R17"/>
      <c r="S17"/>
      <c r="T17"/>
      <c r="U17"/>
    </row>
    <row r="18" spans="2:26" ht="15" customHeight="1" x14ac:dyDescent="0.2">
      <c r="B18" s="445"/>
      <c r="C18" s="738" t="s">
        <v>908</v>
      </c>
      <c r="D18" s="739"/>
      <c r="E18" s="739"/>
      <c r="F18" s="498"/>
      <c r="G18" s="499"/>
      <c r="H18" s="438">
        <f>ROUND((7.85*IF(E22&lt;&gt;0,E22,E24)*G22)/1000,3)</f>
        <v>0</v>
      </c>
      <c r="I18" s="439" t="s">
        <v>432</v>
      </c>
      <c r="J18" s="438">
        <f>(I22*H18)/1000</f>
        <v>0</v>
      </c>
      <c r="K18" s="439" t="s">
        <v>843</v>
      </c>
      <c r="L18" s="431"/>
      <c r="M18" s="431"/>
      <c r="N18" s="431"/>
      <c r="O18" s="449" t="str">
        <f>IFERROR((O17*1000)/H18,"")</f>
        <v/>
      </c>
      <c r="P18" s="448" t="s">
        <v>662</v>
      </c>
      <c r="Q18" s="446"/>
      <c r="R18"/>
      <c r="S18"/>
      <c r="T18"/>
      <c r="U18"/>
    </row>
    <row r="19" spans="2:26" ht="15" customHeight="1" x14ac:dyDescent="0.2">
      <c r="B19" s="445"/>
      <c r="C19" s="738" t="s">
        <v>909</v>
      </c>
      <c r="D19" s="739"/>
      <c r="E19" s="739"/>
      <c r="F19" s="498"/>
      <c r="G19" s="499"/>
      <c r="H19" s="431"/>
      <c r="I19" s="431"/>
      <c r="J19" s="431"/>
      <c r="K19" s="431"/>
      <c r="L19" s="431"/>
      <c r="M19" s="431"/>
      <c r="N19" s="431"/>
      <c r="O19" s="449" t="str">
        <f>IFERROR(ROUNDUP((O17*1000)/J18,0),"")</f>
        <v/>
      </c>
      <c r="P19" s="448" t="s">
        <v>663</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26" t="s">
        <v>665</v>
      </c>
      <c r="D21" s="726"/>
      <c r="E21" s="726" t="s">
        <v>666</v>
      </c>
      <c r="F21" s="726"/>
      <c r="G21" s="726" t="s">
        <v>117</v>
      </c>
      <c r="H21" s="726"/>
      <c r="I21" s="726" t="s">
        <v>664</v>
      </c>
      <c r="J21" s="726"/>
      <c r="K21" s="431"/>
      <c r="L21" s="431"/>
      <c r="M21" s="431"/>
      <c r="N21" s="494" t="s">
        <v>680</v>
      </c>
      <c r="O21" s="500"/>
      <c r="P21" s="501" t="s">
        <v>759</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26" t="s">
        <v>858</v>
      </c>
      <c r="F23" s="726"/>
      <c r="G23" s="431"/>
      <c r="H23" s="431"/>
      <c r="I23" s="431"/>
      <c r="J23" s="431"/>
      <c r="K23" s="431"/>
      <c r="L23" s="771" t="s">
        <v>790</v>
      </c>
      <c r="M23" s="771"/>
      <c r="N23" s="771"/>
      <c r="O23" s="486" t="s">
        <v>753</v>
      </c>
      <c r="P23" s="486" t="s">
        <v>754</v>
      </c>
      <c r="Q23" s="446"/>
    </row>
    <row r="24" spans="2:26" ht="15" customHeight="1" x14ac:dyDescent="0.2">
      <c r="B24" s="445"/>
      <c r="C24" s="431"/>
      <c r="D24" s="431"/>
      <c r="E24" s="437">
        <f>ROUND((C22-(G22/2))*PI(),0)</f>
        <v>0</v>
      </c>
      <c r="F24" s="440" t="s">
        <v>30</v>
      </c>
      <c r="G24" s="431"/>
      <c r="H24" s="431"/>
      <c r="I24" s="427"/>
      <c r="J24" s="431"/>
      <c r="K24" s="431"/>
      <c r="L24" s="739" t="s">
        <v>757</v>
      </c>
      <c r="M24" s="739"/>
      <c r="N24" s="769"/>
      <c r="O24" s="502" t="s">
        <v>138</v>
      </c>
      <c r="P24" s="502" t="s">
        <v>138</v>
      </c>
      <c r="Q24" s="446"/>
      <c r="R24"/>
    </row>
    <row r="25" spans="2:26" ht="15" customHeight="1" x14ac:dyDescent="0.2">
      <c r="B25" s="445"/>
      <c r="C25" s="431"/>
      <c r="D25" s="431"/>
      <c r="E25" s="427"/>
      <c r="F25" s="431"/>
      <c r="G25" s="427"/>
      <c r="H25" s="427"/>
      <c r="I25" s="427"/>
      <c r="J25" s="427"/>
      <c r="K25" s="431"/>
      <c r="L25" s="739" t="s">
        <v>758</v>
      </c>
      <c r="M25" s="739"/>
      <c r="N25" s="769"/>
      <c r="O25" s="502" t="s">
        <v>138</v>
      </c>
      <c r="P25" s="502" t="s">
        <v>138</v>
      </c>
      <c r="Q25" s="446"/>
    </row>
    <row r="26" spans="2:26" ht="15" customHeight="1" x14ac:dyDescent="0.2">
      <c r="B26" s="445"/>
      <c r="C26" s="726" t="s">
        <v>668</v>
      </c>
      <c r="D26" s="726"/>
      <c r="E26" s="726" t="s">
        <v>669</v>
      </c>
      <c r="F26" s="726"/>
      <c r="G26" s="726" t="s">
        <v>671</v>
      </c>
      <c r="H26" s="726"/>
      <c r="I26" s="726" t="s">
        <v>670</v>
      </c>
      <c r="J26" s="726"/>
      <c r="K26" s="182"/>
      <c r="L26" s="739" t="s">
        <v>755</v>
      </c>
      <c r="M26" s="739"/>
      <c r="N26" s="769"/>
      <c r="O26" s="502" t="s">
        <v>138</v>
      </c>
      <c r="P26" s="502" t="s">
        <v>138</v>
      </c>
      <c r="Q26" s="446"/>
      <c r="R26"/>
    </row>
    <row r="27" spans="2:26" ht="15" customHeight="1" x14ac:dyDescent="0.2">
      <c r="B27" s="445"/>
      <c r="C27" s="742" t="b">
        <v>0</v>
      </c>
      <c r="D27" s="742"/>
      <c r="E27" s="742" t="b">
        <v>0</v>
      </c>
      <c r="F27" s="742"/>
      <c r="G27" s="742" t="b">
        <v>0</v>
      </c>
      <c r="H27" s="742"/>
      <c r="I27" s="742" t="b">
        <v>0</v>
      </c>
      <c r="J27" s="742"/>
      <c r="K27" s="182"/>
      <c r="L27" s="739" t="s">
        <v>756</v>
      </c>
      <c r="M27" s="739"/>
      <c r="N27" s="769"/>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41" t="s">
        <v>707</v>
      </c>
      <c r="D29" s="741"/>
      <c r="E29" s="741"/>
      <c r="F29" s="741"/>
      <c r="G29" s="741"/>
      <c r="H29" s="741"/>
      <c r="I29" s="741"/>
      <c r="J29" s="741"/>
      <c r="K29" s="741"/>
      <c r="L29" s="741"/>
      <c r="M29" s="741"/>
      <c r="N29" s="741"/>
      <c r="O29" s="741"/>
      <c r="P29" s="741"/>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49" t="s">
        <v>71</v>
      </c>
      <c r="D31" s="750"/>
      <c r="E31" s="431"/>
      <c r="F31" s="431"/>
      <c r="G31" s="431"/>
      <c r="H31" s="732" t="s">
        <v>626</v>
      </c>
      <c r="I31" s="732"/>
      <c r="J31" s="726" t="s">
        <v>564</v>
      </c>
      <c r="K31" s="726"/>
      <c r="L31" s="726" t="s">
        <v>693</v>
      </c>
      <c r="M31" s="726"/>
      <c r="N31" s="748" t="s">
        <v>751</v>
      </c>
      <c r="O31" s="732"/>
      <c r="P31" s="732"/>
      <c r="Q31" s="446"/>
      <c r="S31" s="776" t="s">
        <v>903</v>
      </c>
      <c r="T31" s="776"/>
      <c r="U31" s="776"/>
      <c r="V31" s="776"/>
      <c r="W31" s="776" t="s">
        <v>914</v>
      </c>
      <c r="X31" s="776"/>
      <c r="Y31" s="704" t="s">
        <v>905</v>
      </c>
      <c r="Z31" s="704" t="s">
        <v>387</v>
      </c>
    </row>
    <row r="32" spans="2:26" s="433" customFormat="1" ht="15" customHeight="1" x14ac:dyDescent="0.2">
      <c r="B32" s="450"/>
      <c r="C32" s="745"/>
      <c r="D32" s="746"/>
      <c r="E32" s="747"/>
      <c r="F32" s="495"/>
      <c r="G32" s="495"/>
      <c r="H32" s="457"/>
      <c r="I32" s="440" t="s">
        <v>764</v>
      </c>
      <c r="J32" s="457"/>
      <c r="K32" s="440" t="s">
        <v>320</v>
      </c>
      <c r="L32" s="743"/>
      <c r="M32" s="744"/>
      <c r="N32" s="772">
        <f>SUMPRODUCT(W33:W36,Z33:Z36)</f>
        <v>0</v>
      </c>
      <c r="O32" s="773"/>
      <c r="P32" s="440" t="s">
        <v>752</v>
      </c>
      <c r="Q32" s="451"/>
      <c r="S32" s="681" t="s">
        <v>906</v>
      </c>
      <c r="T32" s="681" t="s">
        <v>881</v>
      </c>
      <c r="U32" s="681" t="s">
        <v>882</v>
      </c>
      <c r="V32" s="681" t="s">
        <v>883</v>
      </c>
      <c r="W32" s="681" t="s">
        <v>912</v>
      </c>
      <c r="X32" s="681" t="s">
        <v>913</v>
      </c>
      <c r="Y32" s="681" t="s">
        <v>904</v>
      </c>
      <c r="Z32" s="681" t="s">
        <v>900</v>
      </c>
    </row>
    <row r="33" spans="2:26" s="433" customFormat="1" ht="15" customHeight="1" x14ac:dyDescent="0.2">
      <c r="B33" s="450"/>
      <c r="C33" s="495"/>
      <c r="D33" s="495"/>
      <c r="E33" s="495"/>
      <c r="F33" s="182"/>
      <c r="G33" s="495"/>
      <c r="H33" s="457"/>
      <c r="I33" s="440" t="s">
        <v>697</v>
      </c>
      <c r="J33" s="495"/>
      <c r="K33" s="182"/>
      <c r="L33" s="182"/>
      <c r="M33" s="182"/>
      <c r="N33" s="182"/>
      <c r="O33" s="495"/>
      <c r="P33" s="495"/>
      <c r="Q33" s="451"/>
      <c r="S33" s="681" t="s">
        <v>884</v>
      </c>
      <c r="T33" s="425">
        <v>0</v>
      </c>
      <c r="U33" s="425">
        <v>0</v>
      </c>
      <c r="V33" s="493" t="s">
        <v>885</v>
      </c>
      <c r="W33" s="425">
        <v>0</v>
      </c>
      <c r="X33" s="425">
        <v>0</v>
      </c>
      <c r="Y33" s="703">
        <f>(T33*PI())+U33*2</f>
        <v>0</v>
      </c>
      <c r="Z33" s="682">
        <f>((PI())*((T33/2)^2)+(U33*T33))</f>
        <v>0</v>
      </c>
    </row>
    <row r="34" spans="2:26" ht="15" customHeight="1" x14ac:dyDescent="0.2">
      <c r="B34" s="445"/>
      <c r="C34" s="748" t="s">
        <v>127</v>
      </c>
      <c r="D34" s="732"/>
      <c r="E34" s="503" t="b">
        <v>0</v>
      </c>
      <c r="F34" s="182"/>
      <c r="G34" s="182"/>
      <c r="H34" s="431"/>
      <c r="I34" s="431"/>
      <c r="J34" s="726" t="s">
        <v>131</v>
      </c>
      <c r="K34" s="726"/>
      <c r="L34" s="726" t="s">
        <v>747</v>
      </c>
      <c r="M34" s="726"/>
      <c r="N34" s="748" t="s">
        <v>763</v>
      </c>
      <c r="O34" s="732"/>
      <c r="P34" s="732"/>
      <c r="Q34" s="446"/>
      <c r="S34" s="681" t="s">
        <v>899</v>
      </c>
      <c r="T34" s="425">
        <v>0</v>
      </c>
      <c r="U34" s="493" t="s">
        <v>885</v>
      </c>
      <c r="V34" s="493" t="s">
        <v>885</v>
      </c>
      <c r="W34" s="425">
        <v>0</v>
      </c>
      <c r="X34" s="425">
        <v>0</v>
      </c>
      <c r="Y34" s="703">
        <f>T34*PI()</f>
        <v>0</v>
      </c>
      <c r="Z34" s="682">
        <f>(PI())*((T34/2)^2)</f>
        <v>0</v>
      </c>
    </row>
    <row r="35" spans="2:26" ht="15" customHeight="1" x14ac:dyDescent="0.2">
      <c r="B35" s="445"/>
      <c r="C35" s="431"/>
      <c r="D35" s="431"/>
      <c r="E35" s="431"/>
      <c r="F35" s="182"/>
      <c r="G35" s="431"/>
      <c r="H35" s="431"/>
      <c r="I35" s="431"/>
      <c r="J35" s="774"/>
      <c r="K35" s="774"/>
      <c r="L35" s="774"/>
      <c r="M35" s="774"/>
      <c r="N35" s="772">
        <f>SUMPRODUCT(Y33:Y36,W33:W36)</f>
        <v>0</v>
      </c>
      <c r="O35" s="773"/>
      <c r="P35" s="440" t="s">
        <v>30</v>
      </c>
      <c r="Q35" s="446"/>
      <c r="S35" s="681" t="s">
        <v>886</v>
      </c>
      <c r="T35" s="493" t="s">
        <v>885</v>
      </c>
      <c r="U35" s="425">
        <v>0</v>
      </c>
      <c r="V35" s="425">
        <v>0</v>
      </c>
      <c r="W35" s="425">
        <v>0</v>
      </c>
      <c r="X35" s="425">
        <v>0</v>
      </c>
      <c r="Y35" s="703">
        <f>U35*2+V35*2</f>
        <v>0</v>
      </c>
      <c r="Z35" s="682">
        <f>U35*V35</f>
        <v>0</v>
      </c>
    </row>
    <row r="36" spans="2:26" ht="15" customHeight="1" x14ac:dyDescent="0.2">
      <c r="B36" s="445"/>
      <c r="C36" s="749" t="s">
        <v>742</v>
      </c>
      <c r="D36" s="750"/>
      <c r="E36" s="182"/>
      <c r="F36" s="182"/>
      <c r="G36" s="431"/>
      <c r="H36" s="431"/>
      <c r="I36" s="431"/>
      <c r="J36" s="431"/>
      <c r="K36" s="431"/>
      <c r="L36" s="431"/>
      <c r="M36" s="431"/>
      <c r="N36" s="431"/>
      <c r="O36" s="431"/>
      <c r="P36" s="431"/>
      <c r="Q36" s="446"/>
      <c r="S36" s="681" t="s">
        <v>887</v>
      </c>
      <c r="T36" s="493" t="s">
        <v>885</v>
      </c>
      <c r="U36" s="425">
        <v>0</v>
      </c>
      <c r="V36" s="493" t="s">
        <v>885</v>
      </c>
      <c r="W36" s="425">
        <v>0</v>
      </c>
      <c r="X36" s="425">
        <v>0</v>
      </c>
      <c r="Y36" s="703">
        <f>U36*4</f>
        <v>0</v>
      </c>
      <c r="Z36" s="682">
        <f>U36*U36</f>
        <v>0</v>
      </c>
    </row>
    <row r="37" spans="2:26" ht="15" customHeight="1" x14ac:dyDescent="0.2">
      <c r="B37" s="445"/>
      <c r="C37" s="504"/>
      <c r="D37" s="504"/>
      <c r="E37" s="504"/>
      <c r="F37" s="465"/>
      <c r="G37" s="466"/>
      <c r="H37" s="466"/>
      <c r="I37" s="466"/>
      <c r="J37" s="466"/>
      <c r="K37" s="726" t="s">
        <v>694</v>
      </c>
      <c r="L37" s="726"/>
      <c r="M37" s="726" t="s">
        <v>880</v>
      </c>
      <c r="N37" s="726"/>
      <c r="O37" s="726" t="s">
        <v>868</v>
      </c>
      <c r="P37" s="726"/>
      <c r="Q37" s="446"/>
      <c r="S37"/>
      <c r="T37"/>
      <c r="Y37"/>
    </row>
    <row r="38" spans="2:26" ht="15" customHeight="1" x14ac:dyDescent="0.2">
      <c r="B38" s="445"/>
      <c r="C38" s="431"/>
      <c r="D38" s="431"/>
      <c r="E38" s="431"/>
      <c r="F38" s="431"/>
      <c r="G38" s="431"/>
      <c r="H38" s="431"/>
      <c r="I38" s="431"/>
      <c r="J38" s="431"/>
      <c r="K38" s="751"/>
      <c r="L38" s="751"/>
      <c r="M38" s="680"/>
      <c r="N38" s="608" t="s">
        <v>697</v>
      </c>
      <c r="O38" s="729"/>
      <c r="P38" s="729"/>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26" t="s">
        <v>745</v>
      </c>
      <c r="L40" s="726"/>
      <c r="M40" s="726" t="s">
        <v>746</v>
      </c>
      <c r="N40" s="726"/>
      <c r="O40" s="726" t="s">
        <v>732</v>
      </c>
      <c r="P40" s="726"/>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697</v>
      </c>
      <c r="M41" s="437">
        <f>IFERROR(VLOOKUP(J35,'Listas de Dados'!Z:AB,3,0),0)</f>
        <v>0</v>
      </c>
      <c r="N41" s="440" t="s">
        <v>697</v>
      </c>
      <c r="O41" s="437">
        <f>IFERROR(IF(E34,VLOOKUP(C32&amp;L35,'Listas de Dados'!AP:AQ,2,0),0),0)</f>
        <v>0</v>
      </c>
      <c r="P41" s="440" t="s">
        <v>697</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26" t="s">
        <v>741</v>
      </c>
      <c r="L43" s="726"/>
      <c r="M43" s="726" t="s">
        <v>856</v>
      </c>
      <c r="N43" s="726"/>
      <c r="O43" s="724" t="s">
        <v>774</v>
      </c>
      <c r="P43" s="725"/>
      <c r="Q43" s="446"/>
    </row>
    <row r="44" spans="2:26" ht="15" customHeight="1" x14ac:dyDescent="0.2">
      <c r="B44" s="445"/>
      <c r="C44" s="431"/>
      <c r="D44" s="431"/>
      <c r="E44" s="431"/>
      <c r="F44" s="431"/>
      <c r="G44" s="431"/>
      <c r="H44" s="431"/>
      <c r="I44" s="427"/>
      <c r="J44" s="427"/>
      <c r="K44" s="482">
        <f>IFERROR(K41+H33+O41+M41,0)</f>
        <v>0</v>
      </c>
      <c r="L44" s="440" t="s">
        <v>697</v>
      </c>
      <c r="M44" s="482">
        <f>IFERROR(K38*(VLOOKUP(C32,'Listas de Dados'!A:F,5,0)/60),0)</f>
        <v>0</v>
      </c>
      <c r="N44" s="618" t="s">
        <v>697</v>
      </c>
      <c r="O44" s="490">
        <f>J18*(1-(O47/100))</f>
        <v>0</v>
      </c>
      <c r="P44" s="440" t="s">
        <v>775</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26" t="s">
        <v>695</v>
      </c>
      <c r="L46" s="726"/>
      <c r="M46" s="726" t="s">
        <v>706</v>
      </c>
      <c r="N46" s="726"/>
      <c r="O46" s="726" t="s">
        <v>705</v>
      </c>
      <c r="P46" s="726"/>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26" t="s">
        <v>730</v>
      </c>
      <c r="L49" s="726"/>
      <c r="M49" s="752"/>
      <c r="N49" s="752"/>
      <c r="O49" s="726" t="s">
        <v>702</v>
      </c>
      <c r="P49" s="726"/>
      <c r="Q49" s="446"/>
    </row>
    <row r="50" spans="2:17" ht="15" customHeight="1" x14ac:dyDescent="0.2">
      <c r="B50" s="445"/>
      <c r="C50" s="431"/>
      <c r="D50" s="431"/>
      <c r="E50" s="431"/>
      <c r="F50" s="431"/>
      <c r="G50" s="431"/>
      <c r="H50" s="431"/>
      <c r="I50" s="427"/>
      <c r="J50" s="427"/>
      <c r="K50" s="482">
        <f>IFERROR(SUM(K47,(L32*100),O47,M47),"")</f>
        <v>0</v>
      </c>
      <c r="L50" s="440" t="s">
        <v>331</v>
      </c>
      <c r="M50" s="752"/>
      <c r="N50" s="752"/>
      <c r="O50" s="482">
        <f>IFERROR((M56+K44)/(M38*O38),0)</f>
        <v>0</v>
      </c>
      <c r="P50" s="440" t="s">
        <v>701</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26" t="s">
        <v>86</v>
      </c>
      <c r="L52" s="726"/>
      <c r="M52" s="726" t="s">
        <v>699</v>
      </c>
      <c r="N52" s="726"/>
      <c r="O52" s="726" t="s">
        <v>696</v>
      </c>
      <c r="P52" s="726"/>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698</v>
      </c>
      <c r="O53" s="437">
        <f>IFERROR(ROUND(((J32*H18/1000)^(-1))*((1+(100-K53)/100)),2),0)</f>
        <v>0</v>
      </c>
      <c r="P53" s="440" t="s">
        <v>698</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26" t="s">
        <v>703</v>
      </c>
      <c r="L55" s="726"/>
      <c r="M55" s="726" t="s">
        <v>700</v>
      </c>
      <c r="N55" s="726"/>
      <c r="O55" s="726" t="s">
        <v>700</v>
      </c>
      <c r="P55" s="726"/>
      <c r="Q55" s="446"/>
    </row>
    <row r="56" spans="2:17" ht="15" customHeight="1" x14ac:dyDescent="0.2">
      <c r="B56" s="445"/>
      <c r="C56" s="431"/>
      <c r="D56" s="431"/>
      <c r="E56" s="427"/>
      <c r="F56" s="431"/>
      <c r="G56" s="427"/>
      <c r="H56" s="427"/>
      <c r="I56" s="427"/>
      <c r="J56" s="427"/>
      <c r="K56" s="483">
        <f>IFERROR((O53^-1)*M38*60*O38,0)</f>
        <v>0</v>
      </c>
      <c r="L56" s="440" t="s">
        <v>704</v>
      </c>
      <c r="M56" s="482">
        <f>IFERROR(O53*O17/60,0)</f>
        <v>0</v>
      </c>
      <c r="N56" s="686" t="s">
        <v>698</v>
      </c>
      <c r="O56" s="482">
        <f>IFERROR(M56/(M38*O38),0)</f>
        <v>0</v>
      </c>
      <c r="P56" s="440" t="s">
        <v>701</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26" t="s">
        <v>762</v>
      </c>
      <c r="L58" s="726"/>
      <c r="M58" s="726" t="s">
        <v>388</v>
      </c>
      <c r="N58" s="726"/>
      <c r="O58" s="726" t="s">
        <v>350</v>
      </c>
      <c r="P58" s="726"/>
      <c r="Q58" s="446"/>
    </row>
    <row r="59" spans="2:17" ht="15" customHeight="1" x14ac:dyDescent="0.2">
      <c r="B59" s="445"/>
      <c r="C59" s="182"/>
      <c r="D59" s="182"/>
      <c r="E59" s="182"/>
      <c r="F59" s="182"/>
      <c r="G59" s="182"/>
      <c r="H59" s="182"/>
      <c r="I59" s="182"/>
      <c r="J59" s="182"/>
      <c r="K59" s="483">
        <f>IFERROR((SUMPRODUCT(Y33:Y36,X33:X36)*G22*P25*0.8)/9.81/1000,0)</f>
        <v>0</v>
      </c>
      <c r="L59" s="440" t="s">
        <v>761</v>
      </c>
      <c r="M59" s="482">
        <f>IFERROR((((P25*0.8)*E22*G22)/9.81)/1000,0)</f>
        <v>0</v>
      </c>
      <c r="N59" s="440" t="s">
        <v>761</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26" t="s">
        <v>894</v>
      </c>
      <c r="L61" s="726"/>
      <c r="M61" s="726" t="s">
        <v>895</v>
      </c>
      <c r="N61" s="726"/>
      <c r="O61" s="726" t="s">
        <v>896</v>
      </c>
      <c r="P61" s="726"/>
      <c r="Q61" s="446"/>
    </row>
    <row r="62" spans="2:17" ht="15" customHeight="1" x14ac:dyDescent="0.2">
      <c r="B62" s="445"/>
      <c r="C62" s="182"/>
      <c r="D62" s="182"/>
      <c r="E62" s="182"/>
      <c r="F62" s="182"/>
      <c r="G62" s="182"/>
      <c r="H62" s="182"/>
      <c r="I62" s="182"/>
      <c r="J62" s="182"/>
      <c r="K62" s="482">
        <f>VLOOKUP(G22,'Listas de Dados'!$AS$4:$AW$7,2,1)</f>
        <v>0.95</v>
      </c>
      <c r="L62" s="684" t="s">
        <v>698</v>
      </c>
      <c r="M62" s="437">
        <f>VLOOKUP(G22,'Listas de Dados'!$AS$4:$AW$7,3,1)</f>
        <v>3.85</v>
      </c>
      <c r="N62" s="684" t="s">
        <v>698</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37" t="s">
        <v>922</v>
      </c>
      <c r="L70" s="737"/>
      <c r="M70" s="737"/>
      <c r="N70" s="737"/>
      <c r="O70" s="737"/>
      <c r="P70" s="737"/>
      <c r="Q70" s="446"/>
    </row>
    <row r="71" spans="2:17" ht="15" customHeight="1" outlineLevel="1" x14ac:dyDescent="0.2">
      <c r="B71" s="445"/>
      <c r="C71" s="182"/>
      <c r="D71" s="182"/>
      <c r="E71" s="182"/>
      <c r="F71" s="182"/>
      <c r="G71" s="182"/>
      <c r="H71" s="182"/>
      <c r="I71" s="182"/>
      <c r="J71" s="182"/>
      <c r="K71" s="738" t="s">
        <v>929</v>
      </c>
      <c r="L71" s="739"/>
      <c r="M71" s="739"/>
      <c r="N71" s="740"/>
      <c r="O71" s="735">
        <v>0</v>
      </c>
      <c r="P71" s="735"/>
      <c r="Q71" s="446"/>
    </row>
    <row r="72" spans="2:17" ht="15" customHeight="1" outlineLevel="1" x14ac:dyDescent="0.2">
      <c r="B72" s="445"/>
      <c r="C72" s="590"/>
      <c r="D72" s="590"/>
      <c r="E72" s="590"/>
      <c r="F72" s="590"/>
      <c r="G72" s="590"/>
      <c r="H72" s="590"/>
      <c r="I72" s="590"/>
      <c r="J72" s="590"/>
      <c r="K72" s="738" t="s">
        <v>917</v>
      </c>
      <c r="L72" s="739"/>
      <c r="M72" s="739"/>
      <c r="N72" s="740"/>
      <c r="O72" s="735">
        <v>0</v>
      </c>
      <c r="P72" s="735"/>
      <c r="Q72" s="446"/>
    </row>
    <row r="73" spans="2:17" ht="15" customHeight="1" outlineLevel="1" x14ac:dyDescent="0.2">
      <c r="B73" s="445"/>
      <c r="C73" s="590"/>
      <c r="D73" s="590"/>
      <c r="E73" s="590"/>
      <c r="F73" s="590"/>
      <c r="G73" s="590"/>
      <c r="H73" s="590"/>
      <c r="I73" s="590"/>
      <c r="J73" s="590"/>
      <c r="K73" s="738" t="s">
        <v>918</v>
      </c>
      <c r="L73" s="739"/>
      <c r="M73" s="739"/>
      <c r="N73" s="740"/>
      <c r="O73" s="735">
        <v>0</v>
      </c>
      <c r="P73" s="735"/>
      <c r="Q73" s="446"/>
    </row>
    <row r="74" spans="2:17" ht="15" customHeight="1" outlineLevel="1" x14ac:dyDescent="0.2">
      <c r="B74" s="445"/>
      <c r="C74" s="590"/>
      <c r="D74" s="590"/>
      <c r="E74" s="590"/>
      <c r="F74" s="590"/>
      <c r="G74" s="590"/>
      <c r="H74" s="590"/>
      <c r="I74" s="590"/>
      <c r="J74" s="590"/>
      <c r="K74" s="738" t="s">
        <v>916</v>
      </c>
      <c r="L74" s="739"/>
      <c r="M74" s="739"/>
      <c r="N74" s="740"/>
      <c r="O74" s="735">
        <v>0</v>
      </c>
      <c r="P74" s="735"/>
      <c r="Q74" s="446"/>
    </row>
    <row r="75" spans="2:17" ht="15" customHeight="1" outlineLevel="1" x14ac:dyDescent="0.2">
      <c r="B75" s="445"/>
      <c r="C75" s="590"/>
      <c r="D75" s="590"/>
      <c r="E75" s="590"/>
      <c r="F75" s="590"/>
      <c r="G75" s="590"/>
      <c r="H75" s="590"/>
      <c r="I75" s="590"/>
      <c r="J75" s="590"/>
      <c r="K75" s="738" t="s">
        <v>919</v>
      </c>
      <c r="L75" s="739"/>
      <c r="M75" s="739"/>
      <c r="N75" s="740"/>
      <c r="O75" s="735">
        <v>0</v>
      </c>
      <c r="P75" s="735"/>
      <c r="Q75" s="446"/>
    </row>
    <row r="76" spans="2:17" ht="15" customHeight="1" outlineLevel="1" x14ac:dyDescent="0.2">
      <c r="B76" s="445"/>
      <c r="C76" s="590"/>
      <c r="D76" s="590"/>
      <c r="E76" s="590"/>
      <c r="F76" s="590"/>
      <c r="G76" s="590"/>
      <c r="H76" s="590"/>
      <c r="I76" s="590"/>
      <c r="J76" s="590"/>
      <c r="K76" s="738" t="s">
        <v>920</v>
      </c>
      <c r="L76" s="739"/>
      <c r="M76" s="739"/>
      <c r="N76" s="740"/>
      <c r="O76" s="735">
        <v>0</v>
      </c>
      <c r="P76" s="735"/>
      <c r="Q76" s="446"/>
    </row>
    <row r="77" spans="2:17" ht="15" customHeight="1" outlineLevel="1" x14ac:dyDescent="0.2">
      <c r="B77" s="445"/>
      <c r="C77" s="590"/>
      <c r="D77" s="590"/>
      <c r="E77" s="590"/>
      <c r="F77" s="590"/>
      <c r="G77" s="590"/>
      <c r="H77" s="590"/>
      <c r="I77" s="590"/>
      <c r="J77" s="590"/>
      <c r="K77" s="738" t="s">
        <v>921</v>
      </c>
      <c r="L77" s="739"/>
      <c r="M77" s="739"/>
      <c r="N77" s="740"/>
      <c r="O77" s="735">
        <v>0</v>
      </c>
      <c r="P77" s="735"/>
      <c r="Q77" s="446"/>
    </row>
    <row r="78" spans="2:17" ht="15" customHeight="1" outlineLevel="1" x14ac:dyDescent="0.2">
      <c r="B78" s="445"/>
      <c r="C78" s="573"/>
      <c r="D78" s="573"/>
      <c r="E78" s="573"/>
      <c r="F78" s="573"/>
      <c r="G78" s="573"/>
      <c r="H78" s="573"/>
      <c r="I78" s="573"/>
      <c r="J78" s="573"/>
      <c r="K78" s="738" t="s">
        <v>928</v>
      </c>
      <c r="L78" s="739"/>
      <c r="M78" s="739"/>
      <c r="N78" s="740"/>
      <c r="O78" s="735">
        <v>0</v>
      </c>
      <c r="P78" s="735"/>
      <c r="Q78" s="446"/>
    </row>
    <row r="79" spans="2:17" ht="15" customHeight="1" outlineLevel="1" x14ac:dyDescent="0.2">
      <c r="B79" s="445"/>
      <c r="C79" s="573"/>
      <c r="D79" s="573"/>
      <c r="E79" s="573"/>
      <c r="F79" s="573"/>
      <c r="G79" s="573"/>
      <c r="H79" s="573"/>
      <c r="I79" s="573"/>
      <c r="J79" s="573"/>
      <c r="K79" s="738"/>
      <c r="L79" s="739"/>
      <c r="M79" s="739"/>
      <c r="N79" s="740"/>
      <c r="O79" s="735">
        <v>0</v>
      </c>
      <c r="P79" s="735"/>
      <c r="Q79" s="446"/>
    </row>
    <row r="80" spans="2:17" ht="15" customHeight="1" outlineLevel="1" x14ac:dyDescent="0.2">
      <c r="B80" s="445"/>
      <c r="C80" s="182"/>
      <c r="D80" s="182"/>
      <c r="E80" s="182"/>
      <c r="F80" s="182"/>
      <c r="G80" s="182"/>
      <c r="H80" s="182"/>
      <c r="I80" s="182"/>
      <c r="J80" s="182"/>
      <c r="K80" s="738" t="s">
        <v>915</v>
      </c>
      <c r="L80" s="739"/>
      <c r="M80" s="739"/>
      <c r="N80" s="740"/>
      <c r="O80" s="736">
        <f>SUM(O71:P79)</f>
        <v>0</v>
      </c>
      <c r="P80" s="736"/>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75" t="s">
        <v>870</v>
      </c>
      <c r="D83" s="775"/>
      <c r="E83" s="775"/>
      <c r="F83" s="775"/>
      <c r="G83" s="775"/>
      <c r="H83" s="775"/>
      <c r="I83" s="775"/>
      <c r="J83" s="775"/>
      <c r="K83" s="775"/>
      <c r="L83" s="775"/>
      <c r="M83" s="775"/>
      <c r="N83" s="775"/>
      <c r="O83" s="775"/>
      <c r="P83" s="775"/>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24" t="s">
        <v>712</v>
      </c>
      <c r="D85" s="725"/>
      <c r="E85" s="725"/>
      <c r="F85" s="488"/>
      <c r="G85" s="488"/>
      <c r="H85" s="488"/>
      <c r="I85" s="488"/>
      <c r="J85" s="488"/>
      <c r="K85" s="488"/>
      <c r="L85" s="488"/>
      <c r="M85" s="488"/>
      <c r="N85" s="488"/>
      <c r="O85" s="488"/>
      <c r="P85" s="488"/>
      <c r="Q85" s="446"/>
      <c r="R85" s="434"/>
    </row>
    <row r="86" spans="2:18" ht="15" hidden="1" customHeight="1" outlineLevel="2" x14ac:dyDescent="0.2">
      <c r="B86" s="445"/>
      <c r="C86" s="730"/>
      <c r="D86" s="731"/>
      <c r="E86" s="731"/>
      <c r="F86" s="731"/>
      <c r="G86" s="731"/>
      <c r="H86" s="182"/>
      <c r="I86" s="732" t="s">
        <v>626</v>
      </c>
      <c r="J86" s="732"/>
      <c r="K86" s="724" t="s">
        <v>765</v>
      </c>
      <c r="L86" s="725"/>
      <c r="M86" s="724" t="s">
        <v>878</v>
      </c>
      <c r="N86" s="725"/>
      <c r="O86" s="724" t="s">
        <v>776</v>
      </c>
      <c r="P86" s="725"/>
      <c r="Q86" s="446"/>
      <c r="R86" s="435"/>
    </row>
    <row r="87" spans="2:18" ht="15" hidden="1" customHeight="1" outlineLevel="2" x14ac:dyDescent="0.2">
      <c r="B87" s="445"/>
      <c r="C87" s="182"/>
      <c r="D87" s="182"/>
      <c r="E87" s="182"/>
      <c r="F87" s="182"/>
      <c r="G87" s="182"/>
      <c r="H87" s="182"/>
      <c r="I87" s="457"/>
      <c r="J87" s="440" t="s">
        <v>772</v>
      </c>
      <c r="K87" s="457"/>
      <c r="L87" s="440" t="s">
        <v>766</v>
      </c>
      <c r="M87" s="597">
        <v>0</v>
      </c>
      <c r="N87" s="677" t="s">
        <v>331</v>
      </c>
      <c r="O87" s="597">
        <v>0</v>
      </c>
      <c r="P87" s="625" t="s">
        <v>844</v>
      </c>
      <c r="Q87" s="446"/>
      <c r="R87" s="435"/>
    </row>
    <row r="88" spans="2:18" ht="15" hidden="1" customHeight="1" outlineLevel="2" x14ac:dyDescent="0.2">
      <c r="B88" s="445"/>
      <c r="C88" s="182"/>
      <c r="D88" s="724" t="s">
        <v>869</v>
      </c>
      <c r="E88" s="725"/>
      <c r="F88" s="724" t="s">
        <v>191</v>
      </c>
      <c r="G88" s="725"/>
      <c r="H88" s="182"/>
      <c r="I88" s="457"/>
      <c r="J88" s="440" t="s">
        <v>708</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26" t="s">
        <v>880</v>
      </c>
      <c r="N89" s="726"/>
      <c r="O89" s="726" t="s">
        <v>868</v>
      </c>
      <c r="P89" s="726"/>
      <c r="Q89" s="446"/>
      <c r="R89" s="435"/>
    </row>
    <row r="90" spans="2:18" ht="15" hidden="1" customHeight="1" outlineLevel="2" x14ac:dyDescent="0.2">
      <c r="B90" s="445"/>
      <c r="C90" s="182"/>
      <c r="D90" s="431"/>
      <c r="E90" s="431"/>
      <c r="F90" s="431"/>
      <c r="G90" s="431"/>
      <c r="H90" s="431"/>
      <c r="I90" s="431"/>
      <c r="J90" s="431"/>
      <c r="M90" s="680">
        <v>8.48</v>
      </c>
      <c r="N90" s="608" t="s">
        <v>697</v>
      </c>
      <c r="O90" s="729">
        <v>1</v>
      </c>
      <c r="P90" s="729"/>
      <c r="Q90" s="446"/>
      <c r="R90" s="435"/>
    </row>
    <row r="91" spans="2:18" ht="15" hidden="1" customHeight="1" outlineLevel="2" x14ac:dyDescent="0.2">
      <c r="B91" s="445"/>
      <c r="C91" s="182"/>
      <c r="D91" s="727" t="s">
        <v>771</v>
      </c>
      <c r="E91" s="733"/>
      <c r="F91" s="727" t="s">
        <v>94</v>
      </c>
      <c r="G91" s="728"/>
      <c r="H91" s="431"/>
      <c r="I91" s="431"/>
      <c r="J91" s="431"/>
      <c r="K91" s="431"/>
      <c r="L91" s="431"/>
      <c r="M91" s="431"/>
      <c r="N91" s="431"/>
      <c r="O91" s="431"/>
      <c r="P91" s="431"/>
      <c r="Q91" s="446"/>
      <c r="R91" s="436"/>
    </row>
    <row r="92" spans="2:18" ht="15" hidden="1" customHeight="1" outlineLevel="2" x14ac:dyDescent="0.2">
      <c r="B92" s="445"/>
      <c r="C92" s="182"/>
      <c r="D92" s="457">
        <v>1</v>
      </c>
      <c r="E92" s="625" t="s">
        <v>772</v>
      </c>
      <c r="F92" s="627">
        <v>0</v>
      </c>
      <c r="G92" s="625" t="s">
        <v>30</v>
      </c>
      <c r="H92" s="431"/>
      <c r="I92" s="724" t="s">
        <v>767</v>
      </c>
      <c r="J92" s="725"/>
      <c r="K92" s="726" t="s">
        <v>695</v>
      </c>
      <c r="L92" s="726"/>
      <c r="M92" s="726" t="s">
        <v>768</v>
      </c>
      <c r="N92" s="726"/>
      <c r="O92" s="726" t="s">
        <v>730</v>
      </c>
      <c r="P92" s="726"/>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24" t="s">
        <v>773</v>
      </c>
      <c r="E94" s="725"/>
      <c r="F94" s="724" t="s">
        <v>774</v>
      </c>
      <c r="G94" s="725"/>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775</v>
      </c>
      <c r="F95" s="437">
        <f>D95-O87</f>
        <v>0</v>
      </c>
      <c r="G95" s="440" t="s">
        <v>775</v>
      </c>
      <c r="H95" s="431"/>
      <c r="I95" s="726" t="s">
        <v>765</v>
      </c>
      <c r="J95" s="726"/>
      <c r="K95" s="726" t="s">
        <v>702</v>
      </c>
      <c r="L95" s="726"/>
      <c r="M95" s="726" t="s">
        <v>785</v>
      </c>
      <c r="N95" s="726"/>
      <c r="O95" s="726" t="s">
        <v>86</v>
      </c>
      <c r="P95" s="726"/>
      <c r="Q95" s="446"/>
      <c r="R95" s="435"/>
    </row>
    <row r="96" spans="2:18" ht="15" hidden="1" customHeight="1" outlineLevel="2" x14ac:dyDescent="0.2">
      <c r="B96" s="445"/>
      <c r="C96" s="182"/>
      <c r="D96" s="431"/>
      <c r="E96" s="431"/>
      <c r="F96" s="431"/>
      <c r="G96" s="431"/>
      <c r="H96" s="431"/>
      <c r="I96" s="482">
        <f>K87/60</f>
        <v>0</v>
      </c>
      <c r="J96" s="440" t="s">
        <v>708</v>
      </c>
      <c r="K96" s="482">
        <f>IFERROR(((O99*D98/60)+K99)/(M90*O90),"")</f>
        <v>0</v>
      </c>
      <c r="L96" s="440" t="s">
        <v>701</v>
      </c>
      <c r="M96" s="734" t="str">
        <f>IF(F95&lt;5,"Leve",IF(AND(F95&gt;=5,F95&lt;10),"Normal","Pesada"))</f>
        <v>Leve</v>
      </c>
      <c r="N96" s="734"/>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27" t="s">
        <v>777</v>
      </c>
      <c r="E97" s="728"/>
      <c r="F97" s="727" t="s">
        <v>778</v>
      </c>
      <c r="G97" s="728"/>
      <c r="H97" s="431"/>
      <c r="I97" s="431"/>
      <c r="J97" s="431"/>
      <c r="K97" s="431"/>
      <c r="L97" s="431"/>
      <c r="M97" s="182"/>
      <c r="N97" s="182"/>
      <c r="O97" s="182"/>
      <c r="P97" s="182"/>
      <c r="Q97" s="446"/>
      <c r="R97" s="435"/>
    </row>
    <row r="98" spans="2:18" ht="15" hidden="1" customHeight="1" outlineLevel="2" x14ac:dyDescent="0.2">
      <c r="B98" s="445"/>
      <c r="C98" s="182"/>
      <c r="D98" s="457"/>
      <c r="E98" s="440" t="s">
        <v>761</v>
      </c>
      <c r="F98" s="497"/>
      <c r="G98" s="440" t="s">
        <v>759</v>
      </c>
      <c r="H98" s="431"/>
      <c r="I98" s="726" t="s">
        <v>83</v>
      </c>
      <c r="J98" s="726"/>
      <c r="K98" s="726" t="s">
        <v>741</v>
      </c>
      <c r="L98" s="726"/>
      <c r="M98" s="726" t="s">
        <v>699</v>
      </c>
      <c r="N98" s="726"/>
      <c r="O98" s="726" t="s">
        <v>696</v>
      </c>
      <c r="P98" s="726"/>
      <c r="Q98" s="446"/>
    </row>
    <row r="99" spans="2:18" ht="15" hidden="1" customHeight="1" outlineLevel="2" x14ac:dyDescent="0.2">
      <c r="B99" s="445"/>
      <c r="C99" s="182"/>
      <c r="D99" s="431"/>
      <c r="E99" s="431"/>
      <c r="F99" s="497"/>
      <c r="G99" s="440" t="s">
        <v>760</v>
      </c>
      <c r="H99" s="431"/>
      <c r="I99" s="482">
        <f>IFERROR(VLOOKUP(C86,'Listas de Dados'!$I:$N,3,0),0)</f>
        <v>0</v>
      </c>
      <c r="J99" s="440" t="s">
        <v>697</v>
      </c>
      <c r="K99" s="482">
        <f>SUM(I99,I88/60)</f>
        <v>0</v>
      </c>
      <c r="L99" s="440" t="s">
        <v>697</v>
      </c>
      <c r="M99" s="482">
        <f>IFERROR(K99*60/D98,0)</f>
        <v>0</v>
      </c>
      <c r="N99" s="440" t="s">
        <v>698</v>
      </c>
      <c r="O99" s="482">
        <f>IFERROR(K87/(F95)/60*1000*((1+(100-O96)/100)),0)</f>
        <v>0</v>
      </c>
      <c r="P99" s="440" t="s">
        <v>698</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24" t="s">
        <v>770</v>
      </c>
      <c r="D101" s="725"/>
      <c r="E101" s="725"/>
      <c r="F101" s="488"/>
      <c r="G101" s="488"/>
      <c r="H101" s="488"/>
      <c r="I101" s="488"/>
      <c r="J101" s="488"/>
      <c r="K101" s="488"/>
      <c r="L101" s="488"/>
      <c r="M101" s="488"/>
      <c r="N101" s="488"/>
      <c r="O101" s="488"/>
      <c r="P101" s="488"/>
      <c r="Q101" s="446"/>
      <c r="R101" s="434"/>
    </row>
    <row r="102" spans="2:18" ht="15" hidden="1" customHeight="1" outlineLevel="2" x14ac:dyDescent="0.2">
      <c r="B102" s="445"/>
      <c r="C102" s="730"/>
      <c r="D102" s="731"/>
      <c r="E102" s="731"/>
      <c r="F102" s="731"/>
      <c r="G102" s="731"/>
      <c r="H102" s="182"/>
      <c r="I102" s="732" t="s">
        <v>626</v>
      </c>
      <c r="J102" s="732"/>
      <c r="K102" s="724" t="s">
        <v>765</v>
      </c>
      <c r="L102" s="725"/>
      <c r="M102" s="724" t="s">
        <v>878</v>
      </c>
      <c r="N102" s="725"/>
      <c r="O102" s="724" t="s">
        <v>776</v>
      </c>
      <c r="P102" s="725"/>
      <c r="Q102" s="446"/>
      <c r="R102" s="435"/>
    </row>
    <row r="103" spans="2:18" ht="15" hidden="1" customHeight="1" outlineLevel="2" x14ac:dyDescent="0.2">
      <c r="B103" s="445"/>
      <c r="C103" s="182"/>
      <c r="D103" s="182"/>
      <c r="E103" s="182"/>
      <c r="F103" s="182"/>
      <c r="G103" s="182"/>
      <c r="H103" s="182"/>
      <c r="I103" s="457"/>
      <c r="J103" s="440" t="s">
        <v>772</v>
      </c>
      <c r="K103" s="457"/>
      <c r="L103" s="440" t="s">
        <v>766</v>
      </c>
      <c r="M103" s="597">
        <v>0</v>
      </c>
      <c r="N103" s="677" t="s">
        <v>331</v>
      </c>
      <c r="O103" s="597">
        <v>0</v>
      </c>
      <c r="P103" s="440" t="s">
        <v>844</v>
      </c>
      <c r="Q103" s="446"/>
      <c r="R103" s="435"/>
    </row>
    <row r="104" spans="2:18" ht="15" hidden="1" customHeight="1" outlineLevel="2" x14ac:dyDescent="0.2">
      <c r="B104" s="445"/>
      <c r="C104" s="182"/>
      <c r="D104" s="724" t="s">
        <v>869</v>
      </c>
      <c r="E104" s="725"/>
      <c r="F104" s="724" t="s">
        <v>191</v>
      </c>
      <c r="G104" s="725"/>
      <c r="H104" s="182"/>
      <c r="I104" s="457"/>
      <c r="J104" s="440" t="s">
        <v>708</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26" t="s">
        <v>880</v>
      </c>
      <c r="N105" s="726"/>
      <c r="O105" s="726" t="s">
        <v>868</v>
      </c>
      <c r="P105" s="726"/>
      <c r="Q105" s="446"/>
      <c r="R105" s="435"/>
    </row>
    <row r="106" spans="2:18" ht="15" hidden="1" customHeight="1" outlineLevel="2" x14ac:dyDescent="0.2">
      <c r="B106" s="445"/>
      <c r="C106" s="182"/>
      <c r="D106" s="431"/>
      <c r="E106" s="431"/>
      <c r="F106" s="431"/>
      <c r="G106" s="431"/>
      <c r="H106" s="431"/>
      <c r="I106" s="431"/>
      <c r="J106" s="431"/>
      <c r="M106" s="680">
        <v>8.48</v>
      </c>
      <c r="N106" s="608" t="s">
        <v>697</v>
      </c>
      <c r="O106" s="729">
        <v>1</v>
      </c>
      <c r="P106" s="729"/>
      <c r="Q106" s="446"/>
      <c r="R106" s="435"/>
    </row>
    <row r="107" spans="2:18" ht="15" hidden="1" customHeight="1" outlineLevel="2" x14ac:dyDescent="0.2">
      <c r="B107" s="445"/>
      <c r="C107" s="182"/>
      <c r="D107" s="727" t="s">
        <v>771</v>
      </c>
      <c r="E107" s="728"/>
      <c r="F107" s="727" t="s">
        <v>94</v>
      </c>
      <c r="G107" s="728"/>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772</v>
      </c>
      <c r="F108" s="628">
        <v>0</v>
      </c>
      <c r="G108" s="625" t="s">
        <v>30</v>
      </c>
      <c r="H108" s="431"/>
      <c r="I108" s="724" t="s">
        <v>767</v>
      </c>
      <c r="J108" s="725"/>
      <c r="K108" s="726" t="s">
        <v>695</v>
      </c>
      <c r="L108" s="726"/>
      <c r="M108" s="726" t="s">
        <v>768</v>
      </c>
      <c r="N108" s="726"/>
      <c r="O108" s="726" t="s">
        <v>730</v>
      </c>
      <c r="P108" s="726"/>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24" t="s">
        <v>773</v>
      </c>
      <c r="E110" s="725"/>
      <c r="F110" s="724" t="s">
        <v>774</v>
      </c>
      <c r="G110" s="725"/>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775</v>
      </c>
      <c r="F111" s="482">
        <f>D111-O103</f>
        <v>0</v>
      </c>
      <c r="G111" s="440" t="s">
        <v>775</v>
      </c>
      <c r="H111" s="431"/>
      <c r="I111" s="726" t="s">
        <v>765</v>
      </c>
      <c r="J111" s="726"/>
      <c r="K111" s="726" t="s">
        <v>702</v>
      </c>
      <c r="L111" s="726"/>
      <c r="M111" s="726" t="s">
        <v>785</v>
      </c>
      <c r="N111" s="726"/>
      <c r="O111" s="726" t="s">
        <v>86</v>
      </c>
      <c r="P111" s="726"/>
      <c r="Q111" s="446"/>
      <c r="R111" s="435"/>
    </row>
    <row r="112" spans="2:18" ht="15" hidden="1" customHeight="1" outlineLevel="2" x14ac:dyDescent="0.2">
      <c r="B112" s="445"/>
      <c r="C112" s="182"/>
      <c r="D112" s="431"/>
      <c r="E112" s="431"/>
      <c r="F112" s="431"/>
      <c r="G112" s="431"/>
      <c r="H112" s="431"/>
      <c r="I112" s="482">
        <f>K103/60</f>
        <v>0</v>
      </c>
      <c r="J112" s="440" t="s">
        <v>708</v>
      </c>
      <c r="K112" s="482">
        <f>IFERROR(((O115*D114/60)+K115)/(M106*O106),"")</f>
        <v>0</v>
      </c>
      <c r="L112" s="440" t="s">
        <v>701</v>
      </c>
      <c r="M112" s="734" t="str">
        <f>IF(F111&lt;5,"Leve",IF(AND(F111&gt;=5,F111&lt;10),"Normal","Pesada"))</f>
        <v>Leve</v>
      </c>
      <c r="N112" s="734"/>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27" t="s">
        <v>777</v>
      </c>
      <c r="E113" s="728"/>
      <c r="F113" s="727" t="s">
        <v>778</v>
      </c>
      <c r="G113" s="728"/>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761</v>
      </c>
      <c r="F114" s="626">
        <f>F98</f>
        <v>0</v>
      </c>
      <c r="G114" s="440" t="s">
        <v>759</v>
      </c>
      <c r="H114" s="431"/>
      <c r="I114" s="726" t="s">
        <v>83</v>
      </c>
      <c r="J114" s="726"/>
      <c r="K114" s="726" t="s">
        <v>741</v>
      </c>
      <c r="L114" s="726"/>
      <c r="M114" s="726" t="s">
        <v>699</v>
      </c>
      <c r="N114" s="726"/>
      <c r="O114" s="726" t="s">
        <v>696</v>
      </c>
      <c r="P114" s="726"/>
      <c r="Q114" s="446"/>
    </row>
    <row r="115" spans="2:18" ht="15" hidden="1" customHeight="1" outlineLevel="2" x14ac:dyDescent="0.2">
      <c r="B115" s="445"/>
      <c r="C115" s="182"/>
      <c r="D115" s="431"/>
      <c r="E115" s="431"/>
      <c r="F115" s="626">
        <f>F99</f>
        <v>0</v>
      </c>
      <c r="G115" s="440" t="s">
        <v>760</v>
      </c>
      <c r="H115" s="431"/>
      <c r="I115" s="482">
        <f>IFERROR(VLOOKUP(C102,'Listas de Dados'!$I:$N,3,0),0)</f>
        <v>0</v>
      </c>
      <c r="J115" s="440" t="s">
        <v>697</v>
      </c>
      <c r="K115" s="482">
        <f>SUM(I115,I104/60)</f>
        <v>0</v>
      </c>
      <c r="L115" s="440" t="s">
        <v>697</v>
      </c>
      <c r="M115" s="482">
        <f>IFERROR(K115*60/D114,0)</f>
        <v>0</v>
      </c>
      <c r="N115" s="440" t="s">
        <v>698</v>
      </c>
      <c r="O115" s="482">
        <f>IFERROR(K103/(F111)/60*1000*((1+(100-O112)/100)),0)</f>
        <v>0</v>
      </c>
      <c r="P115" s="440" t="s">
        <v>698</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24" t="s">
        <v>783</v>
      </c>
      <c r="D117" s="725"/>
      <c r="E117" s="725"/>
      <c r="F117" s="488"/>
      <c r="G117" s="488"/>
      <c r="H117" s="488"/>
      <c r="I117" s="488"/>
      <c r="J117" s="488"/>
      <c r="K117" s="488"/>
      <c r="L117" s="488"/>
      <c r="M117" s="488"/>
      <c r="N117" s="488"/>
      <c r="O117" s="488"/>
      <c r="P117" s="488"/>
      <c r="Q117" s="446"/>
      <c r="R117" s="434"/>
    </row>
    <row r="118" spans="2:18" ht="15" hidden="1" customHeight="1" outlineLevel="2" x14ac:dyDescent="0.2">
      <c r="B118" s="445"/>
      <c r="C118" s="730"/>
      <c r="D118" s="731"/>
      <c r="E118" s="731"/>
      <c r="F118" s="731"/>
      <c r="G118" s="731"/>
      <c r="H118" s="182"/>
      <c r="I118" s="732" t="s">
        <v>626</v>
      </c>
      <c r="J118" s="732"/>
      <c r="K118" s="724" t="s">
        <v>765</v>
      </c>
      <c r="L118" s="725"/>
      <c r="M118" s="724" t="s">
        <v>878</v>
      </c>
      <c r="N118" s="725"/>
      <c r="O118" s="724" t="s">
        <v>776</v>
      </c>
      <c r="P118" s="725"/>
      <c r="Q118" s="446"/>
      <c r="R118" s="435"/>
    </row>
    <row r="119" spans="2:18" ht="15" hidden="1" customHeight="1" outlineLevel="2" x14ac:dyDescent="0.2">
      <c r="B119" s="445"/>
      <c r="C119" s="182"/>
      <c r="D119" s="182"/>
      <c r="E119" s="182"/>
      <c r="F119" s="182"/>
      <c r="G119" s="182"/>
      <c r="H119" s="182"/>
      <c r="I119" s="457"/>
      <c r="J119" s="440" t="s">
        <v>772</v>
      </c>
      <c r="K119" s="457"/>
      <c r="L119" s="440" t="s">
        <v>766</v>
      </c>
      <c r="M119" s="597">
        <v>0</v>
      </c>
      <c r="N119" s="677" t="s">
        <v>331</v>
      </c>
      <c r="O119" s="597">
        <v>0</v>
      </c>
      <c r="P119" s="440" t="s">
        <v>844</v>
      </c>
      <c r="Q119" s="446"/>
      <c r="R119" s="435"/>
    </row>
    <row r="120" spans="2:18" ht="15" hidden="1" customHeight="1" outlineLevel="2" x14ac:dyDescent="0.2">
      <c r="B120" s="445"/>
      <c r="C120" s="182"/>
      <c r="D120" s="724" t="s">
        <v>869</v>
      </c>
      <c r="E120" s="725"/>
      <c r="F120" s="724" t="s">
        <v>191</v>
      </c>
      <c r="G120" s="725"/>
      <c r="H120" s="182"/>
      <c r="I120" s="457"/>
      <c r="J120" s="440" t="s">
        <v>708</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26" t="s">
        <v>880</v>
      </c>
      <c r="N121" s="726"/>
      <c r="O121" s="726" t="s">
        <v>868</v>
      </c>
      <c r="P121" s="726"/>
      <c r="Q121" s="446"/>
      <c r="R121" s="435"/>
    </row>
    <row r="122" spans="2:18" ht="15" hidden="1" customHeight="1" outlineLevel="2" x14ac:dyDescent="0.2">
      <c r="B122" s="445"/>
      <c r="C122" s="182"/>
      <c r="D122" s="431"/>
      <c r="E122" s="431"/>
      <c r="F122" s="431"/>
      <c r="G122" s="431"/>
      <c r="H122" s="431"/>
      <c r="I122" s="431"/>
      <c r="J122" s="431"/>
      <c r="M122" s="680">
        <v>8.48</v>
      </c>
      <c r="N122" s="608" t="s">
        <v>697</v>
      </c>
      <c r="O122" s="729">
        <v>1</v>
      </c>
      <c r="P122" s="729"/>
      <c r="Q122" s="446"/>
      <c r="R122" s="435"/>
    </row>
    <row r="123" spans="2:18" ht="15" hidden="1" customHeight="1" outlineLevel="2" x14ac:dyDescent="0.2">
      <c r="B123" s="445"/>
      <c r="C123" s="182"/>
      <c r="D123" s="727" t="s">
        <v>771</v>
      </c>
      <c r="E123" s="728"/>
      <c r="F123" s="727" t="s">
        <v>94</v>
      </c>
      <c r="G123" s="728"/>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772</v>
      </c>
      <c r="F124" s="628">
        <v>0</v>
      </c>
      <c r="G124" s="625" t="s">
        <v>30</v>
      </c>
      <c r="H124" s="431"/>
      <c r="I124" s="724" t="s">
        <v>767</v>
      </c>
      <c r="J124" s="725"/>
      <c r="K124" s="726" t="s">
        <v>695</v>
      </c>
      <c r="L124" s="726"/>
      <c r="M124" s="726" t="s">
        <v>768</v>
      </c>
      <c r="N124" s="726"/>
      <c r="O124" s="726" t="s">
        <v>730</v>
      </c>
      <c r="P124" s="726"/>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24" t="s">
        <v>773</v>
      </c>
      <c r="E126" s="725"/>
      <c r="F126" s="724" t="s">
        <v>774</v>
      </c>
      <c r="G126" s="725"/>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775</v>
      </c>
      <c r="F127" s="437">
        <f>D127-O119</f>
        <v>0</v>
      </c>
      <c r="G127" s="440" t="s">
        <v>775</v>
      </c>
      <c r="H127" s="431"/>
      <c r="I127" s="726" t="s">
        <v>765</v>
      </c>
      <c r="J127" s="726"/>
      <c r="K127" s="726" t="s">
        <v>702</v>
      </c>
      <c r="L127" s="726"/>
      <c r="M127" s="726" t="s">
        <v>785</v>
      </c>
      <c r="N127" s="726"/>
      <c r="O127" s="726" t="s">
        <v>86</v>
      </c>
      <c r="P127" s="726"/>
      <c r="Q127" s="446"/>
      <c r="R127" s="435"/>
    </row>
    <row r="128" spans="2:18" ht="15" hidden="1" customHeight="1" outlineLevel="2" x14ac:dyDescent="0.2">
      <c r="B128" s="445"/>
      <c r="C128" s="182"/>
      <c r="D128" s="431"/>
      <c r="E128" s="431"/>
      <c r="F128" s="431"/>
      <c r="G128" s="431"/>
      <c r="H128" s="431"/>
      <c r="I128" s="482">
        <f>K119/60</f>
        <v>0</v>
      </c>
      <c r="J128" s="440" t="s">
        <v>708</v>
      </c>
      <c r="K128" s="482">
        <f>IFERROR(((O131*D130/60)+K131)/(M122*O122),"")</f>
        <v>0</v>
      </c>
      <c r="L128" s="440" t="s">
        <v>701</v>
      </c>
      <c r="M128" s="734" t="str">
        <f>IF(F127&lt;5,"Leve",IF(AND(F127&gt;=5,F127&lt;10),"Normal","Pesada"))</f>
        <v>Leve</v>
      </c>
      <c r="N128" s="734"/>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27" t="s">
        <v>777</v>
      </c>
      <c r="E129" s="728"/>
      <c r="F129" s="727" t="s">
        <v>778</v>
      </c>
      <c r="G129" s="728"/>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761</v>
      </c>
      <c r="F130" s="626">
        <f>F114</f>
        <v>0</v>
      </c>
      <c r="G130" s="440" t="s">
        <v>759</v>
      </c>
      <c r="H130" s="431"/>
      <c r="I130" s="726" t="s">
        <v>83</v>
      </c>
      <c r="J130" s="726"/>
      <c r="K130" s="726" t="s">
        <v>741</v>
      </c>
      <c r="L130" s="726"/>
      <c r="M130" s="726" t="s">
        <v>699</v>
      </c>
      <c r="N130" s="726"/>
      <c r="O130" s="726" t="s">
        <v>696</v>
      </c>
      <c r="P130" s="726"/>
      <c r="Q130" s="446"/>
    </row>
    <row r="131" spans="2:18" ht="15" hidden="1" customHeight="1" outlineLevel="2" x14ac:dyDescent="0.2">
      <c r="B131" s="445"/>
      <c r="C131" s="182"/>
      <c r="D131" s="431"/>
      <c r="E131" s="431"/>
      <c r="F131" s="626">
        <f>F115</f>
        <v>0</v>
      </c>
      <c r="G131" s="440" t="s">
        <v>760</v>
      </c>
      <c r="H131" s="431"/>
      <c r="I131" s="482">
        <f>IFERROR(VLOOKUP(C118,'Listas de Dados'!$I:$N,3,0),0)</f>
        <v>0</v>
      </c>
      <c r="J131" s="440" t="s">
        <v>697</v>
      </c>
      <c r="K131" s="482">
        <f>SUM(I131,I120/60)</f>
        <v>0</v>
      </c>
      <c r="L131" s="440" t="s">
        <v>697</v>
      </c>
      <c r="M131" s="482">
        <f>IFERROR(K131*60/D130,0)</f>
        <v>0</v>
      </c>
      <c r="N131" s="440" t="s">
        <v>698</v>
      </c>
      <c r="O131" s="482">
        <f>IFERROR(K119/(F127)/60*1000*((1+(100-O128)/100)),0)</f>
        <v>0</v>
      </c>
      <c r="P131" s="440" t="s">
        <v>698</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24" t="s">
        <v>784</v>
      </c>
      <c r="D133" s="725"/>
      <c r="E133" s="725"/>
      <c r="F133" s="488"/>
      <c r="G133" s="488"/>
      <c r="H133" s="488"/>
      <c r="I133" s="488"/>
      <c r="J133" s="488"/>
      <c r="K133" s="488"/>
      <c r="L133" s="488"/>
      <c r="M133" s="488"/>
      <c r="N133" s="488"/>
      <c r="O133" s="488"/>
      <c r="P133" s="488"/>
      <c r="Q133" s="446"/>
      <c r="R133" s="434"/>
    </row>
    <row r="134" spans="2:18" ht="15" hidden="1" customHeight="1" outlineLevel="2" x14ac:dyDescent="0.2">
      <c r="B134" s="445"/>
      <c r="C134" s="730"/>
      <c r="D134" s="731"/>
      <c r="E134" s="731"/>
      <c r="F134" s="731"/>
      <c r="G134" s="731"/>
      <c r="H134" s="182"/>
      <c r="I134" s="732" t="s">
        <v>626</v>
      </c>
      <c r="J134" s="732"/>
      <c r="K134" s="724" t="s">
        <v>765</v>
      </c>
      <c r="L134" s="725"/>
      <c r="M134" s="724" t="s">
        <v>878</v>
      </c>
      <c r="N134" s="725"/>
      <c r="O134" s="724" t="s">
        <v>776</v>
      </c>
      <c r="P134" s="725"/>
      <c r="Q134" s="446"/>
      <c r="R134" s="435"/>
    </row>
    <row r="135" spans="2:18" ht="15" hidden="1" customHeight="1" outlineLevel="2" x14ac:dyDescent="0.2">
      <c r="B135" s="445"/>
      <c r="C135" s="182"/>
      <c r="D135" s="182"/>
      <c r="E135" s="182"/>
      <c r="F135" s="182"/>
      <c r="G135" s="182"/>
      <c r="H135" s="182"/>
      <c r="I135" s="457"/>
      <c r="J135" s="440" t="s">
        <v>772</v>
      </c>
      <c r="K135" s="457"/>
      <c r="L135" s="440" t="s">
        <v>766</v>
      </c>
      <c r="M135" s="597">
        <v>0</v>
      </c>
      <c r="N135" s="677" t="s">
        <v>331</v>
      </c>
      <c r="O135" s="597"/>
      <c r="P135" s="440" t="s">
        <v>844</v>
      </c>
      <c r="Q135" s="446"/>
      <c r="R135" s="435"/>
    </row>
    <row r="136" spans="2:18" ht="15" hidden="1" customHeight="1" outlineLevel="2" x14ac:dyDescent="0.2">
      <c r="B136" s="445"/>
      <c r="C136" s="182"/>
      <c r="D136" s="724" t="s">
        <v>869</v>
      </c>
      <c r="E136" s="725"/>
      <c r="F136" s="724" t="s">
        <v>191</v>
      </c>
      <c r="G136" s="725"/>
      <c r="H136" s="182"/>
      <c r="I136" s="457"/>
      <c r="J136" s="440" t="s">
        <v>708</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26" t="s">
        <v>880</v>
      </c>
      <c r="N137" s="726"/>
      <c r="O137" s="726" t="s">
        <v>868</v>
      </c>
      <c r="P137" s="726"/>
      <c r="Q137" s="446"/>
      <c r="R137" s="435"/>
    </row>
    <row r="138" spans="2:18" ht="15" hidden="1" customHeight="1" outlineLevel="2" x14ac:dyDescent="0.2">
      <c r="B138" s="445"/>
      <c r="C138" s="182"/>
      <c r="D138" s="431"/>
      <c r="E138" s="431"/>
      <c r="F138" s="431"/>
      <c r="G138" s="431"/>
      <c r="H138" s="431"/>
      <c r="I138" s="431"/>
      <c r="J138" s="431"/>
      <c r="M138" s="680">
        <v>8.48</v>
      </c>
      <c r="N138" s="608" t="s">
        <v>697</v>
      </c>
      <c r="O138" s="729">
        <v>1</v>
      </c>
      <c r="P138" s="729"/>
      <c r="Q138" s="446"/>
      <c r="R138" s="435"/>
    </row>
    <row r="139" spans="2:18" ht="15" hidden="1" customHeight="1" outlineLevel="2" x14ac:dyDescent="0.2">
      <c r="B139" s="445"/>
      <c r="C139" s="182"/>
      <c r="D139" s="727" t="s">
        <v>771</v>
      </c>
      <c r="E139" s="728"/>
      <c r="F139" s="727" t="s">
        <v>94</v>
      </c>
      <c r="G139" s="728"/>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772</v>
      </c>
      <c r="F140" s="628">
        <v>0</v>
      </c>
      <c r="G140" s="440" t="s">
        <v>30</v>
      </c>
      <c r="H140" s="431"/>
      <c r="I140" s="724" t="s">
        <v>767</v>
      </c>
      <c r="J140" s="725"/>
      <c r="K140" s="726" t="s">
        <v>695</v>
      </c>
      <c r="L140" s="726"/>
      <c r="M140" s="726" t="s">
        <v>768</v>
      </c>
      <c r="N140" s="726"/>
      <c r="O140" s="726" t="s">
        <v>730</v>
      </c>
      <c r="P140" s="726"/>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24" t="s">
        <v>773</v>
      </c>
      <c r="E142" s="725"/>
      <c r="F142" s="724" t="s">
        <v>774</v>
      </c>
      <c r="G142" s="725"/>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775</v>
      </c>
      <c r="F143" s="437">
        <f>D143-O135</f>
        <v>0</v>
      </c>
      <c r="G143" s="440" t="s">
        <v>775</v>
      </c>
      <c r="H143" s="431"/>
      <c r="I143" s="726" t="s">
        <v>765</v>
      </c>
      <c r="J143" s="726"/>
      <c r="K143" s="726" t="s">
        <v>702</v>
      </c>
      <c r="L143" s="726"/>
      <c r="M143" s="726" t="s">
        <v>785</v>
      </c>
      <c r="N143" s="726"/>
      <c r="O143" s="726" t="s">
        <v>86</v>
      </c>
      <c r="P143" s="726"/>
      <c r="Q143" s="446"/>
      <c r="R143" s="435"/>
    </row>
    <row r="144" spans="2:18" ht="15" hidden="1" customHeight="1" outlineLevel="2" x14ac:dyDescent="0.2">
      <c r="B144" s="445"/>
      <c r="C144" s="182"/>
      <c r="D144" s="431"/>
      <c r="E144" s="431"/>
      <c r="F144" s="431"/>
      <c r="G144" s="431"/>
      <c r="H144" s="431"/>
      <c r="I144" s="482">
        <f>K135/60</f>
        <v>0</v>
      </c>
      <c r="J144" s="440" t="s">
        <v>708</v>
      </c>
      <c r="K144" s="482">
        <f>IFERROR(((O147*D146/60)+K147)/(M138*O138),"")</f>
        <v>0</v>
      </c>
      <c r="L144" s="440" t="s">
        <v>701</v>
      </c>
      <c r="M144" s="734" t="str">
        <f>IF(F143&lt;5,"Leve",IF(AND(F143&gt;=5,F143&lt;10),"Normal","Pesada"))</f>
        <v>Leve</v>
      </c>
      <c r="N144" s="734"/>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27" t="s">
        <v>777</v>
      </c>
      <c r="E145" s="728"/>
      <c r="F145" s="727" t="s">
        <v>778</v>
      </c>
      <c r="G145" s="728"/>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761</v>
      </c>
      <c r="F146" s="626">
        <f>F130</f>
        <v>0</v>
      </c>
      <c r="G146" s="440" t="s">
        <v>759</v>
      </c>
      <c r="H146" s="431"/>
      <c r="I146" s="726" t="s">
        <v>83</v>
      </c>
      <c r="J146" s="726"/>
      <c r="K146" s="726" t="s">
        <v>741</v>
      </c>
      <c r="L146" s="726"/>
      <c r="M146" s="726" t="s">
        <v>699</v>
      </c>
      <c r="N146" s="726"/>
      <c r="O146" s="726" t="s">
        <v>696</v>
      </c>
      <c r="P146" s="726"/>
      <c r="Q146" s="446"/>
    </row>
    <row r="147" spans="2:18" ht="15" hidden="1" customHeight="1" outlineLevel="2" x14ac:dyDescent="0.2">
      <c r="B147" s="445"/>
      <c r="C147" s="182"/>
      <c r="D147" s="431"/>
      <c r="E147" s="431"/>
      <c r="F147" s="626">
        <f>F131</f>
        <v>0</v>
      </c>
      <c r="G147" s="440" t="s">
        <v>760</v>
      </c>
      <c r="H147" s="431"/>
      <c r="I147" s="482">
        <f>IFERROR(VLOOKUP(C134,'Listas de Dados'!$I:$N,3,0),0)</f>
        <v>0</v>
      </c>
      <c r="J147" s="440" t="s">
        <v>697</v>
      </c>
      <c r="K147" s="482">
        <f>SUM(I147,I136/60)</f>
        <v>0</v>
      </c>
      <c r="L147" s="440" t="s">
        <v>697</v>
      </c>
      <c r="M147" s="482">
        <f>IFERROR(K147*60/D146,0)</f>
        <v>0</v>
      </c>
      <c r="N147" s="440" t="s">
        <v>698</v>
      </c>
      <c r="O147" s="482">
        <f>IFERROR(K135/(F143)/60*1000*((1+(100-O144)/100)),0)</f>
        <v>0</v>
      </c>
      <c r="P147" s="440" t="s">
        <v>698</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18" t="s">
        <v>672</v>
      </c>
      <c r="C163" s="719"/>
      <c r="D163" s="721" t="s">
        <v>2</v>
      </c>
      <c r="E163" s="721"/>
      <c r="F163" s="721"/>
      <c r="G163" s="721"/>
      <c r="H163" s="721"/>
      <c r="I163" s="721"/>
      <c r="J163" s="721"/>
      <c r="K163" s="721"/>
      <c r="L163" s="721"/>
      <c r="M163" s="721" t="s">
        <v>673</v>
      </c>
      <c r="N163" s="721"/>
      <c r="O163" s="721"/>
      <c r="P163" s="718" t="s">
        <v>674</v>
      </c>
      <c r="Q163" s="719"/>
    </row>
    <row r="164" spans="2:17" x14ac:dyDescent="0.2">
      <c r="B164" s="718" t="s">
        <v>678</v>
      </c>
      <c r="C164" s="719"/>
      <c r="D164" s="720" t="s">
        <v>791</v>
      </c>
      <c r="E164" s="720"/>
      <c r="F164" s="720"/>
      <c r="G164" s="720"/>
      <c r="H164" s="720"/>
      <c r="I164" s="720"/>
      <c r="J164" s="720"/>
      <c r="K164" s="720"/>
      <c r="L164" s="720"/>
      <c r="M164" s="721" t="s">
        <v>679</v>
      </c>
      <c r="N164" s="721"/>
      <c r="O164" s="721"/>
      <c r="P164" s="722">
        <v>44459</v>
      </c>
      <c r="Q164" s="723"/>
    </row>
    <row r="165" spans="2:17" x14ac:dyDescent="0.2">
      <c r="B165" s="718" t="s">
        <v>859</v>
      </c>
      <c r="C165" s="719"/>
      <c r="D165" s="720" t="s">
        <v>860</v>
      </c>
      <c r="E165" s="720"/>
      <c r="F165" s="720"/>
      <c r="G165" s="720"/>
      <c r="H165" s="720"/>
      <c r="I165" s="720"/>
      <c r="J165" s="720"/>
      <c r="K165" s="720"/>
      <c r="L165" s="720"/>
      <c r="M165" s="721" t="s">
        <v>679</v>
      </c>
      <c r="N165" s="721"/>
      <c r="O165" s="721"/>
      <c r="P165" s="722">
        <v>44476</v>
      </c>
      <c r="Q165" s="723"/>
    </row>
    <row r="166" spans="2:17" x14ac:dyDescent="0.2">
      <c r="B166" s="718" t="s">
        <v>861</v>
      </c>
      <c r="C166" s="719"/>
      <c r="D166" s="720" t="s">
        <v>862</v>
      </c>
      <c r="E166" s="720"/>
      <c r="F166" s="720"/>
      <c r="G166" s="720"/>
      <c r="H166" s="720"/>
      <c r="I166" s="720"/>
      <c r="J166" s="720"/>
      <c r="K166" s="720"/>
      <c r="L166" s="720"/>
      <c r="M166" s="721" t="s">
        <v>679</v>
      </c>
      <c r="N166" s="721"/>
      <c r="O166" s="721"/>
      <c r="P166" s="722">
        <v>44482</v>
      </c>
      <c r="Q166" s="723"/>
    </row>
    <row r="167" spans="2:17" x14ac:dyDescent="0.2">
      <c r="B167" s="718" t="s">
        <v>863</v>
      </c>
      <c r="C167" s="719"/>
      <c r="D167" s="720" t="s">
        <v>864</v>
      </c>
      <c r="E167" s="720"/>
      <c r="F167" s="720"/>
      <c r="G167" s="720"/>
      <c r="H167" s="720"/>
      <c r="I167" s="720"/>
      <c r="J167" s="720"/>
      <c r="K167" s="720"/>
      <c r="L167" s="720"/>
      <c r="M167" s="721" t="s">
        <v>679</v>
      </c>
      <c r="N167" s="721"/>
      <c r="O167" s="721"/>
      <c r="P167" s="722">
        <v>44489</v>
      </c>
      <c r="Q167" s="723"/>
    </row>
    <row r="168" spans="2:17" x14ac:dyDescent="0.2">
      <c r="B168" s="718" t="s">
        <v>865</v>
      </c>
      <c r="C168" s="719"/>
      <c r="D168" s="720" t="s">
        <v>866</v>
      </c>
      <c r="E168" s="720"/>
      <c r="F168" s="720"/>
      <c r="G168" s="720"/>
      <c r="H168" s="720"/>
      <c r="I168" s="720"/>
      <c r="J168" s="720"/>
      <c r="K168" s="720"/>
      <c r="L168" s="720"/>
      <c r="M168" s="721" t="s">
        <v>679</v>
      </c>
      <c r="N168" s="721"/>
      <c r="O168" s="721"/>
      <c r="P168" s="722">
        <v>44491</v>
      </c>
      <c r="Q168" s="723"/>
    </row>
    <row r="169" spans="2:17" x14ac:dyDescent="0.2">
      <c r="B169" s="718" t="s">
        <v>867</v>
      </c>
      <c r="C169" s="719"/>
      <c r="D169" s="720" t="s">
        <v>879</v>
      </c>
      <c r="E169" s="720"/>
      <c r="F169" s="720"/>
      <c r="G169" s="720"/>
      <c r="H169" s="720"/>
      <c r="I169" s="720"/>
      <c r="J169" s="720"/>
      <c r="K169" s="720"/>
      <c r="L169" s="720"/>
      <c r="M169" s="721" t="s">
        <v>679</v>
      </c>
      <c r="N169" s="721"/>
      <c r="O169" s="721"/>
      <c r="P169" s="722">
        <v>44496</v>
      </c>
      <c r="Q169" s="723"/>
    </row>
    <row r="170" spans="2:17" x14ac:dyDescent="0.2">
      <c r="B170" s="718" t="s">
        <v>901</v>
      </c>
      <c r="C170" s="719"/>
      <c r="D170" s="720" t="s">
        <v>902</v>
      </c>
      <c r="E170" s="720"/>
      <c r="F170" s="720"/>
      <c r="G170" s="720"/>
      <c r="H170" s="720"/>
      <c r="I170" s="720"/>
      <c r="J170" s="720"/>
      <c r="K170" s="720"/>
      <c r="L170" s="720"/>
      <c r="M170" s="721" t="s">
        <v>679</v>
      </c>
      <c r="N170" s="721"/>
      <c r="O170" s="721"/>
      <c r="P170" s="722">
        <v>44524</v>
      </c>
      <c r="Q170" s="723"/>
    </row>
    <row r="171" spans="2:17" x14ac:dyDescent="0.2">
      <c r="B171" s="718" t="s">
        <v>910</v>
      </c>
      <c r="C171" s="719"/>
      <c r="D171" s="720" t="s">
        <v>911</v>
      </c>
      <c r="E171" s="720"/>
      <c r="F171" s="720"/>
      <c r="G171" s="720"/>
      <c r="H171" s="720"/>
      <c r="I171" s="720"/>
      <c r="J171" s="720"/>
      <c r="K171" s="720"/>
      <c r="L171" s="720"/>
      <c r="M171" s="721" t="s">
        <v>679</v>
      </c>
      <c r="N171" s="721"/>
      <c r="O171" s="721"/>
      <c r="P171" s="722">
        <v>44526</v>
      </c>
      <c r="Q171" s="723"/>
    </row>
    <row r="172" spans="2:17" x14ac:dyDescent="0.2">
      <c r="B172" s="718" t="s">
        <v>923</v>
      </c>
      <c r="C172" s="719"/>
      <c r="D172" s="720" t="s">
        <v>930</v>
      </c>
      <c r="E172" s="720"/>
      <c r="F172" s="720"/>
      <c r="G172" s="720"/>
      <c r="H172" s="720"/>
      <c r="I172" s="720"/>
      <c r="J172" s="720"/>
      <c r="K172" s="720"/>
      <c r="L172" s="720"/>
      <c r="M172" s="721" t="s">
        <v>924</v>
      </c>
      <c r="N172" s="721"/>
      <c r="O172" s="721"/>
      <c r="P172" s="722">
        <v>44536</v>
      </c>
      <c r="Q172" s="723"/>
    </row>
    <row r="173" spans="2:17" x14ac:dyDescent="0.2">
      <c r="B173" s="718" t="s">
        <v>931</v>
      </c>
      <c r="C173" s="719"/>
      <c r="D173" s="720" t="s">
        <v>934</v>
      </c>
      <c r="E173" s="720"/>
      <c r="F173" s="720"/>
      <c r="G173" s="720"/>
      <c r="H173" s="720"/>
      <c r="I173" s="720"/>
      <c r="J173" s="720"/>
      <c r="K173" s="720"/>
      <c r="L173" s="720"/>
      <c r="M173" s="721" t="s">
        <v>679</v>
      </c>
      <c r="N173" s="721"/>
      <c r="O173" s="721"/>
      <c r="P173" s="722">
        <v>44574</v>
      </c>
      <c r="Q173" s="723"/>
    </row>
    <row r="174" spans="2:17" x14ac:dyDescent="0.2">
      <c r="B174" s="718"/>
      <c r="C174" s="719"/>
      <c r="D174" s="720"/>
      <c r="E174" s="720"/>
      <c r="F174" s="720"/>
      <c r="G174" s="720"/>
      <c r="H174" s="720"/>
      <c r="I174" s="720"/>
      <c r="J174" s="720"/>
      <c r="K174" s="720"/>
      <c r="L174" s="720"/>
      <c r="M174" s="721"/>
      <c r="N174" s="721"/>
      <c r="O174" s="721"/>
      <c r="P174" s="722"/>
      <c r="Q174" s="723"/>
    </row>
    <row r="175" spans="2:17" x14ac:dyDescent="0.2">
      <c r="B175" s="718"/>
      <c r="C175" s="719"/>
      <c r="D175" s="720"/>
      <c r="E175" s="720"/>
      <c r="F175" s="720"/>
      <c r="G175" s="720"/>
      <c r="H175" s="720"/>
      <c r="I175" s="720"/>
      <c r="J175" s="720"/>
      <c r="K175" s="720"/>
      <c r="L175" s="720"/>
      <c r="M175" s="721"/>
      <c r="N175" s="721"/>
      <c r="O175" s="721"/>
      <c r="P175" s="722"/>
      <c r="Q175" s="723"/>
    </row>
    <row r="176" spans="2:17" x14ac:dyDescent="0.2">
      <c r="B176" s="718"/>
      <c r="C176" s="719"/>
      <c r="D176" s="720"/>
      <c r="E176" s="720"/>
      <c r="F176" s="720"/>
      <c r="G176" s="720"/>
      <c r="H176" s="720"/>
      <c r="I176" s="720"/>
      <c r="J176" s="720"/>
      <c r="K176" s="720"/>
      <c r="L176" s="720"/>
      <c r="M176" s="721"/>
      <c r="N176" s="721"/>
      <c r="O176" s="721"/>
      <c r="P176" s="722"/>
      <c r="Q176" s="723"/>
    </row>
    <row r="177" spans="2:17" x14ac:dyDescent="0.2">
      <c r="B177" s="718"/>
      <c r="C177" s="719"/>
      <c r="D177" s="720"/>
      <c r="E177" s="720"/>
      <c r="F177" s="720"/>
      <c r="G177" s="720"/>
      <c r="H177" s="720"/>
      <c r="I177" s="720"/>
      <c r="J177" s="720"/>
      <c r="K177" s="720"/>
      <c r="L177" s="720"/>
      <c r="M177" s="721"/>
      <c r="N177" s="721"/>
      <c r="O177" s="721"/>
      <c r="P177" s="722"/>
      <c r="Q177" s="723"/>
    </row>
    <row r="178" spans="2:17" x14ac:dyDescent="0.2">
      <c r="B178" s="718"/>
      <c r="C178" s="719"/>
      <c r="D178" s="720"/>
      <c r="E178" s="720"/>
      <c r="F178" s="720"/>
      <c r="G178" s="720"/>
      <c r="H178" s="720"/>
      <c r="I178" s="720"/>
      <c r="J178" s="720"/>
      <c r="K178" s="720"/>
      <c r="L178" s="720"/>
      <c r="M178" s="721"/>
      <c r="N178" s="721"/>
      <c r="O178" s="721"/>
      <c r="P178" s="722"/>
      <c r="Q178" s="723"/>
    </row>
    <row r="179" spans="2:17" x14ac:dyDescent="0.2">
      <c r="B179" s="718"/>
      <c r="C179" s="719"/>
      <c r="D179" s="720"/>
      <c r="E179" s="720"/>
      <c r="F179" s="720"/>
      <c r="G179" s="720"/>
      <c r="H179" s="720"/>
      <c r="I179" s="720"/>
      <c r="J179" s="720"/>
      <c r="K179" s="720"/>
      <c r="L179" s="720"/>
      <c r="M179" s="721"/>
      <c r="N179" s="721"/>
      <c r="O179" s="721"/>
      <c r="P179" s="722"/>
      <c r="Q179" s="723"/>
    </row>
    <row r="180" spans="2:17" x14ac:dyDescent="0.2">
      <c r="B180" s="718"/>
      <c r="C180" s="719"/>
      <c r="D180" s="720"/>
      <c r="E180" s="720"/>
      <c r="F180" s="720"/>
      <c r="G180" s="720"/>
      <c r="H180" s="720"/>
      <c r="I180" s="720"/>
      <c r="J180" s="720"/>
      <c r="K180" s="720"/>
      <c r="L180" s="720"/>
      <c r="M180" s="721"/>
      <c r="N180" s="721"/>
      <c r="O180" s="721"/>
      <c r="P180" s="722"/>
      <c r="Q180" s="723"/>
    </row>
    <row r="181" spans="2:17" x14ac:dyDescent="0.2">
      <c r="B181" s="718"/>
      <c r="C181" s="719"/>
      <c r="D181" s="720"/>
      <c r="E181" s="720"/>
      <c r="F181" s="720"/>
      <c r="G181" s="720"/>
      <c r="H181" s="720"/>
      <c r="I181" s="720"/>
      <c r="J181" s="720"/>
      <c r="K181" s="720"/>
      <c r="L181" s="720"/>
      <c r="M181" s="721"/>
      <c r="N181" s="721"/>
      <c r="O181" s="721"/>
      <c r="P181" s="722"/>
      <c r="Q181" s="723"/>
    </row>
    <row r="182" spans="2:17" x14ac:dyDescent="0.2">
      <c r="B182" s="718"/>
      <c r="C182" s="719"/>
      <c r="D182" s="720"/>
      <c r="E182" s="720"/>
      <c r="F182" s="720"/>
      <c r="G182" s="720"/>
      <c r="H182" s="720"/>
      <c r="I182" s="720"/>
      <c r="J182" s="720"/>
      <c r="K182" s="720"/>
      <c r="L182" s="720"/>
      <c r="M182" s="721"/>
      <c r="N182" s="721"/>
      <c r="O182" s="721"/>
      <c r="P182" s="722"/>
      <c r="Q182" s="723"/>
    </row>
    <row r="183" spans="2:17" x14ac:dyDescent="0.2">
      <c r="B183" s="718"/>
      <c r="C183" s="719"/>
      <c r="D183" s="720"/>
      <c r="E183" s="720"/>
      <c r="F183" s="720"/>
      <c r="G183" s="720"/>
      <c r="H183" s="720"/>
      <c r="I183" s="720"/>
      <c r="J183" s="720"/>
      <c r="K183" s="720"/>
      <c r="L183" s="720"/>
      <c r="M183" s="721"/>
      <c r="N183" s="721"/>
      <c r="O183" s="721"/>
      <c r="P183" s="722"/>
      <c r="Q183" s="723"/>
    </row>
    <row r="184" spans="2:17" x14ac:dyDescent="0.2">
      <c r="B184" s="718"/>
      <c r="C184" s="719"/>
      <c r="D184" s="720"/>
      <c r="E184" s="720"/>
      <c r="F184" s="720"/>
      <c r="G184" s="720"/>
      <c r="H184" s="720"/>
      <c r="I184" s="720"/>
      <c r="J184" s="720"/>
      <c r="K184" s="720"/>
      <c r="L184" s="720"/>
      <c r="M184" s="721"/>
      <c r="N184" s="721"/>
      <c r="O184" s="721"/>
      <c r="P184" s="722"/>
      <c r="Q184" s="723"/>
    </row>
    <row r="185" spans="2:17" x14ac:dyDescent="0.2">
      <c r="B185" s="718"/>
      <c r="C185" s="719"/>
      <c r="D185" s="720"/>
      <c r="E185" s="720"/>
      <c r="F185" s="720"/>
      <c r="G185" s="720"/>
      <c r="H185" s="720"/>
      <c r="I185" s="720"/>
      <c r="J185" s="720"/>
      <c r="K185" s="720"/>
      <c r="L185" s="720"/>
      <c r="M185" s="721"/>
      <c r="N185" s="721"/>
      <c r="O185" s="721"/>
      <c r="P185" s="722"/>
      <c r="Q185" s="723"/>
    </row>
    <row r="186" spans="2:17" x14ac:dyDescent="0.2">
      <c r="B186" s="718"/>
      <c r="C186" s="719"/>
      <c r="D186" s="720"/>
      <c r="E186" s="720"/>
      <c r="F186" s="720"/>
      <c r="G186" s="720"/>
      <c r="H186" s="720"/>
      <c r="I186" s="720"/>
      <c r="J186" s="720"/>
      <c r="K186" s="720"/>
      <c r="L186" s="720"/>
      <c r="M186" s="721"/>
      <c r="N186" s="721"/>
      <c r="O186" s="721"/>
      <c r="P186" s="722"/>
      <c r="Q186" s="723"/>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0" priority="99" stopIfTrue="1">
      <formula>$F$17=1</formula>
    </cfRule>
  </conditionalFormatting>
  <conditionalFormatting sqref="O18:P19">
    <cfRule type="containsText" dxfId="159" priority="96" stopIfTrue="1" operator="containsText" text="FALSO">
      <formula>NOT(ISERROR(SEARCH("FALSO",O18)))</formula>
    </cfRule>
  </conditionalFormatting>
  <conditionalFormatting sqref="H18:I18">
    <cfRule type="containsText" dxfId="158" priority="44" stopIfTrue="1" operator="containsText" text="FALSO">
      <formula>NOT(ISERROR(SEARCH("FALSO",H18)))</formula>
    </cfRule>
  </conditionalFormatting>
  <conditionalFormatting sqref="C22:D22">
    <cfRule type="containsText" dxfId="157" priority="41" stopIfTrue="1" operator="containsText" text="FALSO">
      <formula>NOT(ISERROR(SEARCH("FALSO",C22)))</formula>
    </cfRule>
  </conditionalFormatting>
  <conditionalFormatting sqref="E24:F24">
    <cfRule type="containsText" dxfId="156" priority="40" stopIfTrue="1" operator="containsText" text="FALSO">
      <formula>NOT(ISERROR(SEARCH("FALSO",E24)))</formula>
    </cfRule>
  </conditionalFormatting>
  <conditionalFormatting sqref="P21">
    <cfRule type="containsText" dxfId="155" priority="39" stopIfTrue="1" operator="containsText" text="FALSO">
      <formula>NOT(ISERROR(SEARCH("FALSO",P21)))</formula>
    </cfRule>
  </conditionalFormatting>
  <conditionalFormatting sqref="E23:F24 C21:D22">
    <cfRule type="expression" dxfId="154" priority="194">
      <formula>$F$17&gt;1</formula>
    </cfRule>
  </conditionalFormatting>
  <conditionalFormatting sqref="E34">
    <cfRule type="containsText" dxfId="153" priority="37" operator="containsText" text="VERDADEIRO">
      <formula>NOT(ISERROR(SEARCH("VERDADEIRO",E34)))</formula>
    </cfRule>
  </conditionalFormatting>
  <conditionalFormatting sqref="J18:K18">
    <cfRule type="containsText" dxfId="152" priority="32" stopIfTrue="1" operator="containsText" text="FALSO">
      <formula>NOT(ISERROR(SEARCH("FALSO",J18)))</formula>
    </cfRule>
  </conditionalFormatting>
  <conditionalFormatting sqref="O40:P41 O46:P47 N31 N32:P32 O43:P44 L34:P35 S45:V45 S37:Y37 S32:W36 Y31:Z36 S31 W31">
    <cfRule type="expression" dxfId="151" priority="30">
      <formula>NOT($E$34)</formula>
    </cfRule>
  </conditionalFormatting>
  <conditionalFormatting sqref="M59">
    <cfRule type="cellIs" dxfId="150" priority="27" operator="greaterThan">
      <formula>60</formula>
    </cfRule>
  </conditionalFormatting>
  <conditionalFormatting sqref="O59">
    <cfRule type="cellIs" dxfId="149" priority="26" operator="greaterThan">
      <formula>480</formula>
    </cfRule>
  </conditionalFormatting>
  <conditionalFormatting sqref="O58:P59">
    <cfRule type="expression" dxfId="148" priority="25">
      <formula>$C$32&lt;&gt;"Perfiladeira 1"</formula>
    </cfRule>
  </conditionalFormatting>
  <conditionalFormatting sqref="K58:L59">
    <cfRule type="expression" dxfId="147" priority="12">
      <formula>NOT($E$34)</formula>
    </cfRule>
  </conditionalFormatting>
  <conditionalFormatting sqref="M58:N59">
    <cfRule type="expression" dxfId="146" priority="11">
      <formula>AND($J$35&lt;&gt;"Cisalhamento",$J$35&lt;&gt;"Faca")</formula>
    </cfRule>
  </conditionalFormatting>
  <conditionalFormatting sqref="M43:N44">
    <cfRule type="expression" dxfId="145" priority="10">
      <formula>$F$17&lt;&gt;2</formula>
    </cfRule>
  </conditionalFormatting>
  <conditionalFormatting sqref="Z33:Z36">
    <cfRule type="containsText" dxfId="144" priority="4" stopIfTrue="1" operator="containsText" text="FALSO">
      <formula>NOT(ISERROR(SEARCH("FALSO",Z33)))</formula>
    </cfRule>
  </conditionalFormatting>
  <conditionalFormatting sqref="X32">
    <cfRule type="expression" dxfId="143" priority="3">
      <formula>NOT($E$34)</formula>
    </cfRule>
  </conditionalFormatting>
  <conditionalFormatting sqref="X33:X36">
    <cfRule type="expression" dxfId="142" priority="2">
      <formula>NOT($E$34)</formula>
    </cfRule>
  </conditionalFormatting>
  <conditionalFormatting sqref="K59">
    <cfRule type="cellIs" dxfId="141"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98" t="s">
        <v>0</v>
      </c>
      <c r="C1" s="781"/>
      <c r="D1" s="781"/>
      <c r="E1" s="781"/>
      <c r="F1" s="781"/>
      <c r="G1" s="781"/>
      <c r="H1" s="781"/>
      <c r="I1" s="781"/>
      <c r="J1" s="781"/>
      <c r="K1" s="781"/>
      <c r="L1" s="781"/>
      <c r="M1" s="781"/>
      <c r="N1" s="781"/>
      <c r="O1" s="781"/>
      <c r="P1" s="781"/>
      <c r="Q1" s="799"/>
      <c r="R1" s="780" t="s">
        <v>61</v>
      </c>
      <c r="S1" s="781"/>
      <c r="T1" s="781"/>
      <c r="U1" s="781"/>
      <c r="V1" s="781"/>
      <c r="W1" s="781"/>
      <c r="X1" s="781"/>
      <c r="Y1" s="781"/>
      <c r="Z1" s="781"/>
      <c r="AA1" s="781"/>
      <c r="AB1" s="781"/>
      <c r="AC1" s="781"/>
      <c r="AD1" s="781"/>
      <c r="AE1" s="781"/>
      <c r="AF1" s="781"/>
      <c r="AG1" s="781"/>
      <c r="AH1" s="781"/>
      <c r="AI1" s="782"/>
      <c r="AJ1" s="786" t="s">
        <v>90</v>
      </c>
      <c r="AK1" s="787"/>
      <c r="AL1" s="787"/>
      <c r="AM1" s="787"/>
      <c r="AN1" s="787"/>
      <c r="AO1" s="787"/>
      <c r="AP1" s="787"/>
      <c r="AQ1" s="787"/>
      <c r="AR1" s="787"/>
      <c r="AS1" s="787"/>
      <c r="AT1" s="787"/>
      <c r="AU1" s="787"/>
      <c r="AV1" s="787"/>
      <c r="AW1" s="787"/>
      <c r="AX1" s="787"/>
      <c r="AY1" s="787"/>
      <c r="AZ1" s="787"/>
      <c r="BA1" s="787"/>
      <c r="BB1" s="787"/>
      <c r="BC1" s="787"/>
      <c r="BD1" s="787"/>
      <c r="BE1" s="787"/>
      <c r="BF1" s="787"/>
      <c r="BG1" s="787"/>
      <c r="BH1" s="787"/>
      <c r="BI1" s="787"/>
      <c r="BJ1" s="787"/>
      <c r="BK1" s="787"/>
      <c r="BL1" s="787"/>
      <c r="BM1" s="787"/>
      <c r="BN1" s="787"/>
      <c r="BO1" s="787"/>
      <c r="BP1" s="787"/>
      <c r="BR1" s="785" t="s">
        <v>89</v>
      </c>
      <c r="BS1" s="785"/>
      <c r="BT1" s="785"/>
      <c r="BU1" s="785"/>
      <c r="BV1" s="785"/>
      <c r="BW1" s="785"/>
      <c r="BX1" s="785"/>
      <c r="BY1" s="785"/>
      <c r="BZ1" s="785"/>
      <c r="CA1" s="785"/>
      <c r="CB1" s="785"/>
      <c r="CC1" s="785"/>
      <c r="CD1" s="785"/>
      <c r="CE1" s="785"/>
      <c r="CF1" s="785"/>
      <c r="CG1" s="785"/>
      <c r="CH1" s="785"/>
      <c r="CI1" s="785"/>
      <c r="CJ1" s="785"/>
      <c r="CK1" s="785"/>
      <c r="CL1" s="785"/>
      <c r="CM1" s="785"/>
      <c r="CN1" s="785"/>
      <c r="CO1" s="785"/>
      <c r="CP1" s="785"/>
      <c r="CQ1" s="785"/>
      <c r="CR1" s="785"/>
      <c r="CS1" s="785"/>
      <c r="CT1" s="785"/>
      <c r="CU1" s="785"/>
      <c r="CV1" s="785"/>
      <c r="CW1" s="785"/>
      <c r="CY1" s="785" t="s">
        <v>116</v>
      </c>
      <c r="CZ1" s="785"/>
      <c r="DA1" s="785"/>
      <c r="DB1" s="61"/>
      <c r="DC1" s="61"/>
      <c r="DD1" s="61"/>
      <c r="DE1" s="61"/>
      <c r="DF1" s="61"/>
      <c r="DG1" s="36"/>
    </row>
    <row r="2" spans="1:111" s="420" customFormat="1" ht="18" customHeight="1" thickTop="1" thickBot="1" x14ac:dyDescent="0.25">
      <c r="A2" s="66"/>
      <c r="B2" s="800" t="s">
        <v>1</v>
      </c>
      <c r="C2" s="778" t="s">
        <v>2</v>
      </c>
      <c r="D2" s="795" t="s">
        <v>3</v>
      </c>
      <c r="E2" s="778" t="s">
        <v>124</v>
      </c>
      <c r="F2" s="778" t="s">
        <v>616</v>
      </c>
      <c r="G2" s="778" t="s">
        <v>209</v>
      </c>
      <c r="H2" s="778" t="s">
        <v>617</v>
      </c>
      <c r="I2" s="778" t="s">
        <v>618</v>
      </c>
      <c r="J2" s="778" t="s">
        <v>156</v>
      </c>
      <c r="K2" s="795" t="s">
        <v>206</v>
      </c>
      <c r="L2" s="778" t="s">
        <v>619</v>
      </c>
      <c r="M2" s="778" t="s">
        <v>620</v>
      </c>
      <c r="N2" s="778" t="s">
        <v>621</v>
      </c>
      <c r="O2" s="778" t="s">
        <v>623</v>
      </c>
      <c r="P2" s="778" t="s">
        <v>624</v>
      </c>
      <c r="Q2" s="783" t="s">
        <v>622</v>
      </c>
      <c r="R2" s="797" t="s">
        <v>71</v>
      </c>
      <c r="S2" s="778" t="s">
        <v>625</v>
      </c>
      <c r="T2" s="778" t="s">
        <v>626</v>
      </c>
      <c r="U2" s="778"/>
      <c r="V2" s="778" t="s">
        <v>627</v>
      </c>
      <c r="W2" s="778" t="s">
        <v>340</v>
      </c>
      <c r="X2" s="778" t="s">
        <v>628</v>
      </c>
      <c r="Y2" s="778" t="s">
        <v>629</v>
      </c>
      <c r="Z2" s="778" t="s">
        <v>630</v>
      </c>
      <c r="AA2" s="778" t="s">
        <v>631</v>
      </c>
      <c r="AB2" s="778" t="s">
        <v>632</v>
      </c>
      <c r="AC2" s="778" t="s">
        <v>633</v>
      </c>
      <c r="AD2" s="778" t="s">
        <v>634</v>
      </c>
      <c r="AE2" s="778" t="s">
        <v>114</v>
      </c>
      <c r="AF2" s="778" t="s">
        <v>635</v>
      </c>
      <c r="AG2" s="778" t="s">
        <v>636</v>
      </c>
      <c r="AH2" s="778" t="s">
        <v>637</v>
      </c>
      <c r="AI2" s="783" t="s">
        <v>638</v>
      </c>
      <c r="AJ2" s="788" t="s">
        <v>90</v>
      </c>
      <c r="AK2" s="778" t="s">
        <v>71</v>
      </c>
      <c r="AL2" s="778" t="s">
        <v>100</v>
      </c>
      <c r="AM2" s="778" t="s">
        <v>639</v>
      </c>
      <c r="AN2" s="778" t="s">
        <v>640</v>
      </c>
      <c r="AO2" s="778" t="s">
        <v>641</v>
      </c>
      <c r="AP2" s="778" t="s">
        <v>179</v>
      </c>
      <c r="AQ2" s="778" t="s">
        <v>642</v>
      </c>
      <c r="AR2" s="778" t="s">
        <v>643</v>
      </c>
      <c r="AS2" s="778" t="s">
        <v>644</v>
      </c>
      <c r="AT2" s="778" t="s">
        <v>625</v>
      </c>
      <c r="AU2" s="778" t="s">
        <v>626</v>
      </c>
      <c r="AV2" s="778"/>
      <c r="AW2" s="778" t="s">
        <v>627</v>
      </c>
      <c r="AX2" s="778" t="s">
        <v>645</v>
      </c>
      <c r="AY2" s="778" t="s">
        <v>646</v>
      </c>
      <c r="AZ2" s="778" t="s">
        <v>628</v>
      </c>
      <c r="BA2" s="778" t="s">
        <v>647</v>
      </c>
      <c r="BB2" s="778" t="s">
        <v>629</v>
      </c>
      <c r="BC2" s="778" t="s">
        <v>630</v>
      </c>
      <c r="BD2" s="778" t="s">
        <v>631</v>
      </c>
      <c r="BE2" s="778" t="s">
        <v>632</v>
      </c>
      <c r="BF2" s="778" t="s">
        <v>633</v>
      </c>
      <c r="BG2" s="778" t="s">
        <v>634</v>
      </c>
      <c r="BH2" s="778" t="s">
        <v>114</v>
      </c>
      <c r="BI2" s="778" t="s">
        <v>635</v>
      </c>
      <c r="BJ2" s="778" t="s">
        <v>636</v>
      </c>
      <c r="BK2" s="778" t="s">
        <v>648</v>
      </c>
      <c r="BL2" s="778" t="s">
        <v>649</v>
      </c>
      <c r="BM2" s="778" t="s">
        <v>650</v>
      </c>
      <c r="BN2" s="778" t="s">
        <v>651</v>
      </c>
      <c r="BO2" s="778" t="s">
        <v>652</v>
      </c>
      <c r="BP2" s="778" t="s">
        <v>653</v>
      </c>
      <c r="BR2" s="785" t="s">
        <v>61</v>
      </c>
      <c r="BS2" s="785"/>
      <c r="BT2" s="785"/>
      <c r="BU2" s="785"/>
      <c r="BV2" s="785" t="s">
        <v>173</v>
      </c>
      <c r="BW2" s="785"/>
      <c r="BX2" s="785"/>
      <c r="BY2" s="785"/>
      <c r="BZ2" s="785"/>
      <c r="CA2" s="785" t="s">
        <v>178</v>
      </c>
      <c r="CB2" s="785"/>
      <c r="CC2" s="785"/>
      <c r="CD2" s="785"/>
      <c r="CE2" s="785"/>
      <c r="CF2" s="785"/>
      <c r="CG2" s="785" t="s">
        <v>596</v>
      </c>
      <c r="CH2" s="785"/>
      <c r="CI2" s="785"/>
      <c r="CJ2" s="785"/>
      <c r="CK2" s="785"/>
      <c r="CL2" s="785" t="s">
        <v>174</v>
      </c>
      <c r="CM2" s="785"/>
      <c r="CN2" s="785"/>
      <c r="CO2" s="785"/>
      <c r="CP2" s="785" t="s">
        <v>597</v>
      </c>
      <c r="CQ2" s="785"/>
      <c r="CR2" s="785"/>
      <c r="CS2" s="785"/>
      <c r="CT2" s="785" t="s">
        <v>92</v>
      </c>
      <c r="CU2" s="785"/>
      <c r="CV2" s="785"/>
      <c r="CW2" s="785"/>
      <c r="CY2" s="785" t="s">
        <v>118</v>
      </c>
      <c r="CZ2" s="785"/>
      <c r="DA2" s="785"/>
      <c r="DB2" s="399"/>
      <c r="DC2" s="400"/>
      <c r="DD2" s="401"/>
      <c r="DE2" s="402"/>
      <c r="DF2" s="402"/>
      <c r="DG2" s="399"/>
    </row>
    <row r="3" spans="1:111" s="422" customFormat="1" ht="19.5" customHeight="1" x14ac:dyDescent="0.2">
      <c r="A3" s="66"/>
      <c r="B3" s="801"/>
      <c r="C3" s="779"/>
      <c r="D3" s="796"/>
      <c r="E3" s="779"/>
      <c r="F3" s="779"/>
      <c r="G3" s="779"/>
      <c r="H3" s="779"/>
      <c r="I3" s="779"/>
      <c r="J3" s="779"/>
      <c r="K3" s="796"/>
      <c r="L3" s="779"/>
      <c r="M3" s="779"/>
      <c r="N3" s="779"/>
      <c r="O3" s="779"/>
      <c r="P3" s="779"/>
      <c r="Q3" s="784"/>
      <c r="R3" s="789"/>
      <c r="S3" s="779"/>
      <c r="T3" s="421" t="s">
        <v>65</v>
      </c>
      <c r="U3" s="421" t="s">
        <v>85</v>
      </c>
      <c r="V3" s="779"/>
      <c r="W3" s="779"/>
      <c r="X3" s="779"/>
      <c r="Y3" s="779"/>
      <c r="Z3" s="779"/>
      <c r="AA3" s="779"/>
      <c r="AB3" s="779"/>
      <c r="AC3" s="779"/>
      <c r="AD3" s="779"/>
      <c r="AE3" s="779"/>
      <c r="AF3" s="779"/>
      <c r="AG3" s="779"/>
      <c r="AH3" s="779"/>
      <c r="AI3" s="784"/>
      <c r="AJ3" s="789"/>
      <c r="AK3" s="779"/>
      <c r="AL3" s="779"/>
      <c r="AM3" s="779"/>
      <c r="AN3" s="779"/>
      <c r="AO3" s="779"/>
      <c r="AP3" s="779"/>
      <c r="AQ3" s="779"/>
      <c r="AR3" s="779"/>
      <c r="AS3" s="779"/>
      <c r="AT3" s="779"/>
      <c r="AU3" s="421" t="s">
        <v>102</v>
      </c>
      <c r="AV3" s="421" t="s">
        <v>66</v>
      </c>
      <c r="AW3" s="779"/>
      <c r="AX3" s="779"/>
      <c r="AY3" s="779"/>
      <c r="AZ3" s="779"/>
      <c r="BA3" s="779"/>
      <c r="BB3" s="779"/>
      <c r="BC3" s="779"/>
      <c r="BD3" s="779"/>
      <c r="BE3" s="779"/>
      <c r="BF3" s="779"/>
      <c r="BG3" s="779"/>
      <c r="BH3" s="779"/>
      <c r="BI3" s="779"/>
      <c r="BJ3" s="779"/>
      <c r="BK3" s="779"/>
      <c r="BL3" s="779"/>
      <c r="BM3" s="779"/>
      <c r="BN3" s="779"/>
      <c r="BO3" s="779"/>
      <c r="BP3" s="779"/>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729</v>
      </c>
      <c r="V5" s="473" t="s">
        <v>729</v>
      </c>
      <c r="X5" s="473" t="s">
        <v>729</v>
      </c>
      <c r="Y5" s="262"/>
      <c r="Z5" s="262" t="s">
        <v>729</v>
      </c>
      <c r="AA5" s="262" t="s">
        <v>729</v>
      </c>
      <c r="AB5" s="473" t="s">
        <v>729</v>
      </c>
      <c r="AC5" s="473" t="s">
        <v>729</v>
      </c>
      <c r="AF5" s="473" t="s">
        <v>729</v>
      </c>
      <c r="AG5" s="474" t="s">
        <v>729</v>
      </c>
      <c r="AH5" s="474" t="s">
        <v>729</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85" t="s">
        <v>103</v>
      </c>
      <c r="CH7" s="785"/>
      <c r="CI7" s="785"/>
      <c r="CJ7"/>
      <c r="CK7"/>
      <c r="CL7" s="785" t="s">
        <v>103</v>
      </c>
      <c r="CM7" s="785"/>
      <c r="CN7"/>
      <c r="CO7"/>
      <c r="CP7" s="785" t="s">
        <v>103</v>
      </c>
      <c r="CQ7" s="785"/>
      <c r="CR7"/>
      <c r="CS7"/>
      <c r="CT7" s="785" t="s">
        <v>103</v>
      </c>
      <c r="CU7" s="785"/>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77"/>
      <c r="Z11" s="777"/>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791"/>
      <c r="BW21" s="792"/>
      <c r="CY21" s="22">
        <v>2.7</v>
      </c>
      <c r="CZ21" s="22">
        <v>42.2</v>
      </c>
      <c r="DA21" s="22" t="s">
        <v>138</v>
      </c>
    </row>
    <row r="22" spans="12:105" ht="13.5" thickBot="1" x14ac:dyDescent="0.25">
      <c r="BV22" s="793"/>
      <c r="BW22" s="794"/>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0"/>
      <c r="BS29" s="790"/>
      <c r="BT29" s="790"/>
      <c r="BU29" s="790"/>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39" priority="150" operator="equal">
      <formula>0</formula>
    </cfRule>
  </conditionalFormatting>
  <conditionalFormatting sqref="AM4:AM9">
    <cfRule type="cellIs" dxfId="138" priority="126" operator="lessThan">
      <formula>$J$4</formula>
    </cfRule>
  </conditionalFormatting>
  <conditionalFormatting sqref="AN6:AN9">
    <cfRule type="cellIs" dxfId="137" priority="73" operator="equal">
      <formula>0</formula>
    </cfRule>
  </conditionalFormatting>
  <conditionalFormatting sqref="O4:P4">
    <cfRule type="cellIs" dxfId="136" priority="69" operator="equal">
      <formula>0</formula>
    </cfRule>
    <cfRule type="containsErrors" dxfId="135" priority="154">
      <formula>ISERROR(O4)</formula>
    </cfRule>
  </conditionalFormatting>
  <conditionalFormatting sqref="I4">
    <cfRule type="cellIs" dxfId="134" priority="32" operator="greaterThan">
      <formula>18</formula>
    </cfRule>
  </conditionalFormatting>
  <conditionalFormatting sqref="L4">
    <cfRule type="cellIs" dxfId="133" priority="31" operator="greaterThan">
      <formula>100</formula>
    </cfRule>
  </conditionalFormatting>
  <conditionalFormatting sqref="AJ4:AJ9">
    <cfRule type="containsErrors" dxfId="132" priority="19">
      <formula>ISERROR(AJ4)</formula>
    </cfRule>
  </conditionalFormatting>
  <conditionalFormatting sqref="G4:H4">
    <cfRule type="cellIs" dxfId="131" priority="3" operator="equal">
      <formula>0</formula>
    </cfRule>
  </conditionalFormatting>
  <conditionalFormatting sqref="H4">
    <cfRule type="cellIs" dxfId="130"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29"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02" t="s">
        <v>0</v>
      </c>
      <c r="C2" s="802"/>
      <c r="D2" s="802"/>
      <c r="E2" s="802"/>
      <c r="F2" s="802"/>
      <c r="G2" s="802"/>
      <c r="H2" s="802"/>
      <c r="I2" s="802"/>
      <c r="J2" s="802"/>
      <c r="K2" s="802"/>
      <c r="L2" s="802"/>
      <c r="M2" s="802"/>
      <c r="N2" s="803"/>
      <c r="O2" s="803"/>
      <c r="P2" s="804" t="s">
        <v>61</v>
      </c>
      <c r="Q2" s="802"/>
      <c r="R2" s="802"/>
      <c r="S2" s="802"/>
      <c r="T2" s="802"/>
      <c r="U2" s="802"/>
      <c r="V2" s="802"/>
      <c r="W2" s="802"/>
      <c r="X2" s="802"/>
      <c r="Y2" s="802"/>
      <c r="Z2" s="802"/>
      <c r="AA2" s="802"/>
      <c r="AB2" s="802"/>
      <c r="AC2" s="802"/>
      <c r="AD2" s="802"/>
      <c r="AE2" s="802"/>
      <c r="AF2" s="802"/>
      <c r="AG2" s="802"/>
      <c r="AH2" s="802"/>
      <c r="AI2" s="802"/>
      <c r="AJ2" s="802"/>
      <c r="AK2" s="802"/>
      <c r="AL2" s="803"/>
      <c r="AM2" s="138"/>
      <c r="AN2" s="103"/>
      <c r="AO2" s="805" t="s">
        <v>90</v>
      </c>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7"/>
      <c r="BW2" s="143" t="s">
        <v>116</v>
      </c>
      <c r="BX2" s="144"/>
      <c r="BY2" s="808" t="s">
        <v>89</v>
      </c>
      <c r="BZ2" s="808"/>
      <c r="CA2" s="808"/>
      <c r="CB2" s="808"/>
      <c r="CC2" s="808"/>
      <c r="CD2" s="808"/>
      <c r="CE2" s="808"/>
      <c r="CF2" s="808"/>
      <c r="CG2" s="808"/>
      <c r="CH2" s="808"/>
      <c r="CI2" s="808"/>
      <c r="CJ2" s="808"/>
      <c r="CK2" s="808"/>
      <c r="CL2" s="808"/>
      <c r="CM2" s="808"/>
      <c r="CN2" s="808"/>
      <c r="CO2" s="808"/>
      <c r="CP2" s="808"/>
      <c r="CQ2" s="808"/>
      <c r="CR2" s="808"/>
      <c r="CS2" s="808"/>
      <c r="CT2" s="808"/>
      <c r="CU2" s="808"/>
      <c r="CV2" s="808"/>
      <c r="CW2" s="808"/>
      <c r="CX2" s="808"/>
      <c r="CY2" s="808"/>
      <c r="CZ2" s="808"/>
      <c r="DA2" s="808"/>
      <c r="DB2" s="808"/>
      <c r="DC2" s="808"/>
      <c r="DD2" s="808"/>
      <c r="DE2" s="808"/>
    </row>
    <row r="3" spans="2:109" ht="18" customHeight="1" thickBot="1" x14ac:dyDescent="0.25">
      <c r="B3" s="813" t="s">
        <v>1</v>
      </c>
      <c r="C3" s="813" t="s">
        <v>2</v>
      </c>
      <c r="D3" s="809" t="s">
        <v>4</v>
      </c>
      <c r="E3" s="809" t="s">
        <v>209</v>
      </c>
      <c r="F3" s="809" t="s">
        <v>5</v>
      </c>
      <c r="G3" s="809" t="s">
        <v>96</v>
      </c>
      <c r="H3" s="809" t="s">
        <v>206</v>
      </c>
      <c r="I3" s="809" t="s">
        <v>98</v>
      </c>
      <c r="J3" s="809" t="s">
        <v>6</v>
      </c>
      <c r="K3" s="809" t="s">
        <v>97</v>
      </c>
      <c r="L3" s="809" t="s">
        <v>7</v>
      </c>
      <c r="M3" s="809" t="s">
        <v>109</v>
      </c>
      <c r="N3" s="809" t="s">
        <v>299</v>
      </c>
      <c r="O3" s="812" t="s">
        <v>8</v>
      </c>
      <c r="P3" s="814" t="s">
        <v>71</v>
      </c>
      <c r="Q3" s="809" t="s">
        <v>126</v>
      </c>
      <c r="R3" s="809" t="s">
        <v>127</v>
      </c>
      <c r="S3" s="811" t="s">
        <v>131</v>
      </c>
      <c r="T3" s="810" t="s">
        <v>128</v>
      </c>
      <c r="U3" s="810" t="s">
        <v>258</v>
      </c>
      <c r="V3" s="809" t="s">
        <v>626</v>
      </c>
      <c r="W3" s="809"/>
      <c r="X3" s="809" t="s">
        <v>88</v>
      </c>
      <c r="Y3" s="809" t="s">
        <v>63</v>
      </c>
      <c r="Z3" s="809" t="s">
        <v>64</v>
      </c>
      <c r="AA3" s="809" t="s">
        <v>130</v>
      </c>
      <c r="AB3" s="809" t="s">
        <v>134</v>
      </c>
      <c r="AC3" s="809" t="s">
        <v>70</v>
      </c>
      <c r="AD3" s="809" t="s">
        <v>67</v>
      </c>
      <c r="AE3" s="809" t="s">
        <v>210</v>
      </c>
      <c r="AF3" s="809" t="s">
        <v>87</v>
      </c>
      <c r="AG3" s="809" t="s">
        <v>68</v>
      </c>
      <c r="AH3" s="809" t="s">
        <v>69</v>
      </c>
      <c r="AI3" s="809" t="s">
        <v>113</v>
      </c>
      <c r="AJ3" s="809" t="s">
        <v>114</v>
      </c>
      <c r="AK3" s="809" t="s">
        <v>112</v>
      </c>
      <c r="AL3" s="812" t="s">
        <v>115</v>
      </c>
      <c r="AM3" s="812" t="s">
        <v>257</v>
      </c>
      <c r="AN3" s="812" t="s">
        <v>295</v>
      </c>
      <c r="AO3" s="817" t="s">
        <v>171</v>
      </c>
      <c r="AP3" s="809" t="s">
        <v>71</v>
      </c>
      <c r="AQ3" s="815" t="s">
        <v>100</v>
      </c>
      <c r="AR3" s="815" t="s">
        <v>180</v>
      </c>
      <c r="AS3" s="815" t="s">
        <v>192</v>
      </c>
      <c r="AT3" s="815" t="s">
        <v>93</v>
      </c>
      <c r="AU3" s="815" t="s">
        <v>179</v>
      </c>
      <c r="AV3" s="815" t="s">
        <v>190</v>
      </c>
      <c r="AW3" s="815" t="s">
        <v>95</v>
      </c>
      <c r="AX3" s="815" t="s">
        <v>99</v>
      </c>
      <c r="AY3" s="809" t="s">
        <v>84</v>
      </c>
      <c r="AZ3" s="809" t="s">
        <v>62</v>
      </c>
      <c r="BA3" s="809"/>
      <c r="BB3" s="809" t="s">
        <v>88</v>
      </c>
      <c r="BC3" s="809" t="s">
        <v>101</v>
      </c>
      <c r="BD3" s="809" t="s">
        <v>108</v>
      </c>
      <c r="BE3" s="809" t="s">
        <v>64</v>
      </c>
      <c r="BF3" s="809" t="s">
        <v>224</v>
      </c>
      <c r="BG3" s="809" t="s">
        <v>70</v>
      </c>
      <c r="BH3" s="809" t="s">
        <v>67</v>
      </c>
      <c r="BI3" s="809" t="s">
        <v>87</v>
      </c>
      <c r="BJ3" s="809" t="s">
        <v>68</v>
      </c>
      <c r="BK3" s="809" t="s">
        <v>69</v>
      </c>
      <c r="BL3" s="809" t="s">
        <v>113</v>
      </c>
      <c r="BM3" s="809" t="s">
        <v>114</v>
      </c>
      <c r="BN3" s="809" t="s">
        <v>112</v>
      </c>
      <c r="BO3" s="809" t="s">
        <v>115</v>
      </c>
      <c r="BP3" s="809" t="s">
        <v>139</v>
      </c>
      <c r="BQ3" s="809" t="s">
        <v>140</v>
      </c>
      <c r="BR3" s="809" t="s">
        <v>141</v>
      </c>
      <c r="BS3" s="809" t="s">
        <v>142</v>
      </c>
      <c r="BT3" s="809" t="s">
        <v>143</v>
      </c>
      <c r="BU3" s="809" t="s">
        <v>144</v>
      </c>
      <c r="BW3" s="145" t="s">
        <v>125</v>
      </c>
      <c r="BX3" s="144"/>
      <c r="BY3" s="819" t="s">
        <v>61</v>
      </c>
      <c r="BZ3" s="819"/>
      <c r="CA3" s="819"/>
      <c r="CB3" s="819"/>
      <c r="CC3" s="819"/>
      <c r="CD3" s="819" t="s">
        <v>173</v>
      </c>
      <c r="CE3" s="819"/>
      <c r="CF3" s="819"/>
      <c r="CG3" s="819"/>
      <c r="CH3" s="819"/>
      <c r="CI3" s="819" t="s">
        <v>178</v>
      </c>
      <c r="CJ3" s="819"/>
      <c r="CK3" s="819"/>
      <c r="CL3" s="819"/>
      <c r="CM3" s="819"/>
      <c r="CN3" s="819"/>
      <c r="CO3" s="819" t="s">
        <v>596</v>
      </c>
      <c r="CP3" s="819"/>
      <c r="CQ3" s="819"/>
      <c r="CR3" s="819"/>
      <c r="CS3" s="819"/>
      <c r="CT3" s="819" t="s">
        <v>174</v>
      </c>
      <c r="CU3" s="819"/>
      <c r="CV3" s="819"/>
      <c r="CW3" s="819"/>
      <c r="CX3" s="819" t="s">
        <v>597</v>
      </c>
      <c r="CY3" s="819"/>
      <c r="CZ3" s="819"/>
      <c r="DA3" s="819"/>
      <c r="DB3" s="819" t="s">
        <v>92</v>
      </c>
      <c r="DC3" s="819"/>
      <c r="DD3" s="819"/>
      <c r="DE3" s="819"/>
    </row>
    <row r="4" spans="2:109" ht="21.75" customHeight="1" thickBot="1" x14ac:dyDescent="0.3">
      <c r="B4" s="813"/>
      <c r="C4" s="813"/>
      <c r="D4" s="809"/>
      <c r="E4" s="809"/>
      <c r="F4" s="809"/>
      <c r="G4" s="809"/>
      <c r="H4" s="809"/>
      <c r="I4" s="809"/>
      <c r="J4" s="809"/>
      <c r="K4" s="809"/>
      <c r="L4" s="809"/>
      <c r="M4" s="809"/>
      <c r="N4" s="809"/>
      <c r="O4" s="812"/>
      <c r="P4" s="814"/>
      <c r="Q4" s="809"/>
      <c r="R4" s="809"/>
      <c r="S4" s="811"/>
      <c r="T4" s="810"/>
      <c r="U4" s="810"/>
      <c r="V4" s="20" t="s">
        <v>65</v>
      </c>
      <c r="W4" s="20" t="s">
        <v>85</v>
      </c>
      <c r="X4" s="809"/>
      <c r="Y4" s="809"/>
      <c r="Z4" s="809"/>
      <c r="AA4" s="809"/>
      <c r="AB4" s="809"/>
      <c r="AC4" s="809"/>
      <c r="AD4" s="809"/>
      <c r="AE4" s="809"/>
      <c r="AF4" s="809"/>
      <c r="AG4" s="809"/>
      <c r="AH4" s="809"/>
      <c r="AI4" s="809"/>
      <c r="AJ4" s="809"/>
      <c r="AK4" s="809"/>
      <c r="AL4" s="812"/>
      <c r="AM4" s="812"/>
      <c r="AN4" s="812"/>
      <c r="AO4" s="818"/>
      <c r="AP4" s="809"/>
      <c r="AQ4" s="816"/>
      <c r="AR4" s="816"/>
      <c r="AS4" s="816"/>
      <c r="AT4" s="816"/>
      <c r="AU4" s="816"/>
      <c r="AV4" s="816"/>
      <c r="AW4" s="816"/>
      <c r="AX4" s="816"/>
      <c r="AY4" s="809"/>
      <c r="AZ4" s="20" t="s">
        <v>102</v>
      </c>
      <c r="BA4" s="20" t="s">
        <v>66</v>
      </c>
      <c r="BB4" s="809"/>
      <c r="BC4" s="809"/>
      <c r="BD4" s="809"/>
      <c r="BE4" s="809"/>
      <c r="BF4" s="809"/>
      <c r="BG4" s="809"/>
      <c r="BH4" s="809"/>
      <c r="BI4" s="809"/>
      <c r="BJ4" s="809"/>
      <c r="BK4" s="809"/>
      <c r="BL4" s="809"/>
      <c r="BM4" s="809"/>
      <c r="BN4" s="809"/>
      <c r="BO4" s="809"/>
      <c r="BP4" s="809"/>
      <c r="BQ4" s="809"/>
      <c r="BR4" s="809"/>
      <c r="BS4" s="809"/>
      <c r="BT4" s="809"/>
      <c r="BU4" s="809"/>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19" t="s">
        <v>127</v>
      </c>
      <c r="BZ7" s="819"/>
      <c r="CA7" s="819"/>
      <c r="CB7" s="819"/>
      <c r="CC7" s="819"/>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19" t="s">
        <v>103</v>
      </c>
      <c r="CP8" s="819"/>
      <c r="CQ8" s="819"/>
      <c r="CR8" s="144"/>
      <c r="CS8" s="144"/>
      <c r="CT8" s="819" t="s">
        <v>103</v>
      </c>
      <c r="CU8" s="819"/>
      <c r="CV8" s="144"/>
      <c r="CW8" s="144"/>
      <c r="CX8" s="819" t="s">
        <v>103</v>
      </c>
      <c r="CY8" s="819"/>
      <c r="CZ8" s="144"/>
      <c r="DA8" s="144"/>
      <c r="DB8" s="819" t="s">
        <v>103</v>
      </c>
      <c r="DC8" s="819"/>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19" t="s">
        <v>131</v>
      </c>
      <c r="BZ10" s="819"/>
      <c r="CA10" s="819"/>
      <c r="CB10" s="819"/>
      <c r="CC10" s="819"/>
      <c r="CD10" s="819" t="s">
        <v>103</v>
      </c>
      <c r="CE10" s="819"/>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20"/>
      <c r="BZ29" s="820"/>
      <c r="CA29" s="820"/>
      <c r="CB29" s="820"/>
      <c r="CC29" s="820"/>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28" priority="19" operator="equal">
      <formula>0</formula>
    </cfRule>
  </conditionalFormatting>
  <conditionalFormatting sqref="BR5:BU10 K5 T5:U5 X5 Z5:AH5 BL5:BM5 BP5:BQ5 AO6:AO10 BB6:BB10 BC6:BD6 BN5:BO10 BE5:BK10 AK5:BD5 U7:W7 AW6:AY10">
    <cfRule type="containsErrors" dxfId="127" priority="18">
      <formula>ISERROR(K5)</formula>
    </cfRule>
  </conditionalFormatting>
  <conditionalFormatting sqref="U5 U7:W7">
    <cfRule type="cellIs" dxfId="126" priority="17" operator="lessThanOrEqual">
      <formula>0.67</formula>
    </cfRule>
  </conditionalFormatting>
  <conditionalFormatting sqref="AR5:AR10">
    <cfRule type="cellIs" dxfId="125" priority="15" operator="equal">
      <formula>0</formula>
    </cfRule>
    <cfRule type="cellIs" dxfId="124" priority="16" operator="lessThan">
      <formula>$I$5</formula>
    </cfRule>
  </conditionalFormatting>
  <conditionalFormatting sqref="AS7:AS10">
    <cfRule type="cellIs" dxfId="123" priority="14" operator="equal">
      <formula>0</formula>
    </cfRule>
  </conditionalFormatting>
  <conditionalFormatting sqref="AR8">
    <cfRule type="cellIs" dxfId="122" priority="13" operator="greaterThan">
      <formula>6500</formula>
    </cfRule>
  </conditionalFormatting>
  <conditionalFormatting sqref="L5:N5">
    <cfRule type="cellIs" dxfId="121" priority="11" operator="equal">
      <formula>0</formula>
    </cfRule>
    <cfRule type="containsErrors" dxfId="120" priority="12">
      <formula>ISERROR(L5)</formula>
    </cfRule>
  </conditionalFormatting>
  <conditionalFormatting sqref="F5">
    <cfRule type="cellIs" dxfId="119" priority="2" operator="greaterThan">
      <formula>18</formula>
    </cfRule>
  </conditionalFormatting>
  <conditionalFormatting sqref="I5">
    <cfRule type="cellIs" dxfId="118"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1"/>
      <c r="C3" s="822"/>
      <c r="D3" s="822"/>
      <c r="E3" s="822"/>
      <c r="F3" s="822"/>
      <c r="G3" s="822"/>
      <c r="H3" s="822"/>
      <c r="I3" s="822"/>
      <c r="J3" s="822"/>
      <c r="K3" s="822"/>
      <c r="L3" s="822"/>
      <c r="M3" s="822"/>
      <c r="N3" s="822"/>
      <c r="O3" s="822"/>
      <c r="P3" s="822"/>
      <c r="Q3" s="823"/>
      <c r="R3" s="822"/>
      <c r="S3" s="822"/>
      <c r="T3" s="822"/>
      <c r="U3" s="822"/>
      <c r="V3" s="822"/>
      <c r="W3" s="822"/>
      <c r="X3" s="822"/>
      <c r="Y3" s="822"/>
      <c r="Z3" s="822"/>
      <c r="AA3" s="822"/>
      <c r="AB3" s="822"/>
      <c r="AC3" s="822"/>
      <c r="AD3" s="822"/>
      <c r="AE3" s="822"/>
      <c r="AF3" s="822"/>
      <c r="AG3" s="822"/>
      <c r="AH3" s="822"/>
      <c r="AI3" s="822"/>
      <c r="AJ3" s="822"/>
      <c r="AK3" s="822"/>
      <c r="AL3" s="822"/>
      <c r="AM3" s="822"/>
      <c r="AN3" s="139"/>
      <c r="AO3" s="102"/>
      <c r="AP3" s="824"/>
      <c r="AQ3" s="825"/>
      <c r="AR3" s="825"/>
      <c r="AS3" s="825"/>
      <c r="AT3" s="825"/>
      <c r="AU3" s="825"/>
      <c r="AV3" s="825"/>
      <c r="AW3" s="825"/>
      <c r="AX3" s="825"/>
      <c r="AY3" s="825"/>
      <c r="AZ3" s="825"/>
      <c r="BA3" s="825"/>
      <c r="BB3" s="825"/>
      <c r="BC3" s="825"/>
      <c r="BD3" s="825"/>
      <c r="BE3" s="825"/>
      <c r="BF3" s="825"/>
      <c r="BG3" s="825"/>
      <c r="BH3" s="825"/>
      <c r="BI3" s="825"/>
      <c r="BJ3" s="825"/>
      <c r="BK3" s="825"/>
      <c r="BL3" s="825"/>
      <c r="BM3" s="825"/>
      <c r="BN3" s="825"/>
      <c r="BO3" s="825"/>
      <c r="BP3" s="825"/>
      <c r="BQ3" s="825"/>
      <c r="BR3" s="825"/>
      <c r="BS3" s="825"/>
      <c r="BT3" s="825"/>
      <c r="BU3" s="825"/>
      <c r="BV3" s="825"/>
      <c r="BX3" s="143"/>
      <c r="BY3" s="144"/>
      <c r="BZ3" s="808"/>
      <c r="CA3" s="808"/>
      <c r="CB3" s="808"/>
      <c r="CC3" s="808"/>
      <c r="CD3" s="808"/>
      <c r="CE3" s="808"/>
      <c r="CF3" s="808"/>
      <c r="CG3" s="808"/>
      <c r="CH3" s="808"/>
      <c r="CI3" s="808"/>
      <c r="CJ3" s="808"/>
      <c r="CK3" s="808"/>
      <c r="CL3" s="808"/>
      <c r="CM3" s="808"/>
      <c r="CN3" s="808"/>
      <c r="CO3" s="808"/>
      <c r="CP3" s="808"/>
      <c r="CQ3" s="808"/>
      <c r="CR3" s="808"/>
      <c r="CS3" s="808"/>
      <c r="CT3" s="808"/>
      <c r="CU3" s="808"/>
      <c r="CV3" s="808"/>
      <c r="CW3" s="808"/>
      <c r="CX3" s="808"/>
      <c r="CY3" s="808"/>
      <c r="CZ3" s="808"/>
      <c r="DA3" s="808"/>
      <c r="DB3" s="808"/>
      <c r="DC3" s="808"/>
      <c r="DD3" s="808"/>
      <c r="DE3" s="808"/>
    </row>
    <row r="4" spans="2:109" ht="13.5" thickBot="1" x14ac:dyDescent="0.25">
      <c r="B4" s="802" t="s">
        <v>0</v>
      </c>
      <c r="C4" s="802"/>
      <c r="D4" s="802"/>
      <c r="E4" s="802"/>
      <c r="F4" s="802"/>
      <c r="G4" s="802"/>
      <c r="H4" s="802"/>
      <c r="I4" s="802"/>
      <c r="J4" s="802"/>
      <c r="K4" s="802"/>
      <c r="L4" s="802"/>
      <c r="M4" s="802"/>
      <c r="N4" s="802"/>
      <c r="O4" s="803"/>
      <c r="P4" s="803"/>
      <c r="Q4" s="804" t="s">
        <v>80</v>
      </c>
      <c r="R4" s="802"/>
      <c r="S4" s="802"/>
      <c r="T4" s="802"/>
      <c r="U4" s="802"/>
      <c r="V4" s="802"/>
      <c r="W4" s="802"/>
      <c r="X4" s="802"/>
      <c r="Y4" s="802"/>
      <c r="Z4" s="802"/>
      <c r="AA4" s="802"/>
      <c r="AB4" s="802"/>
      <c r="AC4" s="802"/>
      <c r="AD4" s="802"/>
      <c r="AE4" s="802"/>
      <c r="AF4" s="802"/>
      <c r="AG4" s="802"/>
      <c r="AH4" s="802"/>
      <c r="AI4" s="802"/>
      <c r="AJ4" s="802"/>
      <c r="AK4" s="802"/>
      <c r="AL4" s="802"/>
      <c r="AM4" s="803"/>
      <c r="AN4" s="138"/>
      <c r="AO4" s="103"/>
      <c r="AP4" s="805" t="s">
        <v>90</v>
      </c>
      <c r="AQ4" s="806"/>
      <c r="AR4" s="806"/>
      <c r="AS4" s="806"/>
      <c r="AT4" s="806"/>
      <c r="AU4" s="806"/>
      <c r="AV4" s="806"/>
      <c r="AW4" s="806"/>
      <c r="AX4" s="806"/>
      <c r="AY4" s="806"/>
      <c r="AZ4" s="806"/>
      <c r="BA4" s="806"/>
      <c r="BB4" s="806"/>
      <c r="BC4" s="806"/>
      <c r="BD4" s="806"/>
      <c r="BE4" s="806"/>
      <c r="BF4" s="806"/>
      <c r="BG4" s="806"/>
      <c r="BH4" s="806"/>
      <c r="BI4" s="806"/>
      <c r="BJ4" s="806"/>
      <c r="BK4" s="806"/>
      <c r="BL4" s="806"/>
      <c r="BM4" s="806"/>
      <c r="BN4" s="806"/>
      <c r="BO4" s="806"/>
      <c r="BP4" s="806"/>
      <c r="BQ4" s="806"/>
      <c r="BR4" s="806"/>
      <c r="BS4" s="806"/>
      <c r="BT4" s="806"/>
      <c r="BU4" s="806"/>
      <c r="BV4" s="807"/>
      <c r="BX4" s="143" t="s">
        <v>116</v>
      </c>
      <c r="BY4" s="144"/>
      <c r="BZ4" s="808" t="s">
        <v>89</v>
      </c>
      <c r="CA4" s="808"/>
      <c r="CB4" s="808"/>
      <c r="CC4" s="808"/>
      <c r="CD4" s="808"/>
      <c r="CE4" s="808"/>
      <c r="CF4" s="808"/>
      <c r="CG4" s="808"/>
      <c r="CH4" s="808"/>
      <c r="CI4" s="808"/>
      <c r="CJ4" s="808"/>
      <c r="CK4" s="808"/>
      <c r="CL4" s="808"/>
      <c r="CM4" s="808"/>
      <c r="CN4" s="808"/>
      <c r="CO4" s="808"/>
      <c r="CP4" s="808"/>
      <c r="CQ4" s="808"/>
      <c r="CR4" s="808"/>
      <c r="CS4" s="808"/>
      <c r="CT4" s="808"/>
      <c r="CU4" s="808"/>
      <c r="CV4" s="808"/>
      <c r="CW4" s="808"/>
      <c r="CX4" s="808"/>
      <c r="CY4" s="808"/>
      <c r="CZ4" s="808"/>
      <c r="DA4" s="808"/>
      <c r="DB4" s="808"/>
      <c r="DC4" s="808"/>
      <c r="DD4" s="808"/>
      <c r="DE4" s="808"/>
    </row>
    <row r="5" spans="2:109" ht="18" customHeight="1" thickBot="1" x14ac:dyDescent="0.25">
      <c r="B5" s="813" t="s">
        <v>1</v>
      </c>
      <c r="C5" s="813" t="s">
        <v>2</v>
      </c>
      <c r="D5" s="809" t="s">
        <v>4</v>
      </c>
      <c r="E5" s="809" t="s">
        <v>209</v>
      </c>
      <c r="F5" s="809" t="s">
        <v>298</v>
      </c>
      <c r="G5" s="809" t="s">
        <v>296</v>
      </c>
      <c r="H5" s="809" t="s">
        <v>297</v>
      </c>
      <c r="I5" s="809" t="s">
        <v>96</v>
      </c>
      <c r="J5" s="815" t="s">
        <v>98</v>
      </c>
      <c r="K5" s="809" t="s">
        <v>6</v>
      </c>
      <c r="L5" s="809" t="s">
        <v>206</v>
      </c>
      <c r="M5" s="809" t="s">
        <v>7</v>
      </c>
      <c r="N5" s="809" t="s">
        <v>109</v>
      </c>
      <c r="O5" s="809" t="s">
        <v>299</v>
      </c>
      <c r="P5" s="812" t="s">
        <v>8</v>
      </c>
      <c r="Q5" s="814" t="s">
        <v>71</v>
      </c>
      <c r="R5" s="809" t="s">
        <v>126</v>
      </c>
      <c r="S5" s="809" t="s">
        <v>127</v>
      </c>
      <c r="T5" s="811" t="s">
        <v>131</v>
      </c>
      <c r="U5" s="810" t="s">
        <v>128</v>
      </c>
      <c r="V5" s="810" t="s">
        <v>129</v>
      </c>
      <c r="W5" s="809" t="s">
        <v>62</v>
      </c>
      <c r="X5" s="809"/>
      <c r="Y5" s="809" t="s">
        <v>88</v>
      </c>
      <c r="Z5" s="809" t="s">
        <v>340</v>
      </c>
      <c r="AA5" s="809" t="s">
        <v>64</v>
      </c>
      <c r="AB5" s="809" t="s">
        <v>130</v>
      </c>
      <c r="AC5" s="809" t="s">
        <v>134</v>
      </c>
      <c r="AD5" s="809" t="s">
        <v>70</v>
      </c>
      <c r="AE5" s="809" t="s">
        <v>67</v>
      </c>
      <c r="AF5" s="809" t="s">
        <v>210</v>
      </c>
      <c r="AG5" s="809" t="s">
        <v>87</v>
      </c>
      <c r="AH5" s="809" t="s">
        <v>68</v>
      </c>
      <c r="AI5" s="809" t="s">
        <v>69</v>
      </c>
      <c r="AJ5" s="809" t="s">
        <v>113</v>
      </c>
      <c r="AK5" s="809" t="s">
        <v>114</v>
      </c>
      <c r="AL5" s="809" t="s">
        <v>112</v>
      </c>
      <c r="AM5" s="812" t="s">
        <v>115</v>
      </c>
      <c r="AN5" s="812" t="s">
        <v>257</v>
      </c>
      <c r="AO5" s="812" t="s">
        <v>295</v>
      </c>
      <c r="AP5" s="817" t="s">
        <v>171</v>
      </c>
      <c r="AQ5" s="809" t="s">
        <v>71</v>
      </c>
      <c r="AR5" s="815" t="s">
        <v>100</v>
      </c>
      <c r="AS5" s="815" t="s">
        <v>180</v>
      </c>
      <c r="AT5" s="815" t="s">
        <v>192</v>
      </c>
      <c r="AU5" s="815" t="s">
        <v>93</v>
      </c>
      <c r="AV5" s="815" t="s">
        <v>179</v>
      </c>
      <c r="AW5" s="815" t="s">
        <v>190</v>
      </c>
      <c r="AX5" s="815" t="s">
        <v>95</v>
      </c>
      <c r="AY5" s="815" t="s">
        <v>99</v>
      </c>
      <c r="AZ5" s="809" t="s">
        <v>84</v>
      </c>
      <c r="BA5" s="809" t="s">
        <v>62</v>
      </c>
      <c r="BB5" s="809"/>
      <c r="BC5" s="809" t="s">
        <v>88</v>
      </c>
      <c r="BD5" s="809" t="s">
        <v>101</v>
      </c>
      <c r="BE5" s="809" t="s">
        <v>108</v>
      </c>
      <c r="BF5" s="809" t="s">
        <v>64</v>
      </c>
      <c r="BG5" s="809" t="s">
        <v>224</v>
      </c>
      <c r="BH5" s="809" t="s">
        <v>70</v>
      </c>
      <c r="BI5" s="809" t="s">
        <v>67</v>
      </c>
      <c r="BJ5" s="809" t="s">
        <v>87</v>
      </c>
      <c r="BK5" s="809" t="s">
        <v>68</v>
      </c>
      <c r="BL5" s="809" t="s">
        <v>69</v>
      </c>
      <c r="BM5" s="809" t="s">
        <v>113</v>
      </c>
      <c r="BN5" s="809" t="s">
        <v>114</v>
      </c>
      <c r="BO5" s="809" t="s">
        <v>112</v>
      </c>
      <c r="BP5" s="809" t="s">
        <v>115</v>
      </c>
      <c r="BQ5" s="809" t="s">
        <v>139</v>
      </c>
      <c r="BR5" s="809" t="s">
        <v>140</v>
      </c>
      <c r="BS5" s="809" t="s">
        <v>141</v>
      </c>
      <c r="BT5" s="809" t="s">
        <v>142</v>
      </c>
      <c r="BU5" s="809" t="s">
        <v>143</v>
      </c>
      <c r="BV5" s="809" t="s">
        <v>144</v>
      </c>
      <c r="BX5" s="145" t="s">
        <v>125</v>
      </c>
      <c r="BY5" s="144"/>
      <c r="BZ5" s="819" t="s">
        <v>80</v>
      </c>
      <c r="CA5" s="819"/>
      <c r="CB5" s="819"/>
      <c r="CC5" s="819"/>
      <c r="CD5" s="819" t="s">
        <v>173</v>
      </c>
      <c r="CE5" s="819"/>
      <c r="CF5" s="819"/>
      <c r="CG5" s="819"/>
      <c r="CH5" s="819"/>
      <c r="CI5" s="819" t="s">
        <v>178</v>
      </c>
      <c r="CJ5" s="819"/>
      <c r="CK5" s="819"/>
      <c r="CL5" s="819"/>
      <c r="CM5" s="819"/>
      <c r="CN5" s="819"/>
      <c r="CO5" s="819" t="s">
        <v>172</v>
      </c>
      <c r="CP5" s="819"/>
      <c r="CQ5" s="819"/>
      <c r="CR5" s="819"/>
      <c r="CS5" s="819"/>
      <c r="CT5" s="819" t="s">
        <v>174</v>
      </c>
      <c r="CU5" s="819"/>
      <c r="CV5" s="819"/>
      <c r="CW5" s="819"/>
      <c r="CX5" s="819" t="s">
        <v>176</v>
      </c>
      <c r="CY5" s="819"/>
      <c r="CZ5" s="819"/>
      <c r="DA5" s="819"/>
      <c r="DB5" s="819" t="s">
        <v>92</v>
      </c>
      <c r="DC5" s="819"/>
      <c r="DD5" s="819"/>
      <c r="DE5" s="819"/>
    </row>
    <row r="6" spans="2:109" ht="21.75" customHeight="1" thickBot="1" x14ac:dyDescent="0.3">
      <c r="B6" s="813"/>
      <c r="C6" s="813"/>
      <c r="D6" s="809"/>
      <c r="E6" s="809"/>
      <c r="F6" s="809"/>
      <c r="G6" s="809"/>
      <c r="H6" s="809"/>
      <c r="I6" s="809"/>
      <c r="J6" s="816"/>
      <c r="K6" s="809"/>
      <c r="L6" s="809"/>
      <c r="M6" s="809"/>
      <c r="N6" s="809"/>
      <c r="O6" s="809"/>
      <c r="P6" s="812"/>
      <c r="Q6" s="814"/>
      <c r="R6" s="809"/>
      <c r="S6" s="809"/>
      <c r="T6" s="811"/>
      <c r="U6" s="810"/>
      <c r="V6" s="810"/>
      <c r="W6" s="20" t="s">
        <v>65</v>
      </c>
      <c r="X6" s="20" t="s">
        <v>85</v>
      </c>
      <c r="Y6" s="809"/>
      <c r="Z6" s="809"/>
      <c r="AA6" s="809"/>
      <c r="AB6" s="809"/>
      <c r="AC6" s="809"/>
      <c r="AD6" s="809"/>
      <c r="AE6" s="809"/>
      <c r="AF6" s="809"/>
      <c r="AG6" s="809"/>
      <c r="AH6" s="809"/>
      <c r="AI6" s="809"/>
      <c r="AJ6" s="809"/>
      <c r="AK6" s="809"/>
      <c r="AL6" s="809"/>
      <c r="AM6" s="812"/>
      <c r="AN6" s="812"/>
      <c r="AO6" s="812"/>
      <c r="AP6" s="818"/>
      <c r="AQ6" s="809"/>
      <c r="AR6" s="816"/>
      <c r="AS6" s="816"/>
      <c r="AT6" s="816"/>
      <c r="AU6" s="816"/>
      <c r="AV6" s="816"/>
      <c r="AW6" s="816"/>
      <c r="AX6" s="816"/>
      <c r="AY6" s="816"/>
      <c r="AZ6" s="809"/>
      <c r="BA6" s="20" t="s">
        <v>102</v>
      </c>
      <c r="BB6" s="20" t="s">
        <v>66</v>
      </c>
      <c r="BC6" s="809"/>
      <c r="BD6" s="809"/>
      <c r="BE6" s="809"/>
      <c r="BF6" s="809"/>
      <c r="BG6" s="809"/>
      <c r="BH6" s="809"/>
      <c r="BI6" s="809"/>
      <c r="BJ6" s="809"/>
      <c r="BK6" s="809"/>
      <c r="BL6" s="809"/>
      <c r="BM6" s="809"/>
      <c r="BN6" s="809"/>
      <c r="BO6" s="809"/>
      <c r="BP6" s="809"/>
      <c r="BQ6" s="809"/>
      <c r="BR6" s="809"/>
      <c r="BS6" s="809"/>
      <c r="BT6" s="809"/>
      <c r="BU6" s="809"/>
      <c r="BV6" s="809"/>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19" t="s">
        <v>127</v>
      </c>
      <c r="CA9" s="819"/>
      <c r="CB9" s="819"/>
      <c r="CC9" s="819"/>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19" t="s">
        <v>103</v>
      </c>
      <c r="CP10" s="819"/>
      <c r="CQ10" s="819"/>
      <c r="CR10" s="144"/>
      <c r="CS10" s="144"/>
      <c r="CT10" s="819" t="s">
        <v>103</v>
      </c>
      <c r="CU10" s="819"/>
      <c r="CV10" s="144"/>
      <c r="CW10" s="144"/>
      <c r="CX10" s="819" t="s">
        <v>103</v>
      </c>
      <c r="CY10" s="819"/>
      <c r="CZ10" s="144"/>
      <c r="DA10" s="144"/>
      <c r="DB10" s="819" t="s">
        <v>103</v>
      </c>
      <c r="DC10" s="819"/>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19" t="s">
        <v>131</v>
      </c>
      <c r="CA12" s="819"/>
      <c r="CB12" s="819"/>
      <c r="CC12" s="819"/>
      <c r="CD12" s="819" t="s">
        <v>103</v>
      </c>
      <c r="CE12" s="819"/>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20"/>
      <c r="CA31" s="820"/>
      <c r="CB31" s="820"/>
      <c r="CC31" s="820"/>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7" priority="85" operator="equal">
      <formula>0</formula>
    </cfRule>
  </conditionalFormatting>
  <conditionalFormatting sqref="BO7:BP12 BS7:BV12 U7:V7 Y7 AA7:AI7 AP7:AP12 BC7:BC12 AX7:AZ12 BD7:BE8 BF7:BL12 AL7:BV7">
    <cfRule type="containsErrors" dxfId="116" priority="83">
      <formula>ISERROR(U7)</formula>
    </cfRule>
  </conditionalFormatting>
  <conditionalFormatting sqref="V7">
    <cfRule type="cellIs" dxfId="115" priority="72" operator="lessThanOrEqual">
      <formula>0.67</formula>
    </cfRule>
  </conditionalFormatting>
  <conditionalFormatting sqref="AS7:AS12">
    <cfRule type="cellIs" dxfId="114" priority="68" operator="equal">
      <formula>0</formula>
    </cfRule>
    <cfRule type="cellIs" dxfId="113" priority="69" operator="lessThan">
      <formula>$J$7</formula>
    </cfRule>
  </conditionalFormatting>
  <conditionalFormatting sqref="AT9:AT12">
    <cfRule type="cellIs" dxfId="112" priority="60" operator="equal">
      <formula>0</formula>
    </cfRule>
  </conditionalFormatting>
  <conditionalFormatting sqref="AS10">
    <cfRule type="cellIs" dxfId="111" priority="57" operator="greaterThan">
      <formula>6500</formula>
    </cfRule>
  </conditionalFormatting>
  <conditionalFormatting sqref="M7:O7">
    <cfRule type="cellIs" dxfId="110" priority="55" operator="equal">
      <formula>0</formula>
    </cfRule>
    <cfRule type="containsErrors" dxfId="109" priority="56">
      <formula>ISERROR(M7)</formula>
    </cfRule>
  </conditionalFormatting>
  <conditionalFormatting sqref="G7">
    <cfRule type="cellIs" dxfId="108" priority="51" operator="greaterThan">
      <formula>18</formula>
    </cfRule>
  </conditionalFormatting>
  <conditionalFormatting sqref="H7">
    <cfRule type="cellIs" dxfId="107" priority="50" operator="greaterThan">
      <formula>18</formula>
    </cfRule>
  </conditionalFormatting>
  <conditionalFormatting sqref="J7">
    <cfRule type="cellIs" dxfId="106" priority="49" operator="greaterThan">
      <formula>100</formula>
    </cfRule>
  </conditionalFormatting>
  <conditionalFormatting sqref="G7:H7 J7:L7">
    <cfRule type="cellIs" dxfId="105" priority="48" operator="equal">
      <formula>0</formula>
    </cfRule>
  </conditionalFormatting>
  <conditionalFormatting sqref="M7:O7">
    <cfRule type="cellIs" dxfId="104" priority="46" operator="equal">
      <formula>0</formula>
    </cfRule>
    <cfRule type="containsErrors" dxfId="103" priority="47">
      <formula>ISERROR(M7)</formula>
    </cfRule>
  </conditionalFormatting>
  <conditionalFormatting sqref="BS13:BV18 BE13:BE18 BO13:BO18 BJ13:BJ18 G13:H13 J13:L13">
    <cfRule type="cellIs" dxfId="102" priority="45" operator="equal">
      <formula>0</formula>
    </cfRule>
  </conditionalFormatting>
  <conditionalFormatting sqref="BO13:BP18 BS13:BV18 U13:V13 Y13 AA13:AI13 AL13:AN13 BC13:BC18 AX13:AZ18 BD13:BE14 BF13:BL18 AS13:AW13 BQ13:BR13 BA13:BB13 BM13:BN13">
    <cfRule type="containsErrors" dxfId="101" priority="44">
      <formula>ISERROR(U13)</formula>
    </cfRule>
  </conditionalFormatting>
  <conditionalFormatting sqref="V13">
    <cfRule type="cellIs" dxfId="100" priority="43" operator="lessThanOrEqual">
      <formula>0.67</formula>
    </cfRule>
  </conditionalFormatting>
  <conditionalFormatting sqref="AS13:AS18">
    <cfRule type="cellIs" dxfId="99" priority="41" operator="equal">
      <formula>0</formula>
    </cfRule>
    <cfRule type="cellIs" dxfId="98" priority="42" operator="lessThan">
      <formula>$J$7</formula>
    </cfRule>
  </conditionalFormatting>
  <conditionalFormatting sqref="AT15:AT18">
    <cfRule type="cellIs" dxfId="97" priority="40" operator="equal">
      <formula>0</formula>
    </cfRule>
  </conditionalFormatting>
  <conditionalFormatting sqref="AS16">
    <cfRule type="cellIs" dxfId="96" priority="39" operator="greaterThan">
      <formula>6500</formula>
    </cfRule>
  </conditionalFormatting>
  <conditionalFormatting sqref="M13:O13">
    <cfRule type="cellIs" dxfId="95" priority="37" operator="equal">
      <formula>0</formula>
    </cfRule>
    <cfRule type="containsErrors" dxfId="94" priority="38">
      <formula>ISERROR(M13)</formula>
    </cfRule>
  </conditionalFormatting>
  <conditionalFormatting sqref="G13">
    <cfRule type="cellIs" dxfId="93" priority="36" operator="greaterThan">
      <formula>18</formula>
    </cfRule>
  </conditionalFormatting>
  <conditionalFormatting sqref="H13">
    <cfRule type="cellIs" dxfId="92" priority="35" operator="greaterThan">
      <formula>18</formula>
    </cfRule>
  </conditionalFormatting>
  <conditionalFormatting sqref="J13">
    <cfRule type="cellIs" dxfId="91" priority="34" operator="greaterThan">
      <formula>100</formula>
    </cfRule>
  </conditionalFormatting>
  <conditionalFormatting sqref="G13:H13 J13:L13">
    <cfRule type="cellIs" dxfId="90" priority="33" operator="equal">
      <formula>0</formula>
    </cfRule>
  </conditionalFormatting>
  <conditionalFormatting sqref="M13:O13">
    <cfRule type="cellIs" dxfId="89" priority="31" operator="equal">
      <formula>0</formula>
    </cfRule>
    <cfRule type="containsErrors" dxfId="88" priority="32">
      <formula>ISERROR(M13)</formula>
    </cfRule>
  </conditionalFormatting>
  <conditionalFormatting sqref="BS19:BV24 BE19:BE24 BO19:BO24 BJ19:BJ24 G19:H19 J19:L19">
    <cfRule type="cellIs" dxfId="87" priority="30" operator="equal">
      <formula>0</formula>
    </cfRule>
  </conditionalFormatting>
  <conditionalFormatting sqref="BO19:BP24 BS19:BV24 U19:V19 Y19 AA19:AI19 AL19:AN19 BC19:BC24 AX19:AZ24 BD19:BE20 BF19:BL24 AS19:AW19 BQ19:BR19 BA19:BB19 BM19:BN19">
    <cfRule type="containsErrors" dxfId="86" priority="29">
      <formula>ISERROR(U19)</formula>
    </cfRule>
  </conditionalFormatting>
  <conditionalFormatting sqref="V19">
    <cfRule type="cellIs" dxfId="85" priority="28" operator="lessThanOrEqual">
      <formula>0.67</formula>
    </cfRule>
  </conditionalFormatting>
  <conditionalFormatting sqref="AS19:AS24">
    <cfRule type="cellIs" dxfId="84" priority="26" operator="equal">
      <formula>0</formula>
    </cfRule>
    <cfRule type="cellIs" dxfId="83" priority="27" operator="lessThan">
      <formula>$J$7</formula>
    </cfRule>
  </conditionalFormatting>
  <conditionalFormatting sqref="AT21:AT24">
    <cfRule type="cellIs" dxfId="82" priority="25" operator="equal">
      <formula>0</formula>
    </cfRule>
  </conditionalFormatting>
  <conditionalFormatting sqref="AS22">
    <cfRule type="cellIs" dxfId="81" priority="24" operator="greaterThan">
      <formula>6500</formula>
    </cfRule>
  </conditionalFormatting>
  <conditionalFormatting sqref="M19:O19">
    <cfRule type="cellIs" dxfId="80" priority="22" operator="equal">
      <formula>0</formula>
    </cfRule>
    <cfRule type="containsErrors" dxfId="79" priority="23">
      <formula>ISERROR(M19)</formula>
    </cfRule>
  </conditionalFormatting>
  <conditionalFormatting sqref="G19">
    <cfRule type="cellIs" dxfId="78" priority="21" operator="greaterThan">
      <formula>18</formula>
    </cfRule>
  </conditionalFormatting>
  <conditionalFormatting sqref="H19">
    <cfRule type="cellIs" dxfId="77" priority="20" operator="greaterThan">
      <formula>18</formula>
    </cfRule>
  </conditionalFormatting>
  <conditionalFormatting sqref="J19">
    <cfRule type="cellIs" dxfId="76" priority="19" operator="greaterThan">
      <formula>100</formula>
    </cfRule>
  </conditionalFormatting>
  <conditionalFormatting sqref="G19:H19 J19:L19">
    <cfRule type="cellIs" dxfId="75" priority="18" operator="equal">
      <formula>0</formula>
    </cfRule>
  </conditionalFormatting>
  <conditionalFormatting sqref="M19:O19">
    <cfRule type="cellIs" dxfId="74" priority="16" operator="equal">
      <formula>0</formula>
    </cfRule>
    <cfRule type="containsErrors" dxfId="73" priority="17">
      <formula>ISERROR(M19)</formula>
    </cfRule>
  </conditionalFormatting>
  <conditionalFormatting sqref="BS25:BV30 BE25:BE30 BO25:BO30 BJ25:BJ30 G25:H25 J25:L25">
    <cfRule type="cellIs" dxfId="72" priority="15" operator="equal">
      <formula>0</formula>
    </cfRule>
  </conditionalFormatting>
  <conditionalFormatting sqref="BO25:BP30 BS25:BV30 U25:V25 Y25 AA25:AI25 AL25:AN25 BC25:BC30 AX25:AZ30 BD25:BE26 BF25:BL30 AS25:AW25 BQ25:BR25 BA25:BB25 BM25:BN25">
    <cfRule type="containsErrors" dxfId="71" priority="14">
      <formula>ISERROR(U25)</formula>
    </cfRule>
  </conditionalFormatting>
  <conditionalFormatting sqref="V25">
    <cfRule type="cellIs" dxfId="70" priority="13" operator="lessThanOrEqual">
      <formula>0.67</formula>
    </cfRule>
  </conditionalFormatting>
  <conditionalFormatting sqref="AS25:AS30">
    <cfRule type="cellIs" dxfId="69" priority="11" operator="equal">
      <formula>0</formula>
    </cfRule>
    <cfRule type="cellIs" dxfId="68" priority="12" operator="lessThan">
      <formula>$J$7</formula>
    </cfRule>
  </conditionalFormatting>
  <conditionalFormatting sqref="AT27:AT30">
    <cfRule type="cellIs" dxfId="67" priority="10" operator="equal">
      <formula>0</formula>
    </cfRule>
  </conditionalFormatting>
  <conditionalFormatting sqref="AS28">
    <cfRule type="cellIs" dxfId="66" priority="9" operator="greaterThan">
      <formula>6500</formula>
    </cfRule>
  </conditionalFormatting>
  <conditionalFormatting sqref="M25:O25">
    <cfRule type="cellIs" dxfId="65" priority="7" operator="equal">
      <formula>0</formula>
    </cfRule>
    <cfRule type="containsErrors" dxfId="64" priority="8">
      <formula>ISERROR(M25)</formula>
    </cfRule>
  </conditionalFormatting>
  <conditionalFormatting sqref="G25">
    <cfRule type="cellIs" dxfId="63" priority="6" operator="greaterThan">
      <formula>18</formula>
    </cfRule>
  </conditionalFormatting>
  <conditionalFormatting sqref="H25">
    <cfRule type="cellIs" dxfId="62" priority="5" operator="greaterThan">
      <formula>18</formula>
    </cfRule>
  </conditionalFormatting>
  <conditionalFormatting sqref="J25">
    <cfRule type="cellIs" dxfId="61" priority="4" operator="greaterThan">
      <formula>100</formula>
    </cfRule>
  </conditionalFormatting>
  <conditionalFormatting sqref="G25:H25 J25:L25">
    <cfRule type="cellIs" dxfId="60" priority="3" operator="equal">
      <formula>0</formula>
    </cfRule>
  </conditionalFormatting>
  <conditionalFormatting sqref="M25:O25">
    <cfRule type="cellIs" dxfId="59" priority="1" operator="equal">
      <formula>0</formula>
    </cfRule>
    <cfRule type="containsErrors" dxfId="58"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B2" sqref="B2"/>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834" t="s">
        <v>677</v>
      </c>
      <c r="P2" s="834"/>
      <c r="Q2" s="444"/>
    </row>
    <row r="3" spans="2:21" ht="15" customHeight="1" x14ac:dyDescent="0.2">
      <c r="B3" s="445"/>
      <c r="C3" s="754"/>
      <c r="D3" s="755"/>
      <c r="E3" s="755"/>
      <c r="F3" s="755"/>
      <c r="G3" s="760" t="s">
        <v>740</v>
      </c>
      <c r="H3" s="760"/>
      <c r="I3" s="760"/>
      <c r="J3" s="760"/>
      <c r="K3" s="760"/>
      <c r="L3" s="760"/>
      <c r="M3" s="760"/>
      <c r="N3" s="760"/>
      <c r="O3" s="760"/>
      <c r="P3" s="760"/>
      <c r="Q3" s="446"/>
    </row>
    <row r="4" spans="2:21" ht="15" customHeight="1" x14ac:dyDescent="0.2">
      <c r="B4" s="445"/>
      <c r="C4" s="756"/>
      <c r="D4" s="757"/>
      <c r="E4" s="757"/>
      <c r="F4" s="757"/>
      <c r="G4" s="760"/>
      <c r="H4" s="760"/>
      <c r="I4" s="760"/>
      <c r="J4" s="760"/>
      <c r="K4" s="760"/>
      <c r="L4" s="760"/>
      <c r="M4" s="760"/>
      <c r="N4" s="760"/>
      <c r="O4" s="760"/>
      <c r="P4" s="760"/>
      <c r="Q4" s="446"/>
    </row>
    <row r="5" spans="2:21" ht="15" customHeight="1" x14ac:dyDescent="0.2">
      <c r="B5" s="445"/>
      <c r="C5" s="758"/>
      <c r="D5" s="759"/>
      <c r="E5" s="759"/>
      <c r="F5" s="759"/>
      <c r="G5" s="760"/>
      <c r="H5" s="760"/>
      <c r="I5" s="760"/>
      <c r="J5" s="760"/>
      <c r="K5" s="760"/>
      <c r="L5" s="760"/>
      <c r="M5" s="760"/>
      <c r="N5" s="760"/>
      <c r="O5" s="760"/>
      <c r="P5" s="760"/>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835" t="s">
        <v>736</v>
      </c>
      <c r="D8" s="835"/>
      <c r="E8" s="766" t="str">
        <f ca="1">IFERROR(MID(CELL("nome.arquivo",A1),FIND("C.S.",CELL("nome.arquivo",A1))+5,LEN(CELL("nome.arquivo",A1) )),"{Salvar Este Arquivo}")</f>
        <v>PJT XXXX</v>
      </c>
      <c r="F8" s="766"/>
      <c r="G8" s="584"/>
      <c r="H8" s="761" t="s">
        <v>739</v>
      </c>
      <c r="I8" s="761"/>
      <c r="J8" s="767"/>
      <c r="K8" s="767"/>
      <c r="L8" s="767"/>
      <c r="M8" s="431"/>
      <c r="N8" s="836" t="s">
        <v>657</v>
      </c>
      <c r="O8" s="837"/>
      <c r="P8" s="838"/>
      <c r="Q8" s="446"/>
    </row>
    <row r="9" spans="2:21" ht="15" customHeight="1" x14ac:dyDescent="0.2">
      <c r="B9" s="445"/>
      <c r="C9" s="431"/>
      <c r="D9" s="431"/>
      <c r="E9" s="766"/>
      <c r="F9" s="766"/>
      <c r="G9" s="584"/>
      <c r="H9" s="431"/>
      <c r="I9" s="431"/>
      <c r="J9" s="767"/>
      <c r="K9" s="767"/>
      <c r="L9" s="767"/>
      <c r="M9" s="431"/>
      <c r="N9" s="458"/>
      <c r="O9" s="467" t="s">
        <v>659</v>
      </c>
      <c r="P9" s="468"/>
      <c r="Q9" s="446"/>
    </row>
    <row r="10" spans="2:21" ht="15" customHeight="1" x14ac:dyDescent="0.2">
      <c r="B10" s="445"/>
      <c r="C10" s="431"/>
      <c r="D10" s="431"/>
      <c r="E10" s="431"/>
      <c r="F10" s="431"/>
      <c r="G10" s="431"/>
      <c r="H10" s="431"/>
      <c r="I10" s="431"/>
      <c r="J10" s="431"/>
      <c r="K10" s="431"/>
      <c r="L10" s="431"/>
      <c r="M10" s="431"/>
      <c r="N10" s="497"/>
      <c r="O10" s="467" t="s">
        <v>737</v>
      </c>
      <c r="P10" s="468"/>
      <c r="Q10" s="446"/>
    </row>
    <row r="11" spans="2:21" ht="15" customHeight="1" x14ac:dyDescent="0.2">
      <c r="B11" s="445"/>
      <c r="C11" s="761" t="s">
        <v>656</v>
      </c>
      <c r="D11" s="761"/>
      <c r="E11" s="762"/>
      <c r="F11" s="762"/>
      <c r="G11" s="762"/>
      <c r="H11" s="762"/>
      <c r="I11" s="762"/>
      <c r="J11" s="762"/>
      <c r="K11" s="431"/>
      <c r="L11" s="586" t="s">
        <v>854</v>
      </c>
      <c r="M11" s="431"/>
      <c r="N11" s="459"/>
      <c r="O11" s="467" t="s">
        <v>738</v>
      </c>
      <c r="P11" s="468"/>
      <c r="Q11" s="446"/>
    </row>
    <row r="12" spans="2:21" ht="15" customHeight="1" x14ac:dyDescent="0.2">
      <c r="B12" s="445"/>
      <c r="C12" s="761" t="s">
        <v>658</v>
      </c>
      <c r="D12" s="761"/>
      <c r="E12" s="762"/>
      <c r="F12" s="762"/>
      <c r="G12" s="762"/>
      <c r="H12" s="762"/>
      <c r="I12" s="762"/>
      <c r="J12" s="762"/>
      <c r="K12" s="431"/>
      <c r="L12" s="478">
        <v>0</v>
      </c>
      <c r="M12" s="431"/>
      <c r="N12" s="460"/>
      <c r="O12" s="431" t="s">
        <v>675</v>
      </c>
      <c r="P12" s="461"/>
      <c r="Q12" s="446"/>
    </row>
    <row r="13" spans="2:21" ht="15" customHeight="1" x14ac:dyDescent="0.2">
      <c r="B13" s="445"/>
      <c r="C13" s="761" t="s">
        <v>660</v>
      </c>
      <c r="D13" s="761"/>
      <c r="E13" s="833"/>
      <c r="F13" s="833"/>
      <c r="G13" s="833"/>
      <c r="H13" s="833"/>
      <c r="I13" s="833"/>
      <c r="J13" s="833"/>
      <c r="K13" s="431"/>
      <c r="L13" s="431"/>
      <c r="M13" s="431"/>
      <c r="N13" s="462"/>
      <c r="O13" s="463" t="s">
        <v>676</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41" t="s">
        <v>692</v>
      </c>
      <c r="D15" s="741"/>
      <c r="E15" s="741"/>
      <c r="F15" s="741"/>
      <c r="G15" s="741"/>
      <c r="H15" s="741"/>
      <c r="I15" s="741"/>
      <c r="J15" s="741"/>
      <c r="K15" s="741"/>
      <c r="L15" s="741"/>
      <c r="M15" s="741"/>
      <c r="N15" s="741"/>
      <c r="O15" s="741"/>
      <c r="P15" s="741"/>
      <c r="Q15" s="446"/>
      <c r="R15" s="455"/>
      <c r="S15" s="455"/>
      <c r="T15" s="455"/>
      <c r="U15" s="45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38" t="s">
        <v>831</v>
      </c>
      <c r="D17" s="739"/>
      <c r="E17" s="739"/>
      <c r="F17" s="498">
        <v>1</v>
      </c>
      <c r="G17" s="499"/>
      <c r="J17" s="726" t="s">
        <v>837</v>
      </c>
      <c r="K17" s="726"/>
      <c r="L17" s="431"/>
      <c r="M17" s="770" t="s">
        <v>661</v>
      </c>
      <c r="N17" s="770"/>
      <c r="O17" s="447"/>
      <c r="P17" s="448" t="s">
        <v>761</v>
      </c>
      <c r="Q17" s="446"/>
      <c r="R17" s="455"/>
      <c r="S17" s="455"/>
      <c r="T17" s="455"/>
      <c r="U17" s="455"/>
    </row>
    <row r="18" spans="2:21" ht="15" customHeight="1" x14ac:dyDescent="0.2">
      <c r="B18" s="445"/>
      <c r="C18"/>
      <c r="D18"/>
      <c r="E18"/>
      <c r="F18"/>
      <c r="G18" s="499"/>
      <c r="J18" s="438">
        <f t="array" ref="J18">SUM(F25:F49*E25:E49)</f>
        <v>0</v>
      </c>
      <c r="K18" s="439" t="s">
        <v>775</v>
      </c>
      <c r="L18" s="431"/>
      <c r="M18" s="431"/>
      <c r="N18" s="431"/>
      <c r="O18" s="449" t="str">
        <f>IFERROR(ROUNDUP((O17*1000)/J18,0),"")</f>
        <v/>
      </c>
      <c r="P18" s="448" t="s">
        <v>663</v>
      </c>
      <c r="Q18" s="446"/>
      <c r="R18" s="455"/>
      <c r="S18" s="455"/>
      <c r="T18" s="455"/>
      <c r="U18" s="455"/>
    </row>
    <row r="19" spans="2:21" ht="15" customHeight="1" x14ac:dyDescent="0.2">
      <c r="B19" s="445"/>
      <c r="C19"/>
      <c r="D19"/>
      <c r="E19"/>
      <c r="F19"/>
      <c r="G19" s="499"/>
      <c r="H19" s="431"/>
      <c r="I19" s="431"/>
      <c r="J19" s="431"/>
      <c r="K19" s="431"/>
      <c r="L19" s="431"/>
      <c r="M19" s="431"/>
      <c r="N19" s="431"/>
      <c r="Q19" s="446"/>
      <c r="R19" s="455"/>
      <c r="S19" s="455"/>
      <c r="T19" s="455"/>
      <c r="U19" s="455"/>
    </row>
    <row r="20" spans="2:21" ht="15" customHeight="1" x14ac:dyDescent="0.2">
      <c r="B20" s="445"/>
      <c r="C20" s="726" t="s">
        <v>832</v>
      </c>
      <c r="D20" s="726"/>
      <c r="E20" s="726" t="s">
        <v>833</v>
      </c>
      <c r="F20" s="726"/>
      <c r="I20"/>
      <c r="J20" s="726" t="s">
        <v>841</v>
      </c>
      <c r="K20" s="726"/>
      <c r="L20" s="431"/>
      <c r="M20" s="431"/>
      <c r="N20" s="582" t="s">
        <v>680</v>
      </c>
      <c r="O20" s="581"/>
      <c r="P20" s="501" t="s">
        <v>760</v>
      </c>
      <c r="Q20" s="446"/>
    </row>
    <row r="21" spans="2:21" ht="15" customHeight="1" x14ac:dyDescent="0.2">
      <c r="B21" s="445"/>
      <c r="C21" s="742" t="b">
        <v>0</v>
      </c>
      <c r="D21" s="742"/>
      <c r="E21" s="742" t="b">
        <v>0</v>
      </c>
      <c r="F21" s="742"/>
      <c r="I21"/>
      <c r="J21" s="438">
        <f>SUM(M25:M49)</f>
        <v>0</v>
      </c>
      <c r="K21" s="439" t="s">
        <v>845</v>
      </c>
      <c r="L21" s="431"/>
      <c r="M21" s="431"/>
      <c r="O21" s="616">
        <f>IF(P21="Ton/mês",ROUND(O20*J18/1000,3),ROUNDUP(O20*1000/J18,0))</f>
        <v>0</v>
      </c>
      <c r="P21" s="592" t="str">
        <f>IF(P20="Peça/mês","Ton/mês","Peça/mês")</f>
        <v>Ton/mês</v>
      </c>
      <c r="Q21" s="446"/>
    </row>
    <row r="22" spans="2:21" ht="15" customHeight="1" x14ac:dyDescent="0.2">
      <c r="B22" s="445"/>
      <c r="C22"/>
      <c r="D22"/>
      <c r="E22"/>
      <c r="F22"/>
      <c r="G22"/>
      <c r="H22"/>
      <c r="I22"/>
      <c r="J22"/>
      <c r="K22" s="431"/>
      <c r="L22" s="431"/>
      <c r="M22" s="431"/>
      <c r="N22" s="431"/>
      <c r="O22" s="431"/>
      <c r="P22" s="431"/>
      <c r="Q22" s="446"/>
    </row>
    <row r="23" spans="2:21" ht="15" customHeight="1" x14ac:dyDescent="0.2">
      <c r="B23" s="445"/>
      <c r="C23" s="839" t="s">
        <v>834</v>
      </c>
      <c r="D23" s="840"/>
      <c r="E23" s="840"/>
      <c r="F23" s="840"/>
      <c r="G23" s="840"/>
      <c r="H23" s="840"/>
      <c r="I23" s="840"/>
      <c r="J23" s="840"/>
      <c r="K23" s="840"/>
      <c r="L23" s="840"/>
      <c r="M23" s="840"/>
      <c r="N23" s="840"/>
      <c r="O23" s="840"/>
      <c r="P23" s="840"/>
      <c r="Q23" s="446"/>
    </row>
    <row r="24" spans="2:21" ht="15" customHeight="1" x14ac:dyDescent="0.2">
      <c r="B24" s="445"/>
      <c r="C24" s="732" t="s">
        <v>577</v>
      </c>
      <c r="D24" s="732"/>
      <c r="E24" s="585" t="s">
        <v>578</v>
      </c>
      <c r="F24" s="594" t="s">
        <v>836</v>
      </c>
      <c r="G24" s="732" t="s">
        <v>835</v>
      </c>
      <c r="H24" s="732"/>
      <c r="I24" s="832" t="s">
        <v>839</v>
      </c>
      <c r="J24" s="832"/>
      <c r="K24" s="832" t="s">
        <v>840</v>
      </c>
      <c r="L24" s="832"/>
      <c r="M24" s="832" t="s">
        <v>841</v>
      </c>
      <c r="N24" s="832"/>
      <c r="O24" s="732" t="s">
        <v>842</v>
      </c>
      <c r="P24" s="732"/>
      <c r="Q24" s="446"/>
      <c r="R24" s="455"/>
    </row>
    <row r="25" spans="2:21" ht="15" customHeight="1" x14ac:dyDescent="0.2">
      <c r="B25" s="445"/>
      <c r="C25" s="830"/>
      <c r="D25" s="831"/>
      <c r="E25" s="479"/>
      <c r="F25" s="614"/>
      <c r="G25" s="615"/>
      <c r="H25" s="440" t="s">
        <v>838</v>
      </c>
      <c r="I25" s="483">
        <f t="shared" ref="I25:I49" si="0">IFERROR(G25*(1000/E25),0)</f>
        <v>0</v>
      </c>
      <c r="J25" s="440" t="s">
        <v>845</v>
      </c>
      <c r="K25" s="595"/>
      <c r="L25" s="440" t="s">
        <v>845</v>
      </c>
      <c r="M25" s="438">
        <f>IF(I25&gt;0,PRODUCT(I25,O25),PRODUCT(K25,O25))</f>
        <v>0</v>
      </c>
      <c r="N25" s="440" t="s">
        <v>845</v>
      </c>
      <c r="O25" s="827">
        <f>IFERROR(ROUND(F25*E25/$J$18,4),0)</f>
        <v>0</v>
      </c>
      <c r="P25" s="827"/>
      <c r="Q25" s="446"/>
    </row>
    <row r="26" spans="2:21" ht="15" customHeight="1" x14ac:dyDescent="0.2">
      <c r="B26" s="445"/>
      <c r="C26" s="830"/>
      <c r="D26" s="831"/>
      <c r="E26" s="479"/>
      <c r="F26" s="614"/>
      <c r="G26" s="615"/>
      <c r="H26" s="440" t="s">
        <v>838</v>
      </c>
      <c r="I26" s="483">
        <f t="shared" si="0"/>
        <v>0</v>
      </c>
      <c r="J26" s="440" t="s">
        <v>845</v>
      </c>
      <c r="K26" s="595"/>
      <c r="L26" s="440" t="s">
        <v>845</v>
      </c>
      <c r="M26" s="438">
        <f t="shared" ref="M26:M49" si="1">IF(I26&gt;0,PRODUCT(I26,O26),PRODUCT(K26,O26))</f>
        <v>0</v>
      </c>
      <c r="N26" s="440" t="s">
        <v>845</v>
      </c>
      <c r="O26" s="827">
        <f t="shared" ref="O26:O49" si="2">IFERROR(ROUND(F26*E26/$J$18,4),0)</f>
        <v>0</v>
      </c>
      <c r="P26" s="827"/>
      <c r="Q26" s="446"/>
      <c r="R26" s="455"/>
    </row>
    <row r="27" spans="2:21" ht="15" customHeight="1" x14ac:dyDescent="0.2">
      <c r="B27" s="445"/>
      <c r="C27" s="830"/>
      <c r="D27" s="831"/>
      <c r="E27" s="479"/>
      <c r="F27" s="614"/>
      <c r="G27" s="615"/>
      <c r="H27" s="440" t="s">
        <v>838</v>
      </c>
      <c r="I27" s="483">
        <f t="shared" si="0"/>
        <v>0</v>
      </c>
      <c r="J27" s="440" t="s">
        <v>845</v>
      </c>
      <c r="K27" s="595"/>
      <c r="L27" s="440" t="s">
        <v>845</v>
      </c>
      <c r="M27" s="438">
        <f t="shared" si="1"/>
        <v>0</v>
      </c>
      <c r="N27" s="440" t="s">
        <v>845</v>
      </c>
      <c r="O27" s="827">
        <f t="shared" si="2"/>
        <v>0</v>
      </c>
      <c r="P27" s="827"/>
      <c r="Q27" s="446"/>
      <c r="R27" s="455"/>
    </row>
    <row r="28" spans="2:21" ht="15" customHeight="1" x14ac:dyDescent="0.2">
      <c r="B28" s="445"/>
      <c r="C28" s="830"/>
      <c r="D28" s="831"/>
      <c r="E28" s="479"/>
      <c r="F28" s="614"/>
      <c r="G28" s="615"/>
      <c r="H28" s="440" t="s">
        <v>838</v>
      </c>
      <c r="I28" s="483">
        <f t="shared" si="0"/>
        <v>0</v>
      </c>
      <c r="J28" s="440" t="s">
        <v>845</v>
      </c>
      <c r="K28" s="595"/>
      <c r="L28" s="440" t="s">
        <v>845</v>
      </c>
      <c r="M28" s="438">
        <f t="shared" si="1"/>
        <v>0</v>
      </c>
      <c r="N28" s="440" t="s">
        <v>845</v>
      </c>
      <c r="O28" s="827">
        <f t="shared" si="2"/>
        <v>0</v>
      </c>
      <c r="P28" s="827"/>
      <c r="Q28" s="446"/>
      <c r="R28" s="455"/>
    </row>
    <row r="29" spans="2:21" ht="15" customHeight="1" x14ac:dyDescent="0.2">
      <c r="B29" s="445"/>
      <c r="C29" s="830"/>
      <c r="D29" s="831"/>
      <c r="E29" s="479"/>
      <c r="F29" s="614"/>
      <c r="G29" s="615"/>
      <c r="H29" s="440" t="s">
        <v>838</v>
      </c>
      <c r="I29" s="483">
        <f t="shared" si="0"/>
        <v>0</v>
      </c>
      <c r="J29" s="440" t="s">
        <v>845</v>
      </c>
      <c r="K29" s="595"/>
      <c r="L29" s="440" t="s">
        <v>845</v>
      </c>
      <c r="M29" s="438">
        <f t="shared" si="1"/>
        <v>0</v>
      </c>
      <c r="N29" s="440" t="s">
        <v>845</v>
      </c>
      <c r="O29" s="827">
        <f t="shared" si="2"/>
        <v>0</v>
      </c>
      <c r="P29" s="827"/>
      <c r="Q29" s="446"/>
      <c r="R29" s="455"/>
    </row>
    <row r="30" spans="2:21" ht="15" customHeight="1" x14ac:dyDescent="0.2">
      <c r="B30" s="445"/>
      <c r="C30" s="830"/>
      <c r="D30" s="831"/>
      <c r="E30" s="479"/>
      <c r="F30" s="614"/>
      <c r="G30" s="615"/>
      <c r="H30" s="440" t="s">
        <v>838</v>
      </c>
      <c r="I30" s="483">
        <f t="shared" si="0"/>
        <v>0</v>
      </c>
      <c r="J30" s="440" t="s">
        <v>845</v>
      </c>
      <c r="K30" s="595"/>
      <c r="L30" s="440" t="s">
        <v>845</v>
      </c>
      <c r="M30" s="438">
        <f t="shared" si="1"/>
        <v>0</v>
      </c>
      <c r="N30" s="440" t="s">
        <v>845</v>
      </c>
      <c r="O30" s="827">
        <f t="shared" si="2"/>
        <v>0</v>
      </c>
      <c r="P30" s="827"/>
      <c r="Q30" s="446"/>
      <c r="R30" s="455"/>
    </row>
    <row r="31" spans="2:21" ht="15" customHeight="1" x14ac:dyDescent="0.2">
      <c r="B31" s="445"/>
      <c r="C31" s="830"/>
      <c r="D31" s="831"/>
      <c r="E31" s="479"/>
      <c r="F31" s="614"/>
      <c r="G31" s="615"/>
      <c r="H31" s="440" t="s">
        <v>838</v>
      </c>
      <c r="I31" s="483">
        <f t="shared" si="0"/>
        <v>0</v>
      </c>
      <c r="J31" s="440" t="s">
        <v>845</v>
      </c>
      <c r="K31" s="595"/>
      <c r="L31" s="440" t="s">
        <v>845</v>
      </c>
      <c r="M31" s="438">
        <f t="shared" si="1"/>
        <v>0</v>
      </c>
      <c r="N31" s="440" t="s">
        <v>845</v>
      </c>
      <c r="O31" s="827">
        <f t="shared" si="2"/>
        <v>0</v>
      </c>
      <c r="P31" s="827"/>
      <c r="Q31" s="446"/>
      <c r="R31" s="455"/>
    </row>
    <row r="32" spans="2:21" ht="15" customHeight="1" x14ac:dyDescent="0.2">
      <c r="B32" s="445"/>
      <c r="C32" s="830"/>
      <c r="D32" s="831"/>
      <c r="E32" s="479"/>
      <c r="F32" s="614"/>
      <c r="G32" s="615"/>
      <c r="H32" s="440" t="s">
        <v>838</v>
      </c>
      <c r="I32" s="483">
        <f t="shared" si="0"/>
        <v>0</v>
      </c>
      <c r="J32" s="440" t="s">
        <v>845</v>
      </c>
      <c r="K32" s="595"/>
      <c r="L32" s="440" t="s">
        <v>845</v>
      </c>
      <c r="M32" s="438">
        <f t="shared" si="1"/>
        <v>0</v>
      </c>
      <c r="N32" s="440" t="s">
        <v>845</v>
      </c>
      <c r="O32" s="827">
        <f t="shared" si="2"/>
        <v>0</v>
      </c>
      <c r="P32" s="827"/>
      <c r="Q32" s="446"/>
      <c r="R32" s="455"/>
    </row>
    <row r="33" spans="2:18" ht="15" customHeight="1" x14ac:dyDescent="0.2">
      <c r="B33" s="445"/>
      <c r="C33" s="830"/>
      <c r="D33" s="831"/>
      <c r="E33" s="479"/>
      <c r="F33" s="614"/>
      <c r="G33" s="615"/>
      <c r="H33" s="440" t="s">
        <v>838</v>
      </c>
      <c r="I33" s="483">
        <f t="shared" si="0"/>
        <v>0</v>
      </c>
      <c r="J33" s="440" t="s">
        <v>845</v>
      </c>
      <c r="K33" s="595"/>
      <c r="L33" s="440" t="s">
        <v>845</v>
      </c>
      <c r="M33" s="438">
        <f t="shared" si="1"/>
        <v>0</v>
      </c>
      <c r="N33" s="440" t="s">
        <v>845</v>
      </c>
      <c r="O33" s="827">
        <f t="shared" si="2"/>
        <v>0</v>
      </c>
      <c r="P33" s="827"/>
      <c r="Q33" s="446"/>
      <c r="R33" s="455"/>
    </row>
    <row r="34" spans="2:18" ht="15" customHeight="1" x14ac:dyDescent="0.2">
      <c r="B34" s="445"/>
      <c r="C34" s="830"/>
      <c r="D34" s="831"/>
      <c r="E34" s="479"/>
      <c r="F34" s="614"/>
      <c r="G34" s="615"/>
      <c r="H34" s="440" t="s">
        <v>838</v>
      </c>
      <c r="I34" s="483">
        <f t="shared" si="0"/>
        <v>0</v>
      </c>
      <c r="J34" s="440" t="s">
        <v>845</v>
      </c>
      <c r="K34" s="595"/>
      <c r="L34" s="440" t="s">
        <v>845</v>
      </c>
      <c r="M34" s="438">
        <f t="shared" si="1"/>
        <v>0</v>
      </c>
      <c r="N34" s="440" t="s">
        <v>845</v>
      </c>
      <c r="O34" s="827">
        <f t="shared" si="2"/>
        <v>0</v>
      </c>
      <c r="P34" s="827"/>
      <c r="Q34" s="446"/>
      <c r="R34" s="455"/>
    </row>
    <row r="35" spans="2:18" ht="15" customHeight="1" x14ac:dyDescent="0.2">
      <c r="B35" s="445"/>
      <c r="C35" s="830"/>
      <c r="D35" s="831"/>
      <c r="E35" s="479"/>
      <c r="F35" s="614"/>
      <c r="G35" s="615"/>
      <c r="H35" s="440" t="s">
        <v>838</v>
      </c>
      <c r="I35" s="483">
        <f t="shared" si="0"/>
        <v>0</v>
      </c>
      <c r="J35" s="440" t="s">
        <v>845</v>
      </c>
      <c r="K35" s="595"/>
      <c r="L35" s="440" t="s">
        <v>845</v>
      </c>
      <c r="M35" s="438">
        <f t="shared" si="1"/>
        <v>0</v>
      </c>
      <c r="N35" s="440" t="s">
        <v>845</v>
      </c>
      <c r="O35" s="827">
        <f t="shared" si="2"/>
        <v>0</v>
      </c>
      <c r="P35" s="827"/>
      <c r="Q35" s="446"/>
      <c r="R35" s="455"/>
    </row>
    <row r="36" spans="2:18" ht="15" customHeight="1" x14ac:dyDescent="0.2">
      <c r="B36" s="445"/>
      <c r="C36" s="830"/>
      <c r="D36" s="831"/>
      <c r="E36" s="479"/>
      <c r="F36" s="614"/>
      <c r="G36" s="615"/>
      <c r="H36" s="440" t="s">
        <v>838</v>
      </c>
      <c r="I36" s="483">
        <f t="shared" si="0"/>
        <v>0</v>
      </c>
      <c r="J36" s="440" t="s">
        <v>845</v>
      </c>
      <c r="K36" s="595"/>
      <c r="L36" s="440" t="s">
        <v>845</v>
      </c>
      <c r="M36" s="438">
        <f t="shared" si="1"/>
        <v>0</v>
      </c>
      <c r="N36" s="440" t="s">
        <v>845</v>
      </c>
      <c r="O36" s="827">
        <f t="shared" si="2"/>
        <v>0</v>
      </c>
      <c r="P36" s="827"/>
      <c r="Q36" s="446"/>
      <c r="R36" s="455"/>
    </row>
    <row r="37" spans="2:18" ht="15" customHeight="1" x14ac:dyDescent="0.2">
      <c r="B37" s="445"/>
      <c r="C37" s="830"/>
      <c r="D37" s="831"/>
      <c r="E37" s="479"/>
      <c r="F37" s="614"/>
      <c r="G37" s="615"/>
      <c r="H37" s="440" t="s">
        <v>838</v>
      </c>
      <c r="I37" s="483">
        <f t="shared" si="0"/>
        <v>0</v>
      </c>
      <c r="J37" s="440" t="s">
        <v>845</v>
      </c>
      <c r="K37" s="595"/>
      <c r="L37" s="440" t="s">
        <v>845</v>
      </c>
      <c r="M37" s="438">
        <f t="shared" si="1"/>
        <v>0</v>
      </c>
      <c r="N37" s="440" t="s">
        <v>845</v>
      </c>
      <c r="O37" s="827">
        <f t="shared" si="2"/>
        <v>0</v>
      </c>
      <c r="P37" s="827"/>
      <c r="Q37" s="446"/>
      <c r="R37" s="455"/>
    </row>
    <row r="38" spans="2:18" ht="15" customHeight="1" x14ac:dyDescent="0.2">
      <c r="B38" s="445"/>
      <c r="C38" s="830"/>
      <c r="D38" s="831"/>
      <c r="E38" s="479"/>
      <c r="F38" s="614"/>
      <c r="G38" s="615"/>
      <c r="H38" s="440" t="s">
        <v>838</v>
      </c>
      <c r="I38" s="483">
        <f t="shared" si="0"/>
        <v>0</v>
      </c>
      <c r="J38" s="440" t="s">
        <v>845</v>
      </c>
      <c r="K38" s="595"/>
      <c r="L38" s="440" t="s">
        <v>845</v>
      </c>
      <c r="M38" s="438">
        <f t="shared" si="1"/>
        <v>0</v>
      </c>
      <c r="N38" s="440" t="s">
        <v>845</v>
      </c>
      <c r="O38" s="827">
        <f t="shared" si="2"/>
        <v>0</v>
      </c>
      <c r="P38" s="827"/>
      <c r="Q38" s="446"/>
      <c r="R38" s="455"/>
    </row>
    <row r="39" spans="2:18" ht="15" customHeight="1" x14ac:dyDescent="0.2">
      <c r="B39" s="445"/>
      <c r="C39" s="830"/>
      <c r="D39" s="831"/>
      <c r="E39" s="479"/>
      <c r="F39" s="614"/>
      <c r="G39" s="615"/>
      <c r="H39" s="440" t="s">
        <v>838</v>
      </c>
      <c r="I39" s="483">
        <f t="shared" si="0"/>
        <v>0</v>
      </c>
      <c r="J39" s="440" t="s">
        <v>845</v>
      </c>
      <c r="K39" s="595"/>
      <c r="L39" s="440" t="s">
        <v>845</v>
      </c>
      <c r="M39" s="438">
        <f t="shared" si="1"/>
        <v>0</v>
      </c>
      <c r="N39" s="440" t="s">
        <v>845</v>
      </c>
      <c r="O39" s="827">
        <f t="shared" si="2"/>
        <v>0</v>
      </c>
      <c r="P39" s="827"/>
      <c r="Q39" s="446"/>
      <c r="R39" s="455"/>
    </row>
    <row r="40" spans="2:18" ht="15" customHeight="1" x14ac:dyDescent="0.2">
      <c r="B40" s="445"/>
      <c r="C40" s="830"/>
      <c r="D40" s="831"/>
      <c r="E40" s="479"/>
      <c r="F40" s="614"/>
      <c r="G40" s="615"/>
      <c r="H40" s="440" t="s">
        <v>838</v>
      </c>
      <c r="I40" s="483">
        <f t="shared" si="0"/>
        <v>0</v>
      </c>
      <c r="J40" s="440" t="s">
        <v>845</v>
      </c>
      <c r="K40" s="595"/>
      <c r="L40" s="440" t="s">
        <v>845</v>
      </c>
      <c r="M40" s="438">
        <f t="shared" si="1"/>
        <v>0</v>
      </c>
      <c r="N40" s="440" t="s">
        <v>845</v>
      </c>
      <c r="O40" s="827">
        <f t="shared" si="2"/>
        <v>0</v>
      </c>
      <c r="P40" s="827"/>
      <c r="Q40" s="446"/>
      <c r="R40" s="455"/>
    </row>
    <row r="41" spans="2:18" ht="15" customHeight="1" x14ac:dyDescent="0.2">
      <c r="B41" s="445"/>
      <c r="C41" s="830"/>
      <c r="D41" s="831"/>
      <c r="E41" s="479"/>
      <c r="F41" s="614"/>
      <c r="G41" s="615"/>
      <c r="H41" s="440" t="s">
        <v>838</v>
      </c>
      <c r="I41" s="483">
        <f t="shared" si="0"/>
        <v>0</v>
      </c>
      <c r="J41" s="440" t="s">
        <v>845</v>
      </c>
      <c r="K41" s="595"/>
      <c r="L41" s="440" t="s">
        <v>845</v>
      </c>
      <c r="M41" s="438">
        <f t="shared" si="1"/>
        <v>0</v>
      </c>
      <c r="N41" s="440" t="s">
        <v>845</v>
      </c>
      <c r="O41" s="827">
        <f t="shared" si="2"/>
        <v>0</v>
      </c>
      <c r="P41" s="827"/>
      <c r="Q41" s="446"/>
      <c r="R41" s="455"/>
    </row>
    <row r="42" spans="2:18" ht="15" customHeight="1" x14ac:dyDescent="0.2">
      <c r="B42" s="445"/>
      <c r="C42" s="830"/>
      <c r="D42" s="831"/>
      <c r="E42" s="479"/>
      <c r="F42" s="614"/>
      <c r="G42" s="615"/>
      <c r="H42" s="440" t="s">
        <v>838</v>
      </c>
      <c r="I42" s="483">
        <f t="shared" si="0"/>
        <v>0</v>
      </c>
      <c r="J42" s="440" t="s">
        <v>845</v>
      </c>
      <c r="K42" s="595"/>
      <c r="L42" s="440" t="s">
        <v>845</v>
      </c>
      <c r="M42" s="438">
        <f t="shared" si="1"/>
        <v>0</v>
      </c>
      <c r="N42" s="440" t="s">
        <v>845</v>
      </c>
      <c r="O42" s="827">
        <f t="shared" si="2"/>
        <v>0</v>
      </c>
      <c r="P42" s="827"/>
      <c r="Q42" s="446"/>
      <c r="R42" s="455"/>
    </row>
    <row r="43" spans="2:18" ht="15" customHeight="1" x14ac:dyDescent="0.2">
      <c r="B43" s="445"/>
      <c r="C43" s="830"/>
      <c r="D43" s="831"/>
      <c r="E43" s="479"/>
      <c r="F43" s="614"/>
      <c r="G43" s="615"/>
      <c r="H43" s="440" t="s">
        <v>838</v>
      </c>
      <c r="I43" s="483">
        <f t="shared" si="0"/>
        <v>0</v>
      </c>
      <c r="J43" s="440" t="s">
        <v>845</v>
      </c>
      <c r="K43" s="595"/>
      <c r="L43" s="440" t="s">
        <v>845</v>
      </c>
      <c r="M43" s="438">
        <f t="shared" si="1"/>
        <v>0</v>
      </c>
      <c r="N43" s="440" t="s">
        <v>845</v>
      </c>
      <c r="O43" s="827">
        <f t="shared" si="2"/>
        <v>0</v>
      </c>
      <c r="P43" s="827"/>
      <c r="Q43" s="446"/>
      <c r="R43" s="455"/>
    </row>
    <row r="44" spans="2:18" ht="15" customHeight="1" x14ac:dyDescent="0.2">
      <c r="B44" s="445"/>
      <c r="C44" s="830"/>
      <c r="D44" s="831"/>
      <c r="E44" s="479"/>
      <c r="F44" s="614"/>
      <c r="G44" s="615"/>
      <c r="H44" s="440" t="s">
        <v>838</v>
      </c>
      <c r="I44" s="483">
        <f t="shared" si="0"/>
        <v>0</v>
      </c>
      <c r="J44" s="440" t="s">
        <v>845</v>
      </c>
      <c r="K44" s="595"/>
      <c r="L44" s="440" t="s">
        <v>845</v>
      </c>
      <c r="M44" s="438">
        <f t="shared" si="1"/>
        <v>0</v>
      </c>
      <c r="N44" s="440" t="s">
        <v>845</v>
      </c>
      <c r="O44" s="827">
        <f t="shared" si="2"/>
        <v>0</v>
      </c>
      <c r="P44" s="827"/>
      <c r="Q44" s="446"/>
      <c r="R44" s="455"/>
    </row>
    <row r="45" spans="2:18" ht="15" customHeight="1" x14ac:dyDescent="0.2">
      <c r="B45" s="445"/>
      <c r="C45" s="830"/>
      <c r="D45" s="831"/>
      <c r="E45" s="479"/>
      <c r="F45" s="614"/>
      <c r="G45" s="615"/>
      <c r="H45" s="440" t="s">
        <v>838</v>
      </c>
      <c r="I45" s="483">
        <f t="shared" si="0"/>
        <v>0</v>
      </c>
      <c r="J45" s="440" t="s">
        <v>845</v>
      </c>
      <c r="K45" s="595"/>
      <c r="L45" s="440" t="s">
        <v>845</v>
      </c>
      <c r="M45" s="438">
        <f t="shared" si="1"/>
        <v>0</v>
      </c>
      <c r="N45" s="440" t="s">
        <v>845</v>
      </c>
      <c r="O45" s="827">
        <f t="shared" si="2"/>
        <v>0</v>
      </c>
      <c r="P45" s="827"/>
      <c r="Q45" s="446"/>
      <c r="R45" s="455"/>
    </row>
    <row r="46" spans="2:18" ht="15" customHeight="1" x14ac:dyDescent="0.2">
      <c r="B46" s="445"/>
      <c r="C46" s="830"/>
      <c r="D46" s="831"/>
      <c r="E46" s="479"/>
      <c r="F46" s="614"/>
      <c r="G46" s="615"/>
      <c r="H46" s="440" t="s">
        <v>838</v>
      </c>
      <c r="I46" s="483">
        <f t="shared" si="0"/>
        <v>0</v>
      </c>
      <c r="J46" s="440" t="s">
        <v>845</v>
      </c>
      <c r="K46" s="595"/>
      <c r="L46" s="440" t="s">
        <v>845</v>
      </c>
      <c r="M46" s="438">
        <f t="shared" si="1"/>
        <v>0</v>
      </c>
      <c r="N46" s="440" t="s">
        <v>845</v>
      </c>
      <c r="O46" s="827">
        <f t="shared" si="2"/>
        <v>0</v>
      </c>
      <c r="P46" s="827"/>
      <c r="Q46" s="446"/>
      <c r="R46" s="455"/>
    </row>
    <row r="47" spans="2:18" ht="15" customHeight="1" x14ac:dyDescent="0.2">
      <c r="B47" s="445"/>
      <c r="C47" s="830"/>
      <c r="D47" s="831"/>
      <c r="E47" s="479"/>
      <c r="F47" s="614"/>
      <c r="G47" s="615"/>
      <c r="H47" s="440" t="s">
        <v>838</v>
      </c>
      <c r="I47" s="483">
        <f t="shared" si="0"/>
        <v>0</v>
      </c>
      <c r="J47" s="440" t="s">
        <v>845</v>
      </c>
      <c r="K47" s="595"/>
      <c r="L47" s="440" t="s">
        <v>845</v>
      </c>
      <c r="M47" s="438">
        <f t="shared" si="1"/>
        <v>0</v>
      </c>
      <c r="N47" s="440" t="s">
        <v>845</v>
      </c>
      <c r="O47" s="827">
        <f t="shared" si="2"/>
        <v>0</v>
      </c>
      <c r="P47" s="827"/>
      <c r="Q47" s="446"/>
      <c r="R47" s="455"/>
    </row>
    <row r="48" spans="2:18" ht="15" customHeight="1" x14ac:dyDescent="0.2">
      <c r="B48" s="445"/>
      <c r="C48" s="830"/>
      <c r="D48" s="831"/>
      <c r="E48" s="479"/>
      <c r="F48" s="614"/>
      <c r="G48" s="615"/>
      <c r="H48" s="440" t="s">
        <v>838</v>
      </c>
      <c r="I48" s="483">
        <f t="shared" si="0"/>
        <v>0</v>
      </c>
      <c r="J48" s="440" t="s">
        <v>845</v>
      </c>
      <c r="K48" s="595"/>
      <c r="L48" s="440" t="s">
        <v>845</v>
      </c>
      <c r="M48" s="438">
        <f t="shared" si="1"/>
        <v>0</v>
      </c>
      <c r="N48" s="440" t="s">
        <v>845</v>
      </c>
      <c r="O48" s="827">
        <f t="shared" si="2"/>
        <v>0</v>
      </c>
      <c r="P48" s="827"/>
      <c r="Q48" s="446"/>
      <c r="R48" s="455"/>
    </row>
    <row r="49" spans="2:25" ht="15" customHeight="1" x14ac:dyDescent="0.2">
      <c r="B49" s="445"/>
      <c r="C49" s="830"/>
      <c r="D49" s="831"/>
      <c r="E49" s="479"/>
      <c r="F49" s="614"/>
      <c r="G49" s="615"/>
      <c r="H49" s="440" t="s">
        <v>838</v>
      </c>
      <c r="I49" s="483">
        <f t="shared" si="0"/>
        <v>0</v>
      </c>
      <c r="J49" s="440" t="s">
        <v>845</v>
      </c>
      <c r="K49" s="595"/>
      <c r="L49" s="440" t="s">
        <v>845</v>
      </c>
      <c r="M49" s="438">
        <f t="shared" si="1"/>
        <v>0</v>
      </c>
      <c r="N49" s="440" t="s">
        <v>845</v>
      </c>
      <c r="O49" s="827">
        <f t="shared" si="2"/>
        <v>0</v>
      </c>
      <c r="P49" s="827"/>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41" t="s">
        <v>855</v>
      </c>
      <c r="D51" s="741"/>
      <c r="E51" s="741"/>
      <c r="F51" s="741"/>
      <c r="G51" s="741"/>
      <c r="H51" s="741"/>
      <c r="I51" s="741"/>
      <c r="J51" s="741"/>
      <c r="K51" s="741"/>
      <c r="L51" s="741"/>
      <c r="M51" s="741"/>
      <c r="N51" s="741"/>
      <c r="O51" s="741"/>
      <c r="P51" s="741"/>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49" t="s">
        <v>71</v>
      </c>
      <c r="D53" s="750"/>
      <c r="E53" s="431"/>
      <c r="F53" s="431"/>
      <c r="I53" s="732" t="s">
        <v>626</v>
      </c>
      <c r="J53" s="732"/>
      <c r="K53" s="749" t="s">
        <v>850</v>
      </c>
      <c r="L53" s="750"/>
      <c r="M53" s="750"/>
      <c r="N53" s="748" t="s">
        <v>846</v>
      </c>
      <c r="O53" s="732"/>
      <c r="P53" s="732"/>
      <c r="Q53" s="446"/>
    </row>
    <row r="54" spans="2:25" s="433" customFormat="1" ht="15" customHeight="1" x14ac:dyDescent="0.2">
      <c r="B54" s="450"/>
      <c r="C54" s="745"/>
      <c r="D54" s="746"/>
      <c r="E54" s="747"/>
      <c r="F54" s="583"/>
      <c r="I54" s="457"/>
      <c r="J54" s="440" t="s">
        <v>772</v>
      </c>
      <c r="K54" s="841"/>
      <c r="L54" s="842"/>
      <c r="M54" s="608" t="s">
        <v>849</v>
      </c>
      <c r="N54" s="617"/>
      <c r="O54" s="828" t="s">
        <v>847</v>
      </c>
      <c r="P54" s="829"/>
      <c r="Q54" s="451"/>
    </row>
    <row r="55" spans="2:25" s="433" customFormat="1" ht="15" customHeight="1" x14ac:dyDescent="0.2">
      <c r="B55" s="450"/>
      <c r="C55" s="583"/>
      <c r="D55" s="583"/>
      <c r="E55" s="583"/>
      <c r="F55" s="584"/>
      <c r="I55" s="457"/>
      <c r="J55" s="440" t="s">
        <v>708</v>
      </c>
      <c r="K55" s="584"/>
      <c r="L55" s="584"/>
      <c r="M55" s="584"/>
      <c r="N55" s="584"/>
      <c r="O55" s="583"/>
      <c r="P55" s="583"/>
      <c r="Q55" s="451"/>
    </row>
    <row r="56" spans="2:25" ht="15" customHeight="1" x14ac:dyDescent="0.2">
      <c r="B56" s="445"/>
      <c r="C56" s="749" t="s">
        <v>742</v>
      </c>
      <c r="D56" s="750"/>
      <c r="E56"/>
      <c r="F56" s="584"/>
      <c r="G56" s="584"/>
      <c r="H56" s="431"/>
      <c r="I56" s="431"/>
      <c r="K56" s="826" t="s">
        <v>853</v>
      </c>
      <c r="L56" s="826"/>
      <c r="M56" s="726" t="s">
        <v>848</v>
      </c>
      <c r="N56" s="726"/>
      <c r="O56" s="826" t="s">
        <v>86</v>
      </c>
      <c r="P56" s="826"/>
      <c r="Q56" s="446"/>
      <c r="W56"/>
      <c r="X56"/>
      <c r="Y56"/>
    </row>
    <row r="57" spans="2:25" ht="15" customHeight="1" x14ac:dyDescent="0.2">
      <c r="B57" s="445"/>
      <c r="E57" s="431"/>
      <c r="F57" s="584"/>
      <c r="G57" s="431"/>
      <c r="H57" s="431"/>
      <c r="I57" s="431"/>
      <c r="K57" s="457"/>
      <c r="L57" s="608" t="s">
        <v>697</v>
      </c>
      <c r="M57" s="457"/>
      <c r="N57" s="440" t="s">
        <v>849</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26" t="s">
        <v>880</v>
      </c>
      <c r="L59" s="726"/>
      <c r="M59" s="726" t="s">
        <v>868</v>
      </c>
      <c r="N59" s="726"/>
      <c r="Q59" s="446"/>
      <c r="W59"/>
      <c r="X59"/>
      <c r="Y59"/>
    </row>
    <row r="60" spans="2:25" ht="15" customHeight="1" x14ac:dyDescent="0.2">
      <c r="B60" s="445"/>
      <c r="C60" s="431"/>
      <c r="D60" s="431"/>
      <c r="E60" s="431"/>
      <c r="F60" s="431"/>
      <c r="G60" s="431"/>
      <c r="H60" s="431"/>
      <c r="I60" s="431"/>
      <c r="J60" s="604"/>
      <c r="K60" s="680">
        <v>8.48</v>
      </c>
      <c r="L60" s="608" t="s">
        <v>697</v>
      </c>
      <c r="M60" s="729">
        <v>1</v>
      </c>
      <c r="N60" s="729"/>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26" t="s">
        <v>851</v>
      </c>
      <c r="L62" s="826"/>
      <c r="M62" s="826" t="s">
        <v>765</v>
      </c>
      <c r="N62" s="826"/>
      <c r="O62" s="826" t="s">
        <v>765</v>
      </c>
      <c r="P62" s="826"/>
      <c r="Q62" s="446"/>
      <c r="S62"/>
      <c r="T62"/>
      <c r="U62"/>
      <c r="V62"/>
      <c r="W62"/>
      <c r="X62"/>
      <c r="Y62"/>
    </row>
    <row r="63" spans="2:25" ht="15" customHeight="1" x14ac:dyDescent="0.2">
      <c r="B63" s="445"/>
      <c r="C63" s="431"/>
      <c r="D63" s="431"/>
      <c r="E63" s="431"/>
      <c r="F63" s="431"/>
      <c r="G63" s="431"/>
      <c r="H63" s="431"/>
      <c r="I63" s="431"/>
      <c r="J63" s="604"/>
      <c r="K63" s="610">
        <f>(60*N54)/200</f>
        <v>0</v>
      </c>
      <c r="L63" s="608" t="s">
        <v>849</v>
      </c>
      <c r="M63" s="610">
        <f>SUM(K63,K54,M57)</f>
        <v>0</v>
      </c>
      <c r="N63" s="608" t="s">
        <v>849</v>
      </c>
      <c r="O63" s="610">
        <f>M63/60</f>
        <v>0</v>
      </c>
      <c r="P63" s="608" t="s">
        <v>852</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26" t="s">
        <v>741</v>
      </c>
      <c r="L65" s="826"/>
      <c r="Q65" s="446"/>
      <c r="S65"/>
      <c r="T65"/>
      <c r="U65"/>
      <c r="V65"/>
      <c r="W65"/>
      <c r="X65"/>
      <c r="Y65"/>
    </row>
    <row r="66" spans="2:25" ht="15" customHeight="1" x14ac:dyDescent="0.2">
      <c r="B66" s="445"/>
      <c r="C66" s="431"/>
      <c r="D66" s="431"/>
      <c r="E66" s="431"/>
      <c r="F66" s="431"/>
      <c r="G66" s="431"/>
      <c r="H66" s="431"/>
      <c r="I66" s="427"/>
      <c r="J66" s="607"/>
      <c r="K66" s="610">
        <f>K57+I55/60</f>
        <v>0</v>
      </c>
      <c r="L66" s="608" t="s">
        <v>697</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26" t="s">
        <v>693</v>
      </c>
      <c r="L68" s="826"/>
      <c r="M68" s="826" t="s">
        <v>695</v>
      </c>
      <c r="N68" s="826"/>
      <c r="O68" s="826" t="s">
        <v>730</v>
      </c>
      <c r="P68" s="826"/>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IFERROR(ROUND(J18*I54/O17/1000*100,2),0)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26" t="s">
        <v>699</v>
      </c>
      <c r="L71" s="826"/>
      <c r="M71" s="826" t="s">
        <v>696</v>
      </c>
      <c r="N71" s="826"/>
      <c r="Q71" s="446"/>
    </row>
    <row r="72" spans="2:25" ht="15" customHeight="1" x14ac:dyDescent="0.2">
      <c r="B72" s="445"/>
      <c r="C72" s="431"/>
      <c r="D72" s="431"/>
      <c r="E72" s="431"/>
      <c r="F72" s="431"/>
      <c r="G72" s="431"/>
      <c r="H72" s="431"/>
      <c r="I72" s="427"/>
      <c r="J72" s="607"/>
      <c r="K72" s="610">
        <f>IFERROR(K66*60/O17,0)</f>
        <v>0</v>
      </c>
      <c r="L72" s="608" t="s">
        <v>698</v>
      </c>
      <c r="M72" s="610">
        <f>IFERROR(M63/(J18)/60*1000*((1+(100-O57)/100)),0)</f>
        <v>0</v>
      </c>
      <c r="N72" s="608" t="s">
        <v>698</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26" t="s">
        <v>700</v>
      </c>
      <c r="L74" s="826"/>
      <c r="M74" s="826" t="s">
        <v>700</v>
      </c>
      <c r="N74" s="826"/>
      <c r="O74" s="826" t="s">
        <v>702</v>
      </c>
      <c r="P74" s="826"/>
      <c r="Q74" s="446"/>
    </row>
    <row r="75" spans="2:25" ht="15" customHeight="1" x14ac:dyDescent="0.2">
      <c r="B75" s="445"/>
      <c r="C75" s="431"/>
      <c r="D75" s="431"/>
      <c r="E75" s="427"/>
      <c r="F75" s="431"/>
      <c r="G75" s="427"/>
      <c r="H75" s="427"/>
      <c r="I75" s="427"/>
      <c r="J75" s="607"/>
      <c r="K75" s="610">
        <f>IFERROR(M72*O17/60,0)</f>
        <v>0</v>
      </c>
      <c r="L75" s="608" t="s">
        <v>697</v>
      </c>
      <c r="M75" s="610">
        <f>IFERROR(K75/(K60*M60),0)</f>
        <v>0</v>
      </c>
      <c r="N75" s="608" t="s">
        <v>701</v>
      </c>
      <c r="O75" s="610">
        <f>IFERROR(((M72*O17/60)+K66)/(K60*M60),0)</f>
        <v>0</v>
      </c>
      <c r="P75" s="608" t="s">
        <v>701</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52"/>
      <c r="L77" s="752"/>
      <c r="M77" s="752"/>
      <c r="N77" s="752"/>
      <c r="O77" s="752"/>
      <c r="P77" s="752"/>
      <c r="Q77" s="446"/>
    </row>
    <row r="78" spans="2:25" ht="15" customHeight="1" x14ac:dyDescent="0.2">
      <c r="B78" s="445"/>
      <c r="C78" s="431"/>
      <c r="D78" s="431"/>
      <c r="E78" s="427"/>
      <c r="F78" s="431"/>
      <c r="G78" s="427"/>
      <c r="H78" s="427"/>
      <c r="I78" s="427"/>
      <c r="J78" s="607"/>
      <c r="K78" s="752"/>
      <c r="L78" s="752"/>
      <c r="M78" s="752"/>
      <c r="N78" s="752"/>
      <c r="O78" s="752"/>
      <c r="P78" s="752"/>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18" t="s">
        <v>672</v>
      </c>
      <c r="C85" s="719"/>
      <c r="D85" s="721" t="s">
        <v>2</v>
      </c>
      <c r="E85" s="721"/>
      <c r="F85" s="721"/>
      <c r="G85" s="721"/>
      <c r="H85" s="721"/>
      <c r="I85" s="721"/>
      <c r="J85" s="721"/>
      <c r="K85" s="721"/>
      <c r="L85" s="721"/>
      <c r="M85" s="721" t="s">
        <v>673</v>
      </c>
      <c r="N85" s="721"/>
      <c r="O85" s="721"/>
      <c r="P85" s="718" t="s">
        <v>674</v>
      </c>
      <c r="Q85" s="719"/>
    </row>
    <row r="86" spans="2:17" x14ac:dyDescent="0.2">
      <c r="B86" s="718" t="s">
        <v>678</v>
      </c>
      <c r="C86" s="719"/>
      <c r="D86" s="720" t="s">
        <v>791</v>
      </c>
      <c r="E86" s="720"/>
      <c r="F86" s="720"/>
      <c r="G86" s="720"/>
      <c r="H86" s="720"/>
      <c r="I86" s="720"/>
      <c r="J86" s="720"/>
      <c r="K86" s="720"/>
      <c r="L86" s="720"/>
      <c r="M86" s="721" t="s">
        <v>679</v>
      </c>
      <c r="N86" s="721"/>
      <c r="O86" s="721"/>
      <c r="P86" s="722">
        <v>44469</v>
      </c>
      <c r="Q86" s="723"/>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21:D21"/>
    <mergeCell ref="C51:P51"/>
    <mergeCell ref="C24:D24"/>
    <mergeCell ref="C20:D20"/>
    <mergeCell ref="E20:F20"/>
    <mergeCell ref="E21:F21"/>
    <mergeCell ref="C15:P15"/>
    <mergeCell ref="C17:E17"/>
    <mergeCell ref="J17:K17"/>
    <mergeCell ref="M17:N17"/>
    <mergeCell ref="O24:P24"/>
    <mergeCell ref="O25:P25"/>
    <mergeCell ref="O26:P26"/>
    <mergeCell ref="O27:P27"/>
    <mergeCell ref="O28:P28"/>
    <mergeCell ref="O29:P29"/>
    <mergeCell ref="O30:P30"/>
    <mergeCell ref="O31:P31"/>
    <mergeCell ref="O32:P32"/>
    <mergeCell ref="O33:P33"/>
    <mergeCell ref="O34:P34"/>
    <mergeCell ref="G24:H24"/>
    <mergeCell ref="J20:K20"/>
    <mergeCell ref="C23:P23"/>
    <mergeCell ref="C11:D11"/>
    <mergeCell ref="E11:J11"/>
    <mergeCell ref="C12:D12"/>
    <mergeCell ref="E12:J12"/>
    <mergeCell ref="C13:D13"/>
    <mergeCell ref="E13:J13"/>
    <mergeCell ref="O2:P2"/>
    <mergeCell ref="C3:F5"/>
    <mergeCell ref="G3:P5"/>
    <mergeCell ref="C8:D8"/>
    <mergeCell ref="E8:F9"/>
    <mergeCell ref="H8:I8"/>
    <mergeCell ref="J8:L9"/>
    <mergeCell ref="N8:P8"/>
    <mergeCell ref="O35:P35"/>
    <mergeCell ref="O36:P36"/>
    <mergeCell ref="O37:P37"/>
    <mergeCell ref="O38:P38"/>
    <mergeCell ref="O39:P39"/>
    <mergeCell ref="O40:P40"/>
    <mergeCell ref="O41:P41"/>
    <mergeCell ref="O42:P42"/>
    <mergeCell ref="O43:P43"/>
    <mergeCell ref="C25:D25"/>
    <mergeCell ref="I24:J24"/>
    <mergeCell ref="K24:L24"/>
    <mergeCell ref="M24:N24"/>
    <mergeCell ref="C32:D32"/>
    <mergeCell ref="C33:D33"/>
    <mergeCell ref="C34:D34"/>
    <mergeCell ref="C35:D35"/>
    <mergeCell ref="C36:D36"/>
    <mergeCell ref="C26:D26"/>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s>
  <conditionalFormatting sqref="O18:P18">
    <cfRule type="containsText" dxfId="57" priority="20" stopIfTrue="1" operator="containsText" text="FALSO">
      <formula>NOT(ISERROR(SEARCH("FALSO",O18)))</formula>
    </cfRule>
  </conditionalFormatting>
  <conditionalFormatting sqref="P20">
    <cfRule type="containsText" dxfId="56" priority="16" stopIfTrue="1" operator="containsText" text="FALSO">
      <formula>NOT(ISERROR(SEARCH("FALSO",P20)))</formula>
    </cfRule>
  </conditionalFormatting>
  <conditionalFormatting sqref="J18:K18">
    <cfRule type="containsText" dxfId="55" priority="14" stopIfTrue="1" operator="containsText" text="FALSO">
      <formula>NOT(ISERROR(SEARCH("FALSO",J18)))</formula>
    </cfRule>
  </conditionalFormatting>
  <conditionalFormatting sqref="P21">
    <cfRule type="containsText" dxfId="54" priority="2" stopIfTrue="1" operator="containsText" text="FALSO">
      <formula>NOT(ISERROR(SEARCH("FALSO",P21)))</formula>
    </cfRule>
  </conditionalFormatting>
  <conditionalFormatting sqref="J21:K21">
    <cfRule type="containsText" dxfId="53" priority="1" stopIfTrue="1" operator="containsText" text="FALSO">
      <formula>NOT(ISERROR(SEARCH("FALSO",J21)))</formula>
    </cfRule>
  </conditionalFormatting>
  <dataValidations disablePrompts="1" count="2">
    <dataValidation type="list" allowBlank="1" showInputMessage="1" showErrorMessage="1" sqref="P20">
      <formula1>"Peça/mês,Ton/mês"</formula1>
    </dataValidation>
    <dataValidation allowBlank="1" showInputMessage="1" showErrorMessage="1" errorTitle="Erro" sqref="E52:F52 F59 I53 M74 K74 K62 N64 E16:F16 M62 O62"/>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2</xdr:col>
                    <xdr:colOff>514350</xdr:colOff>
                    <xdr:row>20</xdr:row>
                    <xdr:rowOff>9525</xdr:rowOff>
                  </from>
                  <to>
                    <xdr:col>3</xdr:col>
                    <xdr:colOff>114300</xdr:colOff>
                    <xdr:row>21</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514350</xdr:colOff>
                    <xdr:row>20</xdr:row>
                    <xdr:rowOff>9525</xdr:rowOff>
                  </from>
                  <to>
                    <xdr:col>5</xdr:col>
                    <xdr:colOff>114300</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830</v>
      </c>
      <c r="G2" s="473" t="s">
        <v>830</v>
      </c>
      <c r="H2" s="473" t="s">
        <v>830</v>
      </c>
      <c r="I2" s="473" t="s">
        <v>830</v>
      </c>
      <c r="J2" s="473" t="s">
        <v>830</v>
      </c>
      <c r="K2" s="473" t="s">
        <v>830</v>
      </c>
      <c r="L2" s="473" t="s">
        <v>830</v>
      </c>
      <c r="M2" s="473" t="s">
        <v>830</v>
      </c>
      <c r="N2" s="473" t="s">
        <v>830</v>
      </c>
      <c r="O2" s="473" t="s">
        <v>830</v>
      </c>
      <c r="Q2" s="473" t="s">
        <v>830</v>
      </c>
      <c r="R2" s="473" t="s">
        <v>830</v>
      </c>
      <c r="S2" s="598" t="s">
        <v>830</v>
      </c>
      <c r="T2" s="262" t="s">
        <v>830</v>
      </c>
      <c r="U2" s="262" t="s">
        <v>830</v>
      </c>
      <c r="V2" s="262" t="s">
        <v>830</v>
      </c>
      <c r="W2" s="262" t="s">
        <v>830</v>
      </c>
      <c r="X2" s="262" t="s">
        <v>830</v>
      </c>
      <c r="Y2" s="262" t="s">
        <v>830</v>
      </c>
      <c r="Z2" s="262" t="s">
        <v>830</v>
      </c>
      <c r="AA2" s="262" t="s">
        <v>830</v>
      </c>
      <c r="AB2" s="262" t="s">
        <v>830</v>
      </c>
      <c r="AC2" s="262" t="s">
        <v>830</v>
      </c>
      <c r="AD2" s="262" t="s">
        <v>830</v>
      </c>
      <c r="AE2" s="262" t="s">
        <v>830</v>
      </c>
      <c r="AF2" s="262"/>
      <c r="AG2" s="262"/>
      <c r="AH2" s="262" t="s">
        <v>830</v>
      </c>
      <c r="AI2" s="262" t="s">
        <v>830</v>
      </c>
      <c r="AJ2" s="262" t="s">
        <v>830</v>
      </c>
      <c r="AK2" s="262" t="s">
        <v>830</v>
      </c>
      <c r="AL2" s="262" t="s">
        <v>830</v>
      </c>
      <c r="AM2" s="262" t="s">
        <v>830</v>
      </c>
      <c r="AN2" s="262" t="s">
        <v>830</v>
      </c>
      <c r="AO2" s="262" t="s">
        <v>830</v>
      </c>
      <c r="AP2" s="262" t="s">
        <v>830</v>
      </c>
      <c r="AQ2" s="262" t="s">
        <v>830</v>
      </c>
      <c r="AR2" s="262" t="s">
        <v>830</v>
      </c>
      <c r="AS2" s="262" t="s">
        <v>830</v>
      </c>
      <c r="AT2" s="262" t="s">
        <v>830</v>
      </c>
      <c r="AU2" s="473" t="s">
        <v>830</v>
      </c>
      <c r="BC2" s="473" t="s">
        <v>830</v>
      </c>
      <c r="BD2" s="473" t="s">
        <v>830</v>
      </c>
      <c r="BE2" s="473" t="s">
        <v>830</v>
      </c>
      <c r="BF2" s="473" t="s">
        <v>830</v>
      </c>
      <c r="BG2" s="473" t="s">
        <v>830</v>
      </c>
      <c r="CE2" s="473" t="s">
        <v>830</v>
      </c>
      <c r="CF2" s="473" t="s">
        <v>830</v>
      </c>
    </row>
    <row r="3" spans="1:84" ht="19.5" thickBot="1" x14ac:dyDescent="0.25">
      <c r="B3" s="785" t="s">
        <v>0</v>
      </c>
      <c r="C3" s="785"/>
      <c r="D3" s="785"/>
      <c r="E3" s="785"/>
      <c r="F3" s="785"/>
      <c r="G3" s="785"/>
      <c r="H3" s="785"/>
      <c r="I3" s="785"/>
      <c r="J3" s="785"/>
      <c r="K3" s="785"/>
      <c r="L3" s="785"/>
      <c r="M3" s="785"/>
      <c r="N3" s="785"/>
      <c r="O3" s="785"/>
      <c r="P3" s="785"/>
      <c r="Q3" s="785"/>
      <c r="R3" s="850"/>
      <c r="S3" s="851" t="s">
        <v>90</v>
      </c>
      <c r="T3" s="852"/>
      <c r="U3" s="852"/>
      <c r="V3" s="852"/>
      <c r="W3" s="852"/>
      <c r="X3" s="852"/>
      <c r="Y3" s="852"/>
      <c r="Z3" s="852"/>
      <c r="AA3" s="852"/>
      <c r="AB3" s="852"/>
      <c r="AC3" s="852"/>
      <c r="AD3" s="852"/>
      <c r="AE3" s="852"/>
      <c r="AF3" s="852"/>
      <c r="AG3" s="852"/>
      <c r="AH3" s="852"/>
      <c r="AI3" s="852"/>
      <c r="AJ3" s="852"/>
      <c r="AK3" s="852"/>
      <c r="AL3" s="852"/>
      <c r="AM3" s="852"/>
      <c r="AN3" s="852"/>
      <c r="AO3" s="852"/>
      <c r="AP3" s="852"/>
      <c r="AQ3" s="852"/>
      <c r="AR3" s="852"/>
      <c r="AS3" s="852"/>
      <c r="AT3" s="852"/>
      <c r="AV3" s="372" t="s">
        <v>116</v>
      </c>
      <c r="AW3" s="144"/>
      <c r="AX3" s="785" t="s">
        <v>89</v>
      </c>
      <c r="AY3" s="785"/>
      <c r="AZ3" s="785"/>
      <c r="BA3" s="785"/>
      <c r="BB3" s="785"/>
      <c r="BC3" s="785"/>
      <c r="BD3" s="785"/>
      <c r="BE3" s="785"/>
      <c r="BF3" s="785"/>
      <c r="BG3" s="785"/>
      <c r="BH3" s="785"/>
      <c r="BI3" s="785"/>
      <c r="BJ3" s="785"/>
      <c r="BK3" s="785"/>
      <c r="BL3" s="785"/>
      <c r="BM3" s="785"/>
      <c r="BN3" s="785"/>
      <c r="BO3" s="785"/>
      <c r="BP3" s="785"/>
      <c r="BQ3" s="785"/>
      <c r="BR3" s="785"/>
      <c r="BS3" s="785"/>
      <c r="BT3" s="785"/>
      <c r="BU3" s="785"/>
      <c r="BV3" s="785"/>
      <c r="BW3" s="785"/>
      <c r="BX3" s="785"/>
      <c r="BY3" s="785"/>
      <c r="BZ3" s="785"/>
      <c r="CA3" s="785"/>
      <c r="CB3" s="785"/>
      <c r="CC3" s="785"/>
      <c r="CD3" s="785"/>
    </row>
    <row r="4" spans="1:84" ht="18" customHeight="1" thickBot="1" x14ac:dyDescent="0.25">
      <c r="B4" s="865" t="s">
        <v>1</v>
      </c>
      <c r="C4" s="865" t="s">
        <v>2</v>
      </c>
      <c r="D4" s="849" t="s">
        <v>820</v>
      </c>
      <c r="E4" s="853" t="s">
        <v>569</v>
      </c>
      <c r="F4" s="854"/>
      <c r="G4" s="854"/>
      <c r="H4" s="854"/>
      <c r="I4" s="854"/>
      <c r="J4" s="854"/>
      <c r="K4" s="854"/>
      <c r="L4" s="854"/>
      <c r="M4" s="854"/>
      <c r="N4" s="855"/>
      <c r="O4" s="858" t="s">
        <v>821</v>
      </c>
      <c r="P4" s="849" t="s">
        <v>822</v>
      </c>
      <c r="Q4" s="847" t="s">
        <v>593</v>
      </c>
      <c r="R4" s="860" t="s">
        <v>622</v>
      </c>
      <c r="S4" s="861" t="s">
        <v>171</v>
      </c>
      <c r="T4" s="849" t="s">
        <v>71</v>
      </c>
      <c r="U4" s="847" t="s">
        <v>570</v>
      </c>
      <c r="V4" s="847" t="s">
        <v>571</v>
      </c>
      <c r="W4" s="847" t="s">
        <v>572</v>
      </c>
      <c r="X4" s="847" t="s">
        <v>573</v>
      </c>
      <c r="Y4" s="847" t="s">
        <v>574</v>
      </c>
      <c r="Z4" s="863" t="s">
        <v>575</v>
      </c>
      <c r="AA4" s="864"/>
      <c r="AB4" s="849" t="s">
        <v>627</v>
      </c>
      <c r="AC4" s="849" t="s">
        <v>645</v>
      </c>
      <c r="AD4" s="849" t="s">
        <v>646</v>
      </c>
      <c r="AE4" s="849" t="s">
        <v>628</v>
      </c>
      <c r="AF4" s="849" t="s">
        <v>629</v>
      </c>
      <c r="AG4" s="849" t="s">
        <v>630</v>
      </c>
      <c r="AH4" s="849" t="s">
        <v>631</v>
      </c>
      <c r="AI4" s="849" t="s">
        <v>632</v>
      </c>
      <c r="AJ4" s="849" t="s">
        <v>633</v>
      </c>
      <c r="AK4" s="849" t="s">
        <v>634</v>
      </c>
      <c r="AL4" s="849" t="s">
        <v>114</v>
      </c>
      <c r="AM4" s="849" t="s">
        <v>635</v>
      </c>
      <c r="AN4" s="849" t="s">
        <v>636</v>
      </c>
      <c r="AO4" s="847" t="s">
        <v>648</v>
      </c>
      <c r="AP4" s="847" t="s">
        <v>649</v>
      </c>
      <c r="AQ4" s="847" t="s">
        <v>650</v>
      </c>
      <c r="AR4" s="847" t="s">
        <v>651</v>
      </c>
      <c r="AS4" s="847" t="s">
        <v>652</v>
      </c>
      <c r="AT4" s="847" t="s">
        <v>653</v>
      </c>
      <c r="AV4" s="373" t="s">
        <v>125</v>
      </c>
      <c r="AW4" s="144"/>
      <c r="AX4" s="819" t="s">
        <v>61</v>
      </c>
      <c r="AY4" s="819"/>
      <c r="AZ4" s="819"/>
      <c r="BA4" s="819"/>
      <c r="BB4" s="819"/>
      <c r="BC4" s="846" t="s">
        <v>173</v>
      </c>
      <c r="BD4" s="846"/>
      <c r="BE4" s="846"/>
      <c r="BF4" s="846"/>
      <c r="BG4" s="846"/>
      <c r="BH4" s="843" t="s">
        <v>178</v>
      </c>
      <c r="BI4" s="844"/>
      <c r="BJ4" s="844"/>
      <c r="BK4" s="844"/>
      <c r="BL4" s="844"/>
      <c r="BM4" s="845"/>
      <c r="BN4" s="843" t="s">
        <v>172</v>
      </c>
      <c r="BO4" s="844"/>
      <c r="BP4" s="844"/>
      <c r="BQ4" s="844"/>
      <c r="BR4" s="845"/>
      <c r="BS4" s="843" t="s">
        <v>174</v>
      </c>
      <c r="BT4" s="844"/>
      <c r="BU4" s="844"/>
      <c r="BV4" s="845"/>
      <c r="BW4" s="843" t="s">
        <v>176</v>
      </c>
      <c r="BX4" s="844"/>
      <c r="BY4" s="844"/>
      <c r="BZ4" s="845"/>
      <c r="CA4" s="843" t="s">
        <v>92</v>
      </c>
      <c r="CB4" s="844"/>
      <c r="CC4" s="844"/>
      <c r="CD4" s="845"/>
    </row>
    <row r="5" spans="1:84" ht="21.75" customHeight="1" thickBot="1" x14ac:dyDescent="0.3">
      <c r="B5" s="865"/>
      <c r="C5" s="865"/>
      <c r="D5" s="849"/>
      <c r="E5" s="856"/>
      <c r="F5" s="732"/>
      <c r="G5" s="732"/>
      <c r="H5" s="732"/>
      <c r="I5" s="732"/>
      <c r="J5" s="732"/>
      <c r="K5" s="732"/>
      <c r="L5" s="732"/>
      <c r="M5" s="732"/>
      <c r="N5" s="857"/>
      <c r="O5" s="859"/>
      <c r="P5" s="849"/>
      <c r="Q5" s="848"/>
      <c r="R5" s="860"/>
      <c r="S5" s="862"/>
      <c r="T5" s="849"/>
      <c r="U5" s="848"/>
      <c r="V5" s="848"/>
      <c r="W5" s="848"/>
      <c r="X5" s="848"/>
      <c r="Y5" s="848"/>
      <c r="Z5" s="591" t="s">
        <v>102</v>
      </c>
      <c r="AA5" s="591" t="s">
        <v>66</v>
      </c>
      <c r="AB5" s="849"/>
      <c r="AC5" s="849"/>
      <c r="AD5" s="849"/>
      <c r="AE5" s="849"/>
      <c r="AF5" s="849"/>
      <c r="AG5" s="849"/>
      <c r="AH5" s="849"/>
      <c r="AI5" s="849"/>
      <c r="AJ5" s="849"/>
      <c r="AK5" s="849"/>
      <c r="AL5" s="849"/>
      <c r="AM5" s="849"/>
      <c r="AN5" s="849"/>
      <c r="AO5" s="848"/>
      <c r="AP5" s="848"/>
      <c r="AQ5" s="848"/>
      <c r="AR5" s="848"/>
      <c r="AS5" s="848"/>
      <c r="AT5" s="848"/>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729</v>
      </c>
      <c r="V7" s="215"/>
      <c r="W7" s="215" t="s">
        <v>729</v>
      </c>
      <c r="X7" s="215"/>
      <c r="Y7" s="215"/>
      <c r="Z7" s="215" t="s">
        <v>729</v>
      </c>
      <c r="AA7" s="215" t="s">
        <v>729</v>
      </c>
      <c r="AB7" s="215" t="s">
        <v>729</v>
      </c>
      <c r="AC7" s="215" t="s">
        <v>729</v>
      </c>
      <c r="AD7" s="215" t="s">
        <v>729</v>
      </c>
      <c r="AE7" s="215" t="s">
        <v>729</v>
      </c>
      <c r="AF7" s="215" t="s">
        <v>729</v>
      </c>
      <c r="AG7" s="215" t="s">
        <v>729</v>
      </c>
      <c r="AH7" s="215" t="s">
        <v>729</v>
      </c>
      <c r="AI7" s="215" t="s">
        <v>729</v>
      </c>
      <c r="AJ7" s="215" t="s">
        <v>729</v>
      </c>
      <c r="AK7" s="215" t="s">
        <v>729</v>
      </c>
      <c r="AL7" s="215" t="s">
        <v>729</v>
      </c>
      <c r="AM7" s="215" t="s">
        <v>729</v>
      </c>
      <c r="AN7" s="215" t="s">
        <v>729</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43" t="s">
        <v>103</v>
      </c>
      <c r="BO10" s="844"/>
      <c r="BP10" s="845"/>
      <c r="BQ10" s="144"/>
      <c r="BR10" s="144"/>
      <c r="BS10" s="843" t="s">
        <v>103</v>
      </c>
      <c r="BT10" s="845"/>
      <c r="BU10" s="144"/>
      <c r="BV10" s="144"/>
      <c r="BW10" s="843" t="s">
        <v>103</v>
      </c>
      <c r="BX10" s="845"/>
      <c r="BY10" s="144"/>
      <c r="BZ10" s="144"/>
      <c r="CA10" s="843" t="s">
        <v>103</v>
      </c>
      <c r="CB10" s="845"/>
      <c r="CC10" s="144"/>
      <c r="CD10" s="144"/>
    </row>
    <row r="11" spans="1:84" ht="18.75" x14ac:dyDescent="0.25">
      <c r="F11" s="596">
        <f>SUM(F7:F10)</f>
        <v>40</v>
      </c>
      <c r="L11" s="569"/>
      <c r="M11" s="569" t="s">
        <v>588</v>
      </c>
      <c r="N11" s="558">
        <f>SUM(N7:N10)</f>
        <v>1</v>
      </c>
      <c r="AU11" s="385"/>
      <c r="AV11" s="147">
        <v>1.2</v>
      </c>
      <c r="AW11" s="144"/>
      <c r="AX11" s="819" t="s">
        <v>131</v>
      </c>
      <c r="AY11" s="819"/>
      <c r="AZ11" s="819"/>
      <c r="BA11" s="819"/>
      <c r="BB11" s="819"/>
      <c r="BC11" s="785" t="s">
        <v>103</v>
      </c>
      <c r="BD11" s="785"/>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66" t="s">
        <v>792</v>
      </c>
      <c r="E2" s="867"/>
      <c r="F2" s="867"/>
      <c r="G2" s="868"/>
      <c r="H2" s="866" t="s">
        <v>655</v>
      </c>
      <c r="I2" s="867"/>
      <c r="J2" s="867"/>
      <c r="K2" s="867"/>
      <c r="L2" s="867"/>
      <c r="M2" s="867"/>
      <c r="N2" s="868"/>
    </row>
    <row r="3" spans="4:14" ht="12.75" customHeight="1" x14ac:dyDescent="0.2">
      <c r="D3" s="866"/>
      <c r="E3" s="867"/>
      <c r="F3" s="867"/>
      <c r="G3" s="868"/>
      <c r="H3" s="866"/>
      <c r="I3" s="867"/>
      <c r="J3" s="867"/>
      <c r="K3" s="867"/>
      <c r="L3" s="867"/>
      <c r="M3" s="867"/>
      <c r="N3" s="868"/>
    </row>
    <row r="4" spans="4:14" x14ac:dyDescent="0.2">
      <c r="D4" s="715" t="s">
        <v>932</v>
      </c>
      <c r="E4" s="716"/>
      <c r="F4" s="717" t="s">
        <v>933</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AO1" workbookViewId="0">
      <selection activeCell="BC9" sqref="BC9"/>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69" t="s">
        <v>781</v>
      </c>
      <c r="B1" s="869"/>
      <c r="C1" s="869"/>
      <c r="D1" s="869"/>
      <c r="E1" s="869"/>
      <c r="F1" s="869"/>
      <c r="I1" s="869" t="s">
        <v>780</v>
      </c>
      <c r="J1" s="869"/>
      <c r="K1" s="869"/>
      <c r="L1" s="869"/>
      <c r="M1" s="869"/>
      <c r="N1" s="869"/>
      <c r="O1" s="869"/>
      <c r="P1" s="869"/>
      <c r="Q1" s="869"/>
      <c r="R1" s="869"/>
      <c r="S1" s="869"/>
      <c r="T1" s="869"/>
      <c r="V1" s="869" t="s">
        <v>116</v>
      </c>
      <c r="W1" s="869"/>
      <c r="X1" s="869"/>
      <c r="Z1" s="869" t="s">
        <v>116</v>
      </c>
      <c r="AA1" s="869"/>
      <c r="AB1" s="869"/>
      <c r="AU1" s="710" t="s">
        <v>898</v>
      </c>
      <c r="AY1" s="870" t="s">
        <v>925</v>
      </c>
      <c r="AZ1" s="871"/>
    </row>
    <row r="2" spans="1:52" s="710" customFormat="1" ht="12.75" customHeight="1" x14ac:dyDescent="0.2">
      <c r="A2" s="869" t="s">
        <v>779</v>
      </c>
      <c r="B2" s="869"/>
      <c r="C2" s="869"/>
      <c r="D2" s="869"/>
      <c r="E2" s="869"/>
      <c r="F2" s="869"/>
      <c r="I2" s="869" t="s">
        <v>779</v>
      </c>
      <c r="J2" s="869"/>
      <c r="K2" s="869"/>
      <c r="L2" s="869"/>
      <c r="M2" s="869"/>
      <c r="N2" s="869"/>
      <c r="P2" s="869" t="s">
        <v>789</v>
      </c>
      <c r="Q2" s="869"/>
      <c r="R2" s="869"/>
      <c r="S2" s="869"/>
      <c r="T2" s="869"/>
      <c r="V2" s="869" t="s">
        <v>118</v>
      </c>
      <c r="W2" s="869"/>
      <c r="X2" s="869"/>
      <c r="Z2" s="869" t="s">
        <v>131</v>
      </c>
      <c r="AA2" s="869"/>
      <c r="AB2" s="869"/>
      <c r="AD2" s="869" t="s">
        <v>711</v>
      </c>
      <c r="AE2" s="869"/>
      <c r="AF2" s="869"/>
      <c r="AH2" s="869"/>
      <c r="AI2" s="869"/>
      <c r="AK2" s="869" t="s">
        <v>131</v>
      </c>
      <c r="AL2" s="869"/>
      <c r="AN2" s="869" t="s">
        <v>127</v>
      </c>
      <c r="AO2" s="869"/>
      <c r="AP2" s="869"/>
      <c r="AQ2" s="869"/>
      <c r="AS2" s="710" t="s">
        <v>117</v>
      </c>
      <c r="AT2" s="710" t="s">
        <v>888</v>
      </c>
      <c r="AU2" s="710" t="s">
        <v>889</v>
      </c>
      <c r="AV2" s="710" t="s">
        <v>72</v>
      </c>
      <c r="AW2" s="710" t="s">
        <v>552</v>
      </c>
    </row>
    <row r="3" spans="1:52" s="710" customFormat="1" x14ac:dyDescent="0.2">
      <c r="A3" s="710" t="s">
        <v>71</v>
      </c>
      <c r="B3" s="710" t="s">
        <v>733</v>
      </c>
      <c r="C3" s="710" t="s">
        <v>72</v>
      </c>
      <c r="D3" s="710" t="s">
        <v>734</v>
      </c>
      <c r="E3" s="710" t="s">
        <v>735</v>
      </c>
      <c r="F3" s="710" t="s">
        <v>769</v>
      </c>
      <c r="H3" s="710" t="s">
        <v>103</v>
      </c>
      <c r="I3" s="710" t="s">
        <v>71</v>
      </c>
      <c r="J3" s="710" t="s">
        <v>72</v>
      </c>
      <c r="K3" s="710" t="s">
        <v>83</v>
      </c>
      <c r="L3" s="710" t="s">
        <v>86</v>
      </c>
      <c r="M3" s="710" t="s">
        <v>94</v>
      </c>
      <c r="N3" s="710" t="s">
        <v>654</v>
      </c>
      <c r="P3" s="710" t="s">
        <v>71</v>
      </c>
      <c r="Q3" s="710" t="s">
        <v>786</v>
      </c>
      <c r="R3" s="710" t="s">
        <v>787</v>
      </c>
      <c r="S3" s="710" t="s">
        <v>788</v>
      </c>
      <c r="T3" s="710" t="s">
        <v>782</v>
      </c>
      <c r="V3" s="710" t="s">
        <v>117</v>
      </c>
      <c r="W3" s="710" t="s">
        <v>119</v>
      </c>
      <c r="X3" s="710" t="s">
        <v>120</v>
      </c>
      <c r="Z3" s="710" t="s">
        <v>182</v>
      </c>
      <c r="AA3" s="710" t="s">
        <v>117</v>
      </c>
      <c r="AB3" s="710" t="s">
        <v>743</v>
      </c>
      <c r="AD3" s="710" t="s">
        <v>681</v>
      </c>
      <c r="AE3" s="710" t="s">
        <v>709</v>
      </c>
      <c r="AF3" s="710" t="s">
        <v>710</v>
      </c>
      <c r="AH3" s="710" t="s">
        <v>728</v>
      </c>
      <c r="AK3" s="710" t="s">
        <v>182</v>
      </c>
      <c r="AL3" s="710" t="s">
        <v>731</v>
      </c>
      <c r="AN3" s="710" t="s">
        <v>71</v>
      </c>
      <c r="AO3" s="710" t="s">
        <v>103</v>
      </c>
      <c r="AP3" s="710" t="s">
        <v>749</v>
      </c>
      <c r="AQ3" s="710" t="s">
        <v>750</v>
      </c>
      <c r="AS3" s="710" t="s">
        <v>890</v>
      </c>
      <c r="AT3" s="710" t="s">
        <v>891</v>
      </c>
      <c r="AU3" s="710" t="s">
        <v>891</v>
      </c>
      <c r="AV3" s="710" t="s">
        <v>892</v>
      </c>
      <c r="AW3" s="710" t="s">
        <v>893</v>
      </c>
      <c r="AY3" s="710" t="s">
        <v>71</v>
      </c>
      <c r="AZ3" s="710" t="s">
        <v>926</v>
      </c>
    </row>
    <row r="4" spans="1:52" x14ac:dyDescent="0.2">
      <c r="A4" s="424" t="s">
        <v>682</v>
      </c>
      <c r="B4" s="424">
        <v>1</v>
      </c>
      <c r="C4" s="623">
        <v>2.9000000000000001E-2</v>
      </c>
      <c r="D4" s="403">
        <v>1.5</v>
      </c>
      <c r="E4" s="403"/>
      <c r="F4" s="426">
        <v>70</v>
      </c>
      <c r="G4" s="182"/>
      <c r="H4" s="182"/>
      <c r="I4" s="424" t="s">
        <v>713</v>
      </c>
      <c r="J4" s="424">
        <v>1.5</v>
      </c>
      <c r="K4" s="424">
        <v>0.25</v>
      </c>
      <c r="L4" s="611">
        <v>90</v>
      </c>
      <c r="M4" s="1">
        <v>50</v>
      </c>
      <c r="N4" s="424"/>
      <c r="P4" s="496" t="s">
        <v>719</v>
      </c>
      <c r="Q4" s="493">
        <v>90</v>
      </c>
      <c r="R4" s="493">
        <v>80</v>
      </c>
      <c r="S4" s="493">
        <v>80</v>
      </c>
      <c r="T4" s="424"/>
      <c r="V4" s="406">
        <v>0.6</v>
      </c>
      <c r="W4" s="406">
        <v>9.5299999999999994</v>
      </c>
      <c r="X4" s="406" t="s">
        <v>32</v>
      </c>
      <c r="Z4" s="406" t="s">
        <v>132</v>
      </c>
      <c r="AA4" s="406"/>
      <c r="AB4" s="406">
        <v>1</v>
      </c>
      <c r="AD4" s="424" t="s">
        <v>682</v>
      </c>
      <c r="AE4" s="424" t="s">
        <v>691</v>
      </c>
      <c r="AF4" s="424" t="s">
        <v>688</v>
      </c>
      <c r="AH4" s="424"/>
      <c r="AI4" s="424"/>
      <c r="AK4" s="424" t="s">
        <v>132</v>
      </c>
      <c r="AL4" s="493">
        <v>0</v>
      </c>
      <c r="AN4" s="424" t="s">
        <v>688</v>
      </c>
      <c r="AO4" s="424" t="s">
        <v>104</v>
      </c>
      <c r="AP4" s="404" t="str">
        <f t="shared" ref="AP4:AP9" si="0">AN4&amp;AO4</f>
        <v>Perfiladeira 1Leve</v>
      </c>
      <c r="AQ4" s="493">
        <v>2</v>
      </c>
      <c r="AS4" s="678">
        <v>0</v>
      </c>
      <c r="AT4" s="678">
        <v>0.95</v>
      </c>
      <c r="AU4" s="678">
        <v>3.85</v>
      </c>
      <c r="AV4" s="678">
        <v>1.5</v>
      </c>
      <c r="AW4" s="678">
        <v>0.08</v>
      </c>
      <c r="AY4" s="709" t="s">
        <v>688</v>
      </c>
      <c r="AZ4" s="709" t="s">
        <v>81</v>
      </c>
    </row>
    <row r="5" spans="1:52" x14ac:dyDescent="0.2">
      <c r="A5" s="424" t="s">
        <v>683</v>
      </c>
      <c r="B5" s="424">
        <v>2</v>
      </c>
      <c r="C5" s="623">
        <v>3.2000000000000001E-2</v>
      </c>
      <c r="D5" s="403">
        <v>2.5</v>
      </c>
      <c r="E5" s="403"/>
      <c r="F5" s="426">
        <v>70</v>
      </c>
      <c r="G5" s="182"/>
      <c r="H5" s="182"/>
      <c r="I5" s="424" t="s">
        <v>715</v>
      </c>
      <c r="J5" s="424">
        <v>1</v>
      </c>
      <c r="K5" s="424">
        <v>0.25</v>
      </c>
      <c r="L5" s="612">
        <v>65</v>
      </c>
      <c r="M5" s="424">
        <v>50</v>
      </c>
      <c r="N5" s="424">
        <v>0.9</v>
      </c>
      <c r="P5" s="496" t="s">
        <v>720</v>
      </c>
      <c r="Q5" s="493">
        <v>90</v>
      </c>
      <c r="R5" s="493">
        <v>80</v>
      </c>
      <c r="S5" s="493">
        <v>80</v>
      </c>
      <c r="T5" s="424"/>
      <c r="V5" s="406">
        <v>0.75</v>
      </c>
      <c r="W5" s="406">
        <v>10</v>
      </c>
      <c r="X5" s="406" t="s">
        <v>138</v>
      </c>
      <c r="Z5" s="406" t="s">
        <v>133</v>
      </c>
      <c r="AA5" s="406">
        <v>8</v>
      </c>
      <c r="AB5" s="406">
        <v>1</v>
      </c>
      <c r="AD5" s="424" t="s">
        <v>683</v>
      </c>
      <c r="AE5" s="424"/>
      <c r="AF5" s="424" t="s">
        <v>689</v>
      </c>
      <c r="AH5" s="424" t="s">
        <v>715</v>
      </c>
      <c r="AI5" s="424"/>
      <c r="AK5" s="424" t="s">
        <v>133</v>
      </c>
      <c r="AL5" s="493">
        <v>1</v>
      </c>
      <c r="AN5" s="424" t="s">
        <v>688</v>
      </c>
      <c r="AO5" s="424" t="s">
        <v>744</v>
      </c>
      <c r="AP5" s="404" t="str">
        <f t="shared" si="0"/>
        <v>Perfiladeira 1Média</v>
      </c>
      <c r="AQ5" s="493">
        <v>4</v>
      </c>
      <c r="AS5" s="678">
        <v>3.75</v>
      </c>
      <c r="AT5" s="678">
        <v>0.95</v>
      </c>
      <c r="AU5" s="678">
        <v>3.85</v>
      </c>
      <c r="AV5" s="678">
        <v>1.5</v>
      </c>
      <c r="AW5" s="678">
        <v>0.08</v>
      </c>
      <c r="AY5" s="709" t="s">
        <v>689</v>
      </c>
      <c r="AZ5" s="709" t="s">
        <v>82</v>
      </c>
    </row>
    <row r="6" spans="1:52" x14ac:dyDescent="0.2">
      <c r="A6" s="424" t="s">
        <v>684</v>
      </c>
      <c r="B6" s="424">
        <v>3</v>
      </c>
      <c r="C6" s="623">
        <v>4.4999999999999998E-2</v>
      </c>
      <c r="D6" s="403">
        <v>2.5</v>
      </c>
      <c r="E6" s="403"/>
      <c r="F6" s="426">
        <v>70</v>
      </c>
      <c r="G6" s="182"/>
      <c r="H6" s="182"/>
      <c r="I6" s="424" t="s">
        <v>714</v>
      </c>
      <c r="J6" s="424">
        <v>1</v>
      </c>
      <c r="K6" s="424">
        <v>0.25</v>
      </c>
      <c r="L6" s="612">
        <v>65</v>
      </c>
      <c r="M6" s="424">
        <v>50</v>
      </c>
      <c r="N6" s="424">
        <v>0.9</v>
      </c>
      <c r="P6" s="492" t="s">
        <v>716</v>
      </c>
      <c r="Q6" s="493">
        <v>90</v>
      </c>
      <c r="R6" s="493">
        <v>80</v>
      </c>
      <c r="S6" s="493">
        <v>80</v>
      </c>
      <c r="T6" s="492"/>
      <c r="V6" s="406">
        <v>0.9</v>
      </c>
      <c r="W6" s="406">
        <v>12</v>
      </c>
      <c r="X6" s="406" t="s">
        <v>138</v>
      </c>
      <c r="Z6" s="406" t="s">
        <v>227</v>
      </c>
      <c r="AA6" s="406">
        <v>3</v>
      </c>
      <c r="AB6" s="406">
        <v>1</v>
      </c>
      <c r="AD6" s="424" t="s">
        <v>684</v>
      </c>
      <c r="AE6" s="424"/>
      <c r="AF6" s="424" t="s">
        <v>690</v>
      </c>
      <c r="AH6" s="424" t="s">
        <v>713</v>
      </c>
      <c r="AI6" s="424"/>
      <c r="AN6" s="424" t="s">
        <v>688</v>
      </c>
      <c r="AO6" s="424" t="s">
        <v>106</v>
      </c>
      <c r="AP6" s="404" t="str">
        <f t="shared" si="0"/>
        <v>Perfiladeira 1Pesada</v>
      </c>
      <c r="AQ6" s="493">
        <v>6</v>
      </c>
      <c r="AS6" s="678">
        <v>3.8</v>
      </c>
      <c r="AT6" s="678">
        <v>0.35</v>
      </c>
      <c r="AU6" s="678">
        <v>2.95</v>
      </c>
      <c r="AV6" s="678">
        <v>2.5</v>
      </c>
      <c r="AW6" s="678">
        <v>5.5E-2</v>
      </c>
      <c r="AY6" s="709" t="s">
        <v>690</v>
      </c>
      <c r="AZ6" s="709" t="s">
        <v>927</v>
      </c>
    </row>
    <row r="7" spans="1:52" x14ac:dyDescent="0.2">
      <c r="A7" s="424" t="s">
        <v>685</v>
      </c>
      <c r="B7" s="424">
        <v>4</v>
      </c>
      <c r="C7" s="623">
        <v>3.6999999999999998E-2</v>
      </c>
      <c r="D7" s="403">
        <v>2.4</v>
      </c>
      <c r="E7" s="403"/>
      <c r="F7" s="426">
        <v>70</v>
      </c>
      <c r="G7" s="182"/>
      <c r="H7" s="182"/>
      <c r="I7" s="424" t="s">
        <v>719</v>
      </c>
      <c r="J7" s="424"/>
      <c r="K7" s="424">
        <v>0.75</v>
      </c>
      <c r="L7" s="612">
        <v>80</v>
      </c>
      <c r="M7" s="424">
        <v>400</v>
      </c>
      <c r="N7" s="492"/>
      <c r="P7" s="492" t="s">
        <v>717</v>
      </c>
      <c r="Q7" s="493">
        <v>90</v>
      </c>
      <c r="R7" s="493">
        <v>80</v>
      </c>
      <c r="S7" s="493">
        <v>80</v>
      </c>
      <c r="T7" s="492"/>
      <c r="V7" s="406">
        <v>0.95</v>
      </c>
      <c r="W7" s="406">
        <v>12.7</v>
      </c>
      <c r="X7" s="406" t="s">
        <v>33</v>
      </c>
      <c r="AD7" s="424" t="s">
        <v>685</v>
      </c>
      <c r="AE7" s="424"/>
      <c r="AF7" s="424"/>
      <c r="AH7" s="424" t="s">
        <v>714</v>
      </c>
      <c r="AI7" s="424"/>
      <c r="AN7" s="424" t="s">
        <v>689</v>
      </c>
      <c r="AO7" s="424" t="s">
        <v>748</v>
      </c>
      <c r="AP7" s="404" t="str">
        <f t="shared" si="0"/>
        <v>Perfiladeira 2Indiferente</v>
      </c>
      <c r="AQ7" s="493">
        <v>0.5</v>
      </c>
      <c r="AS7" s="678">
        <v>6.3</v>
      </c>
      <c r="AT7" s="678">
        <v>0.35</v>
      </c>
      <c r="AU7" s="678">
        <v>2.95</v>
      </c>
      <c r="AV7" s="678">
        <v>2.5</v>
      </c>
      <c r="AW7" s="678">
        <v>5.5E-2</v>
      </c>
      <c r="AY7" s="709" t="s">
        <v>682</v>
      </c>
      <c r="AZ7" s="709" t="s">
        <v>73</v>
      </c>
    </row>
    <row r="8" spans="1:52" x14ac:dyDescent="0.2">
      <c r="A8" s="424" t="s">
        <v>686</v>
      </c>
      <c r="B8" s="424">
        <v>5</v>
      </c>
      <c r="C8" s="623">
        <v>0.06</v>
      </c>
      <c r="D8" s="403">
        <v>6</v>
      </c>
      <c r="E8" s="403"/>
      <c r="F8" s="426">
        <v>65</v>
      </c>
      <c r="G8" s="182"/>
      <c r="H8" s="182"/>
      <c r="I8" s="424" t="s">
        <v>720</v>
      </c>
      <c r="J8" s="424"/>
      <c r="K8" s="424">
        <v>0.75</v>
      </c>
      <c r="L8" s="612">
        <v>80</v>
      </c>
      <c r="M8" s="424">
        <v>400</v>
      </c>
      <c r="N8" s="492"/>
      <c r="P8" s="492" t="s">
        <v>725</v>
      </c>
      <c r="Q8" s="493">
        <v>90</v>
      </c>
      <c r="R8" s="493">
        <v>80</v>
      </c>
      <c r="S8" s="493">
        <v>80</v>
      </c>
      <c r="T8" s="492"/>
      <c r="V8" s="406">
        <v>1.06</v>
      </c>
      <c r="W8" s="406">
        <v>15.88</v>
      </c>
      <c r="X8" s="406" t="s">
        <v>34</v>
      </c>
      <c r="AD8" s="424" t="s">
        <v>686</v>
      </c>
      <c r="AE8" s="424"/>
      <c r="AF8" s="424"/>
      <c r="AH8" s="424" t="s">
        <v>716</v>
      </c>
      <c r="AI8" s="424"/>
      <c r="AN8" s="424" t="s">
        <v>690</v>
      </c>
      <c r="AO8" s="424" t="s">
        <v>748</v>
      </c>
      <c r="AP8" s="404" t="str">
        <f t="shared" si="0"/>
        <v>Perfiladeira 3Indiferente</v>
      </c>
      <c r="AQ8" s="493">
        <v>2</v>
      </c>
      <c r="AY8" s="709" t="s">
        <v>683</v>
      </c>
      <c r="AZ8" s="709" t="s">
        <v>74</v>
      </c>
    </row>
    <row r="9" spans="1:52" x14ac:dyDescent="0.2">
      <c r="A9" s="424" t="s">
        <v>687</v>
      </c>
      <c r="B9" s="424">
        <v>6</v>
      </c>
      <c r="C9" s="623">
        <v>0.02</v>
      </c>
      <c r="D9" s="403">
        <v>2.5</v>
      </c>
      <c r="E9" s="403"/>
      <c r="F9" s="426">
        <v>70</v>
      </c>
      <c r="G9" s="182"/>
      <c r="H9" s="182"/>
      <c r="I9" s="424" t="s">
        <v>716</v>
      </c>
      <c r="J9" s="424"/>
      <c r="K9" s="406">
        <v>0.35</v>
      </c>
      <c r="L9" s="613">
        <v>80</v>
      </c>
      <c r="M9" s="426">
        <v>120</v>
      </c>
      <c r="N9" s="492"/>
      <c r="P9" s="492" t="s">
        <v>721</v>
      </c>
      <c r="Q9" s="493">
        <v>70</v>
      </c>
      <c r="R9" s="493">
        <v>65</v>
      </c>
      <c r="S9" s="493">
        <v>60</v>
      </c>
      <c r="T9" s="492"/>
      <c r="V9" s="406">
        <v>1.2</v>
      </c>
      <c r="W9" s="406">
        <v>19.05</v>
      </c>
      <c r="X9" s="406" t="s">
        <v>35</v>
      </c>
      <c r="AD9" s="424" t="s">
        <v>687</v>
      </c>
      <c r="AE9" s="424"/>
      <c r="AF9" s="424"/>
      <c r="AH9" s="424" t="s">
        <v>717</v>
      </c>
      <c r="AI9" s="424"/>
      <c r="AN9" s="424" t="s">
        <v>691</v>
      </c>
      <c r="AO9" s="424" t="s">
        <v>748</v>
      </c>
      <c r="AP9" s="404" t="str">
        <f t="shared" si="0"/>
        <v>Formadora 7Indiferente</v>
      </c>
      <c r="AQ9" s="493">
        <v>1</v>
      </c>
      <c r="AY9" s="709" t="s">
        <v>684</v>
      </c>
      <c r="AZ9" s="709" t="s">
        <v>75</v>
      </c>
    </row>
    <row r="10" spans="1:52" x14ac:dyDescent="0.2">
      <c r="A10" s="424" t="s">
        <v>691</v>
      </c>
      <c r="B10" s="424">
        <v>7</v>
      </c>
      <c r="C10" s="623">
        <v>0.1</v>
      </c>
      <c r="D10" s="403">
        <v>4</v>
      </c>
      <c r="E10" s="403">
        <v>30</v>
      </c>
      <c r="F10" s="426">
        <v>50</v>
      </c>
      <c r="G10" s="182"/>
      <c r="H10" s="182"/>
      <c r="I10" s="424" t="s">
        <v>717</v>
      </c>
      <c r="J10" s="424"/>
      <c r="K10" s="406">
        <v>1</v>
      </c>
      <c r="L10" s="613">
        <v>80</v>
      </c>
      <c r="M10" s="426">
        <v>120</v>
      </c>
      <c r="N10" s="492"/>
      <c r="P10" s="492" t="s">
        <v>722</v>
      </c>
      <c r="Q10" s="493">
        <v>70</v>
      </c>
      <c r="R10" s="493">
        <v>65</v>
      </c>
      <c r="S10" s="493">
        <v>60</v>
      </c>
      <c r="T10" s="492"/>
      <c r="V10" s="406">
        <v>1.25</v>
      </c>
      <c r="W10" s="406">
        <v>20.65</v>
      </c>
      <c r="X10" s="406" t="s">
        <v>138</v>
      </c>
      <c r="AD10" s="424"/>
      <c r="AE10" s="424"/>
      <c r="AF10" s="424"/>
      <c r="AH10" s="424" t="s">
        <v>725</v>
      </c>
      <c r="AI10" s="424"/>
      <c r="AN10" s="683"/>
      <c r="AO10" s="683"/>
      <c r="AP10" s="685" t="str">
        <f t="shared" ref="AP10" si="1">AN10&amp;AO10</f>
        <v/>
      </c>
      <c r="AQ10" s="493"/>
      <c r="AY10" s="709" t="s">
        <v>685</v>
      </c>
      <c r="AZ10" s="709" t="s">
        <v>76</v>
      </c>
    </row>
    <row r="11" spans="1:52" x14ac:dyDescent="0.2">
      <c r="A11" s="424" t="s">
        <v>688</v>
      </c>
      <c r="B11" s="424">
        <v>8</v>
      </c>
      <c r="C11" s="623">
        <v>1.7999999999999999E-2</v>
      </c>
      <c r="D11" s="403">
        <v>30</v>
      </c>
      <c r="E11" s="403"/>
      <c r="F11" s="426">
        <v>70</v>
      </c>
      <c r="G11" s="182"/>
      <c r="H11" s="182"/>
      <c r="I11" s="424" t="s">
        <v>725</v>
      </c>
      <c r="J11" s="424"/>
      <c r="K11" s="406">
        <v>1</v>
      </c>
      <c r="L11" s="613">
        <v>80</v>
      </c>
      <c r="M11" s="426">
        <v>120</v>
      </c>
      <c r="N11" s="492"/>
      <c r="P11" s="492" t="s">
        <v>718</v>
      </c>
      <c r="Q11" s="493">
        <v>90</v>
      </c>
      <c r="R11" s="493">
        <v>80</v>
      </c>
      <c r="S11" s="493">
        <v>80</v>
      </c>
      <c r="T11" s="492"/>
      <c r="V11" s="406">
        <v>1.5</v>
      </c>
      <c r="W11" s="406">
        <v>22.22</v>
      </c>
      <c r="X11" s="406" t="s">
        <v>36</v>
      </c>
      <c r="AD11" s="424"/>
      <c r="AE11" s="424"/>
      <c r="AF11" s="424"/>
      <c r="AH11" s="424" t="s">
        <v>718</v>
      </c>
      <c r="AI11" s="424"/>
      <c r="AY11" s="709" t="s">
        <v>686</v>
      </c>
      <c r="AZ11" s="709" t="s">
        <v>77</v>
      </c>
    </row>
    <row r="12" spans="1:52" x14ac:dyDescent="0.2">
      <c r="A12" s="424" t="s">
        <v>689</v>
      </c>
      <c r="B12" s="424">
        <v>9</v>
      </c>
      <c r="C12" s="623">
        <v>1.7999999999999999E-2</v>
      </c>
      <c r="D12" s="403">
        <v>30</v>
      </c>
      <c r="E12" s="403"/>
      <c r="F12" s="426">
        <v>70</v>
      </c>
      <c r="G12" s="182"/>
      <c r="H12" s="182"/>
      <c r="I12" s="424" t="s">
        <v>723</v>
      </c>
      <c r="J12" s="424"/>
      <c r="K12" s="406">
        <v>1</v>
      </c>
      <c r="L12" s="613">
        <v>80</v>
      </c>
      <c r="M12" s="426">
        <v>50</v>
      </c>
      <c r="N12" s="492"/>
      <c r="P12" s="492" t="s">
        <v>713</v>
      </c>
      <c r="Q12" s="493">
        <v>65</v>
      </c>
      <c r="R12" s="493">
        <v>65</v>
      </c>
      <c r="S12" s="493">
        <v>65</v>
      </c>
      <c r="T12" s="492"/>
      <c r="V12" s="406">
        <v>1.45</v>
      </c>
      <c r="W12" s="406"/>
      <c r="X12" s="406"/>
      <c r="AD12"/>
      <c r="AE12"/>
      <c r="AF12"/>
      <c r="AH12" s="424" t="s">
        <v>719</v>
      </c>
      <c r="AI12" s="424"/>
      <c r="AY12" s="709" t="s">
        <v>687</v>
      </c>
      <c r="AZ12" s="709" t="s">
        <v>78</v>
      </c>
    </row>
    <row r="13" spans="1:52" x14ac:dyDescent="0.2">
      <c r="A13" s="424" t="s">
        <v>690</v>
      </c>
      <c r="B13" s="424">
        <v>10</v>
      </c>
      <c r="C13" s="623">
        <v>1.7999999999999999E-2</v>
      </c>
      <c r="D13" s="403">
        <v>30</v>
      </c>
      <c r="E13" s="403"/>
      <c r="F13" s="426">
        <v>70</v>
      </c>
      <c r="G13" s="182"/>
      <c r="H13" s="182"/>
      <c r="I13" s="424" t="s">
        <v>721</v>
      </c>
      <c r="J13" s="424">
        <v>3</v>
      </c>
      <c r="K13" s="406">
        <v>1</v>
      </c>
      <c r="L13" s="612"/>
      <c r="M13" s="492"/>
      <c r="N13" s="492"/>
      <c r="P13" s="492" t="s">
        <v>715</v>
      </c>
      <c r="Q13" s="493">
        <v>65</v>
      </c>
      <c r="R13" s="493">
        <v>65</v>
      </c>
      <c r="S13" s="493">
        <v>65</v>
      </c>
      <c r="T13" s="492"/>
      <c r="V13" s="406">
        <v>1.55</v>
      </c>
      <c r="W13" s="406">
        <v>25.4</v>
      </c>
      <c r="X13" s="406" t="s">
        <v>37</v>
      </c>
      <c r="AD13"/>
      <c r="AE13"/>
      <c r="AF13"/>
      <c r="AH13" s="424" t="s">
        <v>720</v>
      </c>
      <c r="AI13" s="424"/>
      <c r="AY13" s="709" t="s">
        <v>691</v>
      </c>
      <c r="AZ13" s="709" t="s">
        <v>79</v>
      </c>
    </row>
    <row r="14" spans="1:52" x14ac:dyDescent="0.2">
      <c r="A14" s="182"/>
      <c r="B14" s="182"/>
      <c r="C14" s="182"/>
      <c r="D14" s="182"/>
      <c r="E14" s="182"/>
      <c r="F14" s="182"/>
      <c r="G14" s="182"/>
      <c r="H14" s="182"/>
      <c r="I14" s="424" t="s">
        <v>722</v>
      </c>
      <c r="J14" s="424">
        <v>3</v>
      </c>
      <c r="K14" s="406">
        <v>1</v>
      </c>
      <c r="L14" s="612"/>
      <c r="M14" s="492"/>
      <c r="N14" s="492"/>
      <c r="P14" s="492" t="s">
        <v>714</v>
      </c>
      <c r="Q14" s="493">
        <v>65</v>
      </c>
      <c r="R14" s="493">
        <v>65</v>
      </c>
      <c r="S14" s="493">
        <v>65</v>
      </c>
      <c r="T14" s="492"/>
      <c r="V14" s="406">
        <v>1.8</v>
      </c>
      <c r="W14" s="406">
        <v>28.57</v>
      </c>
      <c r="X14" s="406" t="s">
        <v>38</v>
      </c>
      <c r="AH14" s="424" t="s">
        <v>721</v>
      </c>
      <c r="AI14" s="424"/>
      <c r="AY14" s="709"/>
      <c r="AZ14" s="709"/>
    </row>
    <row r="15" spans="1:52" x14ac:dyDescent="0.2">
      <c r="I15" s="424" t="s">
        <v>718</v>
      </c>
      <c r="J15" s="424"/>
      <c r="K15" s="424">
        <v>0.5</v>
      </c>
      <c r="L15" s="612"/>
      <c r="M15" s="492"/>
      <c r="N15" s="492"/>
      <c r="P15" s="492" t="s">
        <v>723</v>
      </c>
      <c r="Q15" s="493">
        <v>75</v>
      </c>
      <c r="R15" s="493">
        <v>70</v>
      </c>
      <c r="S15" s="493">
        <v>65</v>
      </c>
      <c r="T15" s="492"/>
      <c r="V15" s="406">
        <v>1.9</v>
      </c>
      <c r="W15" s="406">
        <v>31.75</v>
      </c>
      <c r="X15" s="406" t="s">
        <v>39</v>
      </c>
      <c r="AH15" s="424" t="s">
        <v>722</v>
      </c>
      <c r="AI15" s="424"/>
      <c r="AY15" s="709"/>
      <c r="AZ15" s="709"/>
    </row>
    <row r="16" spans="1:52" x14ac:dyDescent="0.2">
      <c r="I16" s="492" t="s">
        <v>724</v>
      </c>
      <c r="J16" s="492">
        <v>1.5</v>
      </c>
      <c r="K16" s="492"/>
      <c r="L16" s="612"/>
      <c r="M16" s="492"/>
      <c r="N16" s="492"/>
      <c r="P16" s="492"/>
      <c r="Q16" s="493"/>
      <c r="R16" s="493"/>
      <c r="S16" s="493"/>
      <c r="T16" s="493"/>
      <c r="V16" s="406">
        <v>1.95</v>
      </c>
      <c r="W16" s="406">
        <v>33.4</v>
      </c>
      <c r="X16" s="406" t="s">
        <v>138</v>
      </c>
      <c r="AH16" s="424" t="s">
        <v>723</v>
      </c>
      <c r="AI16" s="424"/>
      <c r="AY16" s="709"/>
      <c r="AZ16" s="709"/>
    </row>
    <row r="17" spans="1:52" x14ac:dyDescent="0.2">
      <c r="I17" s="492" t="s">
        <v>726</v>
      </c>
      <c r="J17" s="492">
        <v>1.5</v>
      </c>
      <c r="K17" s="492"/>
      <c r="L17" s="612"/>
      <c r="M17" s="492"/>
      <c r="N17" s="492"/>
      <c r="P17" s="492"/>
      <c r="Q17" s="493"/>
      <c r="R17" s="493"/>
      <c r="S17" s="493"/>
      <c r="T17" s="493"/>
      <c r="V17" s="406">
        <v>2</v>
      </c>
      <c r="W17" s="406">
        <v>33.700000000000003</v>
      </c>
      <c r="X17" s="406" t="s">
        <v>138</v>
      </c>
      <c r="AH17" s="424" t="s">
        <v>724</v>
      </c>
      <c r="AI17" s="424"/>
      <c r="AY17" s="709"/>
      <c r="AZ17" s="709"/>
    </row>
    <row r="18" spans="1:52" x14ac:dyDescent="0.2">
      <c r="I18" s="492" t="s">
        <v>727</v>
      </c>
      <c r="J18" s="492">
        <v>1.5</v>
      </c>
      <c r="K18" s="492"/>
      <c r="L18" s="612"/>
      <c r="M18" s="492"/>
      <c r="N18" s="492"/>
      <c r="P18" s="676"/>
      <c r="Q18" s="493"/>
      <c r="R18" s="493"/>
      <c r="S18" s="493"/>
      <c r="T18" s="493"/>
      <c r="V18" s="406">
        <v>2.25</v>
      </c>
      <c r="W18" s="406">
        <v>34.93</v>
      </c>
      <c r="X18" s="406" t="s">
        <v>40</v>
      </c>
      <c r="AH18" s="424" t="s">
        <v>726</v>
      </c>
      <c r="AI18" s="424"/>
      <c r="AY18" s="709"/>
      <c r="AZ18" s="709"/>
    </row>
    <row r="19" spans="1:52" x14ac:dyDescent="0.2">
      <c r="I19" s="485"/>
      <c r="J19" s="485"/>
      <c r="P19"/>
      <c r="V19" s="406">
        <v>2.2999999999999998</v>
      </c>
      <c r="W19" s="406">
        <v>38.1</v>
      </c>
      <c r="X19" s="406" t="s">
        <v>41</v>
      </c>
      <c r="AH19" s="424" t="s">
        <v>727</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85" t="s">
        <v>300</v>
      </c>
      <c r="C4" s="785"/>
      <c r="D4" s="785"/>
      <c r="E4" s="785"/>
      <c r="F4" s="785"/>
      <c r="G4" s="785"/>
      <c r="H4" s="785"/>
      <c r="I4" s="785"/>
      <c r="J4" s="785"/>
      <c r="K4" s="785"/>
      <c r="L4" s="785"/>
      <c r="M4" s="785"/>
      <c r="N4" s="785"/>
      <c r="O4" s="785"/>
      <c r="P4" s="785"/>
      <c r="Q4" s="785"/>
      <c r="R4" s="785"/>
      <c r="S4" s="785"/>
      <c r="T4" s="785"/>
      <c r="U4" s="785"/>
      <c r="V4" s="785"/>
      <c r="W4" s="785"/>
    </row>
    <row r="5" spans="2:23" s="215" customFormat="1" ht="30" customHeight="1" x14ac:dyDescent="0.2">
      <c r="B5" s="564" t="s">
        <v>810</v>
      </c>
      <c r="C5" s="564" t="s">
        <v>811</v>
      </c>
      <c r="D5" s="564" t="s">
        <v>812</v>
      </c>
      <c r="E5" s="564" t="s">
        <v>211</v>
      </c>
      <c r="F5" s="564" t="s">
        <v>212</v>
      </c>
      <c r="G5" s="564" t="s">
        <v>217</v>
      </c>
      <c r="H5" s="564" t="s">
        <v>216</v>
      </c>
      <c r="I5" s="564" t="s">
        <v>813</v>
      </c>
      <c r="J5" s="564" t="s">
        <v>222</v>
      </c>
      <c r="K5" s="564" t="s">
        <v>223</v>
      </c>
      <c r="L5" s="564" t="s">
        <v>814</v>
      </c>
      <c r="M5" s="564" t="s">
        <v>815</v>
      </c>
      <c r="N5" s="564" t="s">
        <v>816</v>
      </c>
      <c r="O5" s="564" t="s">
        <v>221</v>
      </c>
      <c r="P5" s="564" t="s">
        <v>220</v>
      </c>
      <c r="Q5" s="564" t="s">
        <v>219</v>
      </c>
      <c r="R5" s="564" t="s">
        <v>218</v>
      </c>
      <c r="S5" s="564" t="s">
        <v>215</v>
      </c>
      <c r="T5" s="564" t="s">
        <v>213</v>
      </c>
      <c r="U5" s="564" t="s">
        <v>615</v>
      </c>
      <c r="V5" s="619" t="s">
        <v>857</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85" t="s">
        <v>301</v>
      </c>
      <c r="C9" s="785"/>
      <c r="D9" s="785"/>
      <c r="E9" s="785"/>
      <c r="F9" s="785"/>
      <c r="G9" s="785"/>
      <c r="H9" s="785"/>
      <c r="I9" s="785"/>
      <c r="J9" s="785"/>
      <c r="K9" s="785"/>
      <c r="L9" s="785"/>
      <c r="M9" s="785"/>
      <c r="N9" s="785"/>
      <c r="O9" s="785"/>
      <c r="P9" s="785"/>
      <c r="Q9" s="785"/>
      <c r="R9" s="785"/>
      <c r="S9" s="785"/>
      <c r="T9" s="785"/>
      <c r="U9" s="785"/>
      <c r="V9" s="785"/>
      <c r="W9" s="785"/>
    </row>
    <row r="10" spans="2:23" s="215" customFormat="1" ht="42" customHeight="1" x14ac:dyDescent="0.2">
      <c r="B10" s="564" t="s">
        <v>810</v>
      </c>
      <c r="D10" s="564" t="s">
        <v>817</v>
      </c>
      <c r="E10" s="564" t="s">
        <v>302</v>
      </c>
      <c r="F10" s="564" t="s">
        <v>818</v>
      </c>
      <c r="H10" s="564" t="s">
        <v>817</v>
      </c>
      <c r="I10" s="564" t="s">
        <v>305</v>
      </c>
      <c r="J10" s="564" t="s">
        <v>819</v>
      </c>
      <c r="L10" s="564" t="s">
        <v>817</v>
      </c>
      <c r="M10" s="564" t="s">
        <v>304</v>
      </c>
      <c r="N10" s="564" t="s">
        <v>303</v>
      </c>
      <c r="P10" s="564" t="s">
        <v>817</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72" t="s">
        <v>169</v>
      </c>
      <c r="C3" s="873"/>
      <c r="D3" s="873"/>
      <c r="E3" s="873"/>
      <c r="F3" s="873"/>
      <c r="G3" s="873"/>
      <c r="H3" s="873"/>
      <c r="I3" s="874"/>
    </row>
    <row r="4" spans="2:9" s="87" customFormat="1" ht="36" customHeight="1" thickBot="1" x14ac:dyDescent="0.25">
      <c r="B4" s="508" t="s">
        <v>168</v>
      </c>
      <c r="C4" s="508" t="s">
        <v>793</v>
      </c>
      <c r="D4" s="508" t="s">
        <v>794</v>
      </c>
      <c r="E4" s="508" t="s">
        <v>170</v>
      </c>
      <c r="F4" s="508" t="s">
        <v>795</v>
      </c>
      <c r="G4" s="508" t="s">
        <v>796</v>
      </c>
      <c r="H4" s="508" t="s">
        <v>797</v>
      </c>
      <c r="I4" s="508" t="s">
        <v>798</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85" t="s">
        <v>165</v>
      </c>
      <c r="C4" s="785"/>
      <c r="D4" s="785"/>
      <c r="E4" s="785"/>
      <c r="F4" s="785"/>
      <c r="G4" s="86"/>
    </row>
    <row r="5" spans="2:8" ht="41.25" customHeight="1" thickBot="1" x14ac:dyDescent="0.25">
      <c r="B5" s="517" t="s">
        <v>799</v>
      </c>
      <c r="C5" s="517" t="s">
        <v>800</v>
      </c>
      <c r="D5" s="517" t="s">
        <v>801</v>
      </c>
      <c r="E5" s="517" t="s">
        <v>802</v>
      </c>
      <c r="F5" s="508" t="s">
        <v>803</v>
      </c>
    </row>
    <row r="6" spans="2:8" x14ac:dyDescent="0.2">
      <c r="B6" s="405"/>
      <c r="C6" s="405"/>
      <c r="D6" s="510"/>
      <c r="E6" s="510"/>
      <c r="F6" s="404" t="e">
        <f>0.567*((C6/B6+0.25)/(1.2*(C6/B6)+1))*(1+((D6^2.5)/(2050*E6^1.41)))</f>
        <v>#DIV/0!</v>
      </c>
    </row>
    <row r="8" spans="2:8" ht="19.5" thickBot="1" x14ac:dyDescent="0.25">
      <c r="B8" s="785" t="s">
        <v>164</v>
      </c>
      <c r="C8" s="785"/>
      <c r="D8" s="785"/>
      <c r="E8" s="785"/>
      <c r="F8" s="785"/>
      <c r="G8" s="785"/>
    </row>
    <row r="9" spans="2:8" ht="41.25" customHeight="1" thickBot="1" x14ac:dyDescent="0.25">
      <c r="B9" s="711" t="s">
        <v>803</v>
      </c>
      <c r="C9" s="711" t="s">
        <v>799</v>
      </c>
      <c r="D9" s="711" t="s">
        <v>800</v>
      </c>
      <c r="E9" s="711" t="s">
        <v>804</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85" t="s">
        <v>166</v>
      </c>
      <c r="C12" s="785"/>
      <c r="D12" s="785"/>
      <c r="E12" s="785"/>
      <c r="F12" s="785"/>
      <c r="G12" s="785"/>
      <c r="H12" s="785"/>
    </row>
    <row r="13" spans="2:8" ht="41.25" customHeight="1" thickBot="1" x14ac:dyDescent="0.25">
      <c r="B13" s="711" t="s">
        <v>803</v>
      </c>
      <c r="C13" s="711" t="s">
        <v>799</v>
      </c>
      <c r="D13" s="711" t="s">
        <v>800</v>
      </c>
      <c r="E13" s="711" t="s">
        <v>804</v>
      </c>
      <c r="F13" s="711" t="s">
        <v>155</v>
      </c>
      <c r="G13" s="711" t="s">
        <v>805</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85" t="s">
        <v>208</v>
      </c>
      <c r="C16" s="785"/>
      <c r="D16" s="785"/>
      <c r="E16" s="785"/>
      <c r="F16" s="785"/>
      <c r="G16" s="785"/>
      <c r="H16" s="785"/>
    </row>
    <row r="17" spans="2:8" ht="41.25" customHeight="1" thickBot="1" x14ac:dyDescent="0.25">
      <c r="B17" s="508" t="s">
        <v>803</v>
      </c>
      <c r="C17" s="518" t="s">
        <v>799</v>
      </c>
      <c r="D17" s="508" t="s">
        <v>806</v>
      </c>
      <c r="E17" s="508" t="s">
        <v>807</v>
      </c>
      <c r="F17" s="508" t="s">
        <v>808</v>
      </c>
      <c r="G17" s="508" t="s">
        <v>800</v>
      </c>
      <c r="H17" s="508" t="s">
        <v>809</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85" t="s">
        <v>207</v>
      </c>
      <c r="E21" s="785"/>
      <c r="F21" s="785"/>
      <c r="G21" s="785"/>
      <c r="H21" s="785"/>
    </row>
    <row r="22" spans="2:8" ht="13.5" thickBot="1" x14ac:dyDescent="0.25">
      <c r="D22" s="875">
        <f>SUM(H18:H20)</f>
        <v>0</v>
      </c>
      <c r="E22" s="875"/>
      <c r="F22" s="875"/>
      <c r="G22" s="875"/>
      <c r="H22" s="875"/>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79" t="s">
        <v>313</v>
      </c>
      <c r="D5" s="879"/>
      <c r="E5" s="879"/>
      <c r="F5" s="879"/>
      <c r="G5" s="879"/>
      <c r="H5" s="879"/>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79" t="s">
        <v>314</v>
      </c>
      <c r="D9" s="879"/>
      <c r="E9" s="879"/>
      <c r="F9" s="879"/>
      <c r="G9" s="879"/>
      <c r="H9" s="879"/>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77" t="s">
        <v>332</v>
      </c>
      <c r="D15" s="877"/>
      <c r="E15" s="877"/>
      <c r="F15" s="877"/>
      <c r="G15" s="877"/>
      <c r="H15" s="877"/>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76"/>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76"/>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76" t="s">
        <v>484</v>
      </c>
      <c r="D31" s="266">
        <f>180+(F29/2)</f>
        <v>212.4</v>
      </c>
      <c r="E31" s="90" t="s">
        <v>485</v>
      </c>
      <c r="F31" s="90"/>
      <c r="G31" s="90"/>
      <c r="H31" s="90"/>
      <c r="I31" s="249"/>
    </row>
    <row r="32" spans="2:31" x14ac:dyDescent="0.2">
      <c r="B32" s="248"/>
      <c r="C32" s="876"/>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78" t="s">
        <v>329</v>
      </c>
      <c r="D66" s="878"/>
      <c r="E66" s="878"/>
      <c r="F66" s="878"/>
      <c r="G66" s="878"/>
      <c r="H66" s="878"/>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79" t="s">
        <v>341</v>
      </c>
      <c r="D81" s="879"/>
      <c r="E81" s="879"/>
      <c r="F81" s="879"/>
      <c r="G81" s="879"/>
      <c r="H81" s="879"/>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91" t="s">
        <v>513</v>
      </c>
      <c r="C2" s="892"/>
      <c r="D2" s="892"/>
      <c r="E2" s="892"/>
      <c r="F2" s="893"/>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85" t="s">
        <v>520</v>
      </c>
      <c r="C8" s="886"/>
      <c r="D8" s="886"/>
      <c r="E8" s="886"/>
      <c r="F8" s="887"/>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94" t="s">
        <v>528</v>
      </c>
      <c r="C25" s="895"/>
      <c r="D25" s="895"/>
      <c r="E25" s="895"/>
      <c r="F25" s="896"/>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80" t="s">
        <v>530</v>
      </c>
      <c r="N27" s="880"/>
      <c r="O27" s="880"/>
      <c r="P27" s="880" t="s">
        <v>531</v>
      </c>
      <c r="Q27" s="880"/>
      <c r="R27" s="880"/>
      <c r="S27" s="880" t="s">
        <v>532</v>
      </c>
      <c r="T27" s="880"/>
      <c r="U27" s="880"/>
      <c r="V27" s="880" t="s">
        <v>533</v>
      </c>
      <c r="W27" s="880"/>
      <c r="X27" s="880"/>
      <c r="Y27" s="880" t="s">
        <v>534</v>
      </c>
      <c r="Z27" s="880"/>
      <c r="AA27" s="880"/>
      <c r="AB27" s="880" t="s">
        <v>535</v>
      </c>
      <c r="AC27" s="880"/>
      <c r="AD27" s="880"/>
      <c r="AE27" s="880" t="s">
        <v>536</v>
      </c>
      <c r="AF27" s="880"/>
      <c r="AG27" s="880"/>
      <c r="AH27" s="880" t="s">
        <v>537</v>
      </c>
      <c r="AI27" s="880"/>
      <c r="AJ27" s="880"/>
      <c r="AK27" s="880" t="s">
        <v>538</v>
      </c>
      <c r="AL27" s="880"/>
      <c r="AM27" s="880"/>
      <c r="AN27" s="880" t="s">
        <v>539</v>
      </c>
      <c r="AO27" s="880"/>
      <c r="AP27" s="880"/>
      <c r="AQ27" s="880" t="s">
        <v>540</v>
      </c>
      <c r="AR27" s="880"/>
      <c r="AS27" s="880"/>
      <c r="AT27" s="880" t="s">
        <v>541</v>
      </c>
      <c r="AU27" s="880"/>
      <c r="AV27" s="880"/>
      <c r="AW27" s="880" t="s">
        <v>542</v>
      </c>
      <c r="AX27" s="880"/>
      <c r="AY27" s="880"/>
      <c r="AZ27" s="880" t="s">
        <v>543</v>
      </c>
      <c r="BA27" s="880"/>
      <c r="BB27" s="880"/>
      <c r="BC27" s="880" t="s">
        <v>544</v>
      </c>
      <c r="BD27" s="880"/>
      <c r="BE27" s="880"/>
      <c r="BF27" s="880" t="s">
        <v>545</v>
      </c>
      <c r="BG27" s="880"/>
      <c r="BH27" s="880"/>
      <c r="BI27" s="880" t="s">
        <v>546</v>
      </c>
      <c r="BJ27" s="880"/>
      <c r="BK27" s="880"/>
      <c r="BL27" s="880" t="s">
        <v>547</v>
      </c>
      <c r="BM27" s="880"/>
      <c r="BN27" s="880"/>
      <c r="BO27" s="880" t="s">
        <v>548</v>
      </c>
      <c r="BP27" s="880"/>
      <c r="BQ27" s="880"/>
      <c r="BR27" s="880" t="s">
        <v>549</v>
      </c>
      <c r="BS27" s="880"/>
      <c r="BT27" s="880"/>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890" t="s">
        <v>551</v>
      </c>
      <c r="D49" s="890"/>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890" t="s">
        <v>552</v>
      </c>
      <c r="D50" s="890"/>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890" t="s">
        <v>554</v>
      </c>
      <c r="D51" s="890"/>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82" t="s">
        <v>555</v>
      </c>
      <c r="C53" s="883"/>
      <c r="D53" s="883"/>
      <c r="E53" s="883"/>
      <c r="F53" s="884"/>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85" t="s">
        <v>556</v>
      </c>
      <c r="C55" s="886"/>
      <c r="D55" s="886"/>
      <c r="E55" s="886"/>
      <c r="F55" s="887"/>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85" t="s">
        <v>563</v>
      </c>
      <c r="C66" s="886"/>
      <c r="D66" s="886"/>
      <c r="E66" s="886"/>
      <c r="F66" s="887"/>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82" t="s">
        <v>80</v>
      </c>
      <c r="C77" s="883"/>
      <c r="D77" s="883"/>
      <c r="E77" s="883"/>
      <c r="F77" s="884"/>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85" t="s">
        <v>520</v>
      </c>
      <c r="C79" s="886"/>
      <c r="D79" s="886"/>
      <c r="E79" s="886"/>
      <c r="F79" s="887"/>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85" t="s">
        <v>528</v>
      </c>
      <c r="C83" s="886"/>
      <c r="D83" s="886"/>
      <c r="E83" s="886"/>
      <c r="F83" s="887"/>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888" t="s">
        <v>565</v>
      </c>
      <c r="C89" s="888"/>
    </row>
    <row r="90" spans="2:6" x14ac:dyDescent="0.2">
      <c r="B90" s="889" t="s">
        <v>566</v>
      </c>
      <c r="C90" s="889"/>
    </row>
    <row r="91" spans="2:6" x14ac:dyDescent="0.2">
      <c r="B91" s="881" t="s">
        <v>567</v>
      </c>
      <c r="C91" s="881"/>
    </row>
    <row r="92" spans="2:6" x14ac:dyDescent="0.2">
      <c r="B92" s="881" t="s">
        <v>566</v>
      </c>
      <c r="C92" s="881"/>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mc:AlternateContent xmlns:x12ac="http://schemas.microsoft.com/office/spreadsheetml/2011/1/ac" xmlns:mc="http://schemas.openxmlformats.org/markup-compatibility/2006">
        <mc:Choice Requires="x12ac">
          <x12ac:list>"2,5","5,0","7,5","9,9"</x12ac:list>
        </mc:Choice>
        <mc:Fallback>
          <formula1>"2,5,5,0,7,5,9,9"</formula1>
        </mc:Fallback>
      </mc:AlternateContent>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823</v>
      </c>
      <c r="C2" s="580" t="s">
        <v>824</v>
      </c>
      <c r="D2" s="580" t="s">
        <v>825</v>
      </c>
      <c r="E2" s="580" t="s">
        <v>826</v>
      </c>
      <c r="F2" s="580" t="s">
        <v>827</v>
      </c>
    </row>
    <row r="3" spans="2:6" s="433" customFormat="1" x14ac:dyDescent="0.2">
      <c r="B3" s="425" t="s">
        <v>828</v>
      </c>
      <c r="C3" s="425">
        <v>0.95</v>
      </c>
      <c r="D3" s="425">
        <v>3.85</v>
      </c>
      <c r="E3" s="425">
        <v>1.5</v>
      </c>
      <c r="F3" s="425">
        <v>0.08</v>
      </c>
    </row>
    <row r="4" spans="2:6" s="433" customFormat="1" x14ac:dyDescent="0.2">
      <c r="B4" s="425" t="s">
        <v>829</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897"/>
      <c r="C5" s="897"/>
      <c r="D5" s="897"/>
      <c r="E5" s="897"/>
      <c r="F5" s="897"/>
      <c r="G5" s="897"/>
      <c r="H5" s="897"/>
      <c r="I5" s="897"/>
      <c r="J5" s="897"/>
      <c r="K5" s="897"/>
      <c r="M5" s="898"/>
      <c r="N5" s="898"/>
      <c r="O5" s="898"/>
      <c r="P5" s="898"/>
      <c r="Q5" s="898"/>
      <c r="R5" s="898"/>
      <c r="S5" s="898"/>
      <c r="T5" s="898"/>
      <c r="U5" s="898"/>
      <c r="V5" s="898"/>
      <c r="W5" s="898"/>
    </row>
    <row r="6" spans="2:23" x14ac:dyDescent="0.2">
      <c r="B6" s="898"/>
      <c r="C6" s="899"/>
      <c r="D6" s="900"/>
      <c r="E6" s="905" t="s">
        <v>9</v>
      </c>
      <c r="F6" s="906"/>
      <c r="G6" s="906"/>
      <c r="H6" s="906"/>
      <c r="I6" s="906"/>
      <c r="J6" s="907"/>
      <c r="K6" s="897"/>
      <c r="M6" s="897"/>
      <c r="N6" s="899"/>
      <c r="O6" s="900"/>
      <c r="P6" s="905" t="s">
        <v>10</v>
      </c>
      <c r="Q6" s="906"/>
      <c r="R6" s="906"/>
      <c r="S6" s="906"/>
      <c r="T6" s="906"/>
      <c r="U6" s="906"/>
      <c r="V6" s="907"/>
      <c r="W6" s="897"/>
    </row>
    <row r="7" spans="2:23" x14ac:dyDescent="0.2">
      <c r="B7" s="898"/>
      <c r="C7" s="901"/>
      <c r="D7" s="902"/>
      <c r="E7" s="908"/>
      <c r="F7" s="909"/>
      <c r="G7" s="909"/>
      <c r="H7" s="909"/>
      <c r="I7" s="909"/>
      <c r="J7" s="910"/>
      <c r="K7" s="897"/>
      <c r="M7" s="897"/>
      <c r="N7" s="901"/>
      <c r="O7" s="902"/>
      <c r="P7" s="911"/>
      <c r="Q7" s="912"/>
      <c r="R7" s="912"/>
      <c r="S7" s="912"/>
      <c r="T7" s="912"/>
      <c r="U7" s="912"/>
      <c r="V7" s="913"/>
      <c r="W7" s="897"/>
    </row>
    <row r="8" spans="2:23" ht="13.5" thickBot="1" x14ac:dyDescent="0.25">
      <c r="B8" s="898"/>
      <c r="C8" s="901"/>
      <c r="D8" s="902"/>
      <c r="E8" s="45" t="s">
        <v>11</v>
      </c>
      <c r="F8" s="15"/>
      <c r="G8" s="39"/>
      <c r="H8" s="39"/>
      <c r="I8" s="39"/>
      <c r="J8" s="40"/>
      <c r="K8" s="897"/>
      <c r="M8" s="897"/>
      <c r="N8" s="901"/>
      <c r="O8" s="902"/>
      <c r="P8" s="59" t="s">
        <v>12</v>
      </c>
      <c r="Q8" s="15"/>
      <c r="R8" s="39"/>
      <c r="S8" s="39"/>
      <c r="T8" s="39"/>
      <c r="U8" s="39"/>
      <c r="V8" s="40"/>
      <c r="W8" s="897"/>
    </row>
    <row r="9" spans="2:23" ht="13.5" thickBot="1" x14ac:dyDescent="0.25">
      <c r="B9" s="898"/>
      <c r="C9" s="901"/>
      <c r="D9" s="902"/>
      <c r="E9" s="12" t="s">
        <v>13</v>
      </c>
      <c r="F9" s="11">
        <f>F8*1.27</f>
        <v>0</v>
      </c>
      <c r="G9" s="41"/>
      <c r="H9" s="41"/>
      <c r="I9" s="41"/>
      <c r="J9" s="42"/>
      <c r="K9" s="897"/>
      <c r="M9" s="897"/>
      <c r="N9" s="901"/>
      <c r="O9" s="902"/>
      <c r="P9" s="48" t="s">
        <v>14</v>
      </c>
      <c r="Q9" s="16"/>
      <c r="R9" s="41"/>
      <c r="S9" s="41"/>
      <c r="T9" s="41"/>
      <c r="U9" s="41"/>
      <c r="V9" s="42"/>
      <c r="W9" s="897"/>
    </row>
    <row r="10" spans="2:23" ht="13.5" thickBot="1" x14ac:dyDescent="0.25">
      <c r="B10" s="898"/>
      <c r="C10" s="901"/>
      <c r="D10" s="902"/>
      <c r="E10" s="46"/>
      <c r="F10" s="43"/>
      <c r="G10" s="43"/>
      <c r="H10" s="43"/>
      <c r="I10" s="43"/>
      <c r="J10" s="44"/>
      <c r="K10" s="897"/>
      <c r="M10" s="897"/>
      <c r="N10" s="901"/>
      <c r="O10" s="902"/>
      <c r="P10" s="14" t="s">
        <v>13</v>
      </c>
      <c r="Q10" s="11">
        <f>0.637*(Q8-Q9)+Q9</f>
        <v>0</v>
      </c>
      <c r="R10" s="41"/>
      <c r="S10" s="41"/>
      <c r="T10" s="41"/>
      <c r="U10" s="41"/>
      <c r="V10" s="42"/>
      <c r="W10" s="897"/>
    </row>
    <row r="11" spans="2:23" x14ac:dyDescent="0.2">
      <c r="B11" s="898"/>
      <c r="C11" s="901"/>
      <c r="D11" s="902"/>
      <c r="E11" s="46"/>
      <c r="F11" s="43"/>
      <c r="G11" s="43"/>
      <c r="H11" s="43"/>
      <c r="I11" s="43"/>
      <c r="J11" s="44"/>
      <c r="K11" s="897"/>
      <c r="M11" s="897"/>
      <c r="N11" s="901"/>
      <c r="O11" s="902"/>
      <c r="P11" s="48"/>
      <c r="Q11" s="43"/>
      <c r="R11" s="41"/>
      <c r="S11" s="41"/>
      <c r="T11" s="41"/>
      <c r="U11" s="41"/>
      <c r="V11" s="42"/>
      <c r="W11" s="897"/>
    </row>
    <row r="12" spans="2:23" x14ac:dyDescent="0.2">
      <c r="B12" s="898"/>
      <c r="C12" s="903"/>
      <c r="D12" s="904"/>
      <c r="E12" s="46"/>
      <c r="F12" s="43"/>
      <c r="G12" s="43"/>
      <c r="H12" s="43"/>
      <c r="I12" s="43"/>
      <c r="J12" s="44"/>
      <c r="K12" s="897"/>
      <c r="M12" s="897"/>
      <c r="N12" s="903"/>
      <c r="O12" s="904"/>
      <c r="P12" s="56"/>
      <c r="Q12" s="50"/>
      <c r="R12" s="53"/>
      <c r="S12" s="53"/>
      <c r="T12" s="53"/>
      <c r="U12" s="53"/>
      <c r="V12" s="54"/>
      <c r="W12" s="897"/>
    </row>
    <row r="13" spans="2:23" ht="6.75" customHeight="1" x14ac:dyDescent="0.2">
      <c r="B13" s="898"/>
      <c r="C13" s="898"/>
      <c r="D13" s="898"/>
      <c r="E13" s="898"/>
      <c r="F13" s="898"/>
      <c r="G13" s="898"/>
      <c r="H13" s="898"/>
      <c r="I13" s="898"/>
      <c r="J13" s="898"/>
      <c r="K13" s="897"/>
      <c r="M13" s="897"/>
      <c r="N13" s="898"/>
      <c r="O13" s="898"/>
      <c r="P13" s="898"/>
      <c r="Q13" s="898"/>
      <c r="R13" s="898"/>
      <c r="S13" s="898"/>
      <c r="T13" s="898"/>
      <c r="U13" s="898"/>
      <c r="V13" s="898"/>
      <c r="W13" s="897"/>
    </row>
    <row r="14" spans="2:23" ht="2.25" customHeight="1" x14ac:dyDescent="0.2">
      <c r="B14" s="898"/>
      <c r="C14" s="914"/>
      <c r="D14" s="914"/>
      <c r="E14" s="914"/>
      <c r="F14" s="914"/>
      <c r="G14" s="914"/>
      <c r="H14" s="914"/>
      <c r="I14" s="914"/>
      <c r="J14" s="914"/>
      <c r="K14" s="897"/>
      <c r="M14" s="897"/>
      <c r="N14" s="914"/>
      <c r="O14" s="914"/>
      <c r="P14" s="914"/>
      <c r="Q14" s="914"/>
      <c r="R14" s="914"/>
      <c r="S14" s="914"/>
      <c r="T14" s="914"/>
      <c r="U14" s="914"/>
      <c r="V14" s="914"/>
      <c r="W14" s="897"/>
    </row>
    <row r="15" spans="2:23" ht="6.75" customHeight="1" x14ac:dyDescent="0.2">
      <c r="B15" s="898"/>
      <c r="C15" s="898"/>
      <c r="D15" s="898"/>
      <c r="E15" s="898"/>
      <c r="F15" s="898"/>
      <c r="G15" s="898"/>
      <c r="H15" s="898"/>
      <c r="I15" s="898"/>
      <c r="J15" s="898"/>
      <c r="K15" s="897"/>
      <c r="M15" s="897"/>
      <c r="N15" s="898"/>
      <c r="O15" s="898"/>
      <c r="P15" s="898"/>
      <c r="Q15" s="898"/>
      <c r="R15" s="898"/>
      <c r="S15" s="898"/>
      <c r="T15" s="898"/>
      <c r="U15" s="898"/>
      <c r="V15" s="898"/>
      <c r="W15" s="897"/>
    </row>
    <row r="16" spans="2:23" x14ac:dyDescent="0.2">
      <c r="B16" s="898"/>
      <c r="C16" s="899"/>
      <c r="D16" s="900"/>
      <c r="E16" s="915" t="s">
        <v>15</v>
      </c>
      <c r="F16" s="915"/>
      <c r="G16" s="915"/>
      <c r="H16" s="915"/>
      <c r="I16" s="915"/>
      <c r="J16" s="915"/>
      <c r="K16" s="897"/>
      <c r="M16" s="897"/>
      <c r="N16" s="899"/>
      <c r="O16" s="900"/>
      <c r="P16" s="905" t="s">
        <v>16</v>
      </c>
      <c r="Q16" s="906"/>
      <c r="R16" s="906"/>
      <c r="S16" s="906"/>
      <c r="T16" s="906"/>
      <c r="U16" s="906"/>
      <c r="V16" s="907"/>
      <c r="W16" s="897"/>
    </row>
    <row r="17" spans="1:23" x14ac:dyDescent="0.2">
      <c r="B17" s="898"/>
      <c r="C17" s="901"/>
      <c r="D17" s="902"/>
      <c r="E17" s="915"/>
      <c r="F17" s="915"/>
      <c r="G17" s="915"/>
      <c r="H17" s="915"/>
      <c r="I17" s="915"/>
      <c r="J17" s="915"/>
      <c r="K17" s="897"/>
      <c r="M17" s="897"/>
      <c r="N17" s="901"/>
      <c r="O17" s="902"/>
      <c r="P17" s="908"/>
      <c r="Q17" s="909"/>
      <c r="R17" s="909"/>
      <c r="S17" s="909"/>
      <c r="T17" s="909"/>
      <c r="U17" s="909"/>
      <c r="V17" s="910"/>
      <c r="W17" s="897"/>
    </row>
    <row r="18" spans="1:23" ht="13.5" thickBot="1" x14ac:dyDescent="0.25">
      <c r="B18" s="898"/>
      <c r="C18" s="901"/>
      <c r="D18" s="902"/>
      <c r="E18" s="45" t="s">
        <v>17</v>
      </c>
      <c r="F18" s="15"/>
      <c r="G18" s="39"/>
      <c r="H18" s="39"/>
      <c r="I18" s="39"/>
      <c r="J18" s="40"/>
      <c r="K18" s="897"/>
      <c r="M18" s="897"/>
      <c r="N18" s="901"/>
      <c r="O18" s="902"/>
      <c r="P18" s="48" t="s">
        <v>12</v>
      </c>
      <c r="Q18" s="17"/>
      <c r="R18" s="41"/>
      <c r="S18" s="41"/>
      <c r="T18" s="41"/>
      <c r="U18" s="41"/>
      <c r="V18" s="42"/>
      <c r="W18" s="897"/>
    </row>
    <row r="19" spans="1:23" ht="13.5" thickBot="1" x14ac:dyDescent="0.25">
      <c r="B19" s="898"/>
      <c r="C19" s="901"/>
      <c r="D19" s="902"/>
      <c r="E19" s="12" t="s">
        <v>13</v>
      </c>
      <c r="F19" s="11">
        <f>F18*0.785</f>
        <v>0</v>
      </c>
      <c r="G19" s="41"/>
      <c r="H19" s="41"/>
      <c r="I19" s="41"/>
      <c r="J19" s="42"/>
      <c r="K19" s="897"/>
      <c r="M19" s="897"/>
      <c r="N19" s="901"/>
      <c r="O19" s="902"/>
      <c r="P19" s="48" t="s">
        <v>14</v>
      </c>
      <c r="Q19" s="16"/>
      <c r="R19" s="41"/>
      <c r="S19" s="41"/>
      <c r="T19" s="41"/>
      <c r="U19" s="41"/>
      <c r="V19" s="42"/>
      <c r="W19" s="897"/>
    </row>
    <row r="20" spans="1:23" ht="13.5" thickBot="1" x14ac:dyDescent="0.25">
      <c r="B20" s="898"/>
      <c r="C20" s="901"/>
      <c r="D20" s="902"/>
      <c r="E20" s="41"/>
      <c r="F20" s="43"/>
      <c r="G20" s="43"/>
      <c r="H20" s="43"/>
      <c r="I20" s="43"/>
      <c r="J20" s="44"/>
      <c r="K20" s="897"/>
      <c r="M20" s="897"/>
      <c r="N20" s="901"/>
      <c r="O20" s="902"/>
      <c r="P20" s="12" t="s">
        <v>13</v>
      </c>
      <c r="Q20" s="11">
        <f>(0.637*Q18)+(0.5*Q19)</f>
        <v>0</v>
      </c>
      <c r="R20" s="41"/>
      <c r="S20" s="41"/>
      <c r="T20" s="41"/>
      <c r="U20" s="41"/>
      <c r="V20" s="42"/>
      <c r="W20" s="897"/>
    </row>
    <row r="21" spans="1:23" x14ac:dyDescent="0.2">
      <c r="B21" s="898"/>
      <c r="C21" s="901"/>
      <c r="D21" s="902"/>
      <c r="E21" s="41"/>
      <c r="F21" s="43"/>
      <c r="G21" s="43"/>
      <c r="H21" s="43"/>
      <c r="I21" s="43"/>
      <c r="J21" s="44"/>
      <c r="K21" s="897"/>
      <c r="M21" s="897"/>
      <c r="N21" s="901"/>
      <c r="O21" s="902"/>
      <c r="P21" s="48"/>
      <c r="Q21" s="43"/>
      <c r="R21" s="41"/>
      <c r="S21" s="41"/>
      <c r="T21" s="41"/>
      <c r="U21" s="41"/>
      <c r="V21" s="42"/>
      <c r="W21" s="897"/>
    </row>
    <row r="22" spans="1:23" x14ac:dyDescent="0.2">
      <c r="B22" s="898"/>
      <c r="C22" s="903"/>
      <c r="D22" s="904"/>
      <c r="E22" s="41"/>
      <c r="F22" s="43"/>
      <c r="G22" s="43"/>
      <c r="H22" s="43"/>
      <c r="I22" s="43"/>
      <c r="J22" s="44"/>
      <c r="K22" s="897"/>
      <c r="M22" s="897"/>
      <c r="N22" s="903"/>
      <c r="O22" s="904"/>
      <c r="P22" s="56"/>
      <c r="Q22" s="50"/>
      <c r="R22" s="53"/>
      <c r="S22" s="53"/>
      <c r="T22" s="53"/>
      <c r="U22" s="53"/>
      <c r="V22" s="54"/>
      <c r="W22" s="897"/>
    </row>
    <row r="23" spans="1:23" ht="6.75" customHeight="1" x14ac:dyDescent="0.2">
      <c r="B23" s="898"/>
      <c r="C23" s="898"/>
      <c r="D23" s="898"/>
      <c r="E23" s="898"/>
      <c r="F23" s="898"/>
      <c r="G23" s="898"/>
      <c r="H23" s="898"/>
      <c r="I23" s="898"/>
      <c r="J23" s="898"/>
      <c r="K23" s="897"/>
      <c r="M23" s="897"/>
      <c r="N23" s="898"/>
      <c r="O23" s="898"/>
      <c r="P23" s="898"/>
      <c r="Q23" s="898"/>
      <c r="R23" s="898"/>
      <c r="S23" s="898"/>
      <c r="T23" s="898"/>
      <c r="U23" s="898"/>
      <c r="V23" s="898"/>
      <c r="W23" s="897"/>
    </row>
    <row r="24" spans="1:23" ht="2.25" customHeight="1" x14ac:dyDescent="0.2">
      <c r="B24" s="898"/>
      <c r="C24" s="914"/>
      <c r="D24" s="914"/>
      <c r="E24" s="914"/>
      <c r="F24" s="914"/>
      <c r="G24" s="914"/>
      <c r="H24" s="914"/>
      <c r="I24" s="914"/>
      <c r="J24" s="914"/>
      <c r="K24" s="897"/>
      <c r="M24" s="897"/>
      <c r="N24" s="914"/>
      <c r="O24" s="914"/>
      <c r="P24" s="914"/>
      <c r="Q24" s="914"/>
      <c r="R24" s="914"/>
      <c r="S24" s="914"/>
      <c r="T24" s="914"/>
      <c r="U24" s="914"/>
      <c r="V24" s="914"/>
      <c r="W24" s="897"/>
    </row>
    <row r="25" spans="1:23" ht="6.75" customHeight="1" x14ac:dyDescent="0.2">
      <c r="B25" s="898"/>
      <c r="C25" s="898"/>
      <c r="D25" s="898"/>
      <c r="E25" s="898"/>
      <c r="F25" s="898"/>
      <c r="G25" s="898"/>
      <c r="H25" s="898"/>
      <c r="I25" s="898"/>
      <c r="J25" s="898"/>
      <c r="K25" s="897"/>
      <c r="M25" s="897"/>
      <c r="N25" s="898"/>
      <c r="O25" s="898"/>
      <c r="P25" s="898"/>
      <c r="Q25" s="898"/>
      <c r="R25" s="898"/>
      <c r="S25" s="898"/>
      <c r="T25" s="898"/>
      <c r="U25" s="898"/>
      <c r="V25" s="898"/>
      <c r="W25" s="897"/>
    </row>
    <row r="26" spans="1:23" x14ac:dyDescent="0.2">
      <c r="B26" s="898"/>
      <c r="C26" s="899"/>
      <c r="D26" s="900"/>
      <c r="E26" s="905" t="s">
        <v>18</v>
      </c>
      <c r="F26" s="906"/>
      <c r="G26" s="906"/>
      <c r="H26" s="906"/>
      <c r="I26" s="906"/>
      <c r="J26" s="907"/>
      <c r="K26" s="897"/>
      <c r="M26" s="897"/>
      <c r="N26" s="899"/>
      <c r="O26" s="900"/>
      <c r="P26" s="905" t="s">
        <v>19</v>
      </c>
      <c r="Q26" s="906"/>
      <c r="R26" s="906"/>
      <c r="S26" s="906"/>
      <c r="T26" s="906"/>
      <c r="U26" s="906"/>
      <c r="V26" s="907"/>
      <c r="W26" s="897"/>
    </row>
    <row r="27" spans="1:23" x14ac:dyDescent="0.2">
      <c r="B27" s="898"/>
      <c r="C27" s="901"/>
      <c r="D27" s="902"/>
      <c r="E27" s="908"/>
      <c r="F27" s="909"/>
      <c r="G27" s="909"/>
      <c r="H27" s="909"/>
      <c r="I27" s="909"/>
      <c r="J27" s="910"/>
      <c r="K27" s="897"/>
      <c r="M27" s="897"/>
      <c r="N27" s="901"/>
      <c r="O27" s="902"/>
      <c r="P27" s="908"/>
      <c r="Q27" s="909"/>
      <c r="R27" s="909"/>
      <c r="S27" s="909"/>
      <c r="T27" s="909"/>
      <c r="U27" s="909"/>
      <c r="V27" s="910"/>
      <c r="W27" s="897"/>
    </row>
    <row r="28" spans="1:23" ht="13.5" thickBot="1" x14ac:dyDescent="0.25">
      <c r="B28" s="898"/>
      <c r="C28" s="901"/>
      <c r="D28" s="902"/>
      <c r="E28" s="45" t="s">
        <v>12</v>
      </c>
      <c r="F28" s="15"/>
      <c r="G28" s="39"/>
      <c r="H28" s="39"/>
      <c r="I28" s="39"/>
      <c r="J28" s="40"/>
      <c r="K28" s="897"/>
      <c r="M28" s="897"/>
      <c r="N28" s="901"/>
      <c r="O28" s="902"/>
      <c r="P28" s="48" t="s">
        <v>20</v>
      </c>
      <c r="Q28" s="18"/>
      <c r="R28" s="46"/>
      <c r="S28" s="41"/>
      <c r="T28" s="41"/>
      <c r="U28" s="41"/>
      <c r="V28" s="42"/>
      <c r="W28" s="897"/>
    </row>
    <row r="29" spans="1:23" ht="13.5" thickBot="1" x14ac:dyDescent="0.25">
      <c r="B29" s="898"/>
      <c r="C29" s="901"/>
      <c r="D29" s="902"/>
      <c r="E29" s="47" t="s">
        <v>14</v>
      </c>
      <c r="F29" s="16"/>
      <c r="G29" s="41"/>
      <c r="H29" s="41"/>
      <c r="I29" s="41"/>
      <c r="J29" s="42"/>
      <c r="K29" s="897"/>
      <c r="M29" s="897"/>
      <c r="N29" s="901"/>
      <c r="O29" s="902"/>
      <c r="P29" s="48" t="s">
        <v>21</v>
      </c>
      <c r="Q29" s="16"/>
      <c r="R29" s="46"/>
      <c r="S29" s="41"/>
      <c r="T29" s="41"/>
      <c r="U29" s="41"/>
      <c r="V29" s="42"/>
      <c r="W29" s="897"/>
    </row>
    <row r="30" spans="1:23" ht="13.5" thickBot="1" x14ac:dyDescent="0.25">
      <c r="B30" s="898"/>
      <c r="C30" s="901"/>
      <c r="D30" s="902"/>
      <c r="E30" s="12" t="s">
        <v>13</v>
      </c>
      <c r="F30" s="11">
        <f>(F28+F29)*0.635</f>
        <v>0</v>
      </c>
      <c r="G30" s="41"/>
      <c r="H30" s="41"/>
      <c r="I30" s="41"/>
      <c r="J30" s="42"/>
      <c r="K30" s="897"/>
      <c r="M30" s="897"/>
      <c r="N30" s="901"/>
      <c r="O30" s="902"/>
      <c r="P30" s="48" t="s">
        <v>22</v>
      </c>
      <c r="Q30" s="16"/>
      <c r="R30" s="46"/>
      <c r="S30" s="41"/>
      <c r="T30" s="41"/>
      <c r="U30" s="41"/>
      <c r="V30" s="42"/>
      <c r="W30" s="897"/>
    </row>
    <row r="31" spans="1:23" ht="13.5" thickBot="1" x14ac:dyDescent="0.25">
      <c r="B31" s="898"/>
      <c r="C31" s="901"/>
      <c r="D31" s="902"/>
      <c r="E31" s="48"/>
      <c r="F31" s="43"/>
      <c r="G31" s="43"/>
      <c r="H31" s="43"/>
      <c r="I31" s="43"/>
      <c r="J31" s="44"/>
      <c r="K31" s="897"/>
      <c r="M31" s="897"/>
      <c r="N31" s="901"/>
      <c r="O31" s="902"/>
      <c r="P31" s="48" t="s">
        <v>23</v>
      </c>
      <c r="Q31" s="16"/>
      <c r="R31" s="46"/>
      <c r="S31" s="41"/>
      <c r="T31" s="41"/>
      <c r="U31" s="41"/>
      <c r="V31" s="42"/>
      <c r="W31" s="897"/>
    </row>
    <row r="32" spans="1:23" ht="13.5" thickBot="1" x14ac:dyDescent="0.25">
      <c r="A32" s="3" t="str">
        <f>IF(F32="NÃO",1,"")</f>
        <v/>
      </c>
      <c r="B32" s="898"/>
      <c r="C32" s="903"/>
      <c r="D32" s="904"/>
      <c r="E32" s="49"/>
      <c r="F32" s="50"/>
      <c r="G32" s="50"/>
      <c r="H32" s="50"/>
      <c r="I32" s="50"/>
      <c r="J32" s="51"/>
      <c r="K32" s="897"/>
      <c r="M32" s="897"/>
      <c r="N32" s="903"/>
      <c r="O32" s="904"/>
      <c r="P32" s="13" t="s">
        <v>13</v>
      </c>
      <c r="Q32" s="19">
        <f>((2/3.1415)*(Q28+Q30-Q29-Q31)+(Q29/2))</f>
        <v>0</v>
      </c>
      <c r="R32" s="58"/>
      <c r="S32" s="53"/>
      <c r="T32" s="53"/>
      <c r="U32" s="53"/>
      <c r="V32" s="54"/>
      <c r="W32" s="897"/>
    </row>
    <row r="33" spans="2:23" ht="6.75" customHeight="1" x14ac:dyDescent="0.2">
      <c r="B33" s="898"/>
      <c r="C33" s="898"/>
      <c r="D33" s="898"/>
      <c r="E33" s="898"/>
      <c r="F33" s="898"/>
      <c r="G33" s="898"/>
      <c r="H33" s="898"/>
      <c r="I33" s="898"/>
      <c r="J33" s="898"/>
      <c r="K33" s="897"/>
      <c r="M33" s="897"/>
      <c r="N33" s="898"/>
      <c r="O33" s="898"/>
      <c r="P33" s="898"/>
      <c r="Q33" s="898"/>
      <c r="R33" s="898"/>
      <c r="S33" s="898"/>
      <c r="T33" s="898"/>
      <c r="U33" s="898"/>
      <c r="V33" s="898"/>
      <c r="W33" s="897"/>
    </row>
    <row r="34" spans="2:23" ht="2.25" customHeight="1" x14ac:dyDescent="0.2">
      <c r="B34" s="898"/>
      <c r="C34" s="914"/>
      <c r="D34" s="914"/>
      <c r="E34" s="914"/>
      <c r="F34" s="914"/>
      <c r="G34" s="914"/>
      <c r="H34" s="914"/>
      <c r="I34" s="914"/>
      <c r="J34" s="914"/>
      <c r="K34" s="897"/>
      <c r="M34" s="897"/>
      <c r="N34" s="914"/>
      <c r="O34" s="914"/>
      <c r="P34" s="914"/>
      <c r="Q34" s="914"/>
      <c r="R34" s="914"/>
      <c r="S34" s="914"/>
      <c r="T34" s="914"/>
      <c r="U34" s="914"/>
      <c r="V34" s="914"/>
      <c r="W34" s="897"/>
    </row>
    <row r="35" spans="2:23" ht="6.75" customHeight="1" x14ac:dyDescent="0.2">
      <c r="B35" s="898"/>
      <c r="C35" s="898"/>
      <c r="D35" s="898"/>
      <c r="E35" s="898"/>
      <c r="F35" s="898"/>
      <c r="G35" s="898"/>
      <c r="H35" s="898"/>
      <c r="I35" s="898"/>
      <c r="J35" s="898"/>
      <c r="K35" s="897"/>
      <c r="M35" s="897"/>
      <c r="N35" s="898"/>
      <c r="O35" s="898"/>
      <c r="P35" s="898"/>
      <c r="Q35" s="898"/>
      <c r="R35" s="898"/>
      <c r="S35" s="898"/>
      <c r="T35" s="898"/>
      <c r="U35" s="898"/>
      <c r="V35" s="898"/>
      <c r="W35" s="897"/>
    </row>
    <row r="36" spans="2:23" ht="26.25" customHeight="1" thickBot="1" x14ac:dyDescent="0.25">
      <c r="B36" s="898"/>
      <c r="C36" s="899"/>
      <c r="D36" s="900"/>
      <c r="E36" s="921" t="s">
        <v>24</v>
      </c>
      <c r="F36" s="922"/>
      <c r="G36" s="922"/>
      <c r="H36" s="922"/>
      <c r="I36" s="922"/>
      <c r="J36" s="923"/>
      <c r="K36" s="897"/>
      <c r="M36" s="897"/>
      <c r="N36" s="899"/>
      <c r="O36" s="900"/>
      <c r="P36" s="916" t="s">
        <v>25</v>
      </c>
      <c r="Q36" s="917"/>
      <c r="R36" s="917"/>
      <c r="S36" s="917"/>
      <c r="T36" s="917"/>
      <c r="U36" s="917"/>
      <c r="V36" s="918"/>
      <c r="W36" s="897"/>
    </row>
    <row r="37" spans="2:23" ht="13.5" thickBot="1" x14ac:dyDescent="0.25">
      <c r="B37" s="898"/>
      <c r="C37" s="901"/>
      <c r="D37" s="902"/>
      <c r="E37" s="45" t="s">
        <v>17</v>
      </c>
      <c r="F37" s="15"/>
      <c r="G37" s="52"/>
      <c r="H37" s="39"/>
      <c r="I37" s="39"/>
      <c r="J37" s="40"/>
      <c r="K37" s="897"/>
      <c r="M37" s="897"/>
      <c r="N37" s="901"/>
      <c r="O37" s="902"/>
      <c r="P37" s="48" t="s">
        <v>20</v>
      </c>
      <c r="Q37" s="16"/>
      <c r="R37" s="52"/>
      <c r="S37" s="39"/>
      <c r="T37" s="39"/>
      <c r="U37" s="39"/>
      <c r="V37" s="40"/>
      <c r="W37" s="897"/>
    </row>
    <row r="38" spans="2:23" ht="13.5" thickBot="1" x14ac:dyDescent="0.25">
      <c r="B38" s="898"/>
      <c r="C38" s="901"/>
      <c r="D38" s="902"/>
      <c r="E38" s="47" t="s">
        <v>26</v>
      </c>
      <c r="F38" s="16"/>
      <c r="G38" s="41"/>
      <c r="H38" s="41"/>
      <c r="I38" s="41"/>
      <c r="J38" s="42"/>
      <c r="K38" s="897"/>
      <c r="M38" s="897"/>
      <c r="N38" s="901"/>
      <c r="O38" s="902"/>
      <c r="P38" s="48" t="s">
        <v>21</v>
      </c>
      <c r="Q38" s="16"/>
      <c r="R38" s="46"/>
      <c r="S38" s="41"/>
      <c r="T38" s="41"/>
      <c r="U38" s="41"/>
      <c r="V38" s="42"/>
      <c r="W38" s="897"/>
    </row>
    <row r="39" spans="2:23" ht="13.5" thickBot="1" x14ac:dyDescent="0.25">
      <c r="B39" s="898"/>
      <c r="C39" s="901"/>
      <c r="D39" s="902"/>
      <c r="E39" s="12" t="s">
        <v>13</v>
      </c>
      <c r="F39" s="11">
        <f>(F37*1.571)-F38</f>
        <v>0</v>
      </c>
      <c r="G39" s="41"/>
      <c r="H39" s="41"/>
      <c r="I39" s="41"/>
      <c r="J39" s="42"/>
      <c r="K39" s="897"/>
      <c r="M39" s="897"/>
      <c r="N39" s="901"/>
      <c r="O39" s="902"/>
      <c r="P39" s="12" t="s">
        <v>13</v>
      </c>
      <c r="Q39" s="19">
        <f>SQRT((Q37^2+Q38^2)/2)</f>
        <v>0</v>
      </c>
      <c r="R39" s="46"/>
      <c r="S39" s="41"/>
      <c r="T39" s="41"/>
      <c r="U39" s="41"/>
      <c r="V39" s="42"/>
      <c r="W39" s="897"/>
    </row>
    <row r="40" spans="2:23" x14ac:dyDescent="0.2">
      <c r="B40" s="898"/>
      <c r="C40" s="901"/>
      <c r="D40" s="902"/>
      <c r="E40" s="47"/>
      <c r="F40" s="43"/>
      <c r="G40" s="41"/>
      <c r="H40" s="41"/>
      <c r="I40" s="41"/>
      <c r="J40" s="42"/>
      <c r="K40" s="897"/>
      <c r="M40" s="897"/>
      <c r="N40" s="901"/>
      <c r="O40" s="902"/>
      <c r="P40" s="48"/>
      <c r="Q40" s="55"/>
      <c r="R40" s="46"/>
      <c r="S40" s="41"/>
      <c r="T40" s="41"/>
      <c r="U40" s="41"/>
      <c r="V40" s="42"/>
      <c r="W40" s="897"/>
    </row>
    <row r="41" spans="2:23" x14ac:dyDescent="0.2">
      <c r="B41" s="898"/>
      <c r="C41" s="903"/>
      <c r="D41" s="904"/>
      <c r="E41" s="49"/>
      <c r="F41" s="50"/>
      <c r="G41" s="53"/>
      <c r="H41" s="53"/>
      <c r="I41" s="53"/>
      <c r="J41" s="54"/>
      <c r="K41" s="897"/>
      <c r="M41" s="897"/>
      <c r="N41" s="903"/>
      <c r="O41" s="904"/>
      <c r="P41" s="56"/>
      <c r="Q41" s="57"/>
      <c r="R41" s="58"/>
      <c r="S41" s="53"/>
      <c r="T41" s="53"/>
      <c r="U41" s="53"/>
      <c r="V41" s="54"/>
      <c r="W41" s="897"/>
    </row>
    <row r="42" spans="2:23" ht="6.75" customHeight="1" x14ac:dyDescent="0.2">
      <c r="B42" s="898"/>
      <c r="C42" s="897"/>
      <c r="D42" s="897"/>
      <c r="E42" s="897"/>
      <c r="F42" s="897"/>
      <c r="G42" s="897"/>
      <c r="H42" s="897"/>
      <c r="I42" s="897"/>
      <c r="J42" s="897"/>
      <c r="K42" s="897"/>
      <c r="M42" s="897"/>
      <c r="N42" s="897"/>
      <c r="O42" s="897"/>
      <c r="P42" s="897"/>
      <c r="Q42" s="897"/>
      <c r="R42" s="897"/>
      <c r="S42" s="897"/>
      <c r="T42" s="897"/>
      <c r="U42" s="897"/>
      <c r="V42" s="897"/>
      <c r="W42" s="897"/>
    </row>
    <row r="43" spans="2:23" ht="6.75" customHeight="1" x14ac:dyDescent="0.2"/>
    <row r="44" spans="2:23" ht="6.75" customHeight="1" x14ac:dyDescent="0.2"/>
    <row r="46" spans="2:23" hidden="1" x14ac:dyDescent="0.2">
      <c r="C46" s="919" t="s">
        <v>27</v>
      </c>
      <c r="D46" s="919"/>
      <c r="E46" s="919"/>
    </row>
    <row r="47" spans="2:23" hidden="1" x14ac:dyDescent="0.2">
      <c r="C47" s="919"/>
      <c r="D47" s="919"/>
      <c r="E47" s="919"/>
      <c r="H47" s="7"/>
    </row>
    <row r="48" spans="2:23" hidden="1" x14ac:dyDescent="0.2">
      <c r="C48" s="920" t="s">
        <v>28</v>
      </c>
      <c r="D48" s="920"/>
      <c r="E48" s="919" t="s">
        <v>29</v>
      </c>
      <c r="H48" s="7"/>
    </row>
    <row r="49" spans="1:23" hidden="1" x14ac:dyDescent="0.2">
      <c r="C49" s="8" t="s">
        <v>30</v>
      </c>
      <c r="D49" s="8" t="s">
        <v>31</v>
      </c>
      <c r="E49" s="919"/>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1"/>
      <c r="C4" s="822"/>
      <c r="D4" s="822"/>
      <c r="E4" s="822"/>
      <c r="F4" s="822"/>
      <c r="G4" s="822"/>
      <c r="H4" s="822"/>
      <c r="I4" s="822"/>
      <c r="J4" s="822"/>
      <c r="K4" s="822"/>
      <c r="L4" s="927"/>
    </row>
    <row r="5" spans="2:12" ht="18" customHeight="1" thickBot="1" x14ac:dyDescent="0.25">
      <c r="B5" s="924" t="s">
        <v>153</v>
      </c>
      <c r="C5" s="925"/>
      <c r="D5" s="925"/>
      <c r="E5" s="925"/>
      <c r="F5" s="925"/>
      <c r="G5" s="925"/>
      <c r="H5" s="925"/>
      <c r="I5" s="925"/>
      <c r="J5" s="925"/>
      <c r="K5" s="925"/>
      <c r="L5" s="926"/>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30"/>
      <c r="C4" s="930"/>
      <c r="D4" s="930"/>
      <c r="E4" s="930"/>
      <c r="F4" s="930"/>
    </row>
    <row r="5" spans="2:12" ht="18" customHeight="1" thickBot="1" x14ac:dyDescent="0.25">
      <c r="B5" s="929" t="s">
        <v>151</v>
      </c>
      <c r="C5" s="929"/>
      <c r="D5" s="929"/>
      <c r="E5" s="929"/>
      <c r="F5" s="929"/>
      <c r="H5" s="929" t="s">
        <v>469</v>
      </c>
      <c r="I5" s="929"/>
      <c r="J5" s="929"/>
      <c r="K5" s="929"/>
      <c r="L5" s="929"/>
    </row>
    <row r="6" spans="2:12" ht="18" customHeight="1" thickBot="1" x14ac:dyDescent="0.25">
      <c r="B6" s="931" t="s">
        <v>293</v>
      </c>
      <c r="C6" s="931"/>
      <c r="D6" s="931"/>
      <c r="E6" s="931"/>
      <c r="F6" s="931"/>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28" t="s">
        <v>150</v>
      </c>
      <c r="C43" s="928"/>
      <c r="D43" s="928"/>
      <c r="E43" s="928"/>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35" t="s">
        <v>370</v>
      </c>
      <c r="O2" s="935"/>
      <c r="P2" s="633">
        <f>(2*3.14159265359*M4+2*(M2-2*M4)+2*(M3-2*M4))/3.14159265359</f>
        <v>60.929581789403152</v>
      </c>
      <c r="Q2" s="634" t="s">
        <v>30</v>
      </c>
    </row>
    <row r="3" spans="1:17" x14ac:dyDescent="0.2">
      <c r="B3" s="932" t="s">
        <v>371</v>
      </c>
      <c r="C3" s="933"/>
      <c r="D3" s="933"/>
      <c r="E3" s="934"/>
      <c r="G3" s="635" t="s">
        <v>372</v>
      </c>
      <c r="H3" s="529"/>
      <c r="I3" s="652">
        <v>2.7</v>
      </c>
      <c r="J3" s="637" t="s">
        <v>30</v>
      </c>
      <c r="L3" s="635" t="s">
        <v>199</v>
      </c>
      <c r="M3" s="636">
        <v>40</v>
      </c>
      <c r="N3" s="936" t="s">
        <v>373</v>
      </c>
      <c r="O3" s="936"/>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37" t="s">
        <v>370</v>
      </c>
      <c r="O5" s="937"/>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871</v>
      </c>
      <c r="H13" s="659"/>
      <c r="I13" s="633">
        <f>(I2*3.14159265359)-(1.5*I3)</f>
        <v>235.33936020355802</v>
      </c>
      <c r="J13" s="634" t="s">
        <v>30</v>
      </c>
    </row>
    <row r="14" spans="1:17" x14ac:dyDescent="0.2">
      <c r="A14" s="538" t="str">
        <f t="shared" si="0"/>
        <v>&gt;</v>
      </c>
      <c r="B14" s="539">
        <v>8</v>
      </c>
      <c r="C14" s="531">
        <v>3.75</v>
      </c>
      <c r="D14" s="537" t="s">
        <v>138</v>
      </c>
      <c r="E14" s="540">
        <v>3.75</v>
      </c>
      <c r="G14" s="657" t="s">
        <v>872</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873</v>
      </c>
      <c r="H15" s="549"/>
      <c r="I15" s="449">
        <f>(M2*2)+(M3*2)-1.5*I3</f>
        <v>195.95</v>
      </c>
      <c r="J15" s="637" t="s">
        <v>30</v>
      </c>
    </row>
    <row r="16" spans="1:17" x14ac:dyDescent="0.2">
      <c r="A16" s="538" t="str">
        <f t="shared" si="0"/>
        <v>&gt;</v>
      </c>
      <c r="B16" s="539">
        <v>10</v>
      </c>
      <c r="C16" s="531">
        <v>4.75</v>
      </c>
      <c r="D16" s="537" t="s">
        <v>138</v>
      </c>
      <c r="E16" s="540">
        <v>4.75</v>
      </c>
      <c r="G16" s="635" t="s">
        <v>874</v>
      </c>
      <c r="H16" s="549"/>
      <c r="I16" s="449">
        <f>(M2*2)+(M3*2)-2.5*I3</f>
        <v>193.25</v>
      </c>
      <c r="J16" s="637" t="s">
        <v>30</v>
      </c>
    </row>
    <row r="17" spans="1:16" x14ac:dyDescent="0.2">
      <c r="A17" s="538" t="str">
        <f t="shared" si="0"/>
        <v>&gt;</v>
      </c>
      <c r="B17" s="539">
        <v>11</v>
      </c>
      <c r="C17" s="531">
        <v>5.4</v>
      </c>
      <c r="D17" s="537" t="s">
        <v>138</v>
      </c>
      <c r="E17" s="540">
        <v>5.4</v>
      </c>
      <c r="G17" s="657" t="s">
        <v>875</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41" t="s">
        <v>194</v>
      </c>
      <c r="C4" s="941"/>
      <c r="D4" s="941"/>
      <c r="E4" s="941"/>
      <c r="F4" s="941"/>
      <c r="G4" s="941"/>
      <c r="H4" s="941"/>
      <c r="I4" s="941"/>
      <c r="J4" s="941"/>
      <c r="K4" s="941"/>
      <c r="L4" s="941"/>
      <c r="M4" s="941"/>
      <c r="N4" s="941"/>
      <c r="O4" s="941"/>
      <c r="P4" s="941"/>
      <c r="Q4" s="941"/>
      <c r="R4" s="941"/>
      <c r="S4" s="941"/>
      <c r="T4" s="941"/>
      <c r="U4" s="941"/>
    </row>
    <row r="5" spans="2:21" ht="36.75" customHeight="1" thickTop="1" x14ac:dyDescent="0.2">
      <c r="B5" s="662" t="s">
        <v>810</v>
      </c>
      <c r="C5" s="662" t="s">
        <v>616</v>
      </c>
      <c r="D5" s="662" t="s">
        <v>619</v>
      </c>
      <c r="E5" s="662" t="s">
        <v>876</v>
      </c>
      <c r="F5" s="675" t="s">
        <v>877</v>
      </c>
      <c r="G5" s="938" t="s">
        <v>197</v>
      </c>
      <c r="H5" s="939"/>
      <c r="I5" s="940"/>
      <c r="J5" s="797" t="s">
        <v>205</v>
      </c>
      <c r="K5" s="939"/>
      <c r="L5" s="939"/>
      <c r="M5" s="940"/>
      <c r="N5" s="797" t="s">
        <v>202</v>
      </c>
      <c r="O5" s="939"/>
      <c r="P5" s="939"/>
      <c r="Q5" s="940"/>
      <c r="R5" s="797" t="s">
        <v>204</v>
      </c>
      <c r="S5" s="939"/>
      <c r="T5" s="939"/>
      <c r="U5" s="940"/>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30"/>
      <c r="C4" s="930"/>
      <c r="D4" s="930"/>
      <c r="E4" s="930"/>
    </row>
    <row r="5" spans="2:5" ht="16.5" customHeight="1" thickBot="1" x14ac:dyDescent="0.25">
      <c r="B5" s="924" t="s">
        <v>232</v>
      </c>
      <c r="C5" s="925"/>
      <c r="D5" s="925"/>
      <c r="E5" s="925"/>
    </row>
    <row r="6" spans="2:5" ht="30" customHeight="1" thickBot="1" x14ac:dyDescent="0.25">
      <c r="B6" s="942" t="s">
        <v>228</v>
      </c>
      <c r="C6" s="943"/>
      <c r="D6" s="942" t="s">
        <v>229</v>
      </c>
      <c r="E6" s="943"/>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1"/>
      <c r="C4" s="822"/>
      <c r="D4" s="822"/>
      <c r="E4" s="822"/>
      <c r="F4" s="822"/>
      <c r="G4" s="822"/>
    </row>
    <row r="5" spans="2:7" ht="18" customHeight="1" thickBot="1" x14ac:dyDescent="0.25">
      <c r="B5" s="924" t="s">
        <v>463</v>
      </c>
      <c r="C5" s="925"/>
      <c r="D5" s="925"/>
      <c r="E5" s="925"/>
      <c r="F5" s="925"/>
      <c r="G5" s="926"/>
    </row>
    <row r="6" spans="2:7" ht="18" customHeight="1" thickBot="1" x14ac:dyDescent="0.25">
      <c r="B6" s="948"/>
      <c r="C6" s="949"/>
      <c r="D6" s="949"/>
      <c r="E6" s="949"/>
      <c r="F6" s="949"/>
      <c r="G6" s="950"/>
    </row>
    <row r="7" spans="2:7" ht="13.5" thickBot="1" x14ac:dyDescent="0.25">
      <c r="B7" s="70"/>
      <c r="C7" s="70"/>
      <c r="D7" s="112" t="s">
        <v>30</v>
      </c>
      <c r="E7" s="112" t="s">
        <v>271</v>
      </c>
      <c r="F7" s="112" t="s">
        <v>72</v>
      </c>
      <c r="G7" s="112" t="s">
        <v>270</v>
      </c>
    </row>
    <row r="8" spans="2:7" ht="15.75" customHeight="1" thickBot="1" x14ac:dyDescent="0.25">
      <c r="B8" s="946" t="s">
        <v>269</v>
      </c>
      <c r="C8" s="947"/>
      <c r="D8" s="109">
        <v>596</v>
      </c>
    </row>
    <row r="9" spans="2:7" ht="15.75" customHeight="1" thickBot="1" x14ac:dyDescent="0.25">
      <c r="B9" s="946" t="s">
        <v>268</v>
      </c>
      <c r="C9" s="947"/>
      <c r="D9" s="109">
        <v>8</v>
      </c>
    </row>
    <row r="10" spans="2:7" ht="13.5" thickBot="1" x14ac:dyDescent="0.25">
      <c r="B10" s="946" t="s">
        <v>267</v>
      </c>
      <c r="C10" s="947"/>
      <c r="D10" s="109">
        <v>2</v>
      </c>
    </row>
    <row r="11" spans="2:7" ht="13.5" thickBot="1" x14ac:dyDescent="0.25">
      <c r="B11" s="946" t="s">
        <v>266</v>
      </c>
      <c r="C11" s="947"/>
      <c r="D11" s="111">
        <f>6*D9</f>
        <v>48</v>
      </c>
      <c r="E11" s="216" t="s">
        <v>449</v>
      </c>
    </row>
    <row r="12" spans="2:7" ht="13.5" thickBot="1" x14ac:dyDescent="0.25">
      <c r="B12" s="110"/>
      <c r="C12" s="110"/>
    </row>
    <row r="13" spans="2:7" ht="13.5" thickBot="1" x14ac:dyDescent="0.25">
      <c r="B13" s="944" t="s">
        <v>265</v>
      </c>
      <c r="C13" s="951"/>
      <c r="D13" s="109">
        <v>1200</v>
      </c>
      <c r="E13" s="107"/>
      <c r="F13" s="114">
        <f>(D13-($D$10*$D$8))/D13</f>
        <v>6.6666666666666671E-3</v>
      </c>
      <c r="G13" s="106">
        <f>E13*F13+E13</f>
        <v>0</v>
      </c>
    </row>
    <row r="14" spans="2:7" ht="13.5" thickBot="1" x14ac:dyDescent="0.25">
      <c r="B14" s="944" t="s">
        <v>264</v>
      </c>
      <c r="C14" s="945"/>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1"/>
      <c r="C4" s="822"/>
      <c r="D4" s="822"/>
    </row>
    <row r="5" spans="2:10" ht="18" customHeight="1" thickBot="1" x14ac:dyDescent="0.25">
      <c r="B5" s="924" t="s">
        <v>347</v>
      </c>
      <c r="C5" s="925"/>
      <c r="D5" s="925"/>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52"/>
      <c r="G13" s="952"/>
      <c r="H13" s="952"/>
      <c r="I13" s="952"/>
      <c r="J13" s="952"/>
    </row>
    <row r="14" spans="2:10" ht="13.5" customHeight="1" thickBot="1" x14ac:dyDescent="0.25">
      <c r="B14" s="173" t="s">
        <v>117</v>
      </c>
      <c r="C14" s="168">
        <v>3</v>
      </c>
      <c r="D14" s="66" t="s">
        <v>30</v>
      </c>
      <c r="F14" s="952"/>
      <c r="G14" s="952"/>
      <c r="H14" s="952"/>
      <c r="I14" s="952"/>
      <c r="J14" s="952"/>
    </row>
    <row r="15" spans="2:10" ht="13.5" thickBot="1" x14ac:dyDescent="0.25">
      <c r="B15" s="173" t="s">
        <v>351</v>
      </c>
      <c r="C15" s="170">
        <v>98</v>
      </c>
      <c r="D15" s="66" t="s">
        <v>30</v>
      </c>
      <c r="F15" s="952"/>
      <c r="G15" s="952"/>
      <c r="H15" s="952"/>
      <c r="I15" s="952"/>
      <c r="J15" s="952"/>
    </row>
    <row r="16" spans="2:10" ht="13.5" thickBot="1" x14ac:dyDescent="0.25">
      <c r="B16" s="173" t="s">
        <v>348</v>
      </c>
      <c r="C16" s="169">
        <v>100</v>
      </c>
      <c r="D16" s="66" t="s">
        <v>349</v>
      </c>
      <c r="F16" s="952"/>
      <c r="G16" s="952"/>
      <c r="H16" s="952"/>
      <c r="I16" s="952"/>
      <c r="J16" s="952"/>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1"/>
      <c r="C21" s="822"/>
      <c r="D21" s="822"/>
    </row>
    <row r="22" spans="2:4" ht="13.5" thickBot="1" x14ac:dyDescent="0.25">
      <c r="B22" s="924" t="s">
        <v>364</v>
      </c>
      <c r="C22" s="925"/>
      <c r="D22" s="925"/>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1"/>
      <c r="C43" s="822"/>
      <c r="D43" s="822"/>
    </row>
    <row r="44" spans="2:4" ht="13.5" thickBot="1" x14ac:dyDescent="0.25">
      <c r="B44" s="924" t="s">
        <v>365</v>
      </c>
      <c r="C44" s="925"/>
      <c r="D44" s="925"/>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897</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53"/>
      <c r="D3" s="954"/>
      <c r="E3" s="954"/>
      <c r="F3" s="954"/>
      <c r="G3" s="954"/>
      <c r="H3" s="954"/>
      <c r="I3" s="954"/>
      <c r="J3" s="954"/>
      <c r="K3" s="955"/>
      <c r="L3" s="966" t="s">
        <v>421</v>
      </c>
      <c r="M3" s="967"/>
      <c r="N3" s="967"/>
      <c r="O3" s="967"/>
      <c r="P3" s="967"/>
      <c r="Q3" s="967"/>
      <c r="R3" s="967"/>
      <c r="S3" s="967"/>
      <c r="T3" s="967"/>
      <c r="U3" s="967"/>
      <c r="V3" s="967"/>
      <c r="W3" s="967"/>
      <c r="X3" s="968"/>
      <c r="Y3" s="187"/>
    </row>
    <row r="4" spans="2:25" ht="12.75" customHeight="1" x14ac:dyDescent="0.2">
      <c r="B4" s="186"/>
      <c r="C4" s="956"/>
      <c r="D4" s="957"/>
      <c r="E4" s="957"/>
      <c r="F4" s="957"/>
      <c r="G4" s="957"/>
      <c r="H4" s="957"/>
      <c r="I4" s="957"/>
      <c r="J4" s="957"/>
      <c r="K4" s="958"/>
      <c r="L4" s="969"/>
      <c r="M4" s="970"/>
      <c r="N4" s="970"/>
      <c r="O4" s="970"/>
      <c r="P4" s="970"/>
      <c r="Q4" s="970"/>
      <c r="R4" s="970"/>
      <c r="S4" s="970"/>
      <c r="T4" s="970"/>
      <c r="U4" s="970"/>
      <c r="V4" s="970"/>
      <c r="W4" s="970"/>
      <c r="X4" s="971"/>
      <c r="Y4" s="187"/>
    </row>
    <row r="5" spans="2:25" ht="12.75" customHeight="1" x14ac:dyDescent="0.2">
      <c r="B5" s="186"/>
      <c r="C5" s="956"/>
      <c r="D5" s="957"/>
      <c r="E5" s="957"/>
      <c r="F5" s="957"/>
      <c r="G5" s="957"/>
      <c r="H5" s="957"/>
      <c r="I5" s="957"/>
      <c r="J5" s="957"/>
      <c r="K5" s="958"/>
      <c r="L5" s="969"/>
      <c r="M5" s="970"/>
      <c r="N5" s="970"/>
      <c r="O5" s="970"/>
      <c r="P5" s="970"/>
      <c r="Q5" s="970"/>
      <c r="R5" s="970"/>
      <c r="S5" s="970"/>
      <c r="T5" s="970"/>
      <c r="U5" s="970"/>
      <c r="V5" s="970"/>
      <c r="W5" s="970"/>
      <c r="X5" s="971"/>
      <c r="Y5" s="187"/>
    </row>
    <row r="6" spans="2:25" ht="12.75" customHeight="1" x14ac:dyDescent="0.2">
      <c r="B6" s="186"/>
      <c r="C6" s="956"/>
      <c r="D6" s="957"/>
      <c r="E6" s="957"/>
      <c r="F6" s="957"/>
      <c r="G6" s="957"/>
      <c r="H6" s="957"/>
      <c r="I6" s="957"/>
      <c r="J6" s="957"/>
      <c r="K6" s="958"/>
      <c r="L6" s="969"/>
      <c r="M6" s="970"/>
      <c r="N6" s="970"/>
      <c r="O6" s="970"/>
      <c r="P6" s="970"/>
      <c r="Q6" s="970"/>
      <c r="R6" s="970"/>
      <c r="S6" s="970"/>
      <c r="T6" s="970"/>
      <c r="U6" s="970"/>
      <c r="V6" s="970"/>
      <c r="W6" s="970"/>
      <c r="X6" s="971"/>
      <c r="Y6" s="187"/>
    </row>
    <row r="7" spans="2:25" ht="13.5" customHeight="1" thickBot="1" x14ac:dyDescent="0.25">
      <c r="B7" s="186"/>
      <c r="C7" s="959"/>
      <c r="D7" s="960"/>
      <c r="E7" s="960"/>
      <c r="F7" s="960"/>
      <c r="G7" s="960"/>
      <c r="H7" s="960"/>
      <c r="I7" s="960"/>
      <c r="J7" s="960"/>
      <c r="K7" s="961"/>
      <c r="L7" s="972"/>
      <c r="M7" s="973"/>
      <c r="N7" s="973"/>
      <c r="O7" s="973"/>
      <c r="P7" s="973"/>
      <c r="Q7" s="973"/>
      <c r="R7" s="973"/>
      <c r="S7" s="973"/>
      <c r="T7" s="973"/>
      <c r="U7" s="973"/>
      <c r="V7" s="973"/>
      <c r="W7" s="973"/>
      <c r="X7" s="974"/>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75" t="s">
        <v>422</v>
      </c>
      <c r="D9" s="975"/>
      <c r="E9" s="975"/>
      <c r="F9" s="975"/>
      <c r="G9" s="975"/>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76" t="s">
        <v>424</v>
      </c>
      <c r="E11" s="976"/>
      <c r="F11" s="976"/>
      <c r="G11" s="976"/>
      <c r="H11" s="182"/>
      <c r="I11" s="198" t="s">
        <v>423</v>
      </c>
      <c r="J11" s="962">
        <v>762</v>
      </c>
      <c r="K11" s="963"/>
      <c r="L11" s="182"/>
      <c r="M11" s="182"/>
      <c r="N11" s="182"/>
      <c r="O11" s="182"/>
      <c r="P11" s="182"/>
      <c r="Q11" s="182"/>
      <c r="R11" s="182"/>
      <c r="S11" s="182"/>
      <c r="T11" s="182"/>
      <c r="U11" s="182"/>
      <c r="V11" s="182"/>
      <c r="W11" s="182"/>
      <c r="X11" s="182"/>
      <c r="Y11" s="187"/>
    </row>
    <row r="12" spans="2:25" ht="13.5" thickBot="1" x14ac:dyDescent="0.25">
      <c r="B12" s="186"/>
      <c r="C12" s="193" t="s">
        <v>425</v>
      </c>
      <c r="D12" s="976" t="s">
        <v>512</v>
      </c>
      <c r="E12" s="976"/>
      <c r="F12" s="976"/>
      <c r="G12" s="976"/>
      <c r="H12" s="182"/>
      <c r="I12" s="198" t="s">
        <v>425</v>
      </c>
      <c r="J12" s="962">
        <v>1829</v>
      </c>
      <c r="K12" s="963"/>
      <c r="L12" s="182"/>
      <c r="M12" s="182"/>
      <c r="N12" s="979">
        <f>(((PI()*(J12/1000/2)^2)*J13/1000)-((PI()*(J11/1000/2)^2)*J13/1000))*7.85</f>
        <v>20.453734607667172</v>
      </c>
      <c r="O12" s="979"/>
      <c r="P12" s="979"/>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62">
        <v>1200</v>
      </c>
      <c r="K13" s="963"/>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75" t="s">
        <v>426</v>
      </c>
      <c r="D15" s="975"/>
      <c r="E15" s="975"/>
      <c r="F15" s="975"/>
      <c r="G15" s="975"/>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76">
        <v>508</v>
      </c>
      <c r="E17" s="976"/>
      <c r="F17" s="976"/>
      <c r="G17" s="976"/>
      <c r="H17" s="182"/>
      <c r="I17" s="182" t="s">
        <v>107</v>
      </c>
      <c r="J17" s="182"/>
      <c r="K17" s="182"/>
      <c r="L17" s="964">
        <v>0.6</v>
      </c>
      <c r="M17" s="965"/>
      <c r="N17" s="199" t="s">
        <v>389</v>
      </c>
      <c r="O17" s="182"/>
      <c r="P17" s="182"/>
      <c r="Q17" s="182"/>
      <c r="R17" s="182"/>
      <c r="S17" s="182"/>
      <c r="T17" s="182"/>
      <c r="U17" s="182"/>
      <c r="V17" s="182"/>
      <c r="W17" s="182"/>
      <c r="X17" s="182"/>
      <c r="Y17" s="187"/>
    </row>
    <row r="18" spans="2:25" ht="13.5" thickBot="1" x14ac:dyDescent="0.25">
      <c r="B18" s="186"/>
      <c r="C18" s="193" t="s">
        <v>425</v>
      </c>
      <c r="D18" s="976" t="s">
        <v>428</v>
      </c>
      <c r="E18" s="976"/>
      <c r="F18" s="976"/>
      <c r="G18" s="976"/>
      <c r="H18" s="182"/>
      <c r="I18" s="182" t="s">
        <v>429</v>
      </c>
      <c r="J18" s="182"/>
      <c r="K18" s="182"/>
      <c r="L18" s="962">
        <v>109</v>
      </c>
      <c r="M18" s="963"/>
      <c r="N18" s="199" t="s">
        <v>30</v>
      </c>
      <c r="O18" s="182"/>
      <c r="Q18" s="980">
        <f>(L17*1000)/((L19/1000)*(L18/1000)*7850)</f>
        <v>233.74043125109569</v>
      </c>
      <c r="R18" s="980"/>
      <c r="S18" s="980"/>
      <c r="T18" s="199" t="s">
        <v>430</v>
      </c>
      <c r="U18" s="182"/>
      <c r="V18" s="182"/>
      <c r="W18" s="182"/>
      <c r="X18" s="182"/>
      <c r="Y18" s="187"/>
    </row>
    <row r="19" spans="2:25" ht="13.5" thickBot="1" x14ac:dyDescent="0.25">
      <c r="B19" s="186"/>
      <c r="C19" s="193"/>
      <c r="D19" s="201"/>
      <c r="E19" s="201"/>
      <c r="F19" s="201"/>
      <c r="G19" s="201"/>
      <c r="H19" s="182"/>
      <c r="I19" s="202" t="s">
        <v>117</v>
      </c>
      <c r="J19" s="182"/>
      <c r="K19" s="182"/>
      <c r="L19" s="962">
        <v>3</v>
      </c>
      <c r="M19" s="963"/>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64">
        <v>0.6</v>
      </c>
      <c r="M21" s="965"/>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80">
        <f>L21*1000/L23</f>
        <v>233.73587845734318</v>
      </c>
      <c r="R22" s="980"/>
      <c r="S22" s="980"/>
      <c r="T22" s="199" t="s">
        <v>430</v>
      </c>
      <c r="U22" s="182"/>
      <c r="V22" s="182"/>
      <c r="W22" s="182"/>
      <c r="X22" s="182"/>
      <c r="Y22" s="187"/>
    </row>
    <row r="23" spans="2:25" ht="13.5" thickBot="1" x14ac:dyDescent="0.25">
      <c r="B23" s="186"/>
      <c r="C23" s="193"/>
      <c r="D23" s="201"/>
      <c r="E23" s="201"/>
      <c r="F23" s="201"/>
      <c r="G23" s="201"/>
      <c r="H23" s="182"/>
      <c r="I23" s="195" t="s">
        <v>431</v>
      </c>
      <c r="J23" s="182"/>
      <c r="K23" s="182"/>
      <c r="L23" s="977">
        <v>2.5670000000000002</v>
      </c>
      <c r="M23" s="978"/>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53"/>
      <c r="D3" s="954"/>
      <c r="E3" s="954"/>
      <c r="F3" s="954"/>
      <c r="G3" s="954"/>
      <c r="H3" s="954"/>
      <c r="I3" s="954"/>
      <c r="J3" s="954"/>
      <c r="K3" s="954"/>
      <c r="L3" s="954"/>
      <c r="M3" s="954"/>
      <c r="N3" s="954"/>
      <c r="O3" s="954"/>
      <c r="P3" s="955"/>
      <c r="Q3" s="984" t="s">
        <v>433</v>
      </c>
      <c r="R3" s="985"/>
      <c r="S3" s="985"/>
      <c r="T3" s="985"/>
      <c r="U3" s="985"/>
      <c r="V3" s="985"/>
      <c r="W3" s="985"/>
      <c r="X3" s="985"/>
      <c r="Y3" s="985"/>
      <c r="Z3" s="986"/>
      <c r="AA3" s="187"/>
    </row>
    <row r="4" spans="2:27" ht="12.75" customHeight="1" x14ac:dyDescent="0.2">
      <c r="B4" s="186"/>
      <c r="C4" s="956"/>
      <c r="D4" s="957"/>
      <c r="E4" s="957"/>
      <c r="F4" s="957"/>
      <c r="G4" s="957"/>
      <c r="H4" s="957"/>
      <c r="I4" s="957"/>
      <c r="J4" s="957"/>
      <c r="K4" s="957"/>
      <c r="L4" s="957"/>
      <c r="M4" s="957"/>
      <c r="N4" s="957"/>
      <c r="O4" s="957"/>
      <c r="P4" s="958"/>
      <c r="Q4" s="987"/>
      <c r="R4" s="988"/>
      <c r="S4" s="988"/>
      <c r="T4" s="988"/>
      <c r="U4" s="988"/>
      <c r="V4" s="988"/>
      <c r="W4" s="988"/>
      <c r="X4" s="988"/>
      <c r="Y4" s="988"/>
      <c r="Z4" s="989"/>
      <c r="AA4" s="187"/>
    </row>
    <row r="5" spans="2:27" ht="12.75" customHeight="1" x14ac:dyDescent="0.2">
      <c r="B5" s="186"/>
      <c r="C5" s="956"/>
      <c r="D5" s="957"/>
      <c r="E5" s="957"/>
      <c r="F5" s="957"/>
      <c r="G5" s="957"/>
      <c r="H5" s="957"/>
      <c r="I5" s="957"/>
      <c r="J5" s="957"/>
      <c r="K5" s="957"/>
      <c r="L5" s="957"/>
      <c r="M5" s="957"/>
      <c r="N5" s="957"/>
      <c r="O5" s="957"/>
      <c r="P5" s="958"/>
      <c r="Q5" s="987"/>
      <c r="R5" s="988"/>
      <c r="S5" s="988"/>
      <c r="T5" s="988"/>
      <c r="U5" s="988"/>
      <c r="V5" s="988"/>
      <c r="W5" s="988"/>
      <c r="X5" s="988"/>
      <c r="Y5" s="988"/>
      <c r="Z5" s="989"/>
      <c r="AA5" s="187"/>
    </row>
    <row r="6" spans="2:27" ht="12.75" customHeight="1" x14ac:dyDescent="0.2">
      <c r="B6" s="186"/>
      <c r="C6" s="956"/>
      <c r="D6" s="957"/>
      <c r="E6" s="957"/>
      <c r="F6" s="957"/>
      <c r="G6" s="957"/>
      <c r="H6" s="957"/>
      <c r="I6" s="957"/>
      <c r="J6" s="957"/>
      <c r="K6" s="957"/>
      <c r="L6" s="957"/>
      <c r="M6" s="957"/>
      <c r="N6" s="957"/>
      <c r="O6" s="957"/>
      <c r="P6" s="958"/>
      <c r="Q6" s="987"/>
      <c r="R6" s="988"/>
      <c r="S6" s="988"/>
      <c r="T6" s="988"/>
      <c r="U6" s="988"/>
      <c r="V6" s="988"/>
      <c r="W6" s="988"/>
      <c r="X6" s="988"/>
      <c r="Y6" s="988"/>
      <c r="Z6" s="989"/>
      <c r="AA6" s="187"/>
    </row>
    <row r="7" spans="2:27" ht="13.5" customHeight="1" thickBot="1" x14ac:dyDescent="0.25">
      <c r="B7" s="186"/>
      <c r="C7" s="959"/>
      <c r="D7" s="960"/>
      <c r="E7" s="960"/>
      <c r="F7" s="960"/>
      <c r="G7" s="960"/>
      <c r="H7" s="960"/>
      <c r="I7" s="960"/>
      <c r="J7" s="960"/>
      <c r="K7" s="960"/>
      <c r="L7" s="960"/>
      <c r="M7" s="960"/>
      <c r="N7" s="960"/>
      <c r="O7" s="960"/>
      <c r="P7" s="961"/>
      <c r="Q7" s="990"/>
      <c r="R7" s="991"/>
      <c r="S7" s="991"/>
      <c r="T7" s="991"/>
      <c r="U7" s="991"/>
      <c r="V7" s="991"/>
      <c r="W7" s="991"/>
      <c r="X7" s="991"/>
      <c r="Y7" s="991"/>
      <c r="Z7" s="992"/>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996">
        <v>5</v>
      </c>
      <c r="D9" s="996"/>
      <c r="E9" s="203" t="s">
        <v>320</v>
      </c>
      <c r="F9" s="204"/>
      <c r="G9" s="204"/>
      <c r="H9" s="995">
        <v>1100</v>
      </c>
      <c r="I9" s="995"/>
      <c r="J9" s="203" t="s">
        <v>434</v>
      </c>
      <c r="K9" s="204"/>
      <c r="L9" s="204"/>
      <c r="M9" s="981">
        <v>0.34200000000000003</v>
      </c>
      <c r="N9" s="981"/>
      <c r="O9" s="205" t="s">
        <v>435</v>
      </c>
      <c r="R9" s="995">
        <v>341.7</v>
      </c>
      <c r="S9" s="995"/>
      <c r="T9" s="203" t="s">
        <v>436</v>
      </c>
      <c r="U9" s="204"/>
      <c r="V9" s="204"/>
      <c r="W9" s="995">
        <v>1.23</v>
      </c>
      <c r="X9" s="995"/>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93">
        <f>C9/60</f>
        <v>8.3333333333333329E-2</v>
      </c>
      <c r="D11" s="993"/>
      <c r="E11" s="205" t="s">
        <v>435</v>
      </c>
      <c r="H11" s="994">
        <f>H9/60</f>
        <v>18.333333333333332</v>
      </c>
      <c r="I11" s="994"/>
      <c r="J11" s="205" t="s">
        <v>320</v>
      </c>
      <c r="M11" s="994">
        <f>M9*60</f>
        <v>20.520000000000003</v>
      </c>
      <c r="N11" s="994"/>
      <c r="O11" s="205" t="s">
        <v>320</v>
      </c>
      <c r="R11" s="994">
        <f>R9/1000*60</f>
        <v>20.501999999999999</v>
      </c>
      <c r="S11" s="994"/>
      <c r="T11" s="207" t="s">
        <v>320</v>
      </c>
      <c r="W11" s="993">
        <f>W9*1000/60</f>
        <v>20.5</v>
      </c>
      <c r="X11" s="993"/>
      <c r="Y11" s="207" t="s">
        <v>320</v>
      </c>
      <c r="AA11" s="187"/>
    </row>
    <row r="12" spans="2:27" x14ac:dyDescent="0.2">
      <c r="B12" s="186"/>
      <c r="AA12" s="187"/>
    </row>
    <row r="13" spans="2:27" x14ac:dyDescent="0.2">
      <c r="B13" s="186"/>
      <c r="C13" s="983">
        <f>C9*1000/60</f>
        <v>83.333333333333329</v>
      </c>
      <c r="D13" s="983"/>
      <c r="E13" s="203" t="s">
        <v>436</v>
      </c>
      <c r="F13" s="204"/>
      <c r="G13" s="204"/>
      <c r="H13" s="204"/>
      <c r="I13" s="204"/>
      <c r="J13" s="204"/>
      <c r="K13" s="204"/>
      <c r="L13" s="204"/>
      <c r="M13" s="994">
        <f>M9*1000</f>
        <v>342</v>
      </c>
      <c r="N13" s="994"/>
      <c r="O13" s="205" t="s">
        <v>436</v>
      </c>
      <c r="R13" s="982">
        <f>R9/1000</f>
        <v>0.3417</v>
      </c>
      <c r="S13" s="982"/>
      <c r="T13" s="203" t="s">
        <v>435</v>
      </c>
      <c r="U13" s="204"/>
      <c r="V13" s="204"/>
      <c r="W13" s="983">
        <f>W9*1000/3600</f>
        <v>0.34166666666666667</v>
      </c>
      <c r="X13" s="983"/>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82">
        <f>C9*60/1000</f>
        <v>0.3</v>
      </c>
      <c r="D15" s="982"/>
      <c r="E15" s="203" t="s">
        <v>437</v>
      </c>
      <c r="F15" s="204"/>
      <c r="G15" s="204"/>
      <c r="H15" s="204"/>
      <c r="I15" s="204"/>
      <c r="J15" s="204"/>
      <c r="K15" s="204"/>
      <c r="L15" s="204"/>
      <c r="M15" s="993">
        <f>M9/1000*3600</f>
        <v>1.2312000000000001</v>
      </c>
      <c r="N15" s="993"/>
      <c r="O15" s="205" t="s">
        <v>437</v>
      </c>
      <c r="R15" s="982">
        <f>R9/1000/1000*3600</f>
        <v>1.2301200000000001</v>
      </c>
      <c r="S15" s="982"/>
      <c r="T15" s="203" t="s">
        <v>437</v>
      </c>
      <c r="U15" s="204"/>
      <c r="V15" s="204"/>
      <c r="W15" s="983">
        <f>W9*1000*1000/3600</f>
        <v>341.66666666666669</v>
      </c>
      <c r="X15" s="983"/>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83">
        <f>C9*60</f>
        <v>300</v>
      </c>
      <c r="D17" s="983"/>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53"/>
      <c r="D3" s="954"/>
      <c r="E3" s="954"/>
      <c r="F3" s="954"/>
      <c r="G3" s="954"/>
      <c r="H3" s="954"/>
      <c r="I3" s="954"/>
      <c r="J3" s="954"/>
      <c r="K3" s="955"/>
      <c r="L3" s="999" t="s">
        <v>438</v>
      </c>
      <c r="M3" s="1000"/>
      <c r="N3" s="1000"/>
      <c r="O3" s="1000"/>
      <c r="P3" s="1000"/>
      <c r="Q3" s="1000"/>
      <c r="R3" s="1000"/>
      <c r="S3" s="1000"/>
      <c r="T3" s="1000"/>
      <c r="U3" s="1000"/>
      <c r="V3" s="1000"/>
      <c r="W3" s="1000"/>
      <c r="X3" s="1000"/>
      <c r="Y3" s="1000"/>
      <c r="Z3" s="1000"/>
      <c r="AA3" s="1000"/>
      <c r="AB3" s="1000"/>
      <c r="AC3" s="1000"/>
      <c r="AD3" s="1000"/>
      <c r="AE3" s="1000"/>
      <c r="AF3" s="1000"/>
      <c r="AG3" s="1000"/>
      <c r="AH3" s="1000"/>
      <c r="AI3" s="1000"/>
      <c r="AJ3" s="1000"/>
      <c r="AK3" s="1000"/>
      <c r="AL3" s="1000"/>
      <c r="AM3" s="1000"/>
      <c r="AN3" s="1000"/>
      <c r="AO3" s="1000"/>
      <c r="AP3" s="1000"/>
      <c r="AQ3" s="1000"/>
      <c r="AR3" s="1000"/>
      <c r="AS3" s="1000"/>
      <c r="AT3" s="1000"/>
      <c r="AU3" s="1001"/>
      <c r="AV3" s="187"/>
    </row>
    <row r="4" spans="2:48" ht="12.75" customHeight="1" x14ac:dyDescent="0.2">
      <c r="B4" s="186"/>
      <c r="C4" s="956"/>
      <c r="D4" s="957"/>
      <c r="E4" s="957"/>
      <c r="F4" s="957"/>
      <c r="G4" s="957"/>
      <c r="H4" s="957"/>
      <c r="I4" s="957"/>
      <c r="J4" s="957"/>
      <c r="K4" s="958"/>
      <c r="L4" s="1002"/>
      <c r="M4" s="1003"/>
      <c r="N4" s="1003"/>
      <c r="O4" s="1003"/>
      <c r="P4" s="1003"/>
      <c r="Q4" s="1003"/>
      <c r="R4" s="1003"/>
      <c r="S4" s="1003"/>
      <c r="T4" s="1003"/>
      <c r="U4" s="1003"/>
      <c r="V4" s="1003"/>
      <c r="W4" s="1003"/>
      <c r="X4" s="1003"/>
      <c r="Y4" s="1003"/>
      <c r="Z4" s="1003"/>
      <c r="AA4" s="1003"/>
      <c r="AB4" s="1003"/>
      <c r="AC4" s="1003"/>
      <c r="AD4" s="1003"/>
      <c r="AE4" s="1003"/>
      <c r="AF4" s="1003"/>
      <c r="AG4" s="1003"/>
      <c r="AH4" s="1003"/>
      <c r="AI4" s="1003"/>
      <c r="AJ4" s="1003"/>
      <c r="AK4" s="1003"/>
      <c r="AL4" s="1003"/>
      <c r="AM4" s="1003"/>
      <c r="AN4" s="1003"/>
      <c r="AO4" s="1003"/>
      <c r="AP4" s="1003"/>
      <c r="AQ4" s="1003"/>
      <c r="AR4" s="1003"/>
      <c r="AS4" s="1003"/>
      <c r="AT4" s="1003"/>
      <c r="AU4" s="1004"/>
      <c r="AV4" s="187"/>
    </row>
    <row r="5" spans="2:48" ht="12.75" customHeight="1" x14ac:dyDescent="0.2">
      <c r="B5" s="186"/>
      <c r="C5" s="956"/>
      <c r="D5" s="957"/>
      <c r="E5" s="957"/>
      <c r="F5" s="957"/>
      <c r="G5" s="957"/>
      <c r="H5" s="957"/>
      <c r="I5" s="957"/>
      <c r="J5" s="957"/>
      <c r="K5" s="958"/>
      <c r="L5" s="1002"/>
      <c r="M5" s="1003"/>
      <c r="N5" s="1003"/>
      <c r="O5" s="1003"/>
      <c r="P5" s="1003"/>
      <c r="Q5" s="1003"/>
      <c r="R5" s="1003"/>
      <c r="S5" s="1003"/>
      <c r="T5" s="1003"/>
      <c r="U5" s="1003"/>
      <c r="V5" s="1003"/>
      <c r="W5" s="1003"/>
      <c r="X5" s="1003"/>
      <c r="Y5" s="1003"/>
      <c r="Z5" s="1003"/>
      <c r="AA5" s="1003"/>
      <c r="AB5" s="1003"/>
      <c r="AC5" s="1003"/>
      <c r="AD5" s="1003"/>
      <c r="AE5" s="1003"/>
      <c r="AF5" s="1003"/>
      <c r="AG5" s="1003"/>
      <c r="AH5" s="1003"/>
      <c r="AI5" s="1003"/>
      <c r="AJ5" s="1003"/>
      <c r="AK5" s="1003"/>
      <c r="AL5" s="1003"/>
      <c r="AM5" s="1003"/>
      <c r="AN5" s="1003"/>
      <c r="AO5" s="1003"/>
      <c r="AP5" s="1003"/>
      <c r="AQ5" s="1003"/>
      <c r="AR5" s="1003"/>
      <c r="AS5" s="1003"/>
      <c r="AT5" s="1003"/>
      <c r="AU5" s="1004"/>
      <c r="AV5" s="187"/>
    </row>
    <row r="6" spans="2:48" ht="12.75" customHeight="1" x14ac:dyDescent="0.2">
      <c r="B6" s="186"/>
      <c r="C6" s="956"/>
      <c r="D6" s="957"/>
      <c r="E6" s="957"/>
      <c r="F6" s="957"/>
      <c r="G6" s="957"/>
      <c r="H6" s="957"/>
      <c r="I6" s="957"/>
      <c r="J6" s="957"/>
      <c r="K6" s="958"/>
      <c r="L6" s="1002"/>
      <c r="M6" s="1003"/>
      <c r="N6" s="1003"/>
      <c r="O6" s="1003"/>
      <c r="P6" s="1003"/>
      <c r="Q6" s="1003"/>
      <c r="R6" s="1003"/>
      <c r="S6" s="1003"/>
      <c r="T6" s="1003"/>
      <c r="U6" s="1003"/>
      <c r="V6" s="1003"/>
      <c r="W6" s="1003"/>
      <c r="X6" s="1003"/>
      <c r="Y6" s="1003"/>
      <c r="Z6" s="1003"/>
      <c r="AA6" s="1003"/>
      <c r="AB6" s="1003"/>
      <c r="AC6" s="1003"/>
      <c r="AD6" s="1003"/>
      <c r="AE6" s="1003"/>
      <c r="AF6" s="1003"/>
      <c r="AG6" s="1003"/>
      <c r="AH6" s="1003"/>
      <c r="AI6" s="1003"/>
      <c r="AJ6" s="1003"/>
      <c r="AK6" s="1003"/>
      <c r="AL6" s="1003"/>
      <c r="AM6" s="1003"/>
      <c r="AN6" s="1003"/>
      <c r="AO6" s="1003"/>
      <c r="AP6" s="1003"/>
      <c r="AQ6" s="1003"/>
      <c r="AR6" s="1003"/>
      <c r="AS6" s="1003"/>
      <c r="AT6" s="1003"/>
      <c r="AU6" s="1004"/>
      <c r="AV6" s="187"/>
    </row>
    <row r="7" spans="2:48" ht="13.5" customHeight="1" thickBot="1" x14ac:dyDescent="0.25">
      <c r="B7" s="186"/>
      <c r="C7" s="959"/>
      <c r="D7" s="960"/>
      <c r="E7" s="960"/>
      <c r="F7" s="960"/>
      <c r="G7" s="960"/>
      <c r="H7" s="960"/>
      <c r="I7" s="960"/>
      <c r="J7" s="960"/>
      <c r="K7" s="961"/>
      <c r="L7" s="1005"/>
      <c r="M7" s="1006"/>
      <c r="N7" s="1006"/>
      <c r="O7" s="1006"/>
      <c r="P7" s="1006"/>
      <c r="Q7" s="1006"/>
      <c r="R7" s="1006"/>
      <c r="S7" s="1006"/>
      <c r="T7" s="1006"/>
      <c r="U7" s="1006"/>
      <c r="V7" s="1006"/>
      <c r="W7" s="1006"/>
      <c r="X7" s="1006"/>
      <c r="Y7" s="1006"/>
      <c r="Z7" s="1006"/>
      <c r="AA7" s="1006"/>
      <c r="AB7" s="1006"/>
      <c r="AC7" s="1006"/>
      <c r="AD7" s="1006"/>
      <c r="AE7" s="1006"/>
      <c r="AF7" s="1006"/>
      <c r="AG7" s="1006"/>
      <c r="AH7" s="1006"/>
      <c r="AI7" s="1006"/>
      <c r="AJ7" s="1006"/>
      <c r="AK7" s="1006"/>
      <c r="AL7" s="1006"/>
      <c r="AM7" s="1006"/>
      <c r="AN7" s="1006"/>
      <c r="AO7" s="1006"/>
      <c r="AP7" s="1006"/>
      <c r="AQ7" s="1006"/>
      <c r="AR7" s="1006"/>
      <c r="AS7" s="1006"/>
      <c r="AT7" s="1006"/>
      <c r="AU7" s="1007"/>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75" t="s">
        <v>438</v>
      </c>
      <c r="D9" s="975"/>
      <c r="E9" s="975"/>
      <c r="F9" s="975"/>
      <c r="G9" s="975"/>
      <c r="H9" s="975"/>
      <c r="I9" s="975"/>
      <c r="J9" s="975"/>
      <c r="K9" s="979">
        <f>D11+(D12/6)+(D13/15)+(D14/5)+(D15/13)+(D16/4)</f>
        <v>0.16255512820512821</v>
      </c>
      <c r="L9" s="979"/>
      <c r="M9" s="209" t="s">
        <v>331</v>
      </c>
      <c r="N9" s="182"/>
      <c r="O9" s="182"/>
      <c r="P9" s="182"/>
      <c r="Q9" s="182"/>
      <c r="R9" s="182"/>
      <c r="S9" s="182"/>
      <c r="T9" s="182"/>
      <c r="U9" s="182"/>
      <c r="V9" s="182"/>
      <c r="W9" s="182"/>
      <c r="X9" s="182"/>
      <c r="Y9" s="210"/>
      <c r="Z9" s="975" t="s">
        <v>438</v>
      </c>
      <c r="AA9" s="975"/>
      <c r="AB9" s="975"/>
      <c r="AC9" s="975"/>
      <c r="AD9" s="975"/>
      <c r="AE9" s="975"/>
      <c r="AF9" s="975"/>
      <c r="AG9" s="975"/>
      <c r="AH9" s="979">
        <f>AA11+AA12/6+(AA13+AA14+AA15)/5+(AA16+AA17)/15</f>
        <v>0.16283333333333333</v>
      </c>
      <c r="AI9" s="979"/>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997">
        <v>0.08</v>
      </c>
      <c r="E11" s="998"/>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997">
        <v>0.08</v>
      </c>
      <c r="AB11" s="998"/>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997">
        <v>0.47099999999999997</v>
      </c>
      <c r="E12" s="998"/>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997">
        <v>0.47099999999999997</v>
      </c>
      <c r="AB12" s="998"/>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997">
        <v>4.0000000000000001E-3</v>
      </c>
      <c r="E13" s="998"/>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997">
        <v>1.4999999999999999E-2</v>
      </c>
      <c r="AB13" s="998"/>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997">
        <v>1.4999999999999999E-2</v>
      </c>
      <c r="E14" s="998"/>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997">
        <v>1E-3</v>
      </c>
      <c r="AB14" s="998"/>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997">
        <v>7.0000000000000001E-3</v>
      </c>
      <c r="E15" s="998"/>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997">
        <v>2E-3</v>
      </c>
      <c r="AB15" s="998"/>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997">
        <v>1E-3</v>
      </c>
      <c r="E16" s="998"/>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997">
        <v>4.0000000000000001E-3</v>
      </c>
      <c r="AB16" s="998"/>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997">
        <v>7.0000000000000001E-3</v>
      </c>
      <c r="AB17" s="998"/>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93"/>
      <c r="C2" s="993"/>
      <c r="D2" s="993"/>
      <c r="E2" s="993"/>
      <c r="Q2" s="785" t="s">
        <v>603</v>
      </c>
      <c r="R2" s="785"/>
      <c r="S2" s="785"/>
      <c r="T2" s="785"/>
      <c r="U2" s="785"/>
      <c r="V2" s="785"/>
      <c r="W2" s="785"/>
      <c r="X2" s="785"/>
    </row>
    <row r="3" spans="2:24" ht="19.5" thickBot="1" x14ac:dyDescent="0.25">
      <c r="B3" s="785" t="s">
        <v>614</v>
      </c>
      <c r="C3" s="785"/>
      <c r="D3" s="785"/>
      <c r="E3" s="785"/>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85" t="s">
        <v>612</v>
      </c>
      <c r="C12" s="785"/>
      <c r="D12" s="785"/>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08" t="s">
        <v>613</v>
      </c>
      <c r="R35" s="1008"/>
      <c r="S35" s="1008"/>
      <c r="T35" s="1008"/>
      <c r="U35" s="1008"/>
      <c r="V35" s="1008"/>
      <c r="W35" s="1008"/>
      <c r="X35" s="1008"/>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
  <Relationship Id="home" Target="images/home.png" Type="http://schemas.openxmlformats.org/officeDocument/2006/relationships/image"/>
  <Relationship Id="rollforming" Target="images/rollforming.png" Type="http://schemas.openxmlformats.org/officeDocument/2006/relationships/image"/>
  <Relationship Id="soldagem" Target="images/soldagem.png" Type="http://schemas.openxmlformats.org/officeDocument/2006/relationships/image"/>
</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2022-01-13T15:19:54Z</cp:lastPrinted>
  <dcterms:created xsi:type="dcterms:W3CDTF">2011-04-12T19:30:48Z</dcterms:created>
  <dcterms:modified xsi:type="dcterms:W3CDTF">2022-02-16T15:53:43Z</dcterms:modified>
</cp:coreProperties>
</file>