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tables/table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8.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home.png" ContentType="image/.PNG"/>
  <Override PartName="/customUI/images/rollforming.png" ContentType="image/.PNG"/>
  <Override PartName="/customUI/images/secaoquadrada.png" ContentType="image/.PNG"/>
  <Override PartName="/customUI/images/tubes.png" ContentType="image/.PNG"/>
  <Override PartName="/customUI/images/KFactor.png" ContentType="image/.PNG"/>
  <Override PartName="/customUI/images/width.png" ContentType="image/.PNG"/>
  <Override PartName="/customUI/images/soldagem.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485d7e8a9aa14e38"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Cronus Prerelease\Excel\Workbooks\Estudos de Viabilidades\Estudos de Viabilidades (Versão 2.X)\"/>
    </mc:Choice>
  </mc:AlternateContent>
  <bookViews>
    <workbookView showSheetTabs="0" xWindow="17455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Pre Punching-PF03" sheetId="26" r:id="rId10"/>
    <sheet name="Pre Punching-PF01" sheetId="35" r:id="rId11"/>
    <sheet name="Dados Slliter" sheetId="42" r:id="rId12"/>
    <sheet name="Embalagem" sheetId="15" r:id="rId13"/>
    <sheet name="Hora-Máquina" sheetId="14" r:id="rId14"/>
    <sheet name="Largura de Tira - Tubo" sheetId="28" r:id="rId15"/>
    <sheet name="Perfil Padrão" sheetId="24" r:id="rId16"/>
    <sheet name="Bobina x tira" sheetId="25" r:id="rId17"/>
    <sheet name="Simuladores" sheetId="27" r:id="rId18"/>
    <sheet name="mm x inches" sheetId="31" state="hidden" r:id="rId19"/>
    <sheet name="Peso de Tira" sheetId="32" r:id="rId20"/>
    <sheet name="Carbono Equivalente" sheetId="34" r:id="rId21"/>
    <sheet name="FORÇA DE DOBRA" sheetId="37" r:id="rId22"/>
  </sheets>
  <functionGroups builtInGroupCount="18"/>
  <externalReferences>
    <externalReference r:id="rId23"/>
    <externalReference r:id="rId24"/>
    <externalReference r:id="rId25"/>
  </externalReferences>
  <definedNames>
    <definedName name="_xlnm.Print_Area" localSheetId="4">'C.S. PJT XXXX'!$B$2:$Q$81</definedName>
    <definedName name="_xlnm.Print_Area" localSheetId="20">'Carbono Equivalente'!$B$2:$AV$33</definedName>
    <definedName name="_xlnm.Print_Area" localSheetId="18">'mm x inches'!$B$2:$L$42</definedName>
    <definedName name="_xlnm.Print_Area" localSheetId="19">'Peso de Tira'!$B$2:$Y$25</definedName>
    <definedName name="_xlnm.Print_Area" localSheetId="0">'PJT XXXX'!$B$2:$Q$159</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D9" i="37" l="1"/>
  <c r="AH9" i="34"/>
  <c r="K9" i="34"/>
  <c r="Q22" i="32"/>
  <c r="Q18" i="32"/>
  <c r="N12" i="32"/>
  <c r="C51" i="27"/>
  <c r="C50" i="27"/>
  <c r="C40" i="27"/>
  <c r="C38" i="27"/>
  <c r="C30" i="27"/>
  <c r="C19" i="27"/>
  <c r="C17" i="27"/>
  <c r="C11" i="27"/>
  <c r="G14" i="25"/>
  <c r="F14" i="25"/>
  <c r="D14" i="25"/>
  <c r="G13" i="25"/>
  <c r="F13" i="25"/>
  <c r="D11" i="25"/>
  <c r="A22" i="28"/>
  <c r="A21" i="28"/>
  <c r="A20" i="28"/>
  <c r="A19" i="28"/>
  <c r="A18" i="28"/>
  <c r="I17" i="28"/>
  <c r="A17" i="28"/>
  <c r="I16" i="28"/>
  <c r="A16" i="28"/>
  <c r="I15" i="28"/>
  <c r="A15" i="28"/>
  <c r="I14" i="28"/>
  <c r="A14" i="28"/>
  <c r="I13" i="28"/>
  <c r="A13" i="28"/>
  <c r="I12" i="28"/>
  <c r="A12" i="28"/>
  <c r="I11" i="28"/>
  <c r="A11" i="28"/>
  <c r="I10" i="28"/>
  <c r="A10" i="28"/>
  <c r="I9" i="28"/>
  <c r="A9" i="28"/>
  <c r="I8" i="28"/>
  <c r="A8" i="28"/>
  <c r="I7" i="28"/>
  <c r="A7" i="28"/>
  <c r="A6" i="28"/>
  <c r="P5" i="28"/>
  <c r="M5" i="28"/>
  <c r="I5" i="28"/>
  <c r="N4" i="28"/>
  <c r="I4" i="28"/>
  <c r="P3" i="28"/>
  <c r="P2" i="28"/>
  <c r="F45" i="14"/>
  <c r="F44" i="14"/>
  <c r="F43" i="14"/>
  <c r="F41" i="14"/>
  <c r="F37" i="14"/>
  <c r="C35" i="14"/>
  <c r="C34" i="14"/>
  <c r="F33" i="14"/>
  <c r="F27" i="14"/>
  <c r="F25" i="14"/>
  <c r="C22" i="14"/>
  <c r="F21" i="14"/>
  <c r="D19" i="14"/>
  <c r="C19" i="14"/>
  <c r="F15" i="14"/>
  <c r="F13" i="14"/>
  <c r="J7" i="15"/>
  <c r="F7" i="15"/>
  <c r="C85" i="35"/>
  <c r="C81" i="35"/>
  <c r="C75" i="35"/>
  <c r="C74" i="35"/>
  <c r="C73" i="35"/>
  <c r="C72" i="35"/>
  <c r="C71" i="35"/>
  <c r="C68" i="35"/>
  <c r="C64" i="35"/>
  <c r="C63" i="35"/>
  <c r="C62" i="35"/>
  <c r="C61" i="35"/>
  <c r="C60" i="35"/>
  <c r="C57" i="35"/>
  <c r="E51" i="35"/>
  <c r="E50" i="35"/>
  <c r="E49" i="35"/>
  <c r="J47" i="35"/>
  <c r="I47" i="35"/>
  <c r="H47" i="35"/>
  <c r="G47" i="35"/>
  <c r="F47" i="35"/>
  <c r="E47" i="35"/>
  <c r="J46" i="35"/>
  <c r="I46" i="35"/>
  <c r="H46" i="35"/>
  <c r="G46" i="35"/>
  <c r="F46" i="35"/>
  <c r="E46" i="35"/>
  <c r="J45" i="35"/>
  <c r="I45" i="35"/>
  <c r="H45" i="35"/>
  <c r="G45" i="35"/>
  <c r="F45" i="35"/>
  <c r="E45" i="35"/>
  <c r="J44" i="35"/>
  <c r="I44" i="35"/>
  <c r="H44" i="35"/>
  <c r="G44" i="35"/>
  <c r="F44" i="35"/>
  <c r="E44" i="35"/>
  <c r="J43" i="35"/>
  <c r="I43" i="35"/>
  <c r="H43" i="35"/>
  <c r="G43" i="35"/>
  <c r="F43" i="35"/>
  <c r="E43" i="35"/>
  <c r="J42" i="35"/>
  <c r="I42" i="35"/>
  <c r="H42" i="35"/>
  <c r="G42" i="35"/>
  <c r="F42" i="35"/>
  <c r="E42" i="35"/>
  <c r="J41" i="35"/>
  <c r="I41" i="35"/>
  <c r="H41" i="35"/>
  <c r="G41" i="35"/>
  <c r="F41" i="35"/>
  <c r="E41" i="35"/>
  <c r="J40" i="35"/>
  <c r="I40" i="35"/>
  <c r="H40" i="35"/>
  <c r="G40" i="35"/>
  <c r="F40" i="35"/>
  <c r="E40" i="35"/>
  <c r="J39" i="35"/>
  <c r="I39" i="35"/>
  <c r="H39" i="35"/>
  <c r="G39" i="35"/>
  <c r="F39" i="35"/>
  <c r="E39" i="35"/>
  <c r="J38" i="35"/>
  <c r="I38" i="35"/>
  <c r="H38" i="35"/>
  <c r="G38" i="35"/>
  <c r="F38" i="35"/>
  <c r="E38" i="35"/>
  <c r="J37" i="35"/>
  <c r="I37" i="35"/>
  <c r="H37" i="35"/>
  <c r="G37" i="35"/>
  <c r="F37" i="35"/>
  <c r="E37" i="35"/>
  <c r="J36" i="35"/>
  <c r="I36" i="35"/>
  <c r="H36" i="35"/>
  <c r="G36" i="35"/>
  <c r="F36" i="35"/>
  <c r="E36" i="35"/>
  <c r="J35" i="35"/>
  <c r="I35" i="35"/>
  <c r="H35" i="35"/>
  <c r="G35" i="35"/>
  <c r="F35" i="35"/>
  <c r="E35" i="35"/>
  <c r="J34" i="35"/>
  <c r="I34" i="35"/>
  <c r="H34" i="35"/>
  <c r="G34" i="35"/>
  <c r="F34" i="35"/>
  <c r="E34" i="35"/>
  <c r="J33" i="35"/>
  <c r="I33" i="35"/>
  <c r="H33" i="35"/>
  <c r="G33" i="35"/>
  <c r="F33" i="35"/>
  <c r="E33" i="35"/>
  <c r="CF32" i="35"/>
  <c r="BS32" i="35"/>
  <c r="BR32" i="35"/>
  <c r="BP32" i="35"/>
  <c r="BO32" i="35"/>
  <c r="BM32" i="35"/>
  <c r="BL32" i="35"/>
  <c r="BJ32" i="35"/>
  <c r="BI32" i="35"/>
  <c r="BG32" i="35"/>
  <c r="BF32" i="35"/>
  <c r="BD32" i="35"/>
  <c r="BC32" i="35"/>
  <c r="BA32" i="35"/>
  <c r="AZ32" i="35"/>
  <c r="AX32" i="35"/>
  <c r="AW32" i="35"/>
  <c r="AU32" i="35"/>
  <c r="AT32" i="35"/>
  <c r="AR32" i="35"/>
  <c r="AQ32" i="35"/>
  <c r="AO32" i="35"/>
  <c r="AN32" i="35"/>
  <c r="AL32" i="35"/>
  <c r="AK32" i="35"/>
  <c r="AI32" i="35"/>
  <c r="AH32" i="35"/>
  <c r="AF32" i="35"/>
  <c r="AE32" i="35"/>
  <c r="AC32" i="35"/>
  <c r="AB32" i="35"/>
  <c r="Z32" i="35"/>
  <c r="Y32" i="35"/>
  <c r="W32" i="35"/>
  <c r="V32" i="35"/>
  <c r="T32" i="35"/>
  <c r="S32" i="35"/>
  <c r="Q32" i="35"/>
  <c r="P32" i="35"/>
  <c r="N32" i="35"/>
  <c r="M32" i="35"/>
  <c r="J32" i="35"/>
  <c r="I32" i="35"/>
  <c r="H32" i="35"/>
  <c r="G32" i="35"/>
  <c r="F32" i="35"/>
  <c r="E32" i="35"/>
  <c r="CF31" i="35"/>
  <c r="BT31" i="35"/>
  <c r="BS31" i="35"/>
  <c r="BR31" i="35"/>
  <c r="BQ31" i="35"/>
  <c r="BP31" i="35"/>
  <c r="BO31" i="35"/>
  <c r="BN31" i="35"/>
  <c r="BM31" i="35"/>
  <c r="BL31" i="35"/>
  <c r="BK31" i="35"/>
  <c r="BJ31" i="35"/>
  <c r="BI31" i="35"/>
  <c r="BH31" i="35"/>
  <c r="BG31" i="35"/>
  <c r="BF31" i="35"/>
  <c r="BE31" i="35"/>
  <c r="BD31" i="35"/>
  <c r="BC31" i="35"/>
  <c r="BB31" i="35"/>
  <c r="BA31" i="35"/>
  <c r="AZ31" i="35"/>
  <c r="AY31" i="35"/>
  <c r="AX31" i="35"/>
  <c r="AW31" i="35"/>
  <c r="AV31" i="35"/>
  <c r="AU31" i="35"/>
  <c r="AT31" i="35"/>
  <c r="AS31" i="35"/>
  <c r="AR31" i="35"/>
  <c r="AQ31" i="35"/>
  <c r="AP31" i="35"/>
  <c r="AO31" i="35"/>
  <c r="AN31" i="35"/>
  <c r="AM31" i="35"/>
  <c r="AL31" i="35"/>
  <c r="AK31" i="35"/>
  <c r="AJ31" i="35"/>
  <c r="AI31" i="35"/>
  <c r="AH31" i="35"/>
  <c r="AG31" i="35"/>
  <c r="AF31" i="35"/>
  <c r="AE31" i="35"/>
  <c r="AD31" i="35"/>
  <c r="AC31" i="35"/>
  <c r="AB31" i="35"/>
  <c r="AA31" i="35"/>
  <c r="Z31" i="35"/>
  <c r="Y31" i="35"/>
  <c r="X31" i="35"/>
  <c r="W31" i="35"/>
  <c r="V31" i="35"/>
  <c r="U31" i="35"/>
  <c r="T31" i="35"/>
  <c r="S31" i="35"/>
  <c r="R31" i="35"/>
  <c r="Q31" i="35"/>
  <c r="P31" i="35"/>
  <c r="O31" i="35"/>
  <c r="N31" i="35"/>
  <c r="M31" i="35"/>
  <c r="J31" i="35"/>
  <c r="I31" i="35"/>
  <c r="H31" i="35"/>
  <c r="G31" i="35"/>
  <c r="F31" i="35"/>
  <c r="E31" i="35"/>
  <c r="BT30" i="35"/>
  <c r="BS30" i="35"/>
  <c r="BR30" i="35"/>
  <c r="BQ30" i="35"/>
  <c r="BP30" i="35"/>
  <c r="BO30" i="35"/>
  <c r="BN30" i="35"/>
  <c r="BM30" i="35"/>
  <c r="BL30" i="35"/>
  <c r="BK30" i="35"/>
  <c r="BJ30" i="35"/>
  <c r="BI30" i="35"/>
  <c r="BH30" i="35"/>
  <c r="BG30" i="35"/>
  <c r="BF30" i="35"/>
  <c r="BE30" i="35"/>
  <c r="BD30" i="35"/>
  <c r="BC30" i="35"/>
  <c r="BB30" i="35"/>
  <c r="BA30" i="35"/>
  <c r="AZ30" i="35"/>
  <c r="AY30" i="35"/>
  <c r="AX30" i="35"/>
  <c r="AW30" i="35"/>
  <c r="AV30" i="35"/>
  <c r="AU30" i="35"/>
  <c r="AT30" i="35"/>
  <c r="AS30" i="35"/>
  <c r="AR30" i="35"/>
  <c r="AQ30" i="35"/>
  <c r="AP30" i="35"/>
  <c r="AO30" i="35"/>
  <c r="AN30" i="35"/>
  <c r="AM30" i="35"/>
  <c r="AL30" i="35"/>
  <c r="AK30" i="35"/>
  <c r="AJ30" i="35"/>
  <c r="AI30" i="35"/>
  <c r="AH30" i="35"/>
  <c r="AG30" i="35"/>
  <c r="AF30" i="35"/>
  <c r="AE30" i="35"/>
  <c r="AD30" i="35"/>
  <c r="AC30" i="35"/>
  <c r="AB30" i="35"/>
  <c r="AA30" i="35"/>
  <c r="Z30" i="35"/>
  <c r="Y30" i="35"/>
  <c r="X30" i="35"/>
  <c r="W30" i="35"/>
  <c r="V30" i="35"/>
  <c r="U30" i="35"/>
  <c r="T30" i="35"/>
  <c r="S30" i="35"/>
  <c r="R30" i="35"/>
  <c r="Q30" i="35"/>
  <c r="P30" i="35"/>
  <c r="O30" i="35"/>
  <c r="N30" i="35"/>
  <c r="M30" i="35"/>
  <c r="J30" i="35"/>
  <c r="I30" i="35"/>
  <c r="H30" i="35"/>
  <c r="G30" i="35"/>
  <c r="F30" i="35"/>
  <c r="E30" i="35"/>
  <c r="J29" i="35"/>
  <c r="I29" i="35"/>
  <c r="H29" i="35"/>
  <c r="G29" i="35"/>
  <c r="F29" i="35"/>
  <c r="E29" i="35"/>
  <c r="J28" i="35"/>
  <c r="I28" i="35"/>
  <c r="H28" i="35"/>
  <c r="G28" i="35"/>
  <c r="F28" i="35"/>
  <c r="E28" i="35"/>
  <c r="F15" i="35"/>
  <c r="M14" i="35"/>
  <c r="L14" i="35"/>
  <c r="F14" i="35"/>
  <c r="N13" i="35"/>
  <c r="M13" i="35"/>
  <c r="L13" i="35"/>
  <c r="N12" i="35"/>
  <c r="M12" i="35"/>
  <c r="L12" i="35"/>
  <c r="C12" i="35"/>
  <c r="J11" i="35"/>
  <c r="I11" i="35"/>
  <c r="H11" i="35"/>
  <c r="G11" i="35"/>
  <c r="C11" i="35"/>
  <c r="C5" i="35"/>
  <c r="D86" i="26"/>
  <c r="D79" i="26"/>
  <c r="D77" i="26"/>
  <c r="H74" i="26"/>
  <c r="F74" i="26"/>
  <c r="D64" i="26"/>
  <c r="D62" i="26"/>
  <c r="D61" i="26"/>
  <c r="D59" i="26"/>
  <c r="D58" i="26"/>
  <c r="D57" i="26"/>
  <c r="G54" i="26"/>
  <c r="F54" i="26"/>
  <c r="H53" i="26"/>
  <c r="G53" i="26"/>
  <c r="F53" i="26"/>
  <c r="H52" i="26"/>
  <c r="G52" i="26"/>
  <c r="F52" i="26"/>
  <c r="D49" i="26"/>
  <c r="D48" i="26"/>
  <c r="D47" i="26"/>
  <c r="D45" i="26"/>
  <c r="D43" i="26"/>
  <c r="D42" i="26"/>
  <c r="D41" i="26"/>
  <c r="D40" i="26"/>
  <c r="G39" i="26"/>
  <c r="G38" i="26"/>
  <c r="G37" i="26"/>
  <c r="F37" i="26"/>
  <c r="E37" i="26"/>
  <c r="G33" i="26"/>
  <c r="D32" i="26"/>
  <c r="D31" i="26"/>
  <c r="G29" i="26"/>
  <c r="F29" i="26"/>
  <c r="E29" i="26"/>
  <c r="D29" i="26"/>
  <c r="G28" i="26"/>
  <c r="F28" i="26"/>
  <c r="E28" i="26"/>
  <c r="D28" i="26"/>
  <c r="D27" i="26"/>
  <c r="F19" i="26"/>
  <c r="D13" i="26"/>
  <c r="R12" i="19"/>
  <c r="N12" i="19"/>
  <c r="J12" i="19"/>
  <c r="F12" i="19"/>
  <c r="W11" i="19"/>
  <c r="R11" i="19"/>
  <c r="N11" i="19"/>
  <c r="J11" i="19"/>
  <c r="F11" i="19"/>
  <c r="W6" i="19"/>
  <c r="R6" i="19"/>
  <c r="Q6" i="19"/>
  <c r="P6" i="19"/>
  <c r="O6" i="19"/>
  <c r="I6" i="19"/>
  <c r="AP10" i="41"/>
  <c r="AP9" i="41"/>
  <c r="AP8" i="41"/>
  <c r="AP7" i="41"/>
  <c r="AP6" i="41"/>
  <c r="AP5" i="41"/>
  <c r="AP4" i="41"/>
  <c r="N11" i="36"/>
  <c r="F11" i="36"/>
  <c r="N10" i="36"/>
  <c r="M10" i="36"/>
  <c r="K10" i="36"/>
  <c r="I10" i="36"/>
  <c r="F10" i="36"/>
  <c r="N9" i="36"/>
  <c r="M9" i="36"/>
  <c r="K9" i="36"/>
  <c r="I9" i="36"/>
  <c r="F9" i="36"/>
  <c r="N8" i="36"/>
  <c r="M8" i="36"/>
  <c r="K8" i="36"/>
  <c r="I8" i="36"/>
  <c r="F8" i="36"/>
  <c r="BE7" i="36"/>
  <c r="N7" i="36"/>
  <c r="M7" i="36"/>
  <c r="K7" i="36"/>
  <c r="I7" i="36"/>
  <c r="F7" i="36"/>
  <c r="BJ6" i="36"/>
  <c r="BE6" i="36"/>
  <c r="AT6" i="36"/>
  <c r="AS6" i="36"/>
  <c r="AR6" i="36"/>
  <c r="AQ6" i="36"/>
  <c r="AN6" i="36"/>
  <c r="AM6" i="36"/>
  <c r="AJ6" i="36"/>
  <c r="AI6" i="36"/>
  <c r="AH6" i="36"/>
  <c r="AG6" i="36"/>
  <c r="AF6" i="36"/>
  <c r="AD6" i="36"/>
  <c r="AC6" i="36"/>
  <c r="AB6" i="36"/>
  <c r="V6" i="36"/>
  <c r="Q6" i="36"/>
  <c r="P6" i="36"/>
  <c r="O6" i="36"/>
  <c r="D6" i="36"/>
  <c r="O75" i="43"/>
  <c r="M75" i="43"/>
  <c r="K75" i="43"/>
  <c r="M72" i="43"/>
  <c r="K72" i="43"/>
  <c r="O69" i="43"/>
  <c r="M69" i="43"/>
  <c r="K69" i="43"/>
  <c r="K66" i="43"/>
  <c r="O63" i="43"/>
  <c r="M63" i="43"/>
  <c r="K63" i="43"/>
  <c r="O49" i="43"/>
  <c r="M49" i="43"/>
  <c r="I49" i="43"/>
  <c r="O48" i="43"/>
  <c r="M48" i="43"/>
  <c r="I48" i="43"/>
  <c r="O47" i="43"/>
  <c r="M47" i="43"/>
  <c r="I47" i="43"/>
  <c r="O46" i="43"/>
  <c r="M46" i="43"/>
  <c r="I46" i="43"/>
  <c r="O45" i="43"/>
  <c r="M45" i="43"/>
  <c r="I45" i="43"/>
  <c r="O44" i="43"/>
  <c r="M44" i="43"/>
  <c r="I44" i="43"/>
  <c r="O43" i="43"/>
  <c r="M43" i="43"/>
  <c r="I43" i="43"/>
  <c r="O42" i="43"/>
  <c r="M42" i="43"/>
  <c r="I42" i="43"/>
  <c r="O41" i="43"/>
  <c r="M41" i="43"/>
  <c r="I41" i="43"/>
  <c r="O40" i="43"/>
  <c r="M40" i="43"/>
  <c r="I40" i="43"/>
  <c r="O39" i="43"/>
  <c r="M39" i="43"/>
  <c r="I39" i="43"/>
  <c r="O38" i="43"/>
  <c r="M38" i="43"/>
  <c r="I38" i="43"/>
  <c r="O37" i="43"/>
  <c r="M37" i="43"/>
  <c r="I37" i="43"/>
  <c r="O36" i="43"/>
  <c r="M36" i="43"/>
  <c r="I36" i="43"/>
  <c r="O35" i="43"/>
  <c r="M35" i="43"/>
  <c r="I35" i="43"/>
  <c r="O34" i="43"/>
  <c r="M34" i="43"/>
  <c r="I34" i="43"/>
  <c r="O33" i="43"/>
  <c r="M33" i="43"/>
  <c r="I33" i="43"/>
  <c r="O32" i="43"/>
  <c r="M32" i="43"/>
  <c r="I32" i="43"/>
  <c r="O31" i="43"/>
  <c r="M31" i="43"/>
  <c r="I31" i="43"/>
  <c r="O30" i="43"/>
  <c r="M30" i="43"/>
  <c r="I30" i="43"/>
  <c r="O29" i="43"/>
  <c r="M29" i="43"/>
  <c r="I29" i="43"/>
  <c r="O28" i="43"/>
  <c r="M28" i="43"/>
  <c r="I28" i="43"/>
  <c r="O27" i="43"/>
  <c r="M27" i="43"/>
  <c r="I27" i="43"/>
  <c r="O26" i="43"/>
  <c r="M26" i="43"/>
  <c r="I26" i="43"/>
  <c r="O25" i="43"/>
  <c r="M25" i="43"/>
  <c r="I25" i="43"/>
  <c r="P21" i="43"/>
  <c r="O21" i="43"/>
  <c r="K21" i="43"/>
  <c r="I20" i="43"/>
  <c r="H20" i="43"/>
  <c r="O18" i="43"/>
  <c r="K18" i="43"/>
  <c r="K18" i="43" a="1"/>
  <c r="E8" i="43"/>
  <c r="BV12" i="11"/>
  <c r="BU12" i="11"/>
  <c r="BT12" i="11"/>
  <c r="BS12" i="11"/>
  <c r="BP12" i="11"/>
  <c r="BO12" i="11"/>
  <c r="BL12" i="11"/>
  <c r="BK12" i="11"/>
  <c r="BJ12" i="11"/>
  <c r="BI12" i="11"/>
  <c r="BH12" i="11"/>
  <c r="BG12" i="11"/>
  <c r="BF12" i="11"/>
  <c r="BE12" i="11"/>
  <c r="BC12" i="11"/>
  <c r="AZ12" i="11"/>
  <c r="AY12" i="11"/>
  <c r="AX12" i="11"/>
  <c r="AS12" i="11"/>
  <c r="CF11" i="11"/>
  <c r="BV11" i="11"/>
  <c r="BU11" i="11"/>
  <c r="BT11" i="11"/>
  <c r="BS11" i="11"/>
  <c r="BP11" i="11"/>
  <c r="BO11" i="11"/>
  <c r="BL11" i="11"/>
  <c r="BK11" i="11"/>
  <c r="BJ11" i="11"/>
  <c r="BI11" i="11"/>
  <c r="BH11" i="11"/>
  <c r="BG11" i="11"/>
  <c r="BF11" i="11"/>
  <c r="BE11" i="11"/>
  <c r="BC11" i="11"/>
  <c r="AZ11" i="11"/>
  <c r="AY11" i="11"/>
  <c r="AX11" i="11"/>
  <c r="AS11" i="11"/>
  <c r="CF10" i="11"/>
  <c r="BV10" i="11"/>
  <c r="BU10" i="11"/>
  <c r="BT10" i="11"/>
  <c r="BS10" i="11"/>
  <c r="BP10" i="11"/>
  <c r="BO10" i="11"/>
  <c r="BL10" i="11"/>
  <c r="BK10" i="11"/>
  <c r="BJ10" i="11"/>
  <c r="BI10" i="11"/>
  <c r="BH10" i="11"/>
  <c r="BG10" i="11"/>
  <c r="BF10" i="11"/>
  <c r="BE10" i="11"/>
  <c r="BC10" i="11"/>
  <c r="AZ10" i="11"/>
  <c r="AY10" i="11"/>
  <c r="AX10" i="11"/>
  <c r="AS10" i="11"/>
  <c r="CF9" i="11"/>
  <c r="BV9" i="11"/>
  <c r="BU9" i="11"/>
  <c r="BT9" i="11"/>
  <c r="BS9" i="11"/>
  <c r="BP9" i="11"/>
  <c r="BO9" i="11"/>
  <c r="BL9" i="11"/>
  <c r="BK9" i="11"/>
  <c r="BJ9" i="11"/>
  <c r="BI9" i="11"/>
  <c r="BH9" i="11"/>
  <c r="BG9" i="11"/>
  <c r="BF9" i="11"/>
  <c r="BE9" i="11"/>
  <c r="BC9" i="11"/>
  <c r="AZ9" i="11"/>
  <c r="AY9" i="11"/>
  <c r="AX9" i="11"/>
  <c r="AS9" i="11"/>
  <c r="CF8" i="11"/>
  <c r="BV8" i="11"/>
  <c r="BU8" i="11"/>
  <c r="BT8" i="11"/>
  <c r="BS8" i="11"/>
  <c r="BP8" i="11"/>
  <c r="BO8" i="11"/>
  <c r="BL8" i="11"/>
  <c r="BK8" i="11"/>
  <c r="BJ8" i="11"/>
  <c r="BI8" i="11"/>
  <c r="BH8" i="11"/>
  <c r="BF8" i="11"/>
  <c r="BE8" i="11"/>
  <c r="BD8" i="11"/>
  <c r="BC8" i="11"/>
  <c r="AZ8" i="11"/>
  <c r="AY8" i="11"/>
  <c r="AX8" i="11"/>
  <c r="AS8" i="11"/>
  <c r="CK7" i="11"/>
  <c r="CF7" i="11"/>
  <c r="BV7" i="11"/>
  <c r="BU7" i="11"/>
  <c r="BT7" i="11"/>
  <c r="BS7" i="11"/>
  <c r="BP7" i="11"/>
  <c r="BO7" i="11"/>
  <c r="BL7" i="11"/>
  <c r="BK7" i="11"/>
  <c r="BJ7" i="11"/>
  <c r="BI7" i="11"/>
  <c r="BH7" i="11"/>
  <c r="BF7" i="11"/>
  <c r="BE7" i="11"/>
  <c r="BD7" i="11"/>
  <c r="BC7" i="11"/>
  <c r="AZ7" i="11"/>
  <c r="AY7" i="11"/>
  <c r="AX7" i="11"/>
  <c r="AS7" i="11"/>
  <c r="AO7" i="11"/>
  <c r="AN7" i="11"/>
  <c r="AM7" i="11"/>
  <c r="AL7" i="11"/>
  <c r="AI7" i="11"/>
  <c r="AH7" i="11"/>
  <c r="AG7" i="11"/>
  <c r="AF7" i="11"/>
  <c r="AE7" i="11"/>
  <c r="AD7" i="11"/>
  <c r="AC7" i="11"/>
  <c r="AB7" i="11"/>
  <c r="AA7" i="11"/>
  <c r="Y7" i="11"/>
  <c r="V7" i="11"/>
  <c r="U7" i="11"/>
  <c r="O7" i="11"/>
  <c r="N7" i="11"/>
  <c r="L7" i="11"/>
  <c r="K7" i="11"/>
  <c r="J7" i="11"/>
  <c r="H7" i="11"/>
  <c r="G7" i="11"/>
  <c r="BU10" i="22"/>
  <c r="BT10" i="22"/>
  <c r="BS10" i="22"/>
  <c r="BR10" i="22"/>
  <c r="BO10" i="22"/>
  <c r="BN10" i="22"/>
  <c r="BK10" i="22"/>
  <c r="BJ10" i="22"/>
  <c r="BI10" i="22"/>
  <c r="BH10" i="22"/>
  <c r="BG10" i="22"/>
  <c r="BF10" i="22"/>
  <c r="BE10" i="22"/>
  <c r="BD10" i="22"/>
  <c r="BB10" i="22"/>
  <c r="AY10" i="22"/>
  <c r="AX10" i="22"/>
  <c r="AW10" i="22"/>
  <c r="AS10" i="22"/>
  <c r="AR10" i="22"/>
  <c r="BU9" i="22"/>
  <c r="BT9" i="22"/>
  <c r="BS9" i="22"/>
  <c r="BR9" i="22"/>
  <c r="BO9" i="22"/>
  <c r="BN9" i="22"/>
  <c r="BK9" i="22"/>
  <c r="BJ9" i="22"/>
  <c r="BI9" i="22"/>
  <c r="BH9" i="22"/>
  <c r="BG9" i="22"/>
  <c r="BF9" i="22"/>
  <c r="BE9" i="22"/>
  <c r="BD9" i="22"/>
  <c r="BB9" i="22"/>
  <c r="AY9" i="22"/>
  <c r="AX9" i="22"/>
  <c r="AW9" i="22"/>
  <c r="AS9" i="22"/>
  <c r="AR9" i="22"/>
  <c r="BU8" i="22"/>
  <c r="BT8" i="22"/>
  <c r="BS8" i="22"/>
  <c r="BR8" i="22"/>
  <c r="BO8" i="22"/>
  <c r="BN8" i="22"/>
  <c r="BK8" i="22"/>
  <c r="BJ8" i="22"/>
  <c r="BI8" i="22"/>
  <c r="BH8" i="22"/>
  <c r="BG8" i="22"/>
  <c r="BF8" i="22"/>
  <c r="BE8" i="22"/>
  <c r="BD8" i="22"/>
  <c r="BB8" i="22"/>
  <c r="AY8" i="22"/>
  <c r="AX8" i="22"/>
  <c r="AW8" i="22"/>
  <c r="AS8" i="22"/>
  <c r="AR8" i="22"/>
  <c r="BU7" i="22"/>
  <c r="BT7" i="22"/>
  <c r="BS7" i="22"/>
  <c r="BR7" i="22"/>
  <c r="BO7" i="22"/>
  <c r="BN7" i="22"/>
  <c r="BK7" i="22"/>
  <c r="BJ7" i="22"/>
  <c r="BI7" i="22"/>
  <c r="BH7" i="22"/>
  <c r="BG7" i="22"/>
  <c r="BF7" i="22"/>
  <c r="BE7" i="22"/>
  <c r="BD7" i="22"/>
  <c r="BB7" i="22"/>
  <c r="AY7" i="22"/>
  <c r="AX7" i="22"/>
  <c r="AW7" i="22"/>
  <c r="AS7" i="22"/>
  <c r="AR7" i="22"/>
  <c r="W7" i="22"/>
  <c r="U7" i="22"/>
  <c r="CK6" i="22"/>
  <c r="BU6" i="22"/>
  <c r="BT6" i="22"/>
  <c r="BS6" i="22"/>
  <c r="BR6" i="22"/>
  <c r="BO6" i="22"/>
  <c r="BN6" i="22"/>
  <c r="BK6" i="22"/>
  <c r="BJ6" i="22"/>
  <c r="BI6" i="22"/>
  <c r="BH6" i="22"/>
  <c r="BG6" i="22"/>
  <c r="BE6" i="22"/>
  <c r="BD6" i="22"/>
  <c r="BC6" i="22"/>
  <c r="BB6" i="22"/>
  <c r="AY6" i="22"/>
  <c r="AX6" i="22"/>
  <c r="AW6" i="22"/>
  <c r="AR6" i="22"/>
  <c r="CK5" i="22"/>
  <c r="CF5" i="22"/>
  <c r="BU5" i="22"/>
  <c r="BT5" i="22"/>
  <c r="BS5" i="22"/>
  <c r="BR5" i="22"/>
  <c r="BO5" i="22"/>
  <c r="BN5" i="22"/>
  <c r="BK5" i="22"/>
  <c r="BJ5" i="22"/>
  <c r="BI5" i="22"/>
  <c r="BH5" i="22"/>
  <c r="BG5" i="22"/>
  <c r="BE5" i="22"/>
  <c r="BD5" i="22"/>
  <c r="BC5" i="22"/>
  <c r="BB5" i="22"/>
  <c r="AY5" i="22"/>
  <c r="AX5" i="22"/>
  <c r="AW5" i="22"/>
  <c r="AR5" i="22"/>
  <c r="AN5" i="22"/>
  <c r="AM5" i="22"/>
  <c r="AL5" i="22"/>
  <c r="AK5" i="22"/>
  <c r="AH5" i="22"/>
  <c r="AG5" i="22"/>
  <c r="AF5" i="22"/>
  <c r="AE5" i="22"/>
  <c r="AD5" i="22"/>
  <c r="AC5" i="22"/>
  <c r="AB5" i="22"/>
  <c r="AA5" i="22"/>
  <c r="Z5" i="22"/>
  <c r="X5" i="22"/>
  <c r="U5" i="22"/>
  <c r="T5" i="22"/>
  <c r="N5" i="22"/>
  <c r="M5" i="22"/>
  <c r="K5" i="22"/>
  <c r="J5" i="22"/>
  <c r="I5" i="22"/>
  <c r="F5" i="22"/>
  <c r="BP9" i="1"/>
  <c r="BO9" i="1"/>
  <c r="BN9" i="1"/>
  <c r="BM9" i="1"/>
  <c r="BJ9" i="1"/>
  <c r="BI9" i="1"/>
  <c r="BF9" i="1"/>
  <c r="BE9" i="1"/>
  <c r="BD9" i="1"/>
  <c r="BC9" i="1"/>
  <c r="BB9" i="1"/>
  <c r="BA9" i="1"/>
  <c r="AZ9" i="1"/>
  <c r="AY9" i="1"/>
  <c r="AW9" i="1"/>
  <c r="AT9" i="1"/>
  <c r="AS9" i="1"/>
  <c r="AR9" i="1"/>
  <c r="AN9" i="1"/>
  <c r="AM9" i="1"/>
  <c r="BP8" i="1"/>
  <c r="BO8" i="1"/>
  <c r="BN8" i="1"/>
  <c r="BM8" i="1"/>
  <c r="BJ8" i="1"/>
  <c r="BI8" i="1"/>
  <c r="BF8" i="1"/>
  <c r="BE8" i="1"/>
  <c r="BD8" i="1"/>
  <c r="BC8" i="1"/>
  <c r="BA8" i="1"/>
  <c r="AZ8" i="1"/>
  <c r="AY8" i="1"/>
  <c r="AW8" i="1"/>
  <c r="AT8" i="1"/>
  <c r="AS8" i="1"/>
  <c r="AR8" i="1"/>
  <c r="AN8" i="1"/>
  <c r="AM8" i="1"/>
  <c r="BP7" i="1"/>
  <c r="BO7" i="1"/>
  <c r="BN7" i="1"/>
  <c r="BM7" i="1"/>
  <c r="BJ7" i="1"/>
  <c r="BI7" i="1"/>
  <c r="BF7" i="1"/>
  <c r="BE7" i="1"/>
  <c r="BD7" i="1"/>
  <c r="BC7" i="1"/>
  <c r="BB7" i="1"/>
  <c r="BA7" i="1"/>
  <c r="AZ7" i="1"/>
  <c r="AY7" i="1"/>
  <c r="AW7" i="1"/>
  <c r="AT7" i="1"/>
  <c r="AS7" i="1"/>
  <c r="AR7" i="1"/>
  <c r="AN7" i="1"/>
  <c r="AM7" i="1"/>
  <c r="BP6" i="1"/>
  <c r="BO6" i="1"/>
  <c r="BN6" i="1"/>
  <c r="BM6" i="1"/>
  <c r="BJ6" i="1"/>
  <c r="BI6" i="1"/>
  <c r="BF6" i="1"/>
  <c r="BE6" i="1"/>
  <c r="BD6" i="1"/>
  <c r="BC6" i="1"/>
  <c r="BB6" i="1"/>
  <c r="BA6" i="1"/>
  <c r="AZ6" i="1"/>
  <c r="AY6" i="1"/>
  <c r="AW6" i="1"/>
  <c r="AT6" i="1"/>
  <c r="AS6" i="1"/>
  <c r="AR6" i="1"/>
  <c r="AN6" i="1"/>
  <c r="AM6" i="1"/>
  <c r="CC5" i="1"/>
  <c r="BP5" i="1"/>
  <c r="BO5" i="1"/>
  <c r="BN5" i="1"/>
  <c r="BM5" i="1"/>
  <c r="BJ5" i="1"/>
  <c r="BI5" i="1"/>
  <c r="BF5" i="1"/>
  <c r="BE5" i="1"/>
  <c r="BD5" i="1"/>
  <c r="BC5" i="1"/>
  <c r="BB5" i="1"/>
  <c r="AZ5" i="1"/>
  <c r="AY5" i="1"/>
  <c r="AX5" i="1"/>
  <c r="AW5" i="1"/>
  <c r="AT5" i="1"/>
  <c r="AS5" i="1"/>
  <c r="AR5" i="1"/>
  <c r="AM5" i="1"/>
  <c r="CC4" i="1"/>
  <c r="BX4" i="1"/>
  <c r="BP4" i="1"/>
  <c r="BO4" i="1"/>
  <c r="BN4" i="1"/>
  <c r="BM4" i="1"/>
  <c r="BJ4" i="1"/>
  <c r="BI4" i="1"/>
  <c r="BF4" i="1"/>
  <c r="BE4" i="1"/>
  <c r="BD4" i="1"/>
  <c r="BC4" i="1"/>
  <c r="BB4" i="1"/>
  <c r="AZ4" i="1"/>
  <c r="AY4" i="1"/>
  <c r="AX4" i="1"/>
  <c r="AW4" i="1"/>
  <c r="AT4" i="1"/>
  <c r="AS4" i="1"/>
  <c r="AR4" i="1"/>
  <c r="AM4" i="1"/>
  <c r="AI4" i="1"/>
  <c r="AH4" i="1"/>
  <c r="AG4" i="1"/>
  <c r="AF4" i="1"/>
  <c r="AC4" i="1"/>
  <c r="AB4" i="1"/>
  <c r="AA4" i="1"/>
  <c r="Z4" i="1"/>
  <c r="X4" i="1"/>
  <c r="V4" i="1"/>
  <c r="S4" i="1"/>
  <c r="N4" i="1"/>
  <c r="M4" i="1"/>
  <c r="L4" i="1"/>
  <c r="I4" i="1"/>
  <c r="H4" i="1"/>
  <c r="G4" i="1"/>
  <c r="E4" i="1"/>
  <c r="O147" i="39"/>
  <c r="M147" i="39"/>
  <c r="K147" i="39"/>
  <c r="I147" i="39"/>
  <c r="F147" i="39"/>
  <c r="F146" i="39"/>
  <c r="D146" i="39"/>
  <c r="O144" i="39"/>
  <c r="M144" i="39"/>
  <c r="K144" i="39"/>
  <c r="I144" i="39"/>
  <c r="F143" i="39"/>
  <c r="D143" i="39"/>
  <c r="O141" i="39"/>
  <c r="M141" i="39"/>
  <c r="K141" i="39"/>
  <c r="I141" i="39"/>
  <c r="F137" i="39"/>
  <c r="D137" i="39"/>
  <c r="O131" i="39"/>
  <c r="M131" i="39"/>
  <c r="K131" i="39"/>
  <c r="I131" i="39"/>
  <c r="F131" i="39"/>
  <c r="F130" i="39"/>
  <c r="D130" i="39"/>
  <c r="O128" i="39"/>
  <c r="M128" i="39"/>
  <c r="K128" i="39"/>
  <c r="I128" i="39"/>
  <c r="F127" i="39"/>
  <c r="D127" i="39"/>
  <c r="O125" i="39"/>
  <c r="M125" i="39"/>
  <c r="K125" i="39"/>
  <c r="I125" i="39"/>
  <c r="F121" i="39"/>
  <c r="D121" i="39"/>
  <c r="O115" i="39"/>
  <c r="M115" i="39"/>
  <c r="K115" i="39"/>
  <c r="I115" i="39"/>
  <c r="F115" i="39"/>
  <c r="F114" i="39"/>
  <c r="D114" i="39"/>
  <c r="O112" i="39"/>
  <c r="M112" i="39"/>
  <c r="K112" i="39"/>
  <c r="I112" i="39"/>
  <c r="F111" i="39"/>
  <c r="D111" i="39"/>
  <c r="O109" i="39"/>
  <c r="M109" i="39"/>
  <c r="K109" i="39"/>
  <c r="I109" i="39"/>
  <c r="F105" i="39"/>
  <c r="D105" i="39"/>
  <c r="O99" i="39"/>
  <c r="M99" i="39"/>
  <c r="K99" i="39"/>
  <c r="I99" i="39"/>
  <c r="O96" i="39"/>
  <c r="M96" i="39"/>
  <c r="K96" i="39"/>
  <c r="I96" i="39"/>
  <c r="F95" i="39"/>
  <c r="D95" i="39"/>
  <c r="O93" i="39"/>
  <c r="M93" i="39"/>
  <c r="K93" i="39"/>
  <c r="I93" i="39"/>
  <c r="F89" i="39"/>
  <c r="O62" i="39"/>
  <c r="M62" i="39"/>
  <c r="K62" i="39"/>
  <c r="O59" i="39"/>
  <c r="M59" i="39"/>
  <c r="K59" i="39"/>
  <c r="O56" i="39"/>
  <c r="M56" i="39"/>
  <c r="K56" i="39"/>
  <c r="O53" i="39"/>
  <c r="K53" i="39"/>
  <c r="O47" i="39"/>
  <c r="O44" i="39" s="1"/>
  <c r="M47" i="39"/>
  <c r="K47" i="39"/>
  <c r="M44" i="39"/>
  <c r="O41" i="39"/>
  <c r="K44" i="39" s="1"/>
  <c r="M41" i="39"/>
  <c r="K41" i="39"/>
  <c r="Z36" i="39"/>
  <c r="Y36" i="39"/>
  <c r="Z35" i="39"/>
  <c r="Y35" i="39"/>
  <c r="N35" i="39"/>
  <c r="Z34" i="39"/>
  <c r="Y34" i="39"/>
  <c r="Z33" i="39"/>
  <c r="Y33" i="39"/>
  <c r="N32" i="39"/>
  <c r="E24" i="39"/>
  <c r="O19" i="39"/>
  <c r="O18" i="39"/>
  <c r="J18" i="39"/>
  <c r="H18" i="39"/>
  <c r="E8" i="39"/>
  <c r="O71" i="39" s="1"/>
  <c r="O2" i="39"/>
  <c r="K7" i="15" l="1"/>
  <c r="L7" i="15" s="1"/>
  <c r="K50" i="39"/>
  <c r="O50" i="39"/>
  <c r="M53" i="39"/>
  <c r="O76" i="39"/>
  <c r="O77" i="39"/>
  <c r="O73" i="39"/>
  <c r="O72" i="39"/>
  <c r="O74" i="39"/>
  <c r="O75" i="39"/>
  <c r="O80" i="39" l="1"/>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Boff Arthur</author>
  </authors>
  <commentList>
    <comment ref="L5" authorId="0" shapeId="0">
      <text>
        <r>
          <rPr>
            <b/>
            <sz val="9"/>
            <color indexed="81"/>
            <rFont val="Segoe UI"/>
            <family val="2"/>
          </rPr>
          <t>Boff Arthur:</t>
        </r>
        <r>
          <rPr>
            <sz val="9"/>
            <color indexed="81"/>
            <rFont val="Segoe UI"/>
            <family val="2"/>
          </rPr>
          <t xml:space="preserve">
MP = Matéria Prima</t>
        </r>
      </text>
    </comment>
    <comment ref="M5" authorId="0" shapeId="0">
      <text>
        <r>
          <rPr>
            <b/>
            <sz val="9"/>
            <color indexed="81"/>
            <rFont val="Segoe UI"/>
            <family val="2"/>
          </rPr>
          <t>Boff Arthur:</t>
        </r>
        <r>
          <rPr>
            <sz val="9"/>
            <color indexed="81"/>
            <rFont val="Segoe UI"/>
            <family val="2"/>
          </rPr>
          <t xml:space="preserve">
TT = Tratamento térmico</t>
        </r>
      </text>
    </comment>
    <comment ref="N5" authorId="0" shapeId="0">
      <text>
        <r>
          <rPr>
            <b/>
            <sz val="9"/>
            <color indexed="81"/>
            <rFont val="Segoe UI"/>
            <family val="2"/>
          </rPr>
          <t>Boff Arthur:</t>
        </r>
        <r>
          <rPr>
            <sz val="9"/>
            <color indexed="81"/>
            <rFont val="Segoe UI"/>
            <family val="2"/>
          </rPr>
          <t xml:space="preserve">
MO = Mão de Obra</t>
        </r>
      </text>
    </comment>
  </commentList>
</comments>
</file>

<file path=xl/comments8.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9.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10.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<sst xmlns="http://schemas.openxmlformats.org/spreadsheetml/2006/main" count="6218" uniqueCount="2860">
  <si>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</si>
  <si>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</si>
  <si>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</si>
  <si>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</si>
  <si>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</si>
  <si>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</si>
  <si>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</si>
  <si>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</si>
  <si>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</si>
  <si>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mm</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</si>
  <si>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</si>
  <si>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</si>
  <si>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</si>
  <si>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</si>
  <si>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</si>
  <si>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</si>
  <si>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</si>
  <si>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</si>
  <si>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</si>
  <si>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</si>
  <si>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</si>
  <si>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</si>
  <si>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</si>
  <si>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</si>
  <si>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</si>
  <si>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</si>
  <si>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</si>
  <si>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</si>
  <si>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</si>
  <si>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</si>
  <si>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</si>
  <si>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</si>
  <si>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</si>
  <si>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</si>
  <si>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</si>
  <si>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</si>
  <si>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</si>
  <si>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</si>
  <si>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</si>
  <si>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</si>
  <si>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</si>
  <si>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</si>
  <si>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</si>
  <si>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</si>
  <si>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</si>
  <si>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</si>
  <si>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</si>
  <si>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</si>
  <si>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</si>
  <si>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</si>
  <si>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</si>
  <si>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</si>
  <si>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</si>
  <si>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</si>
  <si>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</si>
  <si>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</si>
  <si>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</si>
  <si>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</si>
  <si>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</si>
  <si>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</si>
  <si>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</si>
  <si>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</si>
  <si>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</si>
  <si>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</si>
  <si>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</si>
  <si>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</si>
  <si>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</si>
  <si>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</si>
  <si>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</si>
  <si>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</si>
  <si>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</si>
  <si>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</si>
  <si>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</si>
  <si>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</si>
  <si>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</si>
  <si>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</si>
  <si>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</si>
  <si>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</si>
  <si>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</si>
  <si>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</si>
  <si>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</si>
  <si>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</si>
  <si>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</si>
  <si>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</si>
  <si>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</si>
  <si>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</si>
  <si>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</si>
  <si>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</si>
  <si>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</si>
  <si>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</si>
  <si>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</si>
  <si>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</si>
  <si>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</si>
  <si>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</si>
  <si>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</si>
  <si>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</si>
  <si>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</si>
  <si>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</si>
  <si>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</si>
  <si>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</si>
  <si>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</si>
  <si>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</si>
  <si>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</si>
  <si>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</si>
  <si>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</si>
  <si>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</si>
  <si>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</si>
  <si>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</si>
  <si>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</si>
  <si>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</si>
  <si>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</si>
  <si>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</si>
  <si>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</si>
  <si>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</si>
  <si>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</si>
  <si>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</si>
  <si>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</si>
  <si>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</si>
  <si>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</si>
  <si>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</si>
  <si>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</si>
  <si>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</si>
  <si>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</si>
  <si>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</si>
  <si>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</si>
  <si>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</si>
  <si>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</si>
  <si>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</si>
  <si>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</si>
  <si>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</si>
  <si>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</si>
  <si>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</si>
  <si>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</si>
  <si>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</si>
  <si>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</si>
  <si>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</si>
  <si>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</si>
  <si>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</si>
  <si>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</si>
  <si>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</si>
  <si>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</si>
  <si>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</si>
  <si>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r>
      <t xml:space="preserve">Custo Embalagem
</t>
    </r>
    <r>
      <rPr>
        <i/>
        <sz val="10"/>
        <rFont val="Arial"/>
        <family val="2"/>
      </rPr>
      <t>(R$/embalagem)</t>
    </r>
  </si>
  <si>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</si>
  <si>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</si>
  <si>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</si>
  <si>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</si>
  <si>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</si>
  <si>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</si>
  <si>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</si>
  <si>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</si>
  <si>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</si>
  <si>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</si>
  <si>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</si>
  <si>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</si>
  <si>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</si>
  <si>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</si>
  <si>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</si>
  <si>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</si>
  <si>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</si>
  <si>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</si>
  <si>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</si>
  <si>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</si>
  <si>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</si>
  <si>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</si>
  <si>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</si>
  <si>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L1</t>
  </si>
  <si>
    <t>L2</t>
  </si>
  <si>
    <t>L</t>
  </si>
  <si>
    <t>Perdas
(kg/pc)</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</si>
  <si>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</si>
  <si>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</si>
  <si>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</si>
  <si>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</si>
  <si>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</si>
  <si>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</si>
  <si>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</si>
  <si>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</si>
  <si>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</si>
  <si>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</si>
  <si>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</si>
  <si>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</si>
  <si>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</si>
  <si>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</si>
  <si>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</si>
  <si>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</si>
  <si>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</si>
  <si>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</si>
  <si>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</si>
  <si>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</si>
  <si>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</si>
  <si>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</si>
  <si>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</si>
  <si>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</si>
  <si>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</si>
  <si>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</si>
  <si>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</si>
  <si>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</si>
  <si>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</si>
  <si>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</si>
  <si>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</si>
  <si>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</si>
  <si>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</si>
  <si>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</si>
  <si>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</si>
  <si>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</si>
  <si>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</si>
  <si>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</si>
  <si>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</si>
  <si>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</si>
  <si>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</si>
  <si>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</si>
  <si>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</si>
  <si>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</si>
  <si>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</si>
  <si>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</si>
  <si>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</si>
  <si>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</si>
  <si>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</si>
  <si>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</si>
  <si>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</si>
  <si>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</si>
  <si>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</si>
  <si>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</si>
  <si>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</si>
  <si>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</si>
  <si>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</si>
  <si>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</si>
  <si>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</si>
  <si>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</si>
  <si>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</si>
  <si>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</si>
  <si>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</si>
  <si>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</si>
  <si>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</si>
  <si>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</si>
  <si>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</si>
  <si>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</si>
  <si>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</si>
  <si>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</si>
  <si>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</si>
  <si>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</si>
  <si>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</si>
  <si>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</si>
  <si>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</si>
  <si>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</si>
  <si>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</si>
  <si>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</si>
  <si>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</si>
  <si>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</si>
  <si>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</si>
  <si>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</si>
  <si>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</si>
  <si>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</si>
  <si>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</si>
  <si>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</si>
  <si>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</si>
  <si>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</si>
  <si>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</si>
  <si>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</si>
  <si>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</si>
  <si>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</si>
  <si>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</si>
  <si>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</si>
  <si>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</si>
  <si>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</si>
  <si>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</si>
  <si>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</si>
  <si>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</si>
  <si>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</si>
  <si>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</si>
  <si>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</si>
  <si>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</si>
  <si>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</si>
  <si>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</si>
  <si>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</si>
  <si>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</si>
  <si>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</si>
  <si>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</si>
  <si>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</si>
  <si>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</si>
  <si>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</si>
  <si>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</si>
  <si>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</si>
  <si>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</si>
  <si>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</si>
  <si>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</si>
  <si>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</si>
  <si>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</si>
  <si>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</si>
  <si>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</si>
  <si>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</si>
  <si>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</si>
  <si>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</si>
  <si>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</si>
  <si>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</si>
  <si>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</si>
  <si>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</si>
  <si>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</si>
  <si>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</si>
  <si>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</si>
  <si>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</si>
  <si>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</si>
  <si>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</si>
  <si>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</si>
  <si>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</si>
  <si>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</si>
  <si>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</si>
  <si>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</si>
  <si>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</si>
  <si>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</si>
  <si>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</si>
  <si>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</si>
  <si>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</si>
  <si>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</si>
  <si>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</si>
  <si>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</si>
  <si>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</si>
  <si>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</si>
  <si>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</si>
  <si>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</si>
  <si>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</si>
  <si>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</si>
  <si>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</si>
  <si>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</si>
  <si>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</si>
  <si>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</si>
  <si>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</si>
  <si>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</si>
  <si>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</si>
  <si>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</si>
  <si>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</si>
  <si>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</si>
  <si>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</si>
  <si>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</si>
  <si>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</si>
  <si>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</si>
  <si>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</si>
  <si>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</si>
  <si>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</si>
  <si>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</si>
  <si>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</si>
  <si>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</si>
  <si>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</si>
  <si>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</si>
  <si>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</si>
  <si>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</si>
  <si>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</si>
  <si>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</si>
  <si>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</si>
  <si>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</si>
  <si>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</si>
  <si>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</si>
  <si>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</si>
  <si>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</si>
  <si>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</si>
  <si>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</si>
  <si>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</si>
  <si>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</si>
  <si>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</si>
  <si>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</si>
  <si>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</si>
  <si>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</si>
  <si>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</si>
  <si>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</si>
  <si>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</si>
  <si>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</si>
  <si>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</si>
  <si>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</si>
  <si>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</si>
  <si>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</si>
  <si>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</si>
  <si>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</si>
  <si>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</si>
  <si>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</si>
  <si>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</si>
  <si>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</si>
  <si>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</si>
  <si>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</si>
  <si>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</si>
  <si>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</si>
  <si>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</si>
  <si>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</si>
  <si>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</si>
  <si>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</si>
  <si>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</si>
  <si>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</si>
  <si>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</si>
  <si>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</si>
  <si>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</si>
  <si>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</si>
  <si>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</si>
  <si>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</si>
  <si>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</si>
  <si>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m/s</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</si>
  <si>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</si>
  <si>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</si>
  <si>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</si>
  <si>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</si>
  <si>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</si>
  <si>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</si>
  <si>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</si>
  <si>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</si>
  <si>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</si>
  <si>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</si>
  <si>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</si>
  <si>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</si>
  <si>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</si>
  <si>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</si>
  <si>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</si>
  <si>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</si>
  <si>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</si>
  <si>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</si>
  <si>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</si>
  <si>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</si>
  <si>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</si>
  <si>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</si>
  <si>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</si>
  <si>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</si>
  <si>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</si>
  <si>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</si>
  <si>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</si>
  <si>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</si>
  <si>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</si>
  <si>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</si>
  <si>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</si>
  <si>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</si>
  <si>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</si>
  <si>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</si>
  <si>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</si>
  <si>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</si>
  <si>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</si>
  <si>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</si>
  <si>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</si>
  <si>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</si>
  <si>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</si>
  <si>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</si>
  <si>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</si>
  <si>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</si>
  <si>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</si>
  <si>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</si>
  <si>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</si>
  <si>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</si>
  <si>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</si>
  <si>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</si>
  <si>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</si>
  <si>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</si>
  <si>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</si>
  <si>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</si>
  <si>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</si>
  <si>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</si>
  <si>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</si>
  <si>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</si>
  <si>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</si>
  <si>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</si>
  <si>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</si>
  <si>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</si>
  <si>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</si>
  <si>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</si>
  <si>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</si>
  <si>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</si>
  <si>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</si>
  <si>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</si>
  <si>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</si>
  <si>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</si>
  <si>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</si>
  <si>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</si>
  <si>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</si>
  <si>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</si>
  <si>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</si>
  <si>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</si>
  <si>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</si>
  <si>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</si>
  <si>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</si>
  <si>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</si>
  <si>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</si>
  <si>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</si>
  <si>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</si>
  <si>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</si>
  <si>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</si>
  <si>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</si>
  <si>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</si>
  <si>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</si>
  <si>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</si>
  <si>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</si>
  <si>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</si>
  <si>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</si>
  <si>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</si>
  <si>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</si>
  <si>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</si>
  <si>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</si>
  <si>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</si>
  <si>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</si>
  <si>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</si>
  <si>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</si>
  <si>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</si>
  <si>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</si>
  <si>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</si>
  <si>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</si>
  <si>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</si>
  <si>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</si>
  <si>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</si>
  <si>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</si>
  <si>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</si>
  <si>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</si>
  <si>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</si>
  <si>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</si>
  <si>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</si>
  <si>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</si>
  <si>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</si>
  <si>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</si>
  <si>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</si>
  <si>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</si>
  <si>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</si>
  <si>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</si>
  <si>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</si>
  <si>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</si>
  <si>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</si>
  <si>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</si>
  <si>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</si>
  <si>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</si>
  <si>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</si>
  <si>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</si>
  <si>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</si>
  <si>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</si>
  <si>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</si>
  <si>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</si>
  <si>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</si>
  <si>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</si>
  <si>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</si>
  <si>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</si>
  <si>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</si>
  <si>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</si>
  <si>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</si>
  <si>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</si>
  <si>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</si>
  <si>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</si>
  <si>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</si>
  <si>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</si>
  <si>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</si>
  <si>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</si>
  <si>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</si>
  <si>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</si>
  <si>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</si>
  <si>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</si>
  <si>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</si>
  <si>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</si>
  <si>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</si>
  <si>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</si>
  <si>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</si>
  <si>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</si>
  <si>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</si>
  <si>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</si>
  <si>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</si>
  <si>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</si>
  <si>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</si>
  <si>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</si>
  <si>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</si>
  <si>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</si>
  <si>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</si>
  <si>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</si>
  <si>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</si>
  <si>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</si>
  <si>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</si>
  <si>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</si>
  <si>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</si>
  <si>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</si>
  <si>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</si>
  <si>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</si>
  <si>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</si>
  <si>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</si>
  <si>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</si>
  <si>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</si>
  <si>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</si>
  <si>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</si>
  <si>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</si>
  <si>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</si>
  <si>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</si>
  <si>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</si>
  <si>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</si>
  <si>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</si>
  <si>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</si>
  <si>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</si>
  <si>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</si>
  <si>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</si>
  <si>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</si>
  <si>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</si>
  <si>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</si>
  <si>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</si>
  <si>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</si>
  <si>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</si>
  <si>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</si>
  <si>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</si>
  <si>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</si>
  <si>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</si>
  <si>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</si>
  <si>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</si>
  <si>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</si>
  <si>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</si>
  <si>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</si>
  <si>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</si>
  <si>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</si>
  <si>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</si>
  <si>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</si>
  <si>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</si>
  <si>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</si>
  <si>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</si>
  <si>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</si>
  <si>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</si>
  <si>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</si>
  <si>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</si>
  <si>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</si>
  <si>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</si>
  <si>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</si>
  <si>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</si>
  <si>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</si>
  <si>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</si>
  <si>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</si>
  <si>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</si>
  <si>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</si>
  <si>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</si>
  <si>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</si>
  <si>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</si>
  <si>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</si>
  <si>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</si>
  <si>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</si>
  <si>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</si>
  <si>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</si>
  <si>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</si>
  <si>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</si>
  <si>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</si>
  <si>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</si>
  <si>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</si>
  <si>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</si>
  <si>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</si>
  <si>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</si>
  <si>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</si>
  <si>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</si>
  <si>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</si>
  <si>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</si>
  <si>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</si>
  <si>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</si>
  <si>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</si>
  <si>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</si>
  <si>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</si>
  <si>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</si>
  <si>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</si>
  <si>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</si>
  <si>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</si>
  <si>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</si>
  <si>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</si>
  <si>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</si>
  <si>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</si>
  <si>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</si>
  <si>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</si>
  <si>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</si>
  <si>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</si>
  <si>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</si>
  <si>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</si>
  <si>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</si>
  <si>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</si>
  <si>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</si>
  <si>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</si>
  <si>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</si>
  <si>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</si>
  <si>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</si>
  <si>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</si>
  <si>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</si>
  <si>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</si>
  <si>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</si>
  <si>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</si>
  <si>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</si>
  <si>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</si>
  <si>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</si>
  <si>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</si>
  <si>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</si>
  <si>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</si>
  <si>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</si>
  <si>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</si>
  <si>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</si>
  <si>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</si>
  <si>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</si>
  <si>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</si>
  <si>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</si>
  <si>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</si>
  <si>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</si>
  <si>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</si>
  <si>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</si>
  <si>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</si>
  <si>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</si>
  <si>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</si>
  <si>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</si>
  <si>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</si>
  <si>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</si>
  <si>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</si>
  <si>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</si>
  <si>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</si>
  <si>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</si>
  <si>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</si>
  <si>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</si>
  <si>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</si>
  <si>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</si>
  <si>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</si>
  <si>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</si>
  <si>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</si>
  <si>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</si>
  <si>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</si>
  <si>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</si>
  <si>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</si>
  <si>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</si>
  <si>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</si>
  <si>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</si>
  <si>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</si>
  <si>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</si>
  <si>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</si>
  <si>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</si>
  <si>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</si>
  <si>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</si>
  <si>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</si>
  <si>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</si>
  <si>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</si>
  <si>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</si>
  <si>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</si>
  <si>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</si>
  <si>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</si>
  <si>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</si>
  <si>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</si>
  <si>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</si>
  <si>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</si>
  <si>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</si>
  <si>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</si>
  <si>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</si>
  <si>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</si>
  <si>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</si>
  <si>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</si>
  <si>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</si>
  <si>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</si>
  <si>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</si>
  <si>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</si>
  <si>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</si>
  <si>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</si>
  <si>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</si>
  <si>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</si>
  <si>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</si>
  <si>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</si>
  <si>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</si>
  <si>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</si>
  <si>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</si>
  <si>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</si>
  <si>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Projeto
GPE</t>
  </si>
  <si>
    <t>Diâmetro Médio
(mm)</t>
  </si>
  <si>
    <t>Largura Média
(mm)</t>
  </si>
  <si>
    <t>Peso de MP
(kg)</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</si>
  <si>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</si>
  <si>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</si>
  <si>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</si>
  <si>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</si>
  <si>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</si>
  <si>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</si>
  <si>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</si>
  <si>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</si>
  <si>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</si>
  <si>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</si>
  <si>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</si>
  <si>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</si>
  <si>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</si>
  <si>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</si>
  <si>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</si>
  <si>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</si>
  <si>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</si>
  <si>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</si>
  <si>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</si>
  <si>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</si>
  <si>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</si>
  <si>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</si>
  <si>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</si>
  <si>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</si>
  <si>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</si>
  <si>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</si>
  <si>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</si>
  <si>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</si>
  <si>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</si>
  <si>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</si>
  <si>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</si>
  <si>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</si>
  <si>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</si>
  <si>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</si>
  <si>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</si>
  <si>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</si>
  <si>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</si>
  <si>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</si>
  <si>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</si>
  <si>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</si>
  <si>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</si>
  <si>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</si>
  <si>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</si>
  <si>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</si>
  <si>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</si>
  <si>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</si>
  <si>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</si>
  <si>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</si>
  <si>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</si>
  <si>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</si>
  <si>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</si>
  <si>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</si>
  <si>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</si>
  <si>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</si>
  <si>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</si>
  <si>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</si>
  <si>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</si>
  <si>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</si>
  <si>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</si>
  <si>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</si>
  <si>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</si>
  <si>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</si>
  <si>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</si>
  <si>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</si>
  <si>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</si>
  <si>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</si>
  <si>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</si>
  <si>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</si>
  <si>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</si>
  <si>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</si>
  <si>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</si>
  <si>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</si>
  <si>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</si>
  <si>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</si>
  <si>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</si>
  <si>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</si>
  <si>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</si>
  <si>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</si>
  <si>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</si>
  <si>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</si>
  <si>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</si>
  <si>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</si>
  <si>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</si>
  <si>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</si>
  <si>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</si>
  <si>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</si>
  <si>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</si>
  <si>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</si>
  <si>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</si>
  <si>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</si>
  <si>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</si>
  <si>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</si>
  <si>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</si>
  <si>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</si>
  <si>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</si>
  <si>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</si>
  <si>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</si>
  <si>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Tratamento Térmico:</t>
  </si>
  <si>
    <t>Usinagem Externa:</t>
  </si>
  <si>
    <t>Investimentos - Resumo</t>
  </si>
  <si>
    <t>Versão 1.8</t>
  </si>
  <si>
    <t>Arthur Boff / Cristian Garcia</t>
  </si>
  <si>
    <t>Abreviação de Nomes das Máquinas</t>
  </si>
  <si>
    <t>Abreviação</t>
  </si>
  <si>
    <t>PF03</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</si>
  <si>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</si>
  <si>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</si>
  <si>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</si>
  <si>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</si>
  <si>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</si>
  <si>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</si>
  <si>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</si>
  <si>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</si>
  <si>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</si>
  <si>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</si>
  <si>
    <t>Custo M.O.
(R$/pc)</t>
  </si>
  <si>
    <t>Custo T.T.
(R$/kg)</t>
  </si>
  <si>
    <t>Custo M.P.
(R$/kg)</t>
  </si>
  <si>
    <t>Carros e Dispositivos Especiais:</t>
  </si>
  <si>
    <t>Matriz de Pre Punching:</t>
  </si>
  <si>
    <t>Mordente ou Matriz de Corte:</t>
  </si>
  <si>
    <t>Caixas de armazenagem:</t>
  </si>
  <si>
    <t>SD01-rev.Out/21</t>
  </si>
  <si>
    <t>SD02-rev.Out/21</t>
  </si>
  <si>
    <t>2MS - ENGENHARIA LTDA</t>
  </si>
  <si>
    <t>Construção Civil</t>
  </si>
  <si>
    <t>3º POLO IND DE ARTEF DE MAD LTDA</t>
  </si>
  <si>
    <t>A CAMPANERUTTI TRUCK CENT - EIRELI</t>
  </si>
  <si>
    <t>Automotivo</t>
  </si>
  <si>
    <t>A D MARTINELLI - EIRELI</t>
  </si>
  <si>
    <t>Metal Mecânico</t>
  </si>
  <si>
    <t>A F ABIANNA MOVEIS ESCOLARES LTDA</t>
  </si>
  <si>
    <t>Moveleiro</t>
  </si>
  <si>
    <t>A G MENDES &amp; CIA LTDA</t>
  </si>
  <si>
    <t>Revenda / Outros</t>
  </si>
  <si>
    <t>A ROSSO MADEIRAS &amp; CIA LTDA</t>
  </si>
  <si>
    <t>A TONIAL ENG E CONSULT EMPRESARIAL</t>
  </si>
  <si>
    <t>A.J.A. COM DE FERRO E AÇO LTDA</t>
  </si>
  <si>
    <t>A.R. COLOMBO ADMINISTRACAO E PARTIC</t>
  </si>
  <si>
    <t>AAGG PARTS DO BRASIL IND PECAS</t>
  </si>
  <si>
    <t>Agricola</t>
  </si>
  <si>
    <t>AB FABRICACAO DE MAQ IND EIRELI</t>
  </si>
  <si>
    <t>Movimentação e Armazenagem</t>
  </si>
  <si>
    <t>ABASTECIMIENTOS SA</t>
  </si>
  <si>
    <t>ABRASSER FERRAMENTAS LTDA</t>
  </si>
  <si>
    <t>ABSOLUTA METAL IND MET LTDA</t>
  </si>
  <si>
    <t>ACC CONCRETOS EIRELI</t>
  </si>
  <si>
    <t>ACF MG EMPREEND E PARTICIP LTDA</t>
  </si>
  <si>
    <t>ACO CEARA FABR DE MOVEIS E ESTR MET</t>
  </si>
  <si>
    <t>ACO E FERRO GUILHERME LTDA</t>
  </si>
  <si>
    <t>ACO IDEAL LTDA</t>
  </si>
  <si>
    <t>ACO NOBRE MOVEIS EIRELI - EPP</t>
  </si>
  <si>
    <t>ACO-FER COM DE PROD SIDERURG LTDA</t>
  </si>
  <si>
    <t>ACOBAMA COM DE FERRO E ACO EIRELI</t>
  </si>
  <si>
    <t>ACOBARRA COM DE FERRO E ACO LTDA</t>
  </si>
  <si>
    <t>ACOCON INDUSTRIA E COMERCIO LTDA</t>
  </si>
  <si>
    <t>ACODUTO COM IMP E EXP LTDA</t>
  </si>
  <si>
    <t>ACOFER COMERCIO DE FERROS LTDA</t>
  </si>
  <si>
    <t>ACOMAN SOLUCOES EM ACO LTDA</t>
  </si>
  <si>
    <t>ACOMAQ IND DE MAQ E FERRAM EIRELI</t>
  </si>
  <si>
    <t>ACOMETAL COMERCIO FERRO E ACO LTDA</t>
  </si>
  <si>
    <t>ACOMETAL PROD SID LTDA</t>
  </si>
  <si>
    <t>ACONORTE COM DE FERRO ACO LTDA</t>
  </si>
  <si>
    <t>ACOPAIVA TUBOS E PERFIS LTDA</t>
  </si>
  <si>
    <t>ACOPLANO COM DE ACOS LTDA</t>
  </si>
  <si>
    <t>ACOS AMERICA LTDA</t>
  </si>
  <si>
    <t>ACOS CAMPO LARGO COM FERRO EIRELI</t>
  </si>
  <si>
    <t>ACOS CONTINENTAL LTDA</t>
  </si>
  <si>
    <t>ACOS CONTINENTE IND E COM LTDA</t>
  </si>
  <si>
    <t>ACOS CORTE LONDRINA COM DE ACOS E</t>
  </si>
  <si>
    <t>ACOS CWB COM DE FERRANGENS LTDA</t>
  </si>
  <si>
    <t>ACOS GRANJO COMERCIAL LTDA</t>
  </si>
  <si>
    <t>ACOS ITAPETININGA LTDA</t>
  </si>
  <si>
    <t>ACOS METALPLAN COM DIST DE ACO LTDA</t>
  </si>
  <si>
    <t>ACOS PAMPA LTDA</t>
  </si>
  <si>
    <t>ACOS PONTO COM COM DE PROD SIDEURG</t>
  </si>
  <si>
    <t>ACOS RENOX LTDA</t>
  </si>
  <si>
    <t>ACOS RETOS URANIO LTDA</t>
  </si>
  <si>
    <t>ADELAR HANKE</t>
  </si>
  <si>
    <t>ADELAR LUIS CENCI</t>
  </si>
  <si>
    <t>ADELAR LUIS ESCAIO</t>
  </si>
  <si>
    <t>ADELAR ZWIRTES</t>
  </si>
  <si>
    <t>ADELCINO MACHADO MASSIRER</t>
  </si>
  <si>
    <t>ADELIA PETROLLI FRAPORTI</t>
  </si>
  <si>
    <t>ADELINO LARA</t>
  </si>
  <si>
    <t>ADELIO AGOSTINHO FORNER</t>
  </si>
  <si>
    <t>ADELMO NUNES FERNADES</t>
  </si>
  <si>
    <t>ADELUZ SOLUCOES CONSTRUTIVAS LTDA</t>
  </si>
  <si>
    <t>ADEMAR AZIR ARNHOLDO</t>
  </si>
  <si>
    <t>ADEMAR LUIZ KRONBAUER</t>
  </si>
  <si>
    <t>ADEMIR JOSE PERSCH - EPP</t>
  </si>
  <si>
    <t>ADEMIR MULLER</t>
  </si>
  <si>
    <t>ADILOR ADAMS</t>
  </si>
  <si>
    <t>ADILSON MERLIM</t>
  </si>
  <si>
    <t>ADIR LUIZ SANDRI</t>
  </si>
  <si>
    <t>ADRIANA SILVEIRA FRANCA PAVANELLI</t>
  </si>
  <si>
    <t>ADRIANO ANTONIO TIECHER</t>
  </si>
  <si>
    <t>ADRIANO JOSE FABRO</t>
  </si>
  <si>
    <t>ADRIANO LOPES COUTINHO - BRINQUEDOS</t>
  </si>
  <si>
    <t>ADRIANO PILOTTI RESEMINI</t>
  </si>
  <si>
    <t>ADRIANO ROBERTO CARARD LANG</t>
  </si>
  <si>
    <t>AF COM DE ACOS E FERROS EIRELI</t>
  </si>
  <si>
    <t>AGCO DO BRASIL SOLUC AGRICOLAS LTDA</t>
  </si>
  <si>
    <t>AGI BRASIL INDUSTRIA E COMERCIO SA</t>
  </si>
  <si>
    <t>AGMAQ EQUIP E MONT INDUSTRIAIS LTD</t>
  </si>
  <si>
    <t>AGOSTINHO ZANOTTO</t>
  </si>
  <si>
    <t>AGRITECH LAVRALE IND DE MAQUINARIO</t>
  </si>
  <si>
    <t>AGRO FERRACINI CEREAIS EIRELI</t>
  </si>
  <si>
    <t>AGRO PECUARIA GATO DO MATO LTDA</t>
  </si>
  <si>
    <t>AGROBANDEIRA COM DE IMP E PROD AGR</t>
  </si>
  <si>
    <t>AGROBRASILCHEMICAL - COML EIRELI</t>
  </si>
  <si>
    <t>AGROCIVIL CONSTRUCOES LTDA</t>
  </si>
  <si>
    <t>AGRODOMUS COM DE INS AGRIC EIRELI</t>
  </si>
  <si>
    <t>AGROPEC SCHIO LTDA</t>
  </si>
  <si>
    <t>AGROPECUARIA DAL ROS LTDA</t>
  </si>
  <si>
    <t>AGROPECUARIA MACHADINHO S/A</t>
  </si>
  <si>
    <t>AGROSPE AGRO INDL S PEDRO DE VACA</t>
  </si>
  <si>
    <t>AGUA LIMPA POCOS ARTESIANOS LTDA</t>
  </si>
  <si>
    <t>AGUIA TUBOS COM IMP E EXP DE FERRO</t>
  </si>
  <si>
    <t>AGUIRRE ESTRUTURAS METALICAS LTDA</t>
  </si>
  <si>
    <t>AIRTON LUIZ GIRELLI</t>
  </si>
  <si>
    <t>AIRTON WILDE</t>
  </si>
  <si>
    <t>AIZ IND DE MAQ E IMPLEMENTOS LTDA</t>
  </si>
  <si>
    <t>AJGS IND COM IMP E EXP EIRELI ME</t>
  </si>
  <si>
    <t>AJR COMERCIAL EIRELI</t>
  </si>
  <si>
    <t>ALARMES PLASTIVISO INSTAL E COM LTD</t>
  </si>
  <si>
    <t>ALBERFLEX INDUSTRIA DE MOVEIS LTDA</t>
  </si>
  <si>
    <t>ALBERTO EDVINO ARNOLD</t>
  </si>
  <si>
    <t>ALCINDO ROMERO GONCALVES</t>
  </si>
  <si>
    <t>ALDAIR SCHIMANOWSKI</t>
  </si>
  <si>
    <t>ALDO BERNARDI</t>
  </si>
  <si>
    <t>ALDO MICHELS MEURER</t>
  </si>
  <si>
    <t>ALDONEI SEQUINATTO CORREA</t>
  </si>
  <si>
    <t>ALDORI BOEIRA CASAGRANDE</t>
  </si>
  <si>
    <t>ALENCAR UMBERTO MARION</t>
  </si>
  <si>
    <t>ALESSIO LUSSANI</t>
  </si>
  <si>
    <t>ALEX MILANI</t>
  </si>
  <si>
    <t>ALEX SANDRO NEVES BARRETO</t>
  </si>
  <si>
    <t>ALEXANDER VARIANI</t>
  </si>
  <si>
    <t>ALEXANDRE GOMES DOS SANTOS</t>
  </si>
  <si>
    <t>ALEXSON RICARDO DE JESUS</t>
  </si>
  <si>
    <t>ALFREDO CARLOS HEIDMANN</t>
  </si>
  <si>
    <t>ALICE GUIMARA PEREIRA ART DE MAD</t>
  </si>
  <si>
    <t>ALISSON MATEUS WRASSE</t>
  </si>
  <si>
    <t>ALISSON RUDINEI SCHMITT</t>
  </si>
  <si>
    <t>ALLIKON EQUIPAMENTOS AGRIC LTDA</t>
  </si>
  <si>
    <t>ALLITUBOS COM DE TUBOS E ACOS LTDA</t>
  </si>
  <si>
    <t>ALMIR LUIS KARLINSKI</t>
  </si>
  <si>
    <t>ALPINO IND METALURGICA LTDA</t>
  </si>
  <si>
    <t>ALTAIR DA ROSA</t>
  </si>
  <si>
    <t>ALTEMIR DA SILVA SERRALHERIA</t>
  </si>
  <si>
    <t>ALTERNATIVA LOC DE GALPOES LONADOS</t>
  </si>
  <si>
    <t>ALUFER S/A ESTRUTURAS METALICAS</t>
  </si>
  <si>
    <t>ALVOTEQ METALURGICA ALVORADA LTDA</t>
  </si>
  <si>
    <t>Movimentação</t>
  </si>
  <si>
    <t>ALZIRSE LISOT</t>
  </si>
  <si>
    <t>AMA TUBOS LTDA</t>
  </si>
  <si>
    <t>AMANCIO &amp; OLIVEIRA LTDA ME</t>
  </si>
  <si>
    <t>AMAQUEL IMPLEMENTOS AGRICOLAS LTDA</t>
  </si>
  <si>
    <t>AMAURI ANTUNES DA PORCIUNCULA</t>
  </si>
  <si>
    <t>AMAURI ARIBERTO HATJE</t>
  </si>
  <si>
    <t>AMBROSIO JERONIMO GENTARSKI</t>
  </si>
  <si>
    <t>AMC IND DE PECAS DECORATIVAS EIRELI</t>
  </si>
  <si>
    <t>AME COM VAREJ DE UTILID E PRESENTES</t>
  </si>
  <si>
    <t>AMPLA IND METALURGICA LTDA</t>
  </si>
  <si>
    <t>ANA CLAUDIA HOFFMANN DOS SANTOS</t>
  </si>
  <si>
    <t>ANA LAURA TRADA</t>
  </si>
  <si>
    <t>ANA LUISA BIGOLIN DA SILVEIRA</t>
  </si>
  <si>
    <t>ANDRE BAGGIO ANNIBELLI</t>
  </si>
  <si>
    <t>ANDRE CARMINATTI</t>
  </si>
  <si>
    <t>ANDRE IANKE</t>
  </si>
  <si>
    <t>ANDRE LUIS SEIFERT</t>
  </si>
  <si>
    <t>ANDRE MEDEIROS DA SILVA</t>
  </si>
  <si>
    <t>ANDREA DE FATIMA SOLES DA SILVA</t>
  </si>
  <si>
    <t>ANDREA MARIA DE SOUZA</t>
  </si>
  <si>
    <t>ANDRIOLI E BIANCHINI IND E COM LTDA</t>
  </si>
  <si>
    <t>ANFER COM DE FERRO E ACO LTDA</t>
  </si>
  <si>
    <t>ANGELO CONFUORTO NETO</t>
  </si>
  <si>
    <t>ANGELO PAULO PRZYBITOWICZ</t>
  </si>
  <si>
    <t>ANODILAR IND DE EQUIP GASTRONOM</t>
  </si>
  <si>
    <t>ANTONIO CARLOS RIVELINE</t>
  </si>
  <si>
    <t>ANTONIO GALAN NETO - METALURGICA</t>
  </si>
  <si>
    <t>ANTONIO TONDOLO</t>
  </si>
  <si>
    <t>ANTONIOSI TECNOLOGIA AGROINDL LTDA</t>
  </si>
  <si>
    <t>APPELSA S.A</t>
  </si>
  <si>
    <t>ARAL IND METAL MECANICA LTDA</t>
  </si>
  <si>
    <t>Cabinas / ROPS</t>
  </si>
  <si>
    <t>ARAMADOS MASUTTI COPAT LTDA</t>
  </si>
  <si>
    <t>ARAMAR INDUSTRIA E COMERCIO LTDA</t>
  </si>
  <si>
    <t>ARAMART INDUSTRIA DE ARAMADOS LTDA</t>
  </si>
  <si>
    <t>ARAMEFICIO CHAVANTES IND E COM LTDA</t>
  </si>
  <si>
    <t>ARAPOFER COM DE FERRO E ACO LTDA</t>
  </si>
  <si>
    <t>ARAUFER COMERCIO DE FERRAGENS LTDA</t>
  </si>
  <si>
    <t>ARCELORMITTAL GONVARRI BRASIL</t>
  </si>
  <si>
    <t>ARCIMOL PRE MOLD E CONST DE OBRAS</t>
  </si>
  <si>
    <t>ARI DOSSIN</t>
  </si>
  <si>
    <t>ARI SCHAURICH</t>
  </si>
  <si>
    <t>ARI TITTON</t>
  </si>
  <si>
    <t>ARJONAS CONSTR E INCORP LTDA</t>
  </si>
  <si>
    <t>ARKUS METALURGIA LTDA</t>
  </si>
  <si>
    <t>ARLINDO JOSE SCHUMANN</t>
  </si>
  <si>
    <t>ARLINDO LUDWIG &amp; CIA LTDA</t>
  </si>
  <si>
    <t>ARMATIC COMERCIO E INDUSTRIA LTDA</t>
  </si>
  <si>
    <t>ARMAZEM DO ACO LTDA</t>
  </si>
  <si>
    <t>ARMS ALIANCA COM DE PECAS PARA CA</t>
  </si>
  <si>
    <t>ARNALDO FORTUNA &amp; CIA LTDA</t>
  </si>
  <si>
    <t>ARNALDO HULLER</t>
  </si>
  <si>
    <t>ARNALDO SABATINI S R L</t>
  </si>
  <si>
    <t>ART7 IND METALURGICA LTDA</t>
  </si>
  <si>
    <t>ARTABAS ARTEF DE ARAME BASTOS LTDA</t>
  </si>
  <si>
    <t>ARTALI IND METALURGICA LTDA</t>
  </si>
  <si>
    <t>ARTE E ESTILO IND METALURG E SERR</t>
  </si>
  <si>
    <t>ARTHUR KRELLING DE ABREU GONCALVES</t>
  </si>
  <si>
    <t>ARTICO TADEU FAE</t>
  </si>
  <si>
    <t>ARUJAFER COM DE FERRAG LTDA - EPP</t>
  </si>
  <si>
    <t>ARY A CRESTANI &amp; CIA LTDA</t>
  </si>
  <si>
    <t>ASA IMPLEMENTOS LTDA</t>
  </si>
  <si>
    <t>ASBV INCORP E CONSTR EIRELI</t>
  </si>
  <si>
    <t>ASSIS PIRES TUBOS LTDA</t>
  </si>
  <si>
    <t>ASSOC CULT DE LINHA FRANCESA LTDA</t>
  </si>
  <si>
    <t>ASSOC MURIALDINAS DE SAO JOSE</t>
  </si>
  <si>
    <t>ASUS IND DE MAQ AGRIC LTDA ME</t>
  </si>
  <si>
    <t>ATENAS - ARTEF DE CONC E ACOS LTDA</t>
  </si>
  <si>
    <t>ATITUBOS COMERCIAL DE ACOS LTDA</t>
  </si>
  <si>
    <t>ATIVA DISPLAYS IND E COM DE ARTIGOS</t>
  </si>
  <si>
    <t>ATLANTA CONSTR E INCORP LTDA</t>
  </si>
  <si>
    <t>AUGUSTO EMERSON LARA</t>
  </si>
  <si>
    <t>AUGUSTO EMERSON LARA 00137624000</t>
  </si>
  <si>
    <t>AURUM CONST CIVIL IND E COM AGROP</t>
  </si>
  <si>
    <t>AUTO ADESIVOS PARANA SA</t>
  </si>
  <si>
    <t>AUTO POSTO AVIZ III LTDA</t>
  </si>
  <si>
    <t>AUTO POSTO BRAMBILA LTDA</t>
  </si>
  <si>
    <t>AUTOMASAFETY CONSULT IND E COM DE</t>
  </si>
  <si>
    <t>AVIACAO EMPREEND COMERCIAIS LTDA</t>
  </si>
  <si>
    <t>AVIARIO MORAES LTDA</t>
  </si>
  <si>
    <t>AVIBRASIL IND COM EQUIP AVICOLAS LT</t>
  </si>
  <si>
    <t>AVICOLA CARMINATTI LTDA</t>
  </si>
  <si>
    <t>AVISERRA SOLUCOES AMBIENTAIS LTDA</t>
  </si>
  <si>
    <t>AZS SOLUCOES E TECNOLOGIA LTDA EPP</t>
  </si>
  <si>
    <t>B K S IND COM DE MAQ LTDA</t>
  </si>
  <si>
    <t>B P CONSTR E METALURG MORAES LTDA</t>
  </si>
  <si>
    <t>B V IND METALURGICA EIRELI ME</t>
  </si>
  <si>
    <t>B.R.A IND E COM DE BALANCAS EIRELI</t>
  </si>
  <si>
    <t>B2 INDUSTRIA E COMERCIO LTDA - EPP</t>
  </si>
  <si>
    <t>BALANCAS MERCOSUL LTDA</t>
  </si>
  <si>
    <t>BALMAK INDUSTRIA E COMERCIO LTDA</t>
  </si>
  <si>
    <t>BARAO COM DE FERRO E ACO LTDA</t>
  </si>
  <si>
    <t>BARRACA DE HIERROS SAN MARTIN S.A</t>
  </si>
  <si>
    <t>BASTON INDUSTRIA DE AEROSSOIS LTDA</t>
  </si>
  <si>
    <t>BATISTA IZEPE - ADM DE BENS LTDA</t>
  </si>
  <si>
    <t>BC CONSTRUTORA LTDA</t>
  </si>
  <si>
    <t>BCF CONSTR E EMPREENDIMENTOS LTDA</t>
  </si>
  <si>
    <t>BEATRIZ DE CARVALHO PEREIRA</t>
  </si>
  <si>
    <t>BECKER TRATORES E IMPL EIRELI</t>
  </si>
  <si>
    <t>BECKHAUSER IND E COM DE EQUIP PEC</t>
  </si>
  <si>
    <t>BEIRA ALTA INDUSTRIAL LTDA</t>
  </si>
  <si>
    <t>BELENUS LTDA</t>
  </si>
  <si>
    <t>BELGO BEKAERT ARAMES LTDA</t>
  </si>
  <si>
    <t>BELLESKY IND COM IMP E EXP LTDA</t>
  </si>
  <si>
    <t>BELMAN COM DE ACOS LTDA</t>
  </si>
  <si>
    <t>BELO RIO METALURGICA LTDA</t>
  </si>
  <si>
    <t>BELTRAME COM DE MAT DE CONSTR LTDA</t>
  </si>
  <si>
    <t>BEMFATTO IND METALURG LTDA EPP</t>
  </si>
  <si>
    <t>BEN HUR ERHALDO TOMM</t>
  </si>
  <si>
    <t>BENPAR INDUSTRIA AGRICOLA LTDA</t>
  </si>
  <si>
    <t>BENTO BRASIL TRANSP E LOG LTDA</t>
  </si>
  <si>
    <t>BERA ARTESANATOS EIRELI</t>
  </si>
  <si>
    <t>BERKES ZONA FRANCA S.A.</t>
  </si>
  <si>
    <t>BERNARDO MAQUINAS INDUSTRIAIS LTDA</t>
  </si>
  <si>
    <t>BERTONI &amp; BECKER COM DE SUCATA LTDA</t>
  </si>
  <si>
    <t>BIG DUTCHMAN BRASIL LTDA</t>
  </si>
  <si>
    <t>BLASS COMPONENTES INDUSTRIAIS LTDA</t>
  </si>
  <si>
    <t>BM PAR EMPREENDIMENTOS S/A</t>
  </si>
  <si>
    <t>BNT EMPREENDIMENTOS LTDA</t>
  </si>
  <si>
    <t>BOFF IND DE AUTO PECAS LTDA</t>
  </si>
  <si>
    <t>BOFF PROJETOS E EDIFICACOES S/A</t>
  </si>
  <si>
    <t>BOLLERIA BOLOS CASEIROS EIRELI</t>
  </si>
  <si>
    <t>BOLZAN &amp; BAUMART LTDA</t>
  </si>
  <si>
    <t>BOLZAN MATERIAIS DE CONSTRUCAO LTDA</t>
  </si>
  <si>
    <t>BOM FACTORING FOMENTO COML LTDA</t>
  </si>
  <si>
    <t>BOM TEMPO INCORPORADORA LTDA</t>
  </si>
  <si>
    <t>BONACK &amp; SANCHES LTDA ME</t>
  </si>
  <si>
    <t>BONALDO &amp; BONALDO LTDA</t>
  </si>
  <si>
    <t>BONANI PREST DE SERV DE SERRALH LTD</t>
  </si>
  <si>
    <t>BONANI SANTIAGO LTDA</t>
  </si>
  <si>
    <t>BONASOLDI DISTR DE FERRAGENS FER E</t>
  </si>
  <si>
    <t>BORRACHARIA E SERRALH TORRECIJA LTD</t>
  </si>
  <si>
    <t>BORTOLINI LOCACOES DE ANDAIMES E</t>
  </si>
  <si>
    <t>BORTOLOTTO FERRO E ACO LTDA</t>
  </si>
  <si>
    <t>BOSS ESTRUTURA METALICA LTDA</t>
  </si>
  <si>
    <t>BP PRE MOLDADOS E CONSTR LTDA</t>
  </si>
  <si>
    <t>BPPPS EMPREEND IMOB SPE LTDA</t>
  </si>
  <si>
    <t>BR LASER IND E COM DE METAIS LTDA</t>
  </si>
  <si>
    <t>BR7 SISTEMAS DE ARMAZENAGEM LTDA</t>
  </si>
  <si>
    <t>BRACELL SP CELULOSE LTDA</t>
  </si>
  <si>
    <t>BRAESI EQUIP PARA ALIMENT LTDA</t>
  </si>
  <si>
    <t>BRAFER CONSTRUCOES METALICAS S/A</t>
  </si>
  <si>
    <t>BRAGANFER IND E COM DE FERRO E ACO</t>
  </si>
  <si>
    <t>BRAMBILA FERRO E ACO LTDA</t>
  </si>
  <si>
    <t>BRAMBILLA TRANSPORTES LTDA</t>
  </si>
  <si>
    <t>BRANSILOS IND E COM DE MAQ LTDA</t>
  </si>
  <si>
    <t>BRASFERTIL FERTILIZANTES LTDA ME</t>
  </si>
  <si>
    <t>BRASHOP SA ADM DE SHOPPING CENTER</t>
  </si>
  <si>
    <t>BRASIL AO CUBO S.A.</t>
  </si>
  <si>
    <t>BRASIL FERRO E ACO LTDA - ME</t>
  </si>
  <si>
    <t>BRASIL PEANUT LTDA</t>
  </si>
  <si>
    <t>BRASILSAT HARALD S/A</t>
  </si>
  <si>
    <t>BRATTI METAL MECANICA LTDA</t>
  </si>
  <si>
    <t>BRAULIO LICKS DA CRUZ</t>
  </si>
  <si>
    <t>BRAVO IND COM E SERV AUTOMOT LTDA</t>
  </si>
  <si>
    <t>BRESSAN IND E COM DE EMBALAGENS LTD</t>
  </si>
  <si>
    <t>BRIGHENTE IND E COM DE UTILID LTDA</t>
  </si>
  <si>
    <t>BRINOL SA</t>
  </si>
  <si>
    <t>BRITO ARTEFATOS DE CIMENTO LTDA</t>
  </si>
  <si>
    <t>BRS EQUIPAMENTOS AGRICOLAS EIRELI</t>
  </si>
  <si>
    <t>BRUDDEN EQUIPAMENTOS LTDA</t>
  </si>
  <si>
    <t>BRUDNA CONSTRUCOES E SERRALH LTDA</t>
  </si>
  <si>
    <t>BRUFA IND E COM DE MOV ESCOLARES LT</t>
  </si>
  <si>
    <t>BRUNING TECNOMETAL LTDA</t>
  </si>
  <si>
    <t>BRUNO MATHEUS BRESSAN BARIJAN EIRE</t>
  </si>
  <si>
    <t>BRUNO SPACKI - PERFILADOS</t>
  </si>
  <si>
    <t>BSD IMOVEIS EMPREEND E PART LTDA</t>
  </si>
  <si>
    <t>BSG FERRAGENS LTDA</t>
  </si>
  <si>
    <t>BTL IND E COM DE ACO LTDA</t>
  </si>
  <si>
    <t>BUDNY IND E COM EIRELI</t>
  </si>
  <si>
    <t>BULLA SINALIZACOES LTDA - ME</t>
  </si>
  <si>
    <t>BURG &amp; CIA LTDA</t>
  </si>
  <si>
    <t>BUSA INDUSTRIAL E COMERCIAL LTDA</t>
  </si>
  <si>
    <t>BUSCAINO PARTICIPACOES LTDA</t>
  </si>
  <si>
    <t>BUSSCAR DE COLOMBIA S.A.S</t>
  </si>
  <si>
    <t>C C S TECNOLOGIA E SERVICOS S.A.</t>
  </si>
  <si>
    <t>C H ROGGIA CONST LTDA</t>
  </si>
  <si>
    <t>C N MATEUS</t>
  </si>
  <si>
    <t>C S D CELICO - METALURGICA</t>
  </si>
  <si>
    <t>C VALE - COOPERATIVA AGROINDUSTRIAL</t>
  </si>
  <si>
    <t>C3 EQUIP PARA CONSTR CIVIL LTDA</t>
  </si>
  <si>
    <t>CABS INTERNATIONAL LTDA</t>
  </si>
  <si>
    <t>CADIOLI IMPLEMENTOS AGRICOLAS LTDA</t>
  </si>
  <si>
    <t>CAIO - INDUSCAR IND COM CARROC LTDA</t>
  </si>
  <si>
    <t>CALCADOS RAMARIM LTDA</t>
  </si>
  <si>
    <t>CALOI NORTE S/A</t>
  </si>
  <si>
    <t>CAMILA FATIMA CAVION</t>
  </si>
  <si>
    <t>CAMPAGNARO PECAS E ACESSORIOS LTDA</t>
  </si>
  <si>
    <t>CANGURI IND E COM DE CAMAS ELAST</t>
  </si>
  <si>
    <t>CANOS PLAZA S.R.L</t>
  </si>
  <si>
    <t>CANYOSUL-UTILIDADES DOMEST LTDA</t>
  </si>
  <si>
    <t>CAPELA COUROS IND E COMERCIO LTDA</t>
  </si>
  <si>
    <t>CARAJAS MATERIAL DE CONSTRUCAO LTDA</t>
  </si>
  <si>
    <t>CARBONIFERA BELLUNO LTDA</t>
  </si>
  <si>
    <t>CARBUSS IND CAT DE CARROCERIAS LTDA</t>
  </si>
  <si>
    <t>CARLOS ALBERTO BOFF</t>
  </si>
  <si>
    <t>CARLOS ALBERTO BOHRZ</t>
  </si>
  <si>
    <t>CARLOS AUGUSTO BARCELOS JACOBY</t>
  </si>
  <si>
    <t>CARLOS BECKER MET INDL LTDA</t>
  </si>
  <si>
    <t>CARLOS BECKER METALURGICA INDUSTRIA</t>
  </si>
  <si>
    <t>CARLOS HENRIQUE ABREU</t>
  </si>
  <si>
    <t>CARLOS ROBERTO SCHOLLES</t>
  </si>
  <si>
    <t>CARMELINDA DE FATIMA RECH</t>
  </si>
  <si>
    <t>CAROLAINE JANNKE</t>
  </si>
  <si>
    <t>CASA A INDUSTRIA DE MOVEIS LTDA</t>
  </si>
  <si>
    <t>CASA DAS ESQUADRIAS LTDA</t>
  </si>
  <si>
    <t>CASA DO ACO COM IMP E EXP LTDA</t>
  </si>
  <si>
    <t>CASA GRANDE IND DE ESQ LTDA ME</t>
  </si>
  <si>
    <t>CASA NOSTRA COM DE MAT DE CONSTR</t>
  </si>
  <si>
    <t>CASALE EQUIPAMENTOS LTDA</t>
  </si>
  <si>
    <t>CASEMIRO ADAO KOPECEHINSKI</t>
  </si>
  <si>
    <t>CASTELO ADM DE BENS E IMOV LTDA</t>
  </si>
  <si>
    <t>CASTERTECH FUNDIC E TECNOLOG LTDA</t>
  </si>
  <si>
    <t>CASTROACO COM DE FERRO E ACO LTDA</t>
  </si>
  <si>
    <t>CAVALETTI SA CADEIRAS PROFISSIONAIS</t>
  </si>
  <si>
    <t>CAZEN ADM E PARTICIP LTDA</t>
  </si>
  <si>
    <t>CCF IND DE COMP AUTOMOTIVOS LTDA</t>
  </si>
  <si>
    <t>CDR COMERCIAL DE ACOS LTDA</t>
  </si>
  <si>
    <t>CEDIBRA COMERCIO DE FERRAGENS LTDA</t>
  </si>
  <si>
    <t>CELSO BERNARDO &amp; CIA LTDA</t>
  </si>
  <si>
    <t>CELSO GIOVANI BUZETTO</t>
  </si>
  <si>
    <t>CEMIL TUBOS E CONEXOES LTDA</t>
  </si>
  <si>
    <t>CENTERVAL COMERCIAL LTDA</t>
  </si>
  <si>
    <t>CENTRALL DE FERROS METALURG HANSEN</t>
  </si>
  <si>
    <t>CENTURY COMERCIO DE TUBOS LTDA</t>
  </si>
  <si>
    <t>CEREALISTA AMIGOS DA TERRA LTDA</t>
  </si>
  <si>
    <t>CERON E FAILA LTDA</t>
  </si>
  <si>
    <t>CERVEJARIA PETROPOLIS S/A</t>
  </si>
  <si>
    <t>CESAR ALBERTO BORTONCELLO</t>
  </si>
  <si>
    <t>CESAR AUGUSTO CURRA</t>
  </si>
  <si>
    <t>CESTARI-INDL E COML S/A</t>
  </si>
  <si>
    <t>CF III LOGISTICA S.A.</t>
  </si>
  <si>
    <t>CF IV LOGISTICA S.A.</t>
  </si>
  <si>
    <t>CGC INDUSTRIA DE FOGAREIROS LTDA</t>
  </si>
  <si>
    <t>CHAPEMEC IND METALURGICA LTDA</t>
  </si>
  <si>
    <t>CHARLENE PNEUS LTDA</t>
  </si>
  <si>
    <t>CHICO TORNEARIA IND METALURG LTDA</t>
  </si>
  <si>
    <t>CHIPI IMPLEMENTOS RODOV LTDA EPP</t>
  </si>
  <si>
    <t>CIFERAL INDUSTRIA DE ONIBUS LTDA</t>
  </si>
  <si>
    <t>CINFEL COM E IND DE FERRAGENS LONDR</t>
  </si>
  <si>
    <t>CIPAR INCORP E ADM DE IMOVEIS LTDA</t>
  </si>
  <si>
    <t>CIPLAFE - COM E IND DE MOVEIS LTDA</t>
  </si>
  <si>
    <t>CLA HOME IND IMP E EXP LTDA</t>
  </si>
  <si>
    <t>CLADEMIR CLEMENTE KLEIN</t>
  </si>
  <si>
    <t>CLAITON HEME CUSTODIO 06974394969</t>
  </si>
  <si>
    <t>CLARICE ELETRODOMESTICOS LTDA</t>
  </si>
  <si>
    <t>CLAUDETE SPINELLI</t>
  </si>
  <si>
    <t>CLAUDIANE CAMARGO</t>
  </si>
  <si>
    <t>CLAUDINEI MARCOLINO CAMPOS</t>
  </si>
  <si>
    <t>CLAUDINEI SOARES DA ROCHA &amp; CIA LTD</t>
  </si>
  <si>
    <t>CLAUDIO BORTOLUZZI LTDA</t>
  </si>
  <si>
    <t>CLAUDIO ROSA DA SILVA</t>
  </si>
  <si>
    <t>CLAUDIO WENTZ &amp; CIA LTDA</t>
  </si>
  <si>
    <t>CLAUDIO ZAWATSKI</t>
  </si>
  <si>
    <t>CLAUDIOMAR GREGORY</t>
  </si>
  <si>
    <t>CLAYTON DE ALMEIDA MARCHINI EIRELI</t>
  </si>
  <si>
    <t>CLEAR PET IND COM DE PLASTICO LTDA</t>
  </si>
  <si>
    <t>CLEITON JOSE PASTERCHAK</t>
  </si>
  <si>
    <t>CLEOMAR RAZADOR</t>
  </si>
  <si>
    <t>CLG MATERIAIS ELETRICOS LTDA</t>
  </si>
  <si>
    <t>CLODOALDO CAMASSOLA</t>
  </si>
  <si>
    <t>CLUBE CAXIENSE DE CACA E TIRO</t>
  </si>
  <si>
    <t>CNH INDUSTRIAL BRASIL</t>
  </si>
  <si>
    <t>CNH INDUSTRIAL BRASIL LTDA</t>
  </si>
  <si>
    <t>COAGRU COOP AGROINDL UNIAO</t>
  </si>
  <si>
    <t>COCAMAR COOP AGROINDL</t>
  </si>
  <si>
    <t>COCAMAR COOPERATIVA AGROINDL</t>
  </si>
  <si>
    <t>COCARI - COOP AGROPEC E INDL</t>
  </si>
  <si>
    <t>COCARI COOP AGROP E INDL</t>
  </si>
  <si>
    <t>COESO CONCRETO ESTRU E OBRAS LTDA</t>
  </si>
  <si>
    <t>COFAMA IND E COM DE MAQ E EQUIP LTD</t>
  </si>
  <si>
    <t>COFERCAN COML FERROS CANOENSE LTDA</t>
  </si>
  <si>
    <t>COLINA JARD E COM DE PLANTAS LTDA</t>
  </si>
  <si>
    <t>COLOGNESE SOLUCOES LTDA</t>
  </si>
  <si>
    <t>COM DE FERRAGENS CANCAO EIRELI EPP</t>
  </si>
  <si>
    <t>COMEFER COML DE FERRO E ACO LTDA</t>
  </si>
  <si>
    <t>COMELATO RONCATO &amp; CIA LTDA</t>
  </si>
  <si>
    <t>COMERCIAL ACOFACIL LTDA</t>
  </si>
  <si>
    <t>COMERCIAL EXPORT MENEXPORT LTDA</t>
  </si>
  <si>
    <t>COMERCIAL IRMAOS PROVESI LTDA</t>
  </si>
  <si>
    <t>COMERCIAL JC LTDA ME</t>
  </si>
  <si>
    <t>COMERCIO DE FERRO ACO COTUVEL LTDA</t>
  </si>
  <si>
    <t>COMERCIO DE FERRO E ACO KOPP LTDA</t>
  </si>
  <si>
    <t>COMERCIO DE FERROS SAO JOAO LTDA</t>
  </si>
  <si>
    <t>COMERINE COM DE FERRO E ACO LTDA</t>
  </si>
  <si>
    <t>COMIL ONIBUS S/A</t>
  </si>
  <si>
    <t>COMIL SILOS E SECADORES LTDA</t>
  </si>
  <si>
    <t>COML DE FERROS CAXIAS LTDA</t>
  </si>
  <si>
    <t>COML FERROS COBALCHINI LTDA</t>
  </si>
  <si>
    <t>COML ZARAGOZA IMP E EXP LTDA</t>
  </si>
  <si>
    <t>COMPANHIA MELHORAMENTOS NORTE DO</t>
  </si>
  <si>
    <t>COMPANHIA ZAFFARI COM E IND</t>
  </si>
  <si>
    <t>COMPARSI IND DE MOV LTDA</t>
  </si>
  <si>
    <t>COMPOMAQ IND DE MAQ PARA BEBIDAS</t>
  </si>
  <si>
    <t>CONCI TURISMO E EVENTOS LTDA</t>
  </si>
  <si>
    <t>CONCREACO DA AMAZONIA LTDA</t>
  </si>
  <si>
    <t>CONCRETOS ITAIPU LTDA - EPP</t>
  </si>
  <si>
    <t>COND RESIDENCIAL SPAZIO LYON</t>
  </si>
  <si>
    <t>COND RESIDL ANTONIO BRANDELLI</t>
  </si>
  <si>
    <t>COND RESIDL CANADA PARK</t>
  </si>
  <si>
    <t>COND RESIDL SPAZIO LA TRAVIATA</t>
  </si>
  <si>
    <t>CONDOMINIO EDIFICIO VIAREGGIO</t>
  </si>
  <si>
    <t>CONDOMINIO LAGOA DA PRATA</t>
  </si>
  <si>
    <t>CONDOMINIO LAGOA SANTA</t>
  </si>
  <si>
    <t>CONDOMINIO NOVO SHOPPING 585</t>
  </si>
  <si>
    <t>CONDOMINIO RESIDENCIAL LANIN</t>
  </si>
  <si>
    <t>CONFECCOES VANELISE LTDA</t>
  </si>
  <si>
    <t>CONSILOS INDUSTRIAL LTDA</t>
  </si>
  <si>
    <t>CONSMETAL IND METALURGICA LTDA</t>
  </si>
  <si>
    <t>CONSOMI ROPELATO E CIA LTDA</t>
  </si>
  <si>
    <t>CONSTRUCASA SOLUC EM ACAB LTDA</t>
  </si>
  <si>
    <t>CONSTRUCOES METALIC NACIONAL LTDA</t>
  </si>
  <si>
    <t>CONSTRUCOES RMM LTDA</t>
  </si>
  <si>
    <t>CONSTRUTORA CDF LTDA</t>
  </si>
  <si>
    <t>CONSTRUTORA CHENARQ LTDA</t>
  </si>
  <si>
    <t>CONSTRUTORA FAIZ EIRELI EPP</t>
  </si>
  <si>
    <t>CONSTRUTORA IJUI LTDA</t>
  </si>
  <si>
    <t>CONSTRUTORA ZAVAREZZI LTDA</t>
  </si>
  <si>
    <t>CONSTRUVIL CONSTR E INST VILH LTDA</t>
  </si>
  <si>
    <t>COOP AGROPEC DE SAO SEPE LTDA</t>
  </si>
  <si>
    <t>COOP CRED POUP INVEST REG ALTOS SER</t>
  </si>
  <si>
    <t>COOP SANTA CLARA LTDA</t>
  </si>
  <si>
    <t>COOPAVEL COOP AGROINDUSTRIAL</t>
  </si>
  <si>
    <t>COOPERATIVA DALIA ALIMENTOS LTDA</t>
  </si>
  <si>
    <t>COOPERATIVA DE CREDITO LITORANEA</t>
  </si>
  <si>
    <t>COOPERATIVA MISTA SAO LUIZ LTDA</t>
  </si>
  <si>
    <t>COOPERATIVA SANTA CLARA LTDA</t>
  </si>
  <si>
    <t>COPAZ UTENSILIOS LTDA</t>
  </si>
  <si>
    <t>COPECAR IND E COM PECAS AGRIC LTDA</t>
  </si>
  <si>
    <t>COPERFIL IND E COM DE PERFILAD LTDA</t>
  </si>
  <si>
    <t>COPPERSAL INDUSTRIA QUIMICA LTDA</t>
  </si>
  <si>
    <t>COREMA IND DE MADEIRAS LTDA</t>
  </si>
  <si>
    <t>CORP LIGHT IND E COMERCIO EIRELI</t>
  </si>
  <si>
    <t>CORREA &amp; MATTIONI INDA METALURG</t>
  </si>
  <si>
    <t>COSMOFER COM DE FERROS LTDA</t>
  </si>
  <si>
    <t>COSTAFERRO COSTA TEIXEIRA FERRO E</t>
  </si>
  <si>
    <t>COSTAFERRO OURINHOS FER E ACO LTDA</t>
  </si>
  <si>
    <t>CRAMARO BRASIL IMPL RODOV LTDA</t>
  </si>
  <si>
    <t>CRB COM DE FERRO e AÇO  LTDA ME</t>
  </si>
  <si>
    <t>CRENLO DO BRASIL ENG DE CABINES LTD</t>
  </si>
  <si>
    <t>CROCOLI INDUSTRA METALURGICA LTDA</t>
  </si>
  <si>
    <t>CRUZ COML E REP LTDA</t>
  </si>
  <si>
    <t>CSM COMP SIST E MAQ P CONSTR LTDA</t>
  </si>
  <si>
    <t>CSM IND E COM DE FOGOES LTDA</t>
  </si>
  <si>
    <t>CTG TROPEIRO DA SERRA</t>
  </si>
  <si>
    <t>CTS COMERCIO DE APARAS LTDA</t>
  </si>
  <si>
    <t>CUSIN COM DE VEICULOS LTDA</t>
  </si>
  <si>
    <t>CYFER COMERCIO DE FERROS EIRELI</t>
  </si>
  <si>
    <t>D M B MAQUINAS E IMPLEMENTOS AGRICO</t>
  </si>
  <si>
    <t>D METAL SOLUCOES METALICAS LTDA</t>
  </si>
  <si>
    <t>D OFFICE MOVEIS LTDA</t>
  </si>
  <si>
    <t>D V J HOLDING LTDA</t>
  </si>
  <si>
    <t>DAC - DISTR DE ALIM CUIABA LTDA</t>
  </si>
  <si>
    <t>DAGAN IND E COM DE PROD SIDERURG LT</t>
  </si>
  <si>
    <t>DAIANA RISSON</t>
  </si>
  <si>
    <t>DAIANE GUAZZALLI BONATTO BRIDI</t>
  </si>
  <si>
    <t>DAL PRINT IMPRESSOES GRAFICAS LTDA</t>
  </si>
  <si>
    <t>DALCA ROBOTICA LTDA ME</t>
  </si>
  <si>
    <t>DALE CONSTR E INCORPORACOES LTDA</t>
  </si>
  <si>
    <t>DALPAN IND DE MAQUINAS LTDA</t>
  </si>
  <si>
    <t>DALZOCHIO INDUSTRIA DE PAPEIS LTDA</t>
  </si>
  <si>
    <t>DANIEL ANGELO ZATTERA MILESI</t>
  </si>
  <si>
    <t>DANIEL DE ANDRADE ZIEBELL</t>
  </si>
  <si>
    <t>DANIEL DE FREITAS REIS</t>
  </si>
  <si>
    <t>DANIEL JOAO BRIDI</t>
  </si>
  <si>
    <t>DANIEL LONGO</t>
  </si>
  <si>
    <t>DANIEL MORRO</t>
  </si>
  <si>
    <t>DANIEL RICARDO HEIDRICH</t>
  </si>
  <si>
    <t>DANILO RODRIGUES SANTOS</t>
  </si>
  <si>
    <t>DANNIEL MOREIRA BATISTA ACO E ACESS</t>
  </si>
  <si>
    <t>DARCI CHIARELLO</t>
  </si>
  <si>
    <t>DARCI DIAS</t>
  </si>
  <si>
    <t>DARCI WITZKE</t>
  </si>
  <si>
    <t>DE ROSSI IND E COM DE MAQ E IMPL</t>
  </si>
  <si>
    <t>DELGA INDUSTRIA E COMERCIO S/A</t>
  </si>
  <si>
    <t>DELMAR BRUCHEZ</t>
  </si>
  <si>
    <t>DELSI FELLINI DE MARI</t>
  </si>
  <si>
    <t>DELTA ACOS COM DE LAMINADOS LTDA</t>
  </si>
  <si>
    <t>DENADAI E PEREIRA IND E COM PEC LTD</t>
  </si>
  <si>
    <t>DENARIO EMPREEND IMOB 01 LTDA</t>
  </si>
  <si>
    <t>DERIO ROST &amp; CIA LTDA</t>
  </si>
  <si>
    <t>DEZANET &amp; SOUZA LTDA</t>
  </si>
  <si>
    <t>DG AGGRO COM DE MAT HIDR EIRELI</t>
  </si>
  <si>
    <t>DIARC ENGENHARIA E PRE-FABRIC LTDA</t>
  </si>
  <si>
    <t>DICARFLEX IND E COM DE MOVEIS PARA</t>
  </si>
  <si>
    <t>DICARLO COM VAREJ E ATACAD DE MOV</t>
  </si>
  <si>
    <t>DICARLO MOVEIS E ACESS PARA CASA</t>
  </si>
  <si>
    <t>DIEGO DE KASSIO BASTIAN</t>
  </si>
  <si>
    <t>DIEGO DUARTE COSTA AZEVEDO EIRELI</t>
  </si>
  <si>
    <t>DIEGO FAGAN LTDA</t>
  </si>
  <si>
    <t>DIETER ROESE</t>
  </si>
  <si>
    <t>DIFERRAL - DIST DE FERRO E ACO LTDA</t>
  </si>
  <si>
    <t>DIFERRO ACOS ESPECIAIS LTDA</t>
  </si>
  <si>
    <t>DIGINARO ROHR</t>
  </si>
  <si>
    <t>DILASOL S.A.</t>
  </si>
  <si>
    <t>DILMAR BITTENCOURT RODRIGUES</t>
  </si>
  <si>
    <t>DIMEC IND METALURG IMP E EXP LTDA</t>
  </si>
  <si>
    <t>DINAMIKA IND E COM DE EQUIP AGRIC L</t>
  </si>
  <si>
    <t>DIOGO VEIGA DA SILVEIRA SERRALHERIA</t>
  </si>
  <si>
    <t>DIOGO VENDRUSCOLO</t>
  </si>
  <si>
    <t>DIONATAN KETZER KRYSCZUN</t>
  </si>
  <si>
    <t>DIONEIDE DA COSTA PEREIRA</t>
  </si>
  <si>
    <t>DIRCEU BINDA</t>
  </si>
  <si>
    <t>DIRCEU FABIAN</t>
  </si>
  <si>
    <t>DISTR DE ACOS E METAIS TUBOMETAL LT</t>
  </si>
  <si>
    <t>DITUAL DISTRIB DE TUBOS E ACOS LTDA</t>
  </si>
  <si>
    <t>DITUAL SAO PAULO DISTRIB DE TUBOS E</t>
  </si>
  <si>
    <t>DIVIMEC TECNOLOGIA INDL LTDA</t>
  </si>
  <si>
    <t>DNE TRANSPORTES EIRELI</t>
  </si>
  <si>
    <t>DOMO INDUSTRIA DE MAQUINAS EIRELI</t>
  </si>
  <si>
    <t>DOMPEL IND PLASTICA E METALURG LTDA</t>
  </si>
  <si>
    <t>DONADA ALIMENTOS LTDA -ME</t>
  </si>
  <si>
    <t>DORVO IND E COM LTDA</t>
  </si>
  <si>
    <t>DOUGLAS PICCOLI</t>
  </si>
  <si>
    <t>DPS DISTRIB DE PROD SIDERURG LTDA</t>
  </si>
  <si>
    <t>DREAM INDUSTRIA E COMERCIO LTDA</t>
  </si>
  <si>
    <t>DREHER ESQ E VIDR TEMP COM IND EIRE</t>
  </si>
  <si>
    <t>DRYERATION IND COM E PROJETOS LTDA</t>
  </si>
  <si>
    <t>DSA PRE MOLDADOS LTDA</t>
  </si>
  <si>
    <t>DUBAUTO VEICULOS LTDA</t>
  </si>
  <si>
    <t>DUGALE METALURGICA LTDA</t>
  </si>
  <si>
    <t>DUNICK MULTFORM METAIS &amp; PRODUTOS</t>
  </si>
  <si>
    <t>DUO COMUNICACAO VISUAL LTDA</t>
  </si>
  <si>
    <t>DUTRATUBOS PROD SIDERURG LTDA</t>
  </si>
  <si>
    <t>DW SOLUCOES PARA TRANSP VERTICAL</t>
  </si>
  <si>
    <t>DWD - SOLUCOES EM EQUIP PARA ELEV</t>
  </si>
  <si>
    <t>E C GUADANHIN - MAQ E EQUIP EIRELI</t>
  </si>
  <si>
    <t>E M COLLI EIRELI</t>
  </si>
  <si>
    <t>E MAZIN INDUSTRIAL AGRICOLA</t>
  </si>
  <si>
    <t>E R AMANTINO IND METALURG LTDA</t>
  </si>
  <si>
    <t>E. DOS SANTOS OLIVEIRA</t>
  </si>
  <si>
    <t>EAA EQUIP AUTOMOT ARAUCARIA LTDA</t>
  </si>
  <si>
    <t>ECHER &amp; CIA LTDA</t>
  </si>
  <si>
    <t>ECO AVES IND E COM DE EQUIP AVIC LT</t>
  </si>
  <si>
    <t>ECO PB SOLAR ESTR P PAINEIS SOLARES</t>
  </si>
  <si>
    <t>ECOAGRICOLA IND E COM DE EQUIP LTDA</t>
  </si>
  <si>
    <t>ECOSIDER PROD SIDERURGICOS LTDA</t>
  </si>
  <si>
    <t>EDER EHRHARDT</t>
  </si>
  <si>
    <t>EDER FRANCISCO BOIJINK</t>
  </si>
  <si>
    <t>EDEVALDO PEREIRA PIRES</t>
  </si>
  <si>
    <t>EDIMAR CEOLIN</t>
  </si>
  <si>
    <t>EDIO ANTONIO PAPALIA</t>
  </si>
  <si>
    <t>EDIO GIANLPPI</t>
  </si>
  <si>
    <t>EDMILSON GUSTAVO GEHLEN</t>
  </si>
  <si>
    <t>EDNA MONTEIRO DE ASSIS</t>
  </si>
  <si>
    <t>EDREAZZA IND DE AUTOPECAS LTDA EPP</t>
  </si>
  <si>
    <t>EDSON IVAN HELLER BRANDEMBURG</t>
  </si>
  <si>
    <t>EDU MORAES</t>
  </si>
  <si>
    <t>EDUARDO FACHIN</t>
  </si>
  <si>
    <t>EDUARDO MEGGIOLARO</t>
  </si>
  <si>
    <t>EDUCAR INDUSTRIA DE MOVEIS LTDA</t>
  </si>
  <si>
    <t>EGON PATZER</t>
  </si>
  <si>
    <t>EIFFEL COM E IND DE FERROS LTDA</t>
  </si>
  <si>
    <t>EISENFER TUBOS E ACOS LTDA</t>
  </si>
  <si>
    <t>EIT CALDEIRARIA LTDA</t>
  </si>
  <si>
    <t>EJA EMPREEND IMOBILIARIOS LTDA</t>
  </si>
  <si>
    <t>EKT INDUSTRIAL LTDA</t>
  </si>
  <si>
    <t>ELDER ROCHA JUNIOR</t>
  </si>
  <si>
    <t>ELENIR DONATONI BARBOSA</t>
  </si>
  <si>
    <t>ELETRIBEL POCOS ARTESIANOS LTDA</t>
  </si>
  <si>
    <t>ELETRO METALURGICA VENTI-DELTA LTDA</t>
  </si>
  <si>
    <t>ELETROTUBOS IND METALURG LTDA</t>
  </si>
  <si>
    <t>ELETROVALE METALURGICA LTDA</t>
  </si>
  <si>
    <t>ELEVNORTE ELEVADORES EIRELI</t>
  </si>
  <si>
    <t>ELGIN S/A</t>
  </si>
  <si>
    <t>ELIMAR HILDEBRANDT</t>
  </si>
  <si>
    <t>ELIO ESCOBAR MIRANDA</t>
  </si>
  <si>
    <t>ELISEU FERNANDO TELLI</t>
  </si>
  <si>
    <t>ELOA KAREN DAVANCO</t>
  </si>
  <si>
    <t>ELOI ADEMAR DOS SANTOS</t>
  </si>
  <si>
    <t>ELOI LUIZ PIETROBELLI</t>
  </si>
  <si>
    <t>ELOI SANDRO COPETTI</t>
  </si>
  <si>
    <t>ELOSUL TRANSPORTES LTDA</t>
  </si>
  <si>
    <t>ELTON FERNANDO EICKHOFF</t>
  </si>
  <si>
    <t>ELTON METZ</t>
  </si>
  <si>
    <t>ELVIO RECLISKI SCHMIDT EIRELI</t>
  </si>
  <si>
    <t>EM-TEC INDUSTRIA METALURGICA LTDA</t>
  </si>
  <si>
    <t>EMA MAXIBUS IND CARROC E EQUIP EIRE</t>
  </si>
  <si>
    <t>EMBALAGENS M AUGUSTO BONATTO LTDA</t>
  </si>
  <si>
    <t>EMERSON DE CASTRO RODRIGUES</t>
  </si>
  <si>
    <t>EMERSON MACHADO PORTO 03022322062</t>
  </si>
  <si>
    <t>EMESUL EQUIPAMENTOS EIRELI</t>
  </si>
  <si>
    <t>EMIBRA IND COM DE EMBALAGENS LTDA</t>
  </si>
  <si>
    <t>EMOTION WATER SLIDES IND E COM DE</t>
  </si>
  <si>
    <t>EMPR IMOB VARGEM GRANDE PAULISTA LT</t>
  </si>
  <si>
    <t>EMPREITEIRA BRUSKI LTDA</t>
  </si>
  <si>
    <t>ENCAIXE PRE-MOLDADOS EIRELI</t>
  </si>
  <si>
    <t>ENG METAL METALURGICA LTDA</t>
  </si>
  <si>
    <t>ENGELUZ ILUMINACAO E ELETRECIDADE</t>
  </si>
  <si>
    <t>ENGEMARKO PRE-MOLDADOS LTDA</t>
  </si>
  <si>
    <t>ENGENHO SANTO ANTONIO MADEIRA LTDA</t>
  </si>
  <si>
    <t>ENGEPAR IND E COM DE EST E INST COM</t>
  </si>
  <si>
    <t>ENGESEG MR SERV DE PREV E COMBATE</t>
  </si>
  <si>
    <t>ENGETOLEDO PRE MOLD E ESTR METALIC</t>
  </si>
  <si>
    <t>ENGETOM CONSTRUCAO CIVIL LTDA</t>
  </si>
  <si>
    <t>ENGINEERING COM REPR MAQ TECNOLOGIA</t>
  </si>
  <si>
    <t>ENOR WAZLAWICK</t>
  </si>
  <si>
    <t>ENTEC - ENGENHARIA TECNICA LTDA</t>
  </si>
  <si>
    <t>ERNESTO BECKER</t>
  </si>
  <si>
    <t>ESAMETAL IND DE ESTRUT MET EIRELI</t>
  </si>
  <si>
    <t>ESPACO SR MANOEL LTDA - ME</t>
  </si>
  <si>
    <t>ESPRINAFER COM FERRO E ACESS LTDA</t>
  </si>
  <si>
    <t>ESQUADRIAS BAIANA LTDA</t>
  </si>
  <si>
    <t>ESQUADRILAR ESQUADRIAS METALICAS LT</t>
  </si>
  <si>
    <t>ESTELA MARIS SCHMIDT BOMBARDIERI</t>
  </si>
  <si>
    <t>ESTEVAN P DELGADO ESCARMANHANI</t>
  </si>
  <si>
    <t>ESTRUTURAS METALICAS LITORAL LTDA</t>
  </si>
  <si>
    <t>ETHOS METALURGICA LTDA</t>
  </si>
  <si>
    <t>EUCLIDES APARECIDO HESPANHOL</t>
  </si>
  <si>
    <t>EUROACOS COM DE FERRO E ACO LTDA</t>
  </si>
  <si>
    <t>EUROGALVANO DO BRASIL LTDA</t>
  </si>
  <si>
    <t>EVA DE LIMA LEONI</t>
  </si>
  <si>
    <t>EVANDRO PIMENTEL MARCIANO</t>
  </si>
  <si>
    <t>EVANGELISTA &amp; FREIRE LTDA EPP</t>
  </si>
  <si>
    <t>EVERSON ZOTTI</t>
  </si>
  <si>
    <t>EVERTON ANDRE SCHNEIDER</t>
  </si>
  <si>
    <t>EVILASIO HEIDEMANN</t>
  </si>
  <si>
    <t>EXPOMIL EXPOSITORES LTDA</t>
  </si>
  <si>
    <t>EXPOSITORES AELLI LTDA</t>
  </si>
  <si>
    <t>EXPOSITORES AELLI LTDA - ME</t>
  </si>
  <si>
    <t>EZATA INDUSTRIAL LTDA</t>
  </si>
  <si>
    <t>EZEQUIEL VANIN</t>
  </si>
  <si>
    <t>F Q C SILVA COM IMP &amp; EXP EIRELI</t>
  </si>
  <si>
    <t>F VACHILESKI &amp; CIA LTDA</t>
  </si>
  <si>
    <t>F. E. PEREIRA UTILIDADES DOMESTICAS</t>
  </si>
  <si>
    <t>F.C. PICCINATO - COMP PARA MOVEIS</t>
  </si>
  <si>
    <t>FAB NAC DE AMORTECEDORES LTDA</t>
  </si>
  <si>
    <t>FABIANA REGINA SCHULTZ</t>
  </si>
  <si>
    <t>FABIO CACCO</t>
  </si>
  <si>
    <t>FABIO PORTOLAN</t>
  </si>
  <si>
    <t>FABRICIO ZARTH</t>
  </si>
  <si>
    <t>FABRIMETAL METALURGICA LTDA</t>
  </si>
  <si>
    <t>FACCHINI S/A</t>
  </si>
  <si>
    <t>FAM METAL IND METAL MECANICA LTDA</t>
  </si>
  <si>
    <t>FANTE INDUSTRIA DE BEBIDAS LTDA</t>
  </si>
  <si>
    <t>FAST ARIAM EQUIPAMENTOS LTDA</t>
  </si>
  <si>
    <t>FATIMA AP MERLIM BARRETO COM DE FER</t>
  </si>
  <si>
    <t>FAVIFER COM DE FERRO E ACO EIRELI</t>
  </si>
  <si>
    <t>FEBRUCE CONSTRUCOES EM ACO LTDA</t>
  </si>
  <si>
    <t>FECHADURAS METAL VOUGA IND E COM LT</t>
  </si>
  <si>
    <t>FELICIA I E SIMON METALURG EIRELI</t>
  </si>
  <si>
    <t>FELIPE DALSOCHIO RIBAS FALCI</t>
  </si>
  <si>
    <t>FEMAC IND DE ARTEFEFATOS DE CIMENTO</t>
  </si>
  <si>
    <t>FEMMIL METALURG E SERV LTDA ME</t>
  </si>
  <si>
    <t>FERCAM FERRAGENS CAMBIRA LTDA - ME</t>
  </si>
  <si>
    <t>FERCAMP COM DE METAIS LTDA</t>
  </si>
  <si>
    <t>FERNANDA CHIARELO</t>
  </si>
  <si>
    <t>FERNANDES JOAO VENDRIGO</t>
  </si>
  <si>
    <t>FERNANDO EZEQUIEL WINTER</t>
  </si>
  <si>
    <t>FERNANDO GARCIA BORSATTO</t>
  </si>
  <si>
    <t>FERNANDO ROCHEMBACH ORTIZ</t>
  </si>
  <si>
    <t>FERNANDO TONINI</t>
  </si>
  <si>
    <t>FERRACO FERRO E ACO LTDA</t>
  </si>
  <si>
    <t>FERRAGEM HORBACH LTDA</t>
  </si>
  <si>
    <t>FERRAGENS BRAGA LTDA ME</t>
  </si>
  <si>
    <t>FERRAGENS GS IND ACESS EIRELI EP</t>
  </si>
  <si>
    <t>FERRAGENS KM LTDA</t>
  </si>
  <si>
    <t>FERRARI &amp; SOUSA IND E COM DE CANO</t>
  </si>
  <si>
    <t>FERRO VELHO BIM RIO PRETO LTDA</t>
  </si>
  <si>
    <t>FERRO VELHO ITURAMA LTDA - EPP</t>
  </si>
  <si>
    <t>FERRO VELHO SAO PAULO LTDA</t>
  </si>
  <si>
    <t>FERRO VELHO VOTUPORANGA LTDA</t>
  </si>
  <si>
    <t>FERROBRAS COM DE FERRO E ACO EIRELI</t>
  </si>
  <si>
    <t>FERROMIL COM DA LINHA METAL MEC LTD</t>
  </si>
  <si>
    <t>FERRONOR COM DE FERRO E ACO LTDA</t>
  </si>
  <si>
    <t>FERROS BONAMIGO LTDA</t>
  </si>
  <si>
    <t>FERROSUL COM DE FERROS LTDA</t>
  </si>
  <si>
    <t>FF MOVEIS LTDA</t>
  </si>
  <si>
    <t>FIASUL INDUSTRIA DE FIOS LTDA</t>
  </si>
  <si>
    <t>FIBRAS STIVAL LTDA - ME</t>
  </si>
  <si>
    <t>FINCA LA CELIA S.A.</t>
  </si>
  <si>
    <t>FIREBRASS COM DE ART E SIST CONTRA</t>
  </si>
  <si>
    <t>FISCAL TECNOLOGIA E AUTOM LTDA</t>
  </si>
  <si>
    <t>FITESA NAOTECIDOS S/A</t>
  </si>
  <si>
    <t>FIVER METALURGICA LTDA</t>
  </si>
  <si>
    <t>FK GRUPO S/A</t>
  </si>
  <si>
    <t>FLAVIO PEREIRA RAMOS</t>
  </si>
  <si>
    <t>FLAVIO PIZZATO</t>
  </si>
  <si>
    <t>FLECHA DE LOS ANDES</t>
  </si>
  <si>
    <t>FLEXTRONICS INTL TECNOLOGIA LTDA</t>
  </si>
  <si>
    <t>FLUVIMAR BARCOS E LANCHAS EIRELI</t>
  </si>
  <si>
    <t>FOCA MOBILIDADE DO BRASIL LTDA</t>
  </si>
  <si>
    <t>FOCKINK INDUSTRIAS ELETRICAS LTDA</t>
  </si>
  <si>
    <t>FOCO AGRICOLA LTDA</t>
  </si>
  <si>
    <t>FOGO E FOGO INDUSTRIAL LTDA</t>
  </si>
  <si>
    <t>FORBAL IND AUTOMOTIVE LTDA ME</t>
  </si>
  <si>
    <t>FORJACO SIST CONTRUT METALIC LTDA</t>
  </si>
  <si>
    <t>FORMAF IND E COM DE METAIS LTDA</t>
  </si>
  <si>
    <t>FORT CAR REBOQUES LTDA</t>
  </si>
  <si>
    <t>FORT METALURGICA E ALUMINIO LTDA</t>
  </si>
  <si>
    <t>FORTACO FERRO E ACO LTDA</t>
  </si>
  <si>
    <t>FORTCALHAS ENG - COB E GALPOES LTDA</t>
  </si>
  <si>
    <t>FORTESOLO SERV INTEGRADOS SA</t>
  </si>
  <si>
    <t>FORTEX IND METALURGICA LTDA</t>
  </si>
  <si>
    <t>FORTLINE IND E COM DE MOVEIS LTDA</t>
  </si>
  <si>
    <t>FRANCISCO BONIATTI</t>
  </si>
  <si>
    <t>FRANCISCO MARTINELLO</t>
  </si>
  <si>
    <t>FRANCISCO SEVERO ALVES</t>
  </si>
  <si>
    <t>FRANCISCO TOREZAN &amp; FILHOS LTDA</t>
  </si>
  <si>
    <t>FRANCISCO WROBEL</t>
  </si>
  <si>
    <t>FRAVI IND E COM DE EQUIP AGRIC LTDA</t>
  </si>
  <si>
    <t>FREE ACTION MONTADORA DE BICICLETAS</t>
  </si>
  <si>
    <t>FRONZA ARAMADOS LTDA</t>
  </si>
  <si>
    <t>FROTA BRASIL EQUIP ROD EIRELI</t>
  </si>
  <si>
    <t>FUHR ADM DE BENS E SERVICOS LTDA</t>
  </si>
  <si>
    <t>FUNDACAO PIO XII</t>
  </si>
  <si>
    <t>FUNDIMASA IND METALURGICA LTDA</t>
  </si>
  <si>
    <t>FURLAN COM DE FERROS E FERRAG LTDA</t>
  </si>
  <si>
    <t>FUSOPAR PARAFUSOS LTDA</t>
  </si>
  <si>
    <t>FW6 EMPREEND IMOB SA</t>
  </si>
  <si>
    <t>G A PEREIRA - PECAS ME</t>
  </si>
  <si>
    <t>G G L EQUIPAMENTOS INDUSTRIAIS LTDA</t>
  </si>
  <si>
    <t>G P AIRES EIRELI</t>
  </si>
  <si>
    <t>G PANIZ IND DE EQUIP PARA ALIM LTDA</t>
  </si>
  <si>
    <t>G R FERREIRA ESTR METALICAS ME</t>
  </si>
  <si>
    <t>G S IND METALURGICA LTDA</t>
  </si>
  <si>
    <t>G-SILOS IND DE EQUIP AGRIC LTDA</t>
  </si>
  <si>
    <t>G. POSE S. R. L</t>
  </si>
  <si>
    <t>GABB IND DE ESCAPAMENTOS LTDA</t>
  </si>
  <si>
    <t>GABE &amp; PASTRO IND E COM DE EQUIP</t>
  </si>
  <si>
    <t>GABRIEL LISBOA PORTO</t>
  </si>
  <si>
    <t>GABRIEL PEGORARO</t>
  </si>
  <si>
    <t>GABRIEL PENTEADO</t>
  </si>
  <si>
    <t>GABRIEL ZOTTIS</t>
  </si>
  <si>
    <t>GALEA S.R.L</t>
  </si>
  <si>
    <t>GALLUS IND E COM DE MAQ E EQUIP PA</t>
  </si>
  <si>
    <t>GANGES COM DE TUBOS E CONEX LTDA</t>
  </si>
  <si>
    <t>GAR IND E COM DE PECAS AUTOM LTDA</t>
  </si>
  <si>
    <t>GARIMAR DIST DE ART VAR E ALIMENTOS</t>
  </si>
  <si>
    <t>GDCA INDUSTRIA E COMERCIO LTDA</t>
  </si>
  <si>
    <t>GEDARTHIL IND E COM DE ARTEF PLAST</t>
  </si>
  <si>
    <t>GEDOZ COM DE FERROS LTDA - FILIAL</t>
  </si>
  <si>
    <t>GELGAS TANQUES ISOTERMICOS LTDA</t>
  </si>
  <si>
    <t>GENCONS SANTORINI EMPREEND IMOB LTD</t>
  </si>
  <si>
    <t>GENESIS METALMECANICA LTDA</t>
  </si>
  <si>
    <t>GEPECAS DISTRIBUIDORA LTDA</t>
  </si>
  <si>
    <t>GERALDO LAURO TROJAHN</t>
  </si>
  <si>
    <t>GERALDO LUIS GAVIRAGHI</t>
  </si>
  <si>
    <t>GERALDO N RECKTENWALD &amp; CIA LTDA</t>
  </si>
  <si>
    <t>GERDAU ACOS LONGOS S/A</t>
  </si>
  <si>
    <t>GERMANI IMPLEMENTOS EIRELI</t>
  </si>
  <si>
    <t>GERMANICA COM E CONSTR LTDA</t>
  </si>
  <si>
    <t>GERSON BERNO STEINKE</t>
  </si>
  <si>
    <t>GETMAQ EQUIPAMENTOS EIRELI</t>
  </si>
  <si>
    <t>GETULIO INACIO BANDEIRA</t>
  </si>
  <si>
    <t>GFSP IND E COM DE PECAS AUTOMOTIVAS</t>
  </si>
  <si>
    <t>GHIRALDI SIGNORINI FERRO E ACO LTDA</t>
  </si>
  <si>
    <t>GIASSI IND E COM CONFECCOES LTDA</t>
  </si>
  <si>
    <t>GIDEOLI COM DE FERRO ACO E ACES IND</t>
  </si>
  <si>
    <t>GIDEOLI TUBOS VALV E CONEXOES IMP</t>
  </si>
  <si>
    <t>GILBERTO HARTMANN</t>
  </si>
  <si>
    <t>GILBERTO LUIS ZANGALLI</t>
  </si>
  <si>
    <t>GILBERTO PRADO</t>
  </si>
  <si>
    <t>GILBERTO ROCZNIESKI</t>
  </si>
  <si>
    <t>GILBERTO TONON</t>
  </si>
  <si>
    <t>GILMAR AUGUSTO DE AVELAR</t>
  </si>
  <si>
    <t>GILMAR RAPKEVICZ</t>
  </si>
  <si>
    <t>GILSO OTTO VAGNER</t>
  </si>
  <si>
    <t>GIMENE ANDRE BAGOLIN</t>
  </si>
  <si>
    <t>GIORDANI REFRATARIOS LTDA</t>
  </si>
  <si>
    <t>GIOVANI ANDREI MARCHET</t>
  </si>
  <si>
    <t>GLACI MARIA DOS SANTOS BRANCO</t>
  </si>
  <si>
    <t>GLADEMIR LEONARDO BONATTO</t>
  </si>
  <si>
    <t>GLADES T SCHMIDT &amp; CIA LTDA</t>
  </si>
  <si>
    <t>GLADII TECNOLOGIA EM METALURGIA LTD</t>
  </si>
  <si>
    <t>GLENIO GIRARDI</t>
  </si>
  <si>
    <t>GLOBAL CALCADOS EIRELI</t>
  </si>
  <si>
    <t>GLOBAL ENGENHARIA EIRELI</t>
  </si>
  <si>
    <t>GMOB FABRICACAO DE MOVEIS EIRELI</t>
  </si>
  <si>
    <t>GODORCINO RODRIGUES VIANA</t>
  </si>
  <si>
    <t>GOLACO COM DISTRIBUIDORA LTDA</t>
  </si>
  <si>
    <t>GOMES &amp; TORRES LTDA</t>
  </si>
  <si>
    <t>GOMES MAQUINAS E TRANSPORTES LTDA</t>
  </si>
  <si>
    <t>GONCALVES &amp; TORTOLA S/A</t>
  </si>
  <si>
    <t>GONCALVES E VENDEL LTDA - ME</t>
  </si>
  <si>
    <t>GOODMAN BTS EMPREEND IMOB S.A.</t>
  </si>
  <si>
    <t>GRAFERRO LTDA</t>
  </si>
  <si>
    <t>GRANDFOOD INDUSTRIA E COMERCIO LTDA</t>
  </si>
  <si>
    <t>GRAO NATURAL IND COM CEREAIS EIRELI</t>
  </si>
  <si>
    <t>GRAZMEC IND E COM LTDA</t>
  </si>
  <si>
    <t>GRB ENGENHARIA LTDA</t>
  </si>
  <si>
    <t>GREAT GOAL COM E DIST FERRO E ACO</t>
  </si>
  <si>
    <t>GREENBRIER MAXION EQUIP E SERV FER</t>
  </si>
  <si>
    <t>GRIMALDI IND DE EQUIP P/TRANSP LTDA</t>
  </si>
  <si>
    <t>GRSUL COMP AUTOMOTIVOS LTDA EPP</t>
  </si>
  <si>
    <t>GRUBER INDL DE INJET PLAST LTDA</t>
  </si>
  <si>
    <t>GRUPO TOTAL BRASIL IND DE DESCART</t>
  </si>
  <si>
    <t>GRUPO TRAVERSA SA</t>
  </si>
  <si>
    <t>GSI BRASIL IND E COM DE EQUIP AGROP</t>
  </si>
  <si>
    <t>GTS DO BRASIL LTDA</t>
  </si>
  <si>
    <t>GUALSIR VICENTE CANDATEN</t>
  </si>
  <si>
    <t>GUARAPARI COM DE GEN ALIM LTDA</t>
  </si>
  <si>
    <t>GUARESI USINAGEM E IND METALURG LTD</t>
  </si>
  <si>
    <t>GUILHERME CALDAS</t>
  </si>
  <si>
    <t>GUILHERME DE SOUZA LEAL 02700837070</t>
  </si>
  <si>
    <t>GUSFER COML DE FERRO E ACO LTDA</t>
  </si>
  <si>
    <t>GUSTAVO CARLOS VAGNER</t>
  </si>
  <si>
    <t>GUSTAVO JUNIOR MENEGUZZO</t>
  </si>
  <si>
    <t>H.S.C. IND E COM DE FERRAM LTDA</t>
  </si>
  <si>
    <t>HAAS CONTAINERS LTDA</t>
  </si>
  <si>
    <t>HABITASEC SECURITIZADORA S.A.</t>
  </si>
  <si>
    <t>HARDT E RAUBER IND DE MAQ LTDA</t>
  </si>
  <si>
    <t>HARI LAMMERS</t>
  </si>
  <si>
    <t>HARILTON EUFRAZIO BALDOINO</t>
  </si>
  <si>
    <t>HART COM IND PROD SIDERURG EIRELI</t>
  </si>
  <si>
    <t>HCC IND E COM DE EQUIP AGRIC LTDA</t>
  </si>
  <si>
    <t>HEDER AUGUSTO DAVI RAMOS</t>
  </si>
  <si>
    <t>HELAIDO CARLOS MARCO REI</t>
  </si>
  <si>
    <t>HELDER PEREIRA BEZERRA</t>
  </si>
  <si>
    <t>HENRIQUE GALANTE HEUSER</t>
  </si>
  <si>
    <t>HERVAL IND DE MOV COLCHOES E ESP LT</t>
  </si>
  <si>
    <t>HIDRAULICA WOG COMERCIO LTDA</t>
  </si>
  <si>
    <t>HIDRO METALURGICA ZM LTDA</t>
  </si>
  <si>
    <t>HIDROCAIUA POCOS ARTESIANOS EIRELI</t>
  </si>
  <si>
    <t>HIDRONOROESTE CONSTRUCOES CIVIS LTD</t>
  </si>
  <si>
    <t>HIDROSOLLO POCOS ARTESIANOS LTDA</t>
  </si>
  <si>
    <t>HIERROMAT S.A.</t>
  </si>
  <si>
    <t>HIERROSUR S.R.L.</t>
  </si>
  <si>
    <t>HIPERMETAL ESTR METALIC EIRELI</t>
  </si>
  <si>
    <t>HOMERO A COSTA</t>
  </si>
  <si>
    <t>HONORINO AQUILES GOI</t>
  </si>
  <si>
    <t>HOSPI BIO IND E COM DE MOV HOSP LTD</t>
  </si>
  <si>
    <t>HOSPITAL DE CLINICAS DE PASSO FUNDO</t>
  </si>
  <si>
    <t>HOZZ ACESSORIOS PARA VEICULOS LTDA</t>
  </si>
  <si>
    <t>HPA DA AMAZONIA IND E COM EIRELI</t>
  </si>
  <si>
    <t>HTECK IND E COM DE COMP MET LTDA</t>
  </si>
  <si>
    <t>HUMBERTO CARLOS FURHMANN NETO</t>
  </si>
  <si>
    <t>HYDROWHEEL FABR DE MAQ E EQUIP LTDA</t>
  </si>
  <si>
    <t>I A B V IND DE ARTEF DE BORRACHA</t>
  </si>
  <si>
    <t>I A SANDI E FILHOS LTDA</t>
  </si>
  <si>
    <t>IAB ADMINISTRADORA DE BENS LTDA</t>
  </si>
  <si>
    <t>IACC PRE-MOLDADOS LTDA</t>
  </si>
  <si>
    <t>IBAC IND BRAS DE ALIM E CHOCOL LTDA</t>
  </si>
  <si>
    <t>IBRAP IND BRAS DE ALUM E PLAST SA</t>
  </si>
  <si>
    <t>IDEMAR NORBACK</t>
  </si>
  <si>
    <t>IDM - INDUSTRIAL DAL MAGRO LTDA</t>
  </si>
  <si>
    <t>IGENIO VICENTE GABI</t>
  </si>
  <si>
    <t>IGREJA PRESBITERIANA CENTRAL</t>
  </si>
  <si>
    <t>IMEPEL INDUSTRIA MECANICA LTDA</t>
  </si>
  <si>
    <t>IMF LINCE SOLUCAO EM REFRIG E EXPOS</t>
  </si>
  <si>
    <t>IMOBILIARIA CENTRIMOVEIS LTDA</t>
  </si>
  <si>
    <t>IMOL IND E COM DE UTIL DOM EIRELI</t>
  </si>
  <si>
    <t>IMPERADOR MECANICA INDUSTRIAL LTDA</t>
  </si>
  <si>
    <t>IMPERIO DOS VAROES LTDA</t>
  </si>
  <si>
    <t>IMPLAVI IND E COM DE IMPLEM AVIC LT</t>
  </si>
  <si>
    <t>IMPLEMAR PEC P MAQ E IMP AGRIC LTDA</t>
  </si>
  <si>
    <t>IMPLEMASTER IND DE EQUIP AGRIC LTDA</t>
  </si>
  <si>
    <t>IMPLEMENTOS AGRIC J Z LTDA</t>
  </si>
  <si>
    <t>IMPLEMENTOS AGRICOLAS JAN SA</t>
  </si>
  <si>
    <t>IMPLEMENTOS AGRICOLAS MARISPAN LTDA</t>
  </si>
  <si>
    <t>IMZOLET MAQUINAS E EQUIP LTDA EPP</t>
  </si>
  <si>
    <t>INBBEL IND BRAS DE BEBIDAS LTDA</t>
  </si>
  <si>
    <t>INCOPARTS IND E COM PECAS LTDA</t>
  </si>
  <si>
    <t>INCORPORADORA S M LTDA</t>
  </si>
  <si>
    <t>IND CARROC METALICAS IBIPORA LTDA</t>
  </si>
  <si>
    <t>IND DE CARROCERIAS ALTMAYER LTDA</t>
  </si>
  <si>
    <t>IND DE CARROCERIAS CISLAGHI LTDA</t>
  </si>
  <si>
    <t>IND DE CARROCERIAS TAQUARI LTDA</t>
  </si>
  <si>
    <t>IND DE ESTRUT LBN EIRELI</t>
  </si>
  <si>
    <t>IND DE IMPL AGRICOLAS VENCE TUDO</t>
  </si>
  <si>
    <t>IND DE MAD SANTA ROSA DO SUL LTDA</t>
  </si>
  <si>
    <t>IND DE MAQ E IMPL AGRIC K.F. LTDA</t>
  </si>
  <si>
    <t>IND DE VINAGRE E PLAST HEINIG LTDA</t>
  </si>
  <si>
    <t>IND E COM ACESS SAO MARQUENSE LTDA</t>
  </si>
  <si>
    <t>IND E COM DE ARGAMASSA ARGAMAZON</t>
  </si>
  <si>
    <t>IND E COM DE CALDEIRAS PARANA LTDA</t>
  </si>
  <si>
    <t>IND E COM DE DOBRADEIRAS CORSO LTDA</t>
  </si>
  <si>
    <t>IND E COM DE IMPL AGRIC TURIM LTDA</t>
  </si>
  <si>
    <t>IND E COM DE MOTOPECAS CHAPAM LTDA</t>
  </si>
  <si>
    <t>IND E COM DE MOVEIS LACHI EIRELI</t>
  </si>
  <si>
    <t>IND E COM DE PECAS AGRIC MANALB LTD</t>
  </si>
  <si>
    <t>IND E COM DE PERSIANAS NEW YORK LTD</t>
  </si>
  <si>
    <t>IND E COM DE SERRALH E FERR N S DA</t>
  </si>
  <si>
    <t>IND METALURG METALGONDOLAS LTDA</t>
  </si>
  <si>
    <t>IND METALURGICA RUBIZZA LTDA</t>
  </si>
  <si>
    <t>INDEPENDENCIA COM DE ACO LTDA</t>
  </si>
  <si>
    <t>INDEPENDENCIA EMPR IMOB SPE LTDA</t>
  </si>
  <si>
    <t>INDUSTRIA AGRO PERTENCES EIRELI</t>
  </si>
  <si>
    <t>INDUSTRIA DE EQUIP BRASFAN LTDA</t>
  </si>
  <si>
    <t>INDUSTRIA E COMERCIO HIDROMAR LTDA</t>
  </si>
  <si>
    <t>INDUSTRIA HENTGES LTDA EPP</t>
  </si>
  <si>
    <t>INDUSTRIA METALURGICA MILENIO LTDA</t>
  </si>
  <si>
    <t>INDUSTRIA METALURGICA RHP EIRELI</t>
  </si>
  <si>
    <t>INDUSTRIA MOVELEIRA MOVELLI EIRELLI</t>
  </si>
  <si>
    <t>INDUSTRIA SANTA CLARA S/A</t>
  </si>
  <si>
    <t>INDUSTRIAL MARGIL LTDA</t>
  </si>
  <si>
    <t>INDUSTRIAL METAL ADAMS LTDA</t>
  </si>
  <si>
    <t>INDUSTRIAL METALURG ROTAMIL EIRELI</t>
  </si>
  <si>
    <t>INDUSTRIAL PAGE LTDA</t>
  </si>
  <si>
    <t>INDUTAR TECNO METAL LTDA</t>
  </si>
  <si>
    <t>INESCAP IND DE ESCAP E PECAS LTDA</t>
  </si>
  <si>
    <t>INFORMOBILE IND E COM DE MOVEIS LTD</t>
  </si>
  <si>
    <t>INGA INDUSTRIA METALURGICA LTDA</t>
  </si>
  <si>
    <t>INGACO COM DE FERRO E ACO - EIRELI</t>
  </si>
  <si>
    <t>INGECON INSTALACOES COMERCIAIS LTDA</t>
  </si>
  <si>
    <t>INNAL - INDUSTRIAL NAGEL LTDA</t>
  </si>
  <si>
    <t>INNOVA ARQUITETURA E ENGENHARIA LTD</t>
  </si>
  <si>
    <t>INSTALADORA SAO MARCOS LTDA</t>
  </si>
  <si>
    <t>INSTITUTO TERCEIRA VISAO T &amp; D LTDA</t>
  </si>
  <si>
    <t>INTEGRADA COOP AGROINDUSTRIAL</t>
  </si>
  <si>
    <t>INTEGRADA COOP AGROINDUSTRIAl</t>
  </si>
  <si>
    <t>INTER CONSTRUTORA LTDA ME</t>
  </si>
  <si>
    <t>INTERFORMA EQUIPAMENTOS LTDA</t>
  </si>
  <si>
    <t>INTERPRINT DO BRAS IND PAP DEC LTDA</t>
  </si>
  <si>
    <t>INTERROLL LOGISTICA - ELEMENTOS PAR</t>
  </si>
  <si>
    <t>INVICTA CONSTRUTORA LTDA</t>
  </si>
  <si>
    <t>IOCHPE-MAXION S.A.</t>
  </si>
  <si>
    <t>IPACOL MAQUINAS AGRICOLAS LTDA</t>
  </si>
  <si>
    <t>IRENE FETTER FERRARI</t>
  </si>
  <si>
    <t>IRINEU ANTONIO SCHWERTNER</t>
  </si>
  <si>
    <t>IRINEU CARMINATTI</t>
  </si>
  <si>
    <t>IRIZAR BRASIL LTDA</t>
  </si>
  <si>
    <t>IRMAOS KUNST CONSTRUCOES LTDA</t>
  </si>
  <si>
    <t>IRON IND E COM DE METAIS LTDA</t>
  </si>
  <si>
    <t>IRRIGABRASIL IND E COM DE MAQ LTDA</t>
  </si>
  <si>
    <t>IRRIGAOESTE IND METALURGICA LTDA</t>
  </si>
  <si>
    <t>ISAAC LACERDA DE ANDRADE</t>
  </si>
  <si>
    <t>ISPL - IND SULAMERICANA DE PRODUTOS</t>
  </si>
  <si>
    <t>ITA ACOS IND E COM DE FER E ACO LTD</t>
  </si>
  <si>
    <t>ITACI ULIAN &amp; CIA LTDA</t>
  </si>
  <si>
    <t>ITAMAR DALL AGNO</t>
  </si>
  <si>
    <t>ITAMIR RANCAN</t>
  </si>
  <si>
    <t>ITEC IND DE CABINES LTDA</t>
  </si>
  <si>
    <t>ITPLAST IND TUBETES PLASTIC EIRELI</t>
  </si>
  <si>
    <t>IVAN BATISTA ALMEIDA</t>
  </si>
  <si>
    <t>IVAN JOSE PRATES BENTO PEREIRA</t>
  </si>
  <si>
    <t>IVAN JULIO MENDES FARIAS</t>
  </si>
  <si>
    <t>IVONE GARBIN</t>
  </si>
  <si>
    <t>IZONEI PERUCHI</t>
  </si>
  <si>
    <t>J ADILSON DOS SANTOS CONSTRUTORA</t>
  </si>
  <si>
    <t>J BARROZO EMPREEND IMOB LTDA</t>
  </si>
  <si>
    <t>J C HERRMANN EIRELI</t>
  </si>
  <si>
    <t>J C QUEIROZ DOS SANTOS EIRELI</t>
  </si>
  <si>
    <t>J F MACHADO - METALURGICA</t>
  </si>
  <si>
    <t>J G IND E COM DE CARROCERIAS LTDA</t>
  </si>
  <si>
    <t>J J COMERCIO FERRAGENS LTDA EPP</t>
  </si>
  <si>
    <t>J M S  &amp;  CIA  LTDA</t>
  </si>
  <si>
    <t>J R ACESSORIOS PARA SERRALHERIA LTD</t>
  </si>
  <si>
    <t>J R C AUTO PECAS LTDA</t>
  </si>
  <si>
    <t>J U CARVALHO EQUIPAMENTOS LTDA</t>
  </si>
  <si>
    <t>J.S. SCARABONATTO</t>
  </si>
  <si>
    <t>JADIR VIEIRA DE MELO</t>
  </si>
  <si>
    <t>JAIME RAITZ &amp; CIA LTDA</t>
  </si>
  <si>
    <t>JAIME SLONGO</t>
  </si>
  <si>
    <t>JAIME TADEU LOPES</t>
  </si>
  <si>
    <t>JAIR MARINELLO</t>
  </si>
  <si>
    <t>JAIR MEGIER</t>
  </si>
  <si>
    <t>JANDERSON FRACASSO MENIN</t>
  </si>
  <si>
    <t>JANDIR SORATO EIRELI</t>
  </si>
  <si>
    <t>JAQUELINE POLLI</t>
  </si>
  <si>
    <t>JARI PEREIRA MORAES</t>
  </si>
  <si>
    <t>JBL DISTRIB DE CIMENTOS EIRELI</t>
  </si>
  <si>
    <t>JC KOMAC IND COM PC EQUIP LTDA ME</t>
  </si>
  <si>
    <t>JCZ EMPREEND IMOBILIARIOS LTDA</t>
  </si>
  <si>
    <t>JEFERSON ARALDI - ME</t>
  </si>
  <si>
    <t>JEREMIAS BECKER FLORES</t>
  </si>
  <si>
    <t>JERONIMO DAL POZZO</t>
  </si>
  <si>
    <t>JESUS ANTONIO MACHADO DE SOUZA</t>
  </si>
  <si>
    <t>JETRO TUBOS COML LTDA</t>
  </si>
  <si>
    <t>JF SANTOS &amp; SANTOS LTDA</t>
  </si>
  <si>
    <t>JG METALURGICA LTDA</t>
  </si>
  <si>
    <t>JHESSICA VIANNA  HUFF</t>
  </si>
  <si>
    <t>JHONROB SILOS E SECADORES LTDA</t>
  </si>
  <si>
    <t>JIUPATO &amp; FRANA LTDA ME</t>
  </si>
  <si>
    <t>JK IMPL E MANUT GUINDASTES LTDA</t>
  </si>
  <si>
    <t>JL MONTAGEM E REPRESENTACAO LTDA</t>
  </si>
  <si>
    <t>JM INDUSTRIA DE MOTOPECAS LTDA</t>
  </si>
  <si>
    <t>JM2 COM DE ACESSORIOS LTDA ME</t>
  </si>
  <si>
    <t>JML ADMINISTRACAO IMOBILIARIA LTDA</t>
  </si>
  <si>
    <t>JOAO ALBERTO RODRIGUES</t>
  </si>
  <si>
    <t>JOAO ANTONIO REICHERT EIRELI</t>
  </si>
  <si>
    <t>JOAO BATISTA CABERLON</t>
  </si>
  <si>
    <t>JOAO BATISTA DA SILVA</t>
  </si>
  <si>
    <t>JOAO BATISTA VARGAS EXENBERGER</t>
  </si>
  <si>
    <t>JOAO CARLOS CORDENUNZI &amp; CIA LTDA</t>
  </si>
  <si>
    <t>JOAO CARLOS GOLZ EIRELI ME</t>
  </si>
  <si>
    <t>JOAO CARLOS JOHN</t>
  </si>
  <si>
    <t>JOAO DIAS BORBA</t>
  </si>
  <si>
    <t>JOAO LUIZ KOPP STOCK</t>
  </si>
  <si>
    <t>JOAO N CORAZZA</t>
  </si>
  <si>
    <t>JOAO NEDSON DE LUCCA GERMANN</t>
  </si>
  <si>
    <t>JOAO PAULO SOARES</t>
  </si>
  <si>
    <t>JOAO VALDIR CAVINATTO</t>
  </si>
  <si>
    <t>JOCELEI  ANTONIO CANTELE</t>
  </si>
  <si>
    <t>JOEL PIRES NORONHA</t>
  </si>
  <si>
    <t>JOHANN ALIMENTOS LTDA</t>
  </si>
  <si>
    <t>JOHN DEERE BRASIL LTDA</t>
  </si>
  <si>
    <t>JOHN DEERE MEXICO SARL</t>
  </si>
  <si>
    <t>JOICE SUSANA REDEL PFEIFER</t>
  </si>
  <si>
    <t>JONAS ALBERTO SCHMIDT</t>
  </si>
  <si>
    <t>JONAS KOMMERS KIRSCHNER</t>
  </si>
  <si>
    <t>JORGE ALBERTO HINTZ</t>
  </si>
  <si>
    <t>JOSE ANTONIO PORRE</t>
  </si>
  <si>
    <t>JOSE CORADINI</t>
  </si>
  <si>
    <t>JOSE LEOVAL LOPES</t>
  </si>
  <si>
    <t>JOSE REINALDO KAULFMANN</t>
  </si>
  <si>
    <t>JOSE ROBERTO RODRIGUES MASCARENHAS</t>
  </si>
  <si>
    <t>JOSIELI O QUOOS</t>
  </si>
  <si>
    <t>JOST BRASIL SIST AUTOMOTIVOS LTDA</t>
  </si>
  <si>
    <t>JOTA ELE CONSTRUCOES CIVIS S/A</t>
  </si>
  <si>
    <t>JOY TUBOS COMERCIAL EIRELI</t>
  </si>
  <si>
    <t>JUAN C. BALERIO S.A.</t>
  </si>
  <si>
    <t>JUARES MOLON</t>
  </si>
  <si>
    <t>JUARES NEROCI DE SOUZA</t>
  </si>
  <si>
    <t>JULIA CAROLINA ALVES</t>
  </si>
  <si>
    <t>JULIANO BET</t>
  </si>
  <si>
    <t>JULIANO DOBLER</t>
  </si>
  <si>
    <t>JULIETA CARNEIRO B BOCATTE - EIRELI</t>
  </si>
  <si>
    <t>JULIO CEZAR BOLZAN</t>
  </si>
  <si>
    <t>JULIO MARCIO ROCHA</t>
  </si>
  <si>
    <t>JULYCASA MATERIAIS DE CONSTR LTDA</t>
  </si>
  <si>
    <t>JUMIL-JUSTINO DE MORAIS, IRMAOS S/A</t>
  </si>
  <si>
    <t>KARGIOLI COML IMPORT E EXPORT LTDA</t>
  </si>
  <si>
    <t>KAUEFER COML DE FERRO E ACO LTDA</t>
  </si>
  <si>
    <t>KDM IND DE PRE MOLDADOS LTDA</t>
  </si>
  <si>
    <t>KEKO ACESSORIOS S/A</t>
  </si>
  <si>
    <t>KELLER &amp; ZUCOLOTTO LTDA</t>
  </si>
  <si>
    <t>KEPLER WEBER INDUSTRIAL S/A</t>
  </si>
  <si>
    <t>KHOR INDUSTRIAL LTDA</t>
  </si>
  <si>
    <t>KIFERRO COM DE FERRO E ACO LTDA</t>
  </si>
  <si>
    <t>KING KOMFORT IND COM E EXP DE ESTOF</t>
  </si>
  <si>
    <t>KING PARTICIPACOES LTDA</t>
  </si>
  <si>
    <t>KINGSPAN ISOESTE CONSTR ISOTERM SA.</t>
  </si>
  <si>
    <t>KLO IND E COM DE EQUIP ESPORT LTDA</t>
  </si>
  <si>
    <t>KONECRANES DEMAG BRASIL LTDA</t>
  </si>
  <si>
    <t>KS PRE-MOLDADOS DE CONCRETO LTDA ME</t>
  </si>
  <si>
    <t>KT-FER COMERCIO DE PROD SIDER LTDA</t>
  </si>
  <si>
    <t>KUHN DO BRASIL S/A</t>
  </si>
  <si>
    <t>KUHN DO BRASIL S/A IMPL AGRICOLAS</t>
  </si>
  <si>
    <t>KWK ADM DE BENS PROPRIOS LTDA</t>
  </si>
  <si>
    <t>KZK ADMINISTRADORA DE BENS LTDA</t>
  </si>
  <si>
    <t>L A COM DE EQUIP AGROPECUARIOS LTDA</t>
  </si>
  <si>
    <t>L E B INCORP IMOB LTDA</t>
  </si>
  <si>
    <t>L MARQUEZZO CONSTRUCOES EMPREEND</t>
  </si>
  <si>
    <t>L S W SERVICOS LTDA</t>
  </si>
  <si>
    <t>LAEL ELUIDE FINKLER</t>
  </si>
  <si>
    <t>LAGAR H AGROINDUSTRIA LTDA</t>
  </si>
  <si>
    <t>LAHIS HELFRICH</t>
  </si>
  <si>
    <t>LAMINA INDUSTRIA PLASTICA LTDA</t>
  </si>
  <si>
    <t>LANDERTECH EQUIPAMENTOS LTDA</t>
  </si>
  <si>
    <t>LAUDENIR LOPES JUNIOR - ROLANFERRO</t>
  </si>
  <si>
    <t>LAURINDO MENEGAZZI</t>
  </si>
  <si>
    <t>LAURO AUGUSTO HECK</t>
  </si>
  <si>
    <t>LAURO BORTONCELLO</t>
  </si>
  <si>
    <t>LAURO DONICHT FILHO</t>
  </si>
  <si>
    <t>LAURO WEBER AGRICOLA LTDA</t>
  </si>
  <si>
    <t>LAVITTA ENGENHARIA CIVIL LTDA</t>
  </si>
  <si>
    <t>LAZER MATERIAIS DE CONSTRUCAO LTDA</t>
  </si>
  <si>
    <t>LEAFAR LOGISTICA INDUSTRIAL LTDA</t>
  </si>
  <si>
    <t>LEANDRO EBELING ME</t>
  </si>
  <si>
    <t>LEANDRO HERMANNS</t>
  </si>
  <si>
    <t>LEANDRO SINCLAIR EBERT</t>
  </si>
  <si>
    <t>LEILA SIMONE MAAS KRAMER</t>
  </si>
  <si>
    <t>LEMES &amp; LIBERATTI COM DE ACO LTDA</t>
  </si>
  <si>
    <t>LEOCIR SIDI</t>
  </si>
  <si>
    <t>LEONDIRA SOUSA DE OLIVEIRA</t>
  </si>
  <si>
    <t>LEONIR PANIZZI LAVA</t>
  </si>
  <si>
    <t>LES ARBRES EMPREND IMOB SPE LTDA</t>
  </si>
  <si>
    <t>LIBRA METAIS EIRELI</t>
  </si>
  <si>
    <t>LIBRELATO S/A IMPLS RODOVIARIOS</t>
  </si>
  <si>
    <t>LIGHTSWEET IND E COM DE ALIM LTDA</t>
  </si>
  <si>
    <t>LINEARTEK MOVEIS LTDA</t>
  </si>
  <si>
    <t>LIOTECNICA TECNOL EM ALIMENTOS S.A.</t>
  </si>
  <si>
    <t>LIZANDRA DA SILVA</t>
  </si>
  <si>
    <t>LJL COM E FABRICACAO DE MOV LTDA</t>
  </si>
  <si>
    <t>LM PULVERIZADORES EIRELI - ME</t>
  </si>
  <si>
    <t>LM SISTEMAS CONSTRUTIVOS LTDA</t>
  </si>
  <si>
    <t>LMC CONSTRUCOES LTDA</t>
  </si>
  <si>
    <t>LOEF &amp; CIA LTDA</t>
  </si>
  <si>
    <t>LOIVA MARIA KRIGER BARBIERI</t>
  </si>
  <si>
    <t>LOIVA MARIA SOTORIVA CARVALHO</t>
  </si>
  <si>
    <t>LOJA DA CALDEIRA COM DE PECAS LTDA</t>
  </si>
  <si>
    <t>LONDRIESTUFA IND COM DE ESTUF PARA</t>
  </si>
  <si>
    <t>LOTARIO WELZEL</t>
  </si>
  <si>
    <t>LOTTO ENGENHARIA E CONSTR LTDA</t>
  </si>
  <si>
    <t>LOURDES TERESINHA MANICA</t>
  </si>
  <si>
    <t>LOURIVAL MORAES DE SOUZA ME</t>
  </si>
  <si>
    <t>LRG ADM DE BENS E PARTICIP LTDA</t>
  </si>
  <si>
    <t>LUCAS BIDINOTT</t>
  </si>
  <si>
    <t>LUCAS MATEUS WESTERLUND</t>
  </si>
  <si>
    <t>LUCIANA G DOS SANTOS PADILHA FERRAG</t>
  </si>
  <si>
    <t>LUCIANO FRITSCH</t>
  </si>
  <si>
    <t>LUIS ANTONIO BONATO</t>
  </si>
  <si>
    <t>LUIS RODRIGO MARQUES DA SILVA</t>
  </si>
  <si>
    <t>LUIZ ACIR STIELER BASTIANI</t>
  </si>
  <si>
    <t>LUIZ CARLOS SANDESKI</t>
  </si>
  <si>
    <t>LUIZ CARLOS SARTORI</t>
  </si>
  <si>
    <t>LUIZ CLAUDIO ZANUTO</t>
  </si>
  <si>
    <t>LUIZ VALMIR SCARTON</t>
  </si>
  <si>
    <t>LUMA IND E COM DE PECAS LTDA</t>
  </si>
  <si>
    <t>LUMA INDUSTRIA E COMERCIO DE</t>
  </si>
  <si>
    <t>LUMAR ESTR E ESQ METALICAS LTDA</t>
  </si>
  <si>
    <t>LUMASA CONSTR INDUSTRIALIZ LTDA</t>
  </si>
  <si>
    <t>LUXFER TUBOS E ACOS LTDA</t>
  </si>
  <si>
    <t>LVB SUPERMERCADO LTDA</t>
  </si>
  <si>
    <t>M A ACESSORIOS LTDA</t>
  </si>
  <si>
    <t>M E H COMERCIO DE FERRO E ACO LTDA</t>
  </si>
  <si>
    <t>M L P GONCALVES &amp; CIA LTDA</t>
  </si>
  <si>
    <t>M M SOLDAS IND E COM LTDA</t>
  </si>
  <si>
    <t>M M TAMAKI EQUIPAMENTOS LTDA</t>
  </si>
  <si>
    <t>M S E ENGENHARIA LTDA</t>
  </si>
  <si>
    <t>M.A. IND E COM DE PECAS PARA BICICL</t>
  </si>
  <si>
    <t>M3 FERRO E ACO LTDA EPP</t>
  </si>
  <si>
    <t>M16 ASSESS EMPRESARIAL E PART LTDA</t>
  </si>
  <si>
    <t>MACKERDUZ IND DE PROD DE LIMPEZA LT</t>
  </si>
  <si>
    <t>MACOL-IND E COM DE BICICL LTDA EPP</t>
  </si>
  <si>
    <t>MACOTHAL MAT DE CONSTR LTDA ME</t>
  </si>
  <si>
    <t>MACTAB DIVISORIAS E SOLUCOES EIRELI</t>
  </si>
  <si>
    <t>MADEFER INOX LTDA</t>
  </si>
  <si>
    <t>MADEIREIRA BARCELONA LTDA ME</t>
  </si>
  <si>
    <t>MADEIREIRA E FERRAGEM KASTELLO LTDA</t>
  </si>
  <si>
    <t>MADRIFER IND E COM DE PERFILAD LTDA</t>
  </si>
  <si>
    <t>MAESTRO DO BRASIL IND METALURG LTDA</t>
  </si>
  <si>
    <t>MAGIUS METALURGICA INDUSTRIAL LTDA</t>
  </si>
  <si>
    <t>MAGNO PECAS IND COM IMP E EXP LTDA</t>
  </si>
  <si>
    <t>MAHIL IND COM DE ARTEF ALUM E FERRO</t>
  </si>
  <si>
    <t>MAHINDRA DO BRASIL INDL LTDA</t>
  </si>
  <si>
    <t>MAICON ISMAEL MUCKE</t>
  </si>
  <si>
    <t>MAJOKA - MOVEIS E ESTOFADOS LTDA</t>
  </si>
  <si>
    <t>MAJOLO IND DE ESTR METALICAS LTDA</t>
  </si>
  <si>
    <t>MAK MANUT E MANG HIDRAULICAS LTDA</t>
  </si>
  <si>
    <t>MALTA IND DE EQUIP E UTILID DOM LTD</t>
  </si>
  <si>
    <t>MANANCIAL - ADM DE BENS LTDA</t>
  </si>
  <si>
    <t>MANTECH MANUT DE EQUIP LTDA</t>
  </si>
  <si>
    <t>MANTOVANI CONSTRUCOES LTDA</t>
  </si>
  <si>
    <t>MANUCHAP IND LTADA</t>
  </si>
  <si>
    <t>MANUTEC PRATA LTDA ME</t>
  </si>
  <si>
    <t>MANZONI BRAVO PART LTDA</t>
  </si>
  <si>
    <t>MAPOA - PAROQ STA MARIA GORETTI</t>
  </si>
  <si>
    <t>MAQTRON IMPORTACAO E EXP LTDA</t>
  </si>
  <si>
    <t>MAQUINAS AGRICOLAS JACTO S/A</t>
  </si>
  <si>
    <t>MAR COML FERROS LTDA</t>
  </si>
  <si>
    <t>MARBENS INCORP E CONSTRUCOES LTDA</t>
  </si>
  <si>
    <t>MARCELO DANNA</t>
  </si>
  <si>
    <t>MARCELO GOMES LOBO</t>
  </si>
  <si>
    <t>MARCELO JULIANO TRETER</t>
  </si>
  <si>
    <t>MARCELO SARTORI</t>
  </si>
  <si>
    <t>MARCELO SOLUCOES METALICAS LTDA</t>
  </si>
  <si>
    <t>MARCELO SPITZER</t>
  </si>
  <si>
    <t>MARCELO VILMAR SCHULTZ</t>
  </si>
  <si>
    <t>MARCHESAN IMPL MAQS AGRIC TATU</t>
  </si>
  <si>
    <t>MARCIO ARLAN SCHNEIDER</t>
  </si>
  <si>
    <t>MARCIO AUGUSTINHO BERNARDI</t>
  </si>
  <si>
    <t>MARCON INDUSTRIA METALURGICA LTDA</t>
  </si>
  <si>
    <t>MARCOPOLO S/A - UNIDADE ANA RECH</t>
  </si>
  <si>
    <t>MARCOPOLO SOUTH AFRICA PTY LTD</t>
  </si>
  <si>
    <t>MARCOS ALEXANDRE RADONS</t>
  </si>
  <si>
    <t>MARCOS ANTONIO BANDEIRA</t>
  </si>
  <si>
    <t>MARCOS ANTONIO SILVERA</t>
  </si>
  <si>
    <t>MARCOS AURELIO DOS SANTOS PADILHA</t>
  </si>
  <si>
    <t>MARCOS MATTER FYDRYSZEWSKI</t>
  </si>
  <si>
    <t>MARCOS RODRIGO SOARES</t>
  </si>
  <si>
    <t>MARELLI MOVEIS PARA ESCRITORIO SA</t>
  </si>
  <si>
    <t>MARGOT PATZER ME</t>
  </si>
  <si>
    <t>MARIA ELCI BIDIBINOTTO</t>
  </si>
  <si>
    <t>MARIO TREMEA</t>
  </si>
  <si>
    <t>MARKAL IND E COM DE EQUIP AGRIC LTD</t>
  </si>
  <si>
    <t>MARLEI DE FATIMA BARBOZA DA SILVA</t>
  </si>
  <si>
    <t>MARLON GOULARTE</t>
  </si>
  <si>
    <t>MARTA S DOS SANTOS</t>
  </si>
  <si>
    <t>MARTINIANO COSTA BEBER</t>
  </si>
  <si>
    <t>MARTINS E EIDAM LTDA</t>
  </si>
  <si>
    <t>MARTINUCCI DO BRASIL MOV P ESCRIT</t>
  </si>
  <si>
    <t>MASCARELLO ARTIGOS DE CAMA MESA E</t>
  </si>
  <si>
    <t>MASCARELLO CARROCERIAS E ONIBUS LTD</t>
  </si>
  <si>
    <t>MASCARELLO ESTOF PARA ESCRIT LTDA</t>
  </si>
  <si>
    <t>MASIFER COM DE FERROS LTDA</t>
  </si>
  <si>
    <t>MASTER SISTEMAS AUTOMOTIVOS LTDA</t>
  </si>
  <si>
    <t>MASTERFER ESTR METALICAS LTDA</t>
  </si>
  <si>
    <t>MASTERMETTA IND METALURG LTDA</t>
  </si>
  <si>
    <t>MATADOURO GAVAZZONI LTDA</t>
  </si>
  <si>
    <t>MATEUS MARTINHAGO OLIVEIRA</t>
  </si>
  <si>
    <t>MATSUDA EQUIPAMENTOS LTDA</t>
  </si>
  <si>
    <t>MAUA ADM DE IMOVEIS LTDA</t>
  </si>
  <si>
    <t>MAUMAR METALURGICA LTDA</t>
  </si>
  <si>
    <t>MAURICIO ALDEMAR DICKOW</t>
  </si>
  <si>
    <t>MAURICIO ANTONIO MENEGASSI</t>
  </si>
  <si>
    <t>MAURICIO DALSOTTO</t>
  </si>
  <si>
    <t>MAURICIO MEGGOLARO</t>
  </si>
  <si>
    <t>MAURICIO MUHLBEIER</t>
  </si>
  <si>
    <t>MAURO ZIMMERMANN</t>
  </si>
  <si>
    <t>MAX IND METALURGICA LTDA</t>
  </si>
  <si>
    <t>MAXIMILIANO GUERREIRO BATALHA JR</t>
  </si>
  <si>
    <t>MAXION MONTICH DO BRASIL LTDA</t>
  </si>
  <si>
    <t>MAXY SOLAR SOL ENERGETICAS LTDA</t>
  </si>
  <si>
    <t>MBS ESQUADRIAS LTDA</t>
  </si>
  <si>
    <t>MCL TUBOS E PECAS LTDA - EPP</t>
  </si>
  <si>
    <t>MEBRAFE INSTAL E EQUIP FRIG LTDA</t>
  </si>
  <si>
    <t>MECALUX DO BRASIL SISTEMAS DE</t>
  </si>
  <si>
    <t>MECANICA TRENTINI LTDA</t>
  </si>
  <si>
    <t>MEDEIROS COM DE FERRO ACO LTDA</t>
  </si>
  <si>
    <t>MEGA APOIO IND COM E SERV LTDA ME</t>
  </si>
  <si>
    <t>MEGA EQUIP INDUSTRIAIS LTDA</t>
  </si>
  <si>
    <t>MEGACO COM DE FERROS E METAIS LTDA</t>
  </si>
  <si>
    <t>MEGALASER IND METALURGICA LTDA</t>
  </si>
  <si>
    <t>MEGATEC EQUIPAMENTOS RODOV LTDA</t>
  </si>
  <si>
    <t>MEISTER S/A</t>
  </si>
  <si>
    <t>MELNICK EVEN LIMOEIRO EMPREEND IMOB</t>
  </si>
  <si>
    <t>MELZI LUIS VISENTIN</t>
  </si>
  <si>
    <t>MENDONCA &amp; MENDONCA LTDA</t>
  </si>
  <si>
    <t>MENTA MAQUINAS AGRICOLAS LTDA</t>
  </si>
  <si>
    <t>MEPAI AGROINDUSTRIAL LTDA</t>
  </si>
  <si>
    <t>MEPEL MAQ E EQUIP LTDA</t>
  </si>
  <si>
    <t>MERCANTIL METAIS COM DE ACOS EIRELI</t>
  </si>
  <si>
    <t>MERCASERRA MAT PARA CONSTR EIRELI</t>
  </si>
  <si>
    <t>MERCEDES BENZ DO BRASIL LTDA</t>
  </si>
  <si>
    <t>MERCO FITNESS DA AMAZONIA IND E COM</t>
  </si>
  <si>
    <t>MERCOFERRO COM E REP PROD SID LTDA</t>
  </si>
  <si>
    <t>META SUL METAIS COM DE MET EIRELI</t>
  </si>
  <si>
    <t>METAL 7 SERRALHERIA LTDA</t>
  </si>
  <si>
    <t>METAL DESIGN COMPONENTES EIRELI</t>
  </si>
  <si>
    <t>METAL FORM SOLUTION SPA</t>
  </si>
  <si>
    <t>METAL LUZ METALURGICA LTDA ME</t>
  </si>
  <si>
    <t>METAL MARCIANO LTDA ME</t>
  </si>
  <si>
    <t>METAL MELO METALURGICA LTDA</t>
  </si>
  <si>
    <t>METAL RUBBER EIRELI</t>
  </si>
  <si>
    <t>METALASSO COM DE METAIS LTDA</t>
  </si>
  <si>
    <t>METALBASE ESTR METALICAS LTDA</t>
  </si>
  <si>
    <t>METALFERRO MONT E INSTALAD DE FER</t>
  </si>
  <si>
    <t>METALGAVA IND E COM LTDA</t>
  </si>
  <si>
    <t>METALIC MEDICAL PROD HOSPITALARES</t>
  </si>
  <si>
    <t>METALKA EQUIPAMENTOS LTDA</t>
  </si>
  <si>
    <t>METALMAKE ESQUADRIAS METALIC LTDA</t>
  </si>
  <si>
    <t>METALNEW MADEIRA E ACO LTDA</t>
  </si>
  <si>
    <t>METALON TUBOS DE ACO LTDA</t>
  </si>
  <si>
    <t>METALPAMA - IND E COM LTDA</t>
  </si>
  <si>
    <t>METALSA CAMPO LARGO IND E COM DE</t>
  </si>
  <si>
    <t>METALSTAR IND METALURGICA LTDA</t>
  </si>
  <si>
    <t>METALTECSS REVEST DE METAIS LTDA</t>
  </si>
  <si>
    <t>METALURGICA ARATECK EIRELI</t>
  </si>
  <si>
    <t>METALURGICA BAGNOLIN TORRES LTDA</t>
  </si>
  <si>
    <t>METALURGICA BALENA LTDA</t>
  </si>
  <si>
    <t>METALURGICA C D B LTDA</t>
  </si>
  <si>
    <t>METALURGICA CARMAT LTDA</t>
  </si>
  <si>
    <t>METALURGICA CAVION LTDA</t>
  </si>
  <si>
    <t>METALURGICA CERVER LTDA EPP</t>
  </si>
  <si>
    <t>METALURGICA CIRCULO IND E COM LTDA</t>
  </si>
  <si>
    <t>METALURGICA COFELMA LTDA</t>
  </si>
  <si>
    <t>METALURGICA DAK LTDA</t>
  </si>
  <si>
    <t>METALURGICA EMEVE EIRELI</t>
  </si>
  <si>
    <t>METALURGICA FABIAN LTDA</t>
  </si>
  <si>
    <t>METALURGICA FEIJOO LTDA</t>
  </si>
  <si>
    <t>METALURGICA FELLER LTDA</t>
  </si>
  <si>
    <t>METALURGICA FORNARI LTDA</t>
  </si>
  <si>
    <t>METALURGICA FRATELLI LTDA</t>
  </si>
  <si>
    <t>METALURGICA GASSEN LTDA</t>
  </si>
  <si>
    <t>METALURGICA GOLIN S/A</t>
  </si>
  <si>
    <t>METALURGICA HENTGES LTDA</t>
  </si>
  <si>
    <t>METALURGICA JAMA LTDA</t>
  </si>
  <si>
    <t>METALURGICA L R LTDA</t>
  </si>
  <si>
    <t>METALURGICA LAFATELLI LTDA</t>
  </si>
  <si>
    <t>METALURGICA LBN LTDA ME</t>
  </si>
  <si>
    <t>METALURGICA MACHADO LTDA</t>
  </si>
  <si>
    <t>METALURGICA MARIN LTDA</t>
  </si>
  <si>
    <t>METALURGICA MARTINAZZO LTDA</t>
  </si>
  <si>
    <t>METALURGICA METALMAQ LTDA</t>
  </si>
  <si>
    <t>METALURGICA METALTEM - EIRELI</t>
  </si>
  <si>
    <t>METALURGICA METTON LTDA</t>
  </si>
  <si>
    <t>METALURGICA MOR SA</t>
  </si>
  <si>
    <t>METALURGICA MSL LTDA</t>
  </si>
  <si>
    <t>METALURGICA NETZ LTDA</t>
  </si>
  <si>
    <t>METALURGICA NOVO MUNDO- EIRELI - ME</t>
  </si>
  <si>
    <t>METALURGICA NSA DO BRASIL LTDA</t>
  </si>
  <si>
    <t>METALURGICA PAI E FILHO LTDA</t>
  </si>
  <si>
    <t>METALURGICA PISA LTDA</t>
  </si>
  <si>
    <t>METALURGICA POJDA LTDA</t>
  </si>
  <si>
    <t>METALURGICA RIGITEC LTDA</t>
  </si>
  <si>
    <t>METALURGICA SEGURANCA LTDA</t>
  </si>
  <si>
    <t>METALURGICA SERRALHERIA PRETI LTDA</t>
  </si>
  <si>
    <t>METALURGICA SERRANA EIRELI</t>
  </si>
  <si>
    <t>METALURGICA SOARES &amp; SOARES LTDA</t>
  </si>
  <si>
    <t>METALURGICA STROFF LTDA</t>
  </si>
  <si>
    <t>METALURGICA SULPRADO LTDA</t>
  </si>
  <si>
    <t>METALURGICA TORRENSE LTDA</t>
  </si>
  <si>
    <t>METALURGICA TRAPP LTDA</t>
  </si>
  <si>
    <t>METALURGICA VASPA LTDA</t>
  </si>
  <si>
    <t>METALURGICA VENSON LTDA</t>
  </si>
  <si>
    <t>METALURGICA VIGNATTI LTDA</t>
  </si>
  <si>
    <t>METALURGICA VISUAL KITS LTDA - EPP</t>
  </si>
  <si>
    <t>METALURGICA VOGATE LTDA</t>
  </si>
  <si>
    <t>METALURGICA W3SAT LTDA</t>
  </si>
  <si>
    <t>METALURGICA ZENKER LTDA</t>
  </si>
  <si>
    <t>METALVILLE ESTRUT METALICAS LTDA</t>
  </si>
  <si>
    <t>METARO SIST PARA DOCAS E MOV DE CAR</t>
  </si>
  <si>
    <t>METASA SA INDUSTRIA METALURGICA</t>
  </si>
  <si>
    <t>METHAL C - MAQUINAS E PECAS LTDA</t>
  </si>
  <si>
    <t>METHAL COMPANY INDUSTRIAL LTDA</t>
  </si>
  <si>
    <t>METROFORM SYSTEM TECNOLOGIA EM</t>
  </si>
  <si>
    <t>MEVISAMETAL IND DE FERRAG E ESTRUT</t>
  </si>
  <si>
    <t>MG IND E COM DE MOVEIS EIRELI - ME</t>
  </si>
  <si>
    <t>MGG EQUIP IND EIRELI</t>
  </si>
  <si>
    <t>MGI METALURGICA AGROINDL LTDA</t>
  </si>
  <si>
    <t>MICHAEL FABIAN</t>
  </si>
  <si>
    <t>MILTON JOSE BRONDANI</t>
  </si>
  <si>
    <t>MINASFER COML DE FERRO E ACO LTDA</t>
  </si>
  <si>
    <t>MIRAIFER DISTRIB DE PROD SIDERURG</t>
  </si>
  <si>
    <t>MIRCON AIRTO KERN</t>
  </si>
  <si>
    <t>MIRIAN KRUK STRONA</t>
  </si>
  <si>
    <t>MIROFLEX LTDA</t>
  </si>
  <si>
    <t>MIYAZAKI FERRAG PRE-MOLDADOS E VIDR</t>
  </si>
  <si>
    <t>MJT MOB CORPORATIVO LTDA</t>
  </si>
  <si>
    <t>MKRAFT COMERCIO DE METAIS LTDA</t>
  </si>
  <si>
    <t>MM2 SINALIZACAO E TINTAS EIRELI</t>
  </si>
  <si>
    <t>MOACIR ANTONIO BUENO</t>
  </si>
  <si>
    <t>MODULAR CONTEINERES EIRELI</t>
  </si>
  <si>
    <t>MODULARIS IND COM E MONTAG DE ESTR</t>
  </si>
  <si>
    <t>MOET HENNESSY DO BRASIL VINHOS E</t>
  </si>
  <si>
    <t>MOGIACO COMERCIAL EIRELI</t>
  </si>
  <si>
    <t>MOISES RABELLO CLARO</t>
  </si>
  <si>
    <t>MONTADORA PANAMBI LTDA</t>
  </si>
  <si>
    <t>MONTAGEM DE ESTRUTURAS ZAFA LTDA</t>
  </si>
  <si>
    <t>MONTALAR EMPREEND IMOB LTDA</t>
  </si>
  <si>
    <t>MONTE GRAPPA METALICOS LTDA</t>
  </si>
  <si>
    <t>MONZAN TRANSPORTES LTDA</t>
  </si>
  <si>
    <t>MORSA SOLUCOES EM ACO EIRELI</t>
  </si>
  <si>
    <t>MOSCOU COMERCIO E ENGENHARIA LTDA</t>
  </si>
  <si>
    <t>MOSSINGER MAQ E EQUIP AGRIC LTDA</t>
  </si>
  <si>
    <t>MOTIVA IND DE MOV LTDA</t>
  </si>
  <si>
    <t>MOTORES DIESEL ANDINOS S.A</t>
  </si>
  <si>
    <t>MOTTA SOLUCOES TUBULARES LTDA</t>
  </si>
  <si>
    <t>MOV CARRARO LTDA</t>
  </si>
  <si>
    <t>MOVEIS BRASTUBO LTDA</t>
  </si>
  <si>
    <t>MOVEIS K1 LTDA</t>
  </si>
  <si>
    <t>MOVEIS LAZZARINI LTDA</t>
  </si>
  <si>
    <t>MOZER COM DE FERRO E ACO-EIRELI-ME</t>
  </si>
  <si>
    <t>MPA PRE MOLDADOS LTDA</t>
  </si>
  <si>
    <t>MR IND COM E SERVICOS LTDA</t>
  </si>
  <si>
    <t>MS FABRIC DE ESTRUT PREMOLD EIRELI</t>
  </si>
  <si>
    <t>MULET Y MAURIN S.A</t>
  </si>
  <si>
    <t>MULTIFERROS COML DE FER E ACO LTDA</t>
  </si>
  <si>
    <t>MULTISIDER ACOS E METAIS LTDA</t>
  </si>
  <si>
    <t>MULTITECNIC MAT TEC E CONCR LTDA</t>
  </si>
  <si>
    <t>MUNDIAL ESTRUTURAS METALICAS LTDA</t>
  </si>
  <si>
    <t>MURABITO MARIA CARMEN</t>
  </si>
  <si>
    <t>MZ COM DE EQUIP AGROPEC LTDA</t>
  </si>
  <si>
    <t>MZ MADEIRAS LTDA</t>
  </si>
  <si>
    <t>N M PRE MOLDADOS E ESTR MET LTDA</t>
  </si>
  <si>
    <t>N R ENTRINGER COM DE EQUI AGRI LTDA</t>
  </si>
  <si>
    <t>NATHOR IND E COM DE BICICLETAS LTDA</t>
  </si>
  <si>
    <t>NAUJORKS &amp; CIA LTDA</t>
  </si>
  <si>
    <t>NAVAL DO BRASIL EIRELI ME</t>
  </si>
  <si>
    <t>NAVISTAR IND MET LTDA</t>
  </si>
  <si>
    <t>NAVISTAR IND METALURGICA LTDA</t>
  </si>
  <si>
    <t>NAYMAX SERV DE MEC E TRANSP EIRELI</t>
  </si>
  <si>
    <t>NB MAQUINAS LTDA</t>
  </si>
  <si>
    <t>NBPARTS COM E SERV DE MOVEIS LTDA</t>
  </si>
  <si>
    <t>NBTECH IND DE MOV TECNOLOG LTDA ME</t>
  </si>
  <si>
    <t>NCV TUBOS EIRELI</t>
  </si>
  <si>
    <t>NEGUINHO SERV SERRALH ESTR MET LTDA</t>
  </si>
  <si>
    <t>NELCIR MANFIO &amp; CIA LTDA</t>
  </si>
  <si>
    <t>NELIO WUNDER</t>
  </si>
  <si>
    <t>NELSON DO BRASIL IND METALURG LTDA</t>
  </si>
  <si>
    <t>NELSON DO BRASIL PECAS TUBULARES E</t>
  </si>
  <si>
    <t>NELSON EDEMAR BEUTINGER</t>
  </si>
  <si>
    <t>NELSON FABRIM</t>
  </si>
  <si>
    <t>NELSON FIORIN</t>
  </si>
  <si>
    <t>NELSON NERI RUDELL</t>
  </si>
  <si>
    <t>NEOLIDER COM IMP E EXP DE ACOS EIRE</t>
  </si>
  <si>
    <t>NEOMIDIA SOLUCOES VISUAIS LTDA</t>
  </si>
  <si>
    <t>NEREU I. FLACH</t>
  </si>
  <si>
    <t>NESIO VINCENZI</t>
  </si>
  <si>
    <t>NESTOR BORTOLINI &amp; CIA LTDA</t>
  </si>
  <si>
    <t>NEUBURG MANUTENCAO INDL EIRELI</t>
  </si>
  <si>
    <t>NEUZA APARECIDA DA SILVA LOPES</t>
  </si>
  <si>
    <t>NEW ACO TUB DE ACO E PERFIS LAM LTD</t>
  </si>
  <si>
    <t>NEWFER S.A.</t>
  </si>
  <si>
    <t>NEWPIPE TUBOS E CONEXOES LTDA</t>
  </si>
  <si>
    <t>NICHELE SERRARIA LTDA ME</t>
  </si>
  <si>
    <t>NIL FERRETTI COM DE FERRO E ACO LTD</t>
  </si>
  <si>
    <t>NILO CRISTOFOLINI</t>
  </si>
  <si>
    <t>NILVO OSMAR LUDTKE</t>
  </si>
  <si>
    <t>NIPAL ARMAZENAGEM E PROD MET LTDA</t>
  </si>
  <si>
    <t>NIQUELPLAST IND E COM DE ART PLAST</t>
  </si>
  <si>
    <t>NJ COMERCIO DE ACO LTDA</t>
  </si>
  <si>
    <t>NORMELIA LOTTERMANN</t>
  </si>
  <si>
    <t>NOVA JVA INDUSTRIA METALURG LTDA</t>
  </si>
  <si>
    <t>NOVABRAS INDUSTRIA DE MOVEIS LTDA</t>
  </si>
  <si>
    <t>NOVAMETAL IND E COM DE FERRO E ACO</t>
  </si>
  <si>
    <t>ODALIRIO NEUMANN</t>
  </si>
  <si>
    <t>OLHO D'AGUA COM DE POCOS ARTESIANOS</t>
  </si>
  <si>
    <t>OLITUBOS IND COM DE TUBOS FERROS</t>
  </si>
  <si>
    <t>OLIVO S/A - PRODUTOS ELETRICOS</t>
  </si>
  <si>
    <t>OLIVO S/A IND E COM DE IMPL ROD</t>
  </si>
  <si>
    <t>OLIVO S/A IND PROD ILUM E ELETROFER</t>
  </si>
  <si>
    <t>OLIVO SA IND DE COMP E PEC P/IMPLEM</t>
  </si>
  <si>
    <t>OMAR ALTINO SCHWEDE</t>
  </si>
  <si>
    <t>OMP DO BRASIL LTDA</t>
  </si>
  <si>
    <t>OMT VEYHL METALURGICA LTDA</t>
  </si>
  <si>
    <t>ON-HIGHWAY BRASIL LTDA</t>
  </si>
  <si>
    <t>ONEIDE FENGLER</t>
  </si>
  <si>
    <t>ONESIMO EUGENIO SOLDERA</t>
  </si>
  <si>
    <t>ONESIO REIS DA VEIGA</t>
  </si>
  <si>
    <t>ONLES FAB COM E MONT MOV E DECOR</t>
  </si>
  <si>
    <t>OPCAO COMUNICACAO VISUAL LTDA</t>
  </si>
  <si>
    <t>ORDEMILK LTDA</t>
  </si>
  <si>
    <t>OREGON QUIMICA DO BRASIL LTDA</t>
  </si>
  <si>
    <t>ORIGINAL MOTOPECAS - EIRELI</t>
  </si>
  <si>
    <t>ORLA MOVEIS E DESIGN EIRELI ME</t>
  </si>
  <si>
    <t>ORLANDO CARRER</t>
  </si>
  <si>
    <t>ORLANDO DREWS</t>
  </si>
  <si>
    <t>OSLAIR CEZAR IMBRIANI</t>
  </si>
  <si>
    <t>OSWALDO CRISTO</t>
  </si>
  <si>
    <t>OSWALDO HARRY KINPS</t>
  </si>
  <si>
    <t>OTIMIZE IND COM E SERVICOS LTDA</t>
  </si>
  <si>
    <t>OURO PRETO COM DE FERRO E ACO LTDA</t>
  </si>
  <si>
    <t>OZIEL ZARETTI RODRIGUES</t>
  </si>
  <si>
    <t>P H IMES GONCALVES - CENTRO AUTOMOT</t>
  </si>
  <si>
    <t>PABLO FARES DOS REIS</t>
  </si>
  <si>
    <t>PADRAO VISUAL PAINEIS PUBLICIT LTDA</t>
  </si>
  <si>
    <t>PALUDO EQUIP PARA GINASTICA EIRELI</t>
  </si>
  <si>
    <t>PALUDO IND DE CARROCERIAS LTDA</t>
  </si>
  <si>
    <t>PAMELA FRANCINI MERLIM</t>
  </si>
  <si>
    <t>PAMPLONA ALIMENTOS S/A</t>
  </si>
  <si>
    <t>PANATTO COMERCIO DE FERRAGENS E FER</t>
  </si>
  <si>
    <t>PANIZZI CONSTR E INCORP LTDA</t>
  </si>
  <si>
    <t>PANTANAL SOLUC EM FERRO E ACO LT</t>
  </si>
  <si>
    <t>PARK LOG CSL 01 EMPREEND IMOB LTDA</t>
  </si>
  <si>
    <t>PARK MALL CSL 02 EMPREEND IMOB LTDA</t>
  </si>
  <si>
    <t>PARK MALL CSL 03 EMPREEND IMOB LTDA</t>
  </si>
  <si>
    <t>PARLANTINA IND METALURG LTDA</t>
  </si>
  <si>
    <t>PARTNER EMPREEND IMOB LTDA</t>
  </si>
  <si>
    <t>PASETTI &amp; GIROTTO IND E COM LTDA</t>
  </si>
  <si>
    <t>PATRICIA SCHUNEMANN BERNARDES</t>
  </si>
  <si>
    <t>PAULISTEEL COML DE FERRO E ACO LTDA</t>
  </si>
  <si>
    <t>PAULO CESAR PADOIM</t>
  </si>
  <si>
    <t>PAULO DE ALMEIDA CALIXTO</t>
  </si>
  <si>
    <t>PAULO EDVINO BUSSLER</t>
  </si>
  <si>
    <t>PAULO HENRIQUE DYTZ</t>
  </si>
  <si>
    <t>PAULO ZIOBER - EQUIP METALURG LTDA</t>
  </si>
  <si>
    <t>PCR METALURGICA LTDA</t>
  </si>
  <si>
    <t>PEDRAS ORIENTE COM IMP E EXP LTDFA</t>
  </si>
  <si>
    <t>PEDREIRA E CONCRETOS CAXIENSE LTDA</t>
  </si>
  <si>
    <t>PEDRINI LOG EIRELI</t>
  </si>
  <si>
    <t>PEDRO BAZZAN</t>
  </si>
  <si>
    <t>PEDRO DOCENA</t>
  </si>
  <si>
    <t>PEDRO ROGERIO BORDIGNON</t>
  </si>
  <si>
    <t>PERCAPI IND E COM DE FERRO LTDA</t>
  </si>
  <si>
    <t>PERCIA SHULTZ</t>
  </si>
  <si>
    <t>PEREIRA &amp; BENELLI LTDA ME</t>
  </si>
  <si>
    <t>PERFEITA ESTR MET E CONSTR LTDA</t>
  </si>
  <si>
    <t>PERFIBRAS IND E COM DE ALUMINIO LTD</t>
  </si>
  <si>
    <t>PERFIL IND E COM DE FERROS LTDA</t>
  </si>
  <si>
    <t>PERFIL INDUSTRIA DE PERFILADOS LTDA</t>
  </si>
  <si>
    <t>PERFILADOS LONDRINA LTDA</t>
  </si>
  <si>
    <t>PERFILLINE COMP METALICOS LTDA</t>
  </si>
  <si>
    <t>PERFIOESTE IND DE PERFIS DE ACO LTD</t>
  </si>
  <si>
    <t>PERFUGEL PERFURACOES GEOLOG LTDA</t>
  </si>
  <si>
    <t>PERFUREX IND E COM DE EQUIP AGRIC</t>
  </si>
  <si>
    <t>PERINI SOLUCOES INDUSTRIAIS EIRELI</t>
  </si>
  <si>
    <t>PERKONS S/A</t>
  </si>
  <si>
    <t>PERLARE ALUMINIOS DO BRASIL EIRELI</t>
  </si>
  <si>
    <t>PETISCO DISTRIB DE ALIMENTOS EIRELI</t>
  </si>
  <si>
    <t>PETROSKI IND COM E REPR DE AERONAV</t>
  </si>
  <si>
    <t>PETRYACO IND E COM DE ACO LTDA</t>
  </si>
  <si>
    <t>PG SPORTS LTDA</t>
  </si>
  <si>
    <t>PGD FAB E COM DE ESTRUT METALIC LTD</t>
  </si>
  <si>
    <t>PHAMA ENERGIAS RENOVAVEIS LTDA ME</t>
  </si>
  <si>
    <t>PHAMETAL METALURGICA LTDA</t>
  </si>
  <si>
    <t>PICCOLI E DENEGA PRE MOLD E CONSTR</t>
  </si>
  <si>
    <t>PILINCHA ARTEF DE CIMENTO LTDA ME</t>
  </si>
  <si>
    <t>PIMACOL COM DE MAT PARA CONST LTDA</t>
  </si>
  <si>
    <t>PIONEIRA COM DE MADEIRA EIRELI</t>
  </si>
  <si>
    <t>PISANI PLASTICOS S A</t>
  </si>
  <si>
    <t>PISTELLI ENGENHARIA LTDA</t>
  </si>
  <si>
    <t>PIZZATO ENGENH EM PRE MOLDADOS LTDA</t>
  </si>
  <si>
    <t>PLACAPAR EMPREEND EIRELI - EPP</t>
  </si>
  <si>
    <t>PLAMEX INDUSTRIA LTDA</t>
  </si>
  <si>
    <t>PLANO ENG ASSAI NACOES UNIDAS SPE</t>
  </si>
  <si>
    <t>PLASSON DO BRASIL LTDA</t>
  </si>
  <si>
    <t>PLASTIC SUL IND DE PLAST LTDA</t>
  </si>
  <si>
    <t>PLASTLIFE INDL DE PLASTICOS LTDA</t>
  </si>
  <si>
    <t>PLAXMETAL S/A IND DE CADEIRAS CORP</t>
  </si>
  <si>
    <t>PLURIMETAL IND METALURG LTDA</t>
  </si>
  <si>
    <t>POCOS SEMI-ARTESIANOS IPORA LTDA</t>
  </si>
  <si>
    <t>POLACO COM DE FERRAG IND LTDA</t>
  </si>
  <si>
    <t>POLATI &amp; GOMES DISTRIB DE PERFILA</t>
  </si>
  <si>
    <t>POLIMET INDUSTRIA METALURG EIRELI</t>
  </si>
  <si>
    <t>POLISTAMPO IND METALURG LTDA</t>
  </si>
  <si>
    <t>POLITECONACO INDUSTRIAL LTDA</t>
  </si>
  <si>
    <t>POLLI COM DE FERROS LTDA</t>
  </si>
  <si>
    <t>POLLI MATERIAIS PARA CONSTR LTDA</t>
  </si>
  <si>
    <t>POLOMEX SA DE CV</t>
  </si>
  <si>
    <t>POLYTUBOS PROD SIDERURGICOS LTDA</t>
  </si>
  <si>
    <t>PONTES &amp; YAMATO LTDA</t>
  </si>
  <si>
    <t>POP IND E COM DE MOVEIS EIRELI</t>
  </si>
  <si>
    <t>PORTO ACO LTDA</t>
  </si>
  <si>
    <t>PORTO PONTA DO FELIX S/A</t>
  </si>
  <si>
    <t>PORTOMAG METALURGIA EIRELI - EPP</t>
  </si>
  <si>
    <t>PORTOSUL COMERCIAL DE ACOS LTDA</t>
  </si>
  <si>
    <t>POSTO REAL COM DE COMB LTDA</t>
  </si>
  <si>
    <t>POSTO RECANTO LTDA</t>
  </si>
  <si>
    <t>POTENCIAL PETROLEO LTDA</t>
  </si>
  <si>
    <t>POUPE SUPERMERCADOS LTDA</t>
  </si>
  <si>
    <t>POWER CORTE METALURGICA LTDA ME</t>
  </si>
  <si>
    <t>PRATI DONADUZZI &amp; CIA LTDA</t>
  </si>
  <si>
    <t>PRATTICA LOGISTICA COMERCIAL LTDA</t>
  </si>
  <si>
    <t>PRATYC IND E DISTRIB DE PROD EM ALU</t>
  </si>
  <si>
    <t>PRE MOLDADOS SANTA RITA</t>
  </si>
  <si>
    <t>PRE MOLDADOS SLA LTDA EPP</t>
  </si>
  <si>
    <t>PRE-MOLDADOS VIVENDA LTDA - EPP</t>
  </si>
  <si>
    <t>PRE-VALE PRE-MOLD DE CONCRETO LTDA</t>
  </si>
  <si>
    <t>PREMIUM TABACOS DO BRASIL S/A</t>
  </si>
  <si>
    <t>PREMOSUL PRE FABRICADOS LTDA</t>
  </si>
  <si>
    <t>PRESSOTTO CONCRETO E ACO LTDA</t>
  </si>
  <si>
    <t>PRIMAX IND E COM DE MOV LTDA ME</t>
  </si>
  <si>
    <t>PRIME PARTICIPACOES LTDA</t>
  </si>
  <si>
    <t>PRINCIPIO COM E SERV LTDA</t>
  </si>
  <si>
    <t>PRO ATIVA COMPONENTES PARA MOVEIS</t>
  </si>
  <si>
    <t>PRO-MARKET MOVEIS E EXPOSITORES LTD</t>
  </si>
  <si>
    <t>PRODUBIKE IND E COM LTDA ME</t>
  </si>
  <si>
    <t>PROGAS IND METALURGICA LTDA</t>
  </si>
  <si>
    <t>PROJEART IND DE ESTR METALICAS LTDA</t>
  </si>
  <si>
    <t>PROJETO METALURGIA LTDA</t>
  </si>
  <si>
    <t>PROLIFE PRODUTOS ORTOPEDICOS LTDA</t>
  </si>
  <si>
    <t>PROLOJA FEIRAS E EVENTOS LTDA</t>
  </si>
  <si>
    <t>PROMOTEC IND E COM LTDA</t>
  </si>
  <si>
    <t>PSM CONSTRUTORA DE OBRAS LTDA</t>
  </si>
  <si>
    <t>PVH PROJ COM E ENGENHARIA EIRELI</t>
  </si>
  <si>
    <t>QT EQUIPAMENTOS LTDA</t>
  </si>
  <si>
    <t>R &amp; R ESTRUTURAS METALICAS LTDA</t>
  </si>
  <si>
    <t>R DECOR COM DE REVEST E DEC LTDA</t>
  </si>
  <si>
    <t>R R COML DE ACOS LTDA</t>
  </si>
  <si>
    <t>R.B COMERCIO DE ACOS EIRELI</t>
  </si>
  <si>
    <t>RAFAEL CARLOS PRIGOL</t>
  </si>
  <si>
    <t>RAFAEL M MEDEIROS SUCATAS</t>
  </si>
  <si>
    <t>RAIMUNDO MORO</t>
  </si>
  <si>
    <t>RANDON S/A IMPLEM E PARTICIPACOES</t>
  </si>
  <si>
    <t>RANDON S/A IMPLEMENTOS E PARTICIP</t>
  </si>
  <si>
    <t>RANDON SA IMPLEMENTOS E PART</t>
  </si>
  <si>
    <t>RANDON TRIEL HT IMPL ROD LTDA</t>
  </si>
  <si>
    <t>RASIP ALIMENTOS LTDA</t>
  </si>
  <si>
    <t>RATAO TUBOS E ACOS LTDA</t>
  </si>
  <si>
    <t>RAUL BASSO</t>
  </si>
  <si>
    <t>RAUMAK METAL DISTRIBUIDORA EIRELI</t>
  </si>
  <si>
    <t>RAVEN IND E COM DE FERRAMENT LTDA</t>
  </si>
  <si>
    <t>RAYCKS COMERCIAL EIRELI ME</t>
  </si>
  <si>
    <t>RB CAPITAL BUILT TO SUIT I FUNDO DE</t>
  </si>
  <si>
    <t>RC - COML DE TUBOS E CONEXOES LTDA</t>
  </si>
  <si>
    <t>RCH EMPREEND IMOBILIARIOS S.A</t>
  </si>
  <si>
    <t>RD MAQUINAS E EQUIPAMENTOS LTDA</t>
  </si>
  <si>
    <t>RDC SOLUCOES INDUSTRIAIS LTDA</t>
  </si>
  <si>
    <t>REALME IND E COM DE MOVEIS LTDA</t>
  </si>
  <si>
    <t>REBOCAR INDUSTRIAL EIRELI</t>
  </si>
  <si>
    <t>RECICLADORA DE METAIS NOROESTE LTDA</t>
  </si>
  <si>
    <t>RECK E DUTRA LTDA</t>
  </si>
  <si>
    <t>REDE FURNAS COM DE COMBUST LTDA</t>
  </si>
  <si>
    <t>REDE FURNAS COM DE COMBUSTIVEIS</t>
  </si>
  <si>
    <t>REDE PREMIER DERIV DE PETROLEO LTDA</t>
  </si>
  <si>
    <t>REDITUS EMPREEND IMOB LTDA</t>
  </si>
  <si>
    <t>REFER COMERCIO DE FERRAGENS LTDA</t>
  </si>
  <si>
    <t>REFRAMA REFRATARIOS MACCARI LTDA</t>
  </si>
  <si>
    <t>REGNER METALURGICA LTDA</t>
  </si>
  <si>
    <t>REIS &amp; BITENCOURT HOLDING LTDA</t>
  </si>
  <si>
    <t>REIS COMERCIO DE FERRO E ACO EIRELI</t>
  </si>
  <si>
    <t>REMAPRI IND DE CAVACOS DE MADEIRA</t>
  </si>
  <si>
    <t>REMATUR RECUP DE MAQ TURVENSE LTDA</t>
  </si>
  <si>
    <t>REMTAFER PROD SIDERURGICOS LTDA</t>
  </si>
  <si>
    <t>RENAN BARONIO</t>
  </si>
  <si>
    <t>RENATO HUMBERTO PORAZZI</t>
  </si>
  <si>
    <t>RENATO MORAES DAS CHAGAS</t>
  </si>
  <si>
    <t>RENATO WELLER</t>
  </si>
  <si>
    <t>RENE JOAO CAMINI</t>
  </si>
  <si>
    <t>RESEMINI COM MAT CONSTRUCAO LTDA ME</t>
  </si>
  <si>
    <t>RESERVA DA PEDRA FCVCP INC SPE LTDA</t>
  </si>
  <si>
    <t>RESFRI AR CLIMATIZADORES E EQUIP LT</t>
  </si>
  <si>
    <t>RESIDENCIAL TORRE SANTORINI SPE LTD</t>
  </si>
  <si>
    <t>RGM PRE MOLDADOS EIRELI</t>
  </si>
  <si>
    <t>RHOFERACO COM DE FERRO E ACO LTDA</t>
  </si>
  <si>
    <t>RICARDO CASTELLAR DE FARIA</t>
  </si>
  <si>
    <t>RICARDO PIASECKI PERINE</t>
  </si>
  <si>
    <t>RICARDO SCHNEIDER MOVEIS</t>
  </si>
  <si>
    <t>RICARDO SEMIR DE FRANCESCHI</t>
  </si>
  <si>
    <t>RICIERI LUIS HILGERT EIRELI</t>
  </si>
  <si>
    <t>RIO BRANCO ALIMENTOS S/A</t>
  </si>
  <si>
    <t>RISSATO &amp; BIANCHINI LTDA</t>
  </si>
  <si>
    <t>RITA DAL POCOL ROSSI</t>
  </si>
  <si>
    <t>RIVIAN METAL COMERCIAL LTDA</t>
  </si>
  <si>
    <t>RIZOMA AGRICULTURA REGENERATIVA SA</t>
  </si>
  <si>
    <t>RIZON IND DE MAQUINAS LTDA EPP</t>
  </si>
  <si>
    <t>RIZZOTTO &amp; CIA LTDA</t>
  </si>
  <si>
    <t>RM ARTIGOS FUNERARIOS LTDA</t>
  </si>
  <si>
    <t>ROAL INDUSTRIA METALURGICA LTDA</t>
  </si>
  <si>
    <t>ROBECK &amp; ROBECK LTDA ME</t>
  </si>
  <si>
    <t>ROBERTO ARCARI</t>
  </si>
  <si>
    <t>ROBERTO GUADALUPE LEITE SEIXAS</t>
  </si>
  <si>
    <t>ROBUSTEC IND E COM LTDA</t>
  </si>
  <si>
    <t>ROCHA &amp; FILHOS LTDA</t>
  </si>
  <si>
    <t>RODOARA SERVICOS EM CARRETAS LTDA</t>
  </si>
  <si>
    <t>RODOCLIM IMPL ROD LTDA</t>
  </si>
  <si>
    <t>RODOIL DIST DE COMBUSTIVEIS S.A.</t>
  </si>
  <si>
    <t>RODOMOURA FREIOS IND DE IMPL RODOV</t>
  </si>
  <si>
    <t>RODOMUNK IND COM E REF DE  MAQ LTDA</t>
  </si>
  <si>
    <t>RODORIB TECNOLOGIA RODOVIARIA LTDA</t>
  </si>
  <si>
    <t>RODOSYSTEM IMPL ROD EIRELI</t>
  </si>
  <si>
    <t>RODOTECNICA IND IMPL ROD EIRELI</t>
  </si>
  <si>
    <t>RODOVIAS INTEGRADAS DO PARANA S/A</t>
  </si>
  <si>
    <t>RODRIGO SCHWAAB ZUCATTI</t>
  </si>
  <si>
    <t>ROGIRO ACEROS S.A.</t>
  </si>
  <si>
    <t>ROGLECEL METALURGICA LTDA</t>
  </si>
  <si>
    <t>ROJANE BAUER GRAMMS</t>
  </si>
  <si>
    <t>ROMAGNOLE PRODUTOS ELETRICOS S/A</t>
  </si>
  <si>
    <t>ROMEVA TUBOS</t>
  </si>
  <si>
    <t>RONALDO BATISTA PANIZZON</t>
  </si>
  <si>
    <t>RONALDO MAZZUCCO</t>
  </si>
  <si>
    <t>RONALDO PEREIRA KOCH</t>
  </si>
  <si>
    <t>RONI EDSON KUSSLER</t>
  </si>
  <si>
    <t>RONIE CHESTER MESTRINER ZANELATTO</t>
  </si>
  <si>
    <t>ROQUE LUIZ BENVENUTTI</t>
  </si>
  <si>
    <t>ROQUE QUAGLIATO</t>
  </si>
  <si>
    <t>ROSALI ALVES CORDEIRO - ME</t>
  </si>
  <si>
    <t>ROSELENE BOFF</t>
  </si>
  <si>
    <t>ROSES HNOS SRL</t>
  </si>
  <si>
    <t>ROSSE &amp; ROSSE LTDA</t>
  </si>
  <si>
    <t>ROSTIROLLA METALURGICA LTDA</t>
  </si>
  <si>
    <t>ROTASILOS DO BRASIL IND E COM DE</t>
  </si>
  <si>
    <t>ROTESMA IND DE PRE-FABRICADOS DE</t>
  </si>
  <si>
    <t>ROTOLINE EQUIP INDUSTRIAIS LTDA</t>
  </si>
  <si>
    <t>ROUTE BIKE LTDA - ME</t>
  </si>
  <si>
    <t>ROVALI IND DE AUTO PECAS LTDA</t>
  </si>
  <si>
    <t>RR COM E RECICLAG DE VIDROS EIRELI</t>
  </si>
  <si>
    <t>RS CONSULT ADM E PARTICIP EIRELI</t>
  </si>
  <si>
    <t>RST IND E COM DE EQUIPAGROIND LTDA</t>
  </si>
  <si>
    <t>RUBIA FABIANA DALLABRIDA HERRMANN</t>
  </si>
  <si>
    <t>RUDIMAR COMERLATO</t>
  </si>
  <si>
    <t>RUMO ENGENHARIA LTDA</t>
  </si>
  <si>
    <t>RURALTEC COM E REPR LTDA</t>
  </si>
  <si>
    <t>RV INDUSTRIA METALURGICA LTDA</t>
  </si>
  <si>
    <t>S H ESTRUTURAS METALICAS LTDA</t>
  </si>
  <si>
    <t>S J TEODORO</t>
  </si>
  <si>
    <t>S M K IND COM REPR LTDA</t>
  </si>
  <si>
    <t>SABMAQ IMPLEMENTOS AGRICOLAS LTDA</t>
  </si>
  <si>
    <t>SADI PICCOLI</t>
  </si>
  <si>
    <t>SALVIO GUIMARAES DA CRUZ</t>
  </si>
  <si>
    <t>SAMIL IND COM E SERV INDUSTRIAIS</t>
  </si>
  <si>
    <t>SAMUEL HENRIQUE ROMBALDI</t>
  </si>
  <si>
    <t>SAMUEL PATEL SARTORI</t>
  </si>
  <si>
    <t>SAN MARINO ONIBUS LTDA</t>
  </si>
  <si>
    <t>SANTA IZABEL AGRO INDUSTRIA LTDA</t>
  </si>
  <si>
    <t>SANTA MARIA PECAS EIRELI ME</t>
  </si>
  <si>
    <t>SANTINI &amp; FILHOS LTDA EPP</t>
  </si>
  <si>
    <t>SAO JOAO ALIMENTOS LTDA</t>
  </si>
  <si>
    <t>SAO JOSE COM DE MAT HIDR FERRAGENS</t>
  </si>
  <si>
    <t>SAULO PIGNATON</t>
  </si>
  <si>
    <t>SAUR EQUIPAMENTOS SA</t>
  </si>
  <si>
    <t>SCHMIDT IND DE ESTRUTURAS MET LTDA</t>
  </si>
  <si>
    <t>SCHMIDT SOLUC EM ARMAZENAGEM LTDA</t>
  </si>
  <si>
    <t>SCHOOL CENTER IND DE MOV ESCOLARES</t>
  </si>
  <si>
    <t>SCHORR &amp; CIA LTDA ME</t>
  </si>
  <si>
    <t>SCREENY DESIGN COM E DECOR LTDA</t>
  </si>
  <si>
    <t>SCREW IND METALMECANICA EIRELI</t>
  </si>
  <si>
    <t>SE DISTRIBUIDORA DE ALIMENTOS LTDA</t>
  </si>
  <si>
    <t>SEBASTIAO BARROS</t>
  </si>
  <si>
    <t>SECCIONAL BRASIL S/A</t>
  </si>
  <si>
    <t>SEDNEY DOS SANTOS FREITA</t>
  </si>
  <si>
    <t>SEMENTES TORMENTA LTDA</t>
  </si>
  <si>
    <t>SENFOR SA</t>
  </si>
  <si>
    <t>SEPO DISTRIBUIDORA EIRELI</t>
  </si>
  <si>
    <t>SERGIO DOMINGOS DETONI</t>
  </si>
  <si>
    <t>SERGIO GUSTAVO VACAFLORES OSSIO</t>
  </si>
  <si>
    <t>SERGIO KUNIO KADOWAKI</t>
  </si>
  <si>
    <t>SERGOMEL MECANICA INDUSTRIAL LTDA</t>
  </si>
  <si>
    <t>SERPECAS ALAGOAS IMPL RODOV LTDA</t>
  </si>
  <si>
    <t>SERRALH BENTO GONCALVES LTDA</t>
  </si>
  <si>
    <t>SERRALH PARTENON LTDA</t>
  </si>
  <si>
    <t>SERRALHERIA CESAR LTDA</t>
  </si>
  <si>
    <t>SERRALHERIA COLONIAL LTDA</t>
  </si>
  <si>
    <t>SERRALHERIA DO DODI LTDA</t>
  </si>
  <si>
    <t>SERRALHERIA E EST MET SIDI LTDA</t>
  </si>
  <si>
    <t>SERRALHERIA SANTA CATARINA LTDA</t>
  </si>
  <si>
    <t>SERRARIA HS LTDA</t>
  </si>
  <si>
    <t>SERTUBOS COM IMP E EXP LTDA</t>
  </si>
  <si>
    <t>SERVITECH SERV TEC E REPR LTDA</t>
  </si>
  <si>
    <t>SERVPLAS IND E COM DE MOV E COMP LT</t>
  </si>
  <si>
    <t>SEVERINO FONSECA DA CRUZ</t>
  </si>
  <si>
    <t>SGLASS IND E COM DE MAQUINAS LTDA</t>
  </si>
  <si>
    <t>SH IND DE METALURGIA E SERV LTDA</t>
  </si>
  <si>
    <t>SHINTATI &amp; CAMPOS METALURG LTDA</t>
  </si>
  <si>
    <t>SICHEL IND E COM LTDA ME</t>
  </si>
  <si>
    <t>SIDEMAR BONKOSKI</t>
  </si>
  <si>
    <t>SIDENIR DE JESUS GAVIN</t>
  </si>
  <si>
    <t>SIDERBRAS COM IMP E EXP LTDA</t>
  </si>
  <si>
    <t>SIDERSUL PROD SIDERURGICOS LTDA</t>
  </si>
  <si>
    <t>SIDNEI COMERLATTO</t>
  </si>
  <si>
    <t>SIDONIA SOSTMEYE</t>
  </si>
  <si>
    <t>SIGNASUL ENGENH DE SINALIZACAO LTDA</t>
  </si>
  <si>
    <t>SIGNORI ENGENH E CONSTR LTDA</t>
  </si>
  <si>
    <t>SILENCIADORES GUARANY FABRIC E COM</t>
  </si>
  <si>
    <t>SILERIO SCHAFER</t>
  </si>
  <si>
    <t>SILMAR SCHWEDE</t>
  </si>
  <si>
    <t>SILOMAX IND E COM LTDA</t>
  </si>
  <si>
    <t>SILOS ROMA IND E COM DE EQUIP AGRIC</t>
  </si>
  <si>
    <t>SILVANA TIECHER PEREIRA DOBLER</t>
  </si>
  <si>
    <t>SIM AGROINDUSTRIAL LTDA</t>
  </si>
  <si>
    <t>SINATEC SERV DE SINALIZACAO LTDA</t>
  </si>
  <si>
    <t>SINCO ENGENHARIA COM IMP E EXP LTDA</t>
  </si>
  <si>
    <t>SINOSCAR SA</t>
  </si>
  <si>
    <t>SINVAL COM DE PORTAS E JANELAS LTDA</t>
  </si>
  <si>
    <t>SIRIUS ADM E PARTICIP LTDA</t>
  </si>
  <si>
    <t>SISTEMILK FERRAGENS E EQUIP LTDA</t>
  </si>
  <si>
    <t>SKALA METALURGICA LTDA</t>
  </si>
  <si>
    <t>SKALA VIDROS E SERRALHERIA LTDA</t>
  </si>
  <si>
    <t>SKP IND E COM DE AUTO PECAS LTDA</t>
  </si>
  <si>
    <t>SLC MAQUINAS LTDA</t>
  </si>
  <si>
    <t>SMA METALURGICA LTDA</t>
  </si>
  <si>
    <t>SMETALURGICA IND DE BICICLETAS EIRE</t>
  </si>
  <si>
    <t>SOARES INDUSTRIAL LTDA EPP</t>
  </si>
  <si>
    <t>SOLANO TOME VIVAN</t>
  </si>
  <si>
    <t>SOLDAX IND E COM DE MOVEIS E EST</t>
  </si>
  <si>
    <t>SOLERGY COM DE EQUIPAMEN SOLARES LT</t>
  </si>
  <si>
    <t>SOLIDEZ CONSTRUCOES LTDA</t>
  </si>
  <si>
    <t>SOLLUS MECANIZACAO AGRICOLA LTDA</t>
  </si>
  <si>
    <t>SOLTEC BRASIL IND COM E SERV DE</t>
  </si>
  <si>
    <t>SOLTEC BRASIL IND COM E SERVICOS DE</t>
  </si>
  <si>
    <t>SOLUMONT IND E COM AGRIC LTDA</t>
  </si>
  <si>
    <t>SOMAVE AGROINDUSTRIAL LTDA</t>
  </si>
  <si>
    <t>SOORO RENNER NUTRICAO S/A</t>
  </si>
  <si>
    <t>SOUZA &amp; SECCO LTDA</t>
  </si>
  <si>
    <t>SP ACOS - COM DE TUBOS DE ACO E</t>
  </si>
  <si>
    <t>SPORTMANIA IND E COM DE APARELHOS</t>
  </si>
  <si>
    <t>SS AGRO IMPL RODOV LTDA</t>
  </si>
  <si>
    <t>STAACK INCORPORACOES LTDA</t>
  </si>
  <si>
    <t>STAPELBROEK &amp; CIA LTDA</t>
  </si>
  <si>
    <t>STARA S A IND DE IMPL AGRICOLAS</t>
  </si>
  <si>
    <t>STARA S/A IND DE IMPL AGRICOLAS</t>
  </si>
  <si>
    <t>START RACING MOTO PECAS LTDA</t>
  </si>
  <si>
    <t>STATUS BIKE IND COM BICICLETAS LTDA</t>
  </si>
  <si>
    <t>STEEL LOPES COM DE METAIS EIRELI</t>
  </si>
  <si>
    <t>STEELROOL IND METALURGICA LTDA</t>
  </si>
  <si>
    <t>STINORLAND BRASIL LTDA EPP</t>
  </si>
  <si>
    <t>STIVAL ARTESANATOS LTDA ME</t>
  </si>
  <si>
    <t>STOCKMANS IND MECANICA EIRELI</t>
  </si>
  <si>
    <t>SUGATEC INDL DE EQUIP LTDA</t>
  </si>
  <si>
    <t>SUL CORTE IMPRA DE FERRAMENTAS LTDA</t>
  </si>
  <si>
    <t>SUL FER COMERCIO DE FERROS LTDA</t>
  </si>
  <si>
    <t>SULFERRACO COML DE FERRO E ACO LTDA</t>
  </si>
  <si>
    <t>SULFERRACO MARINGA PROD SIDERURG LT</t>
  </si>
  <si>
    <t>SULMOBILE IND MOVELEIRA LTDA</t>
  </si>
  <si>
    <t>SULPEL TRANSPORTE COM DE APARAS DO</t>
  </si>
  <si>
    <t>SULPOL IND METALURGICA LTDA</t>
  </si>
  <si>
    <t>SUMIG ROBOTICA E AUTOMACAO LTDA</t>
  </si>
  <si>
    <t>SUMIG SOLUCOES PARA SOLDA E CORTE</t>
  </si>
  <si>
    <t>SUPERACO IND E COM LTDA</t>
  </si>
  <si>
    <t>SUPERACO INDUSTRIA E COMERCIO LTDA</t>
  </si>
  <si>
    <t>SUPERFER COML DE FERRAGENS LTDA</t>
  </si>
  <si>
    <t>SUPERMERCADO SILVEIRA LTDA</t>
  </si>
  <si>
    <t>SUPERMERCADO UESSLER LTDA</t>
  </si>
  <si>
    <t>SUPLAY COMPON E SUPRIMENTO LTDA</t>
  </si>
  <si>
    <t>SUPRI LOGISTICA E SUPRIMENTOS LTDA</t>
  </si>
  <si>
    <t>T2 LOGISTICA LTDA</t>
  </si>
  <si>
    <t>TACLA INVESTIMENTOS DE BENS LTDA</t>
  </si>
  <si>
    <t>TADEU COPETTI</t>
  </si>
  <si>
    <t>TADEU LUIS PIENIZ CADORE</t>
  </si>
  <si>
    <t>TANIA M BOHNERT MANN &amp; CIA LTDA</t>
  </si>
  <si>
    <t>TASSIANA MAINARDI GOETTEMS</t>
  </si>
  <si>
    <t>TATANKA SKA COM E SERV DE MONTAG LT</t>
  </si>
  <si>
    <t>TATIANE PEREIRA TEIXEIRA 9391965490</t>
  </si>
  <si>
    <t>TAUAN RIBEIRO MACIEL</t>
  </si>
  <si>
    <t>TEC LASER - TECNOLOGIA CNC EM PRO</t>
  </si>
  <si>
    <t>TECH PRE-MOLDADOS EIRELI</t>
  </si>
  <si>
    <t>TECHNOMAST IND METALURG LTDA</t>
  </si>
  <si>
    <t>TECNICA CONSTRUCOES LTDA</t>
  </si>
  <si>
    <t>TECNITUBO IND DE MOVEIS LTDA</t>
  </si>
  <si>
    <t>TECNOCONST CONSTRUCOES LTDA ME</t>
  </si>
  <si>
    <t>TECNOCURVA IND DE PECAS AUTOMOB LT</t>
  </si>
  <si>
    <t>TECNODISEL VILHENA LTDA</t>
  </si>
  <si>
    <t>TECNOESSE INDUSTRIA E COMERCIO LTDA</t>
  </si>
  <si>
    <t>TECNOFUERTES MAQ IND LTDA</t>
  </si>
  <si>
    <t>TECNOLIMP SERVICOS LTDA</t>
  </si>
  <si>
    <t>TECNOVA PREPARACAO DE MAT LTDA</t>
  </si>
  <si>
    <t>TECNOVAL COMERCIAL LTDA</t>
  </si>
  <si>
    <t>TECNOVAPOR COM E SERVICOS LTDA</t>
  </si>
  <si>
    <t>TECPONFER IND DE MAQUINAS LTDA</t>
  </si>
  <si>
    <t>TEIXEIRA COML COM DE MAT DE  CONSTR</t>
  </si>
  <si>
    <t>TEIXEIRA IMPL ROD LTDA</t>
  </si>
  <si>
    <t>TELAS CAXIENSE IND E COM LTDA</t>
  </si>
  <si>
    <t>TELASUL INDUSTRIA DE MOVEIS SA</t>
  </si>
  <si>
    <t>TELHAS CAPITAL IND E COM DE TELHAS</t>
  </si>
  <si>
    <t>TELHASUL IND TELHAS METAL EIRELI</t>
  </si>
  <si>
    <t>TEOREMA SERVICO DE ENG CONSTR</t>
  </si>
  <si>
    <t>TERESINHA C DA SILVA</t>
  </si>
  <si>
    <t>TEREZINHA DE JESUS LISBOA BOEIRA</t>
  </si>
  <si>
    <t>TERMO CAMPO MAQ E SERV PARA AVICUL-</t>
  </si>
  <si>
    <t>TERRAS ALTAS AGROPECUARIA LTDA</t>
  </si>
  <si>
    <t>TETAMANTI COM DE FER E METAIS LTDA</t>
  </si>
  <si>
    <t>THOMAZ IND E COM DE CADEIRAS LTDA</t>
  </si>
  <si>
    <t>THOR COMPONENTES AUTOMOT LTDA</t>
  </si>
  <si>
    <t>TIAGO JOSE FIORIN MEGGIOLARO</t>
  </si>
  <si>
    <t>TIAGO MATIEL DOS SANTOS</t>
  </si>
  <si>
    <t>TIAGO MOISES ELWANGER</t>
  </si>
  <si>
    <t>TIBRE IND METALURGICA LTDA - FILIAL</t>
  </si>
  <si>
    <t>TIMBER SA</t>
  </si>
  <si>
    <t>TISCOR S.A.</t>
  </si>
  <si>
    <t>TLGA TRANSPORTES E LOGISTICA GRALHA</t>
  </si>
  <si>
    <t>TLT MONTAGENS INDUSTRIAIS LTDA</t>
  </si>
  <si>
    <t>TOBIAS BIGOLIN SCHAFER</t>
  </si>
  <si>
    <t>TOK PLASTI METAL LTDA</t>
  </si>
  <si>
    <t>TONELI - IND E COM DE TRAVAS LTDA</t>
  </si>
  <si>
    <t>TONET ESTRUT DE CONCRETO EIRELI</t>
  </si>
  <si>
    <t>TOPFLEX COMERCIO E SERVICOS LTDA</t>
  </si>
  <si>
    <t>TORRES METAIS EIRELI</t>
  </si>
  <si>
    <t>TORRES SERRALH ESTR E ESQ MET EIREL</t>
  </si>
  <si>
    <t>TOTAL TUBOS DE ACO LTDA</t>
  </si>
  <si>
    <t>TOTTAL SINALIZACAO LTDA - ME</t>
  </si>
  <si>
    <t>TRACK COM DE ACESSORIOS AUTOM LTD</t>
  </si>
  <si>
    <t>TRAMONTINA MULTI S/A</t>
  </si>
  <si>
    <t>TRAMONTINA SUL SA</t>
  </si>
  <si>
    <t>TRANSGIACOMOSSI MIN E TRANSP EIRELI</t>
  </si>
  <si>
    <t>TRANSPORTADORA HAMMES LTDA</t>
  </si>
  <si>
    <t>TRANSPORTADORA KALINCA EIRELI</t>
  </si>
  <si>
    <t>TRANSPORTES ACEGUA LTDA</t>
  </si>
  <si>
    <t>TRANSPORTES MOBILINE EIRELI</t>
  </si>
  <si>
    <t>TRE PARONI IND DE MOV LTDA</t>
  </si>
  <si>
    <t>TREMOCOLDI &amp; CIA LTDA</t>
  </si>
  <si>
    <t>TREVISAN EQUIP AGRO-INDUSTRIAIS LTD</t>
  </si>
  <si>
    <t>TREZACO COM DE TUBOS E ACO LTDA ME</t>
  </si>
  <si>
    <t>TRITON MAQ AGRIC LTDA</t>
  </si>
  <si>
    <t>TROMINK INDUSTRIAL LTDA</t>
  </si>
  <si>
    <t>TROPICAL ESTUFAS AGRICOLAS LTDA</t>
  </si>
  <si>
    <t>TRW IND E COM LTDA</t>
  </si>
  <si>
    <t>TS INDUSTRIA PLASTICA LTDA - EPP</t>
  </si>
  <si>
    <t>TUBACERO S.A.</t>
  </si>
  <si>
    <t>TUBESTEEL COM DE TUBOS E ACOS LTDA</t>
  </si>
  <si>
    <t>TUBOACO PROD SIDERURGICOS LTDA</t>
  </si>
  <si>
    <t>TUBONASA ACOS LTDA</t>
  </si>
  <si>
    <t>TUBOPAR COMERCIO DE FERROS LTDA</t>
  </si>
  <si>
    <t>TUBOPARTS IND COM LTDA</t>
  </si>
  <si>
    <t>TUBOPECAS IND E COMERCIO S/A</t>
  </si>
  <si>
    <t>TUBOS IPIRANGA IND E COM LTDA</t>
  </si>
  <si>
    <t>TUBOS IPIRANGA INDUSTRIA E COM LTDA</t>
  </si>
  <si>
    <t>TUBOS OLIVEIRA LTDA</t>
  </si>
  <si>
    <t>TUFER COMERCIO DE FERROS LTDA</t>
  </si>
  <si>
    <t>TUMAR IND DE MOVEIS LTDA</t>
  </si>
  <si>
    <t>TUTTI BABY IND COM ART INF LTDA</t>
  </si>
  <si>
    <t>TWA PARTICIPACOES EIRELI</t>
  </si>
  <si>
    <t>TYFER LTDA</t>
  </si>
  <si>
    <t>UBR SOLUCOES METALICAS LTDA ME</t>
  </si>
  <si>
    <t>UNILOGISTICA BUSINESS PARK S.A</t>
  </si>
  <si>
    <t>UNIMOVEL IND DE MOVEIS LTDA</t>
  </si>
  <si>
    <t>UNITEC IND COM REPR LTDA</t>
  </si>
  <si>
    <t>UNIVERSAL COM DE VEIC MULTIM LTDA</t>
  </si>
  <si>
    <t>UNIVERSAL FERRO E ACO LTDA</t>
  </si>
  <si>
    <t>USIART IND MEC DE USINAGEM LTDA</t>
  </si>
  <si>
    <t>USICAMP IMPL PARA TRANSP LTDA</t>
  </si>
  <si>
    <t>USICAMPO INDUSTRIA METALURG LTDA ME</t>
  </si>
  <si>
    <t>USICROM METALURGICA LTDA</t>
  </si>
  <si>
    <t>USILUX USINAGEM DE PECAS LTDA</t>
  </si>
  <si>
    <t>USIMETAL USINAGEM E METALURG EIRELI</t>
  </si>
  <si>
    <t>USINA DE ENERGIA FOTOV ARAXA S.A</t>
  </si>
  <si>
    <t>USINA DE ENERGIA FOTOVOLT PEDRANO</t>
  </si>
  <si>
    <t>USINGA IMPLEMENTOS LTDA EPP</t>
  </si>
  <si>
    <t>UTIMIL INDUSTRIAL LTDA</t>
  </si>
  <si>
    <t>V E F DE BRITO &amp; CIA LTDA</t>
  </si>
  <si>
    <t>V S IND E COMERCIO DE METAIS LTDA</t>
  </si>
  <si>
    <t>VACHILESKI EMPREENDIMENTOS LTDA</t>
  </si>
  <si>
    <t>VALDEMAR STEINKE</t>
  </si>
  <si>
    <t>VALDIR BONATTO</t>
  </si>
  <si>
    <t>VALDIR RODRIGUES MOVEIS</t>
  </si>
  <si>
    <t>VALDIR TELAM</t>
  </si>
  <si>
    <t>VALMIR ALBERTO EWERLING</t>
  </si>
  <si>
    <t>VALMIR DA SILVA FAGUNDES</t>
  </si>
  <si>
    <t>VALMIR JOSE DE QUADROS</t>
  </si>
  <si>
    <t>VALMOR DA SILVA FIGUEIRO</t>
  </si>
  <si>
    <t>VANDERLEI JOSE ANDRIOLLO</t>
  </si>
  <si>
    <t>VANDERLEI TAMIOZZO</t>
  </si>
  <si>
    <t>VANDERLEI THADEU BUZETTO</t>
  </si>
  <si>
    <t>VANDERLEI VIEIRA RAMOS</t>
  </si>
  <si>
    <t>VANDERLEY MIRANDA DO CARMO</t>
  </si>
  <si>
    <t>VANESSA GIRELLI PIGATTO</t>
  </si>
  <si>
    <t>VANTEC INDUSTRIA DE MAQUINAS LTDA</t>
  </si>
  <si>
    <t>VANTUIR RASIA SANDRI</t>
  </si>
  <si>
    <t>VAPORTECH COM E SERVICOS EIRELI</t>
  </si>
  <si>
    <t>VARAIS BANKERSEN LTDA</t>
  </si>
  <si>
    <t>VEKA DO BRASIL LTDA</t>
  </si>
  <si>
    <t>VELHO OESTE COM DE FERRO E ACO LTDA</t>
  </si>
  <si>
    <t>VENETO MAQ E EQUIPAMENTOS LTDA</t>
  </si>
  <si>
    <t>VERA LUCIA PINTO NETTO</t>
  </si>
  <si>
    <t>VERA LUCIA TIECHER PEREIRA</t>
  </si>
  <si>
    <t>VERLIT GARDEN S.A.</t>
  </si>
  <si>
    <t>VERTICE COMUNIC VISUAL E SINALIZ LT</t>
  </si>
  <si>
    <t>VHL INSUMOS CEREAIS LTDA</t>
  </si>
  <si>
    <t>VIAMAO 01 EMPREEND IMOB LTDA</t>
  </si>
  <si>
    <t>VIANTUBOS IND E COM DE MOVEIS LTDA</t>
  </si>
  <si>
    <t>VIBAZ IND METALURG E INJECAO PLAST</t>
  </si>
  <si>
    <t>VICENTE FELICIANO DOS SANTOS</t>
  </si>
  <si>
    <t>VIDROTECH IND DE VIDROS EIRELI</t>
  </si>
  <si>
    <t>VIECELLI MOVEIS LTDA</t>
  </si>
  <si>
    <t>VILA DAS ORQUIDEAS</t>
  </si>
  <si>
    <t>VILACOS IMPL RODOV E AGRIC EIRELI</t>
  </si>
  <si>
    <t>VILHETOY AUTO CENTER EIRELI</t>
  </si>
  <si>
    <t>VILMAR DALLAROSA</t>
  </si>
  <si>
    <t>VILMAR JOSE OCHS</t>
  </si>
  <si>
    <t>VILMAR PACHECO DA SILVA &amp; FILHO LTD</t>
  </si>
  <si>
    <t>VILSON ALBERTO BESTER</t>
  </si>
  <si>
    <t>VILSON ALVES DE FARIAS ME</t>
  </si>
  <si>
    <t>VILSON CARRA</t>
  </si>
  <si>
    <t>VILSON DE MOURA MARQUES CONSTR LTD</t>
  </si>
  <si>
    <t>VILSON JOSE SIMON</t>
  </si>
  <si>
    <t>VINCI LOGIST FUNDO DE INV IMOB -FII</t>
  </si>
  <si>
    <t>VINICIUS HANSEN</t>
  </si>
  <si>
    <t>VINICOLA FAMIGLIA COMINATO LTDA</t>
  </si>
  <si>
    <t>VINICOLA LIDIO CARRARO LTDA</t>
  </si>
  <si>
    <t>VINICOLA SALTON S.A</t>
  </si>
  <si>
    <t>VINICOLA SULMONTE LTDA</t>
  </si>
  <si>
    <t>VIPRADO IND COM VIDROS LTDA</t>
  </si>
  <si>
    <t>VISAO INDUSTRIAL E COMERCIAL LTDA</t>
  </si>
  <si>
    <t>VISOACO PRODUTOS SIDERURGICOS LTDA</t>
  </si>
  <si>
    <t>VISOEST COMUNICACAO VISUAL LTDA</t>
  </si>
  <si>
    <t>VISOLI CONSTRUTORA LTDA</t>
  </si>
  <si>
    <t>VISOLI PRE-MOLDADOS LTDA</t>
  </si>
  <si>
    <t>VITACCE CONDOMINIO CLUBE - CAMBE</t>
  </si>
  <si>
    <t>VITAL PRESTADORA DE SERV ADM LTDA</t>
  </si>
  <si>
    <t>VIVAN &amp; ALMEIDA LTDA</t>
  </si>
  <si>
    <t>VIVIANE SIMON OBREGON</t>
  </si>
  <si>
    <t>VMC PARTICIPACOES E INVEST LTDA</t>
  </si>
  <si>
    <t>VOESTALPINE MEINCOL S A</t>
  </si>
  <si>
    <t>VOESTALPINE ROLL FORMING CORP</t>
  </si>
  <si>
    <t>VOLARE VEICULOS LTDA</t>
  </si>
  <si>
    <t>VOLMAR ROQUE BULEGON</t>
  </si>
  <si>
    <t>VOLMIR BARTELLE</t>
  </si>
  <si>
    <t>VOLNEI ROBERTO BORTOLUZZI</t>
  </si>
  <si>
    <t>VRP SERVI IND E COM LTDA</t>
  </si>
  <si>
    <t>VTK TUBOS E CONEXOES EM ACO LTDA</t>
  </si>
  <si>
    <t>W J TUBOS IND DE MOVEIS LTDA - ME</t>
  </si>
  <si>
    <t>W KATSUMI OGAWA &amp; CIA LTDA</t>
  </si>
  <si>
    <t>W M ENGENHARIA REFORMAS E MANUT LT</t>
  </si>
  <si>
    <t>W2A IND METALURGICA LTDA</t>
  </si>
  <si>
    <t>WALTER DELFINO MUNIZ</t>
  </si>
  <si>
    <t>WEG EQUIPAMENTOS ELETRICOS S/A</t>
  </si>
  <si>
    <t>WEILLER CONSTRUCAO CIVIL LTDA</t>
  </si>
  <si>
    <t>WILSON MAXIMINO MANICA NETO</t>
  </si>
  <si>
    <t>WILSON PELENTIR</t>
  </si>
  <si>
    <t>WINNIPEG COM DE FERRAGENS LTDA</t>
  </si>
  <si>
    <t>WINSTON S.A.</t>
  </si>
  <si>
    <t>WK DISTRIBUIDORA DE MAT ELETR FERRO</t>
  </si>
  <si>
    <t>WM IND DE IMPL ROD EIRELI - ME</t>
  </si>
  <si>
    <t>WP MATERIAIS DE CONSTRUCAO LTDA</t>
  </si>
  <si>
    <t>WRW ENGENHARIA DE METAIS EIRELI</t>
  </si>
  <si>
    <t>XP EMPREENDIMENTOS E LOCACOES LTDA</t>
  </si>
  <si>
    <t>ZAMACO COM DE FERROS LTDA</t>
  </si>
  <si>
    <t>ZANUTO &amp; ZANUTO LTDA</t>
  </si>
  <si>
    <t>ZAURO ELIAS DE ARREAL</t>
  </si>
  <si>
    <t>ZECARLOS LIBARDONI</t>
  </si>
  <si>
    <t>ZENO LAURO HECK</t>
  </si>
  <si>
    <t>ZILDOMAR MENEZES &amp; CIA LTDA</t>
  </si>
  <si>
    <t>ZINCA RAPIDO COM DE FERRAGENS LTDA</t>
  </si>
  <si>
    <t>ZORZINCO IND METALURGICA LTDA</t>
  </si>
  <si>
    <t>ZTEC TECNOLOGIA DE METAIS LTDA</t>
  </si>
  <si>
    <t>ZULMIRA ACHITTE CARREIRA &amp; FILHOS</t>
  </si>
  <si>
    <t>ZURLO IMPL RODOVIARIOS LTDA</t>
  </si>
  <si>
    <t>ZUSPER IND DE MAQS INDUSTRIAIS LTDA</t>
  </si>
  <si>
    <t>Cliente</t>
  </si>
  <si>
    <t>Segmento Mercado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</si>
</sst>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0" x14ac:knownFonts="1">
    <font>
      <sz val="10"/>
      <color theme="1"/>
      <name val="Arial"/>
      <family val="2"/>
    </font>
    <font>
      <sz val="10"/>
      <color theme="1"/>
      <name val="Arial"/>
      <family val="2"/>
    </font>
    <font>
      <i/>
      <sz val="11"/>
      <color indexed="8"/>
      <name val="Calibri"/>
      <family val="2"/>
    </font>
    <font>
      <sz val="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
      <sz val="9"/>
      <color indexed="81"/>
      <name val="Segoe UI"/>
      <family val="2"/>
    </font>
    <font>
      <b/>
      <sz val="9"/>
      <color indexed="81"/>
      <name val="Segoe UI"/>
      <family val="2"/>
    </font>
  </fonts>
  <fills count="3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30">
    <border>
      <left/>
      <right/>
      <top/>
      <bottom/>
      <diagonal/>
    </border>
    <border>
      <left style="thin">
        <color indexed="64"/>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
      <left style="thin">
        <color indexed="64"/>
      </left>
      <right style="thin">
        <color indexed="64"/>
      </right>
      <top/>
      <bottom/>
      <diagonal/>
    </border>
  </borders>
  <cellStyleXfs count="29">
    <xf numFmtId="0" fontId="0" fillId="0" borderId="0"/>
    <xf numFmtId="0" fontId="1" fillId="4" borderId="0" applyNumberFormat="0" applyBorder="0" applyAlignment="0" applyProtection="0"/>
    <xf numFmtId="0" fontId="55" fillId="5" borderId="0" applyNumberFormat="0" applyBorder="0" applyAlignment="0" applyProtection="0"/>
    <xf numFmtId="164" fontId="1" fillId="0" borderId="0" applyFont="0" applyFill="0" applyBorder="0" applyAlignment="0" applyProtection="0"/>
    <xf numFmtId="9" fontId="27" fillId="0" borderId="0" applyFont="0" applyFill="0" applyBorder="0" applyAlignment="0" applyProtection="0"/>
    <xf numFmtId="0" fontId="57" fillId="6" borderId="30" applyNumberFormat="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56" fillId="17" borderId="59" applyNumberFormat="0" applyProtection="0">
      <alignment horizontal="center" vertical="center"/>
      <protection locked="0"/>
    </xf>
    <xf numFmtId="49" fontId="56" fillId="7" borderId="59" applyNumberFormat="0">
      <alignment horizontal="center" vertical="center"/>
    </xf>
    <xf numFmtId="0" fontId="56" fillId="33" borderId="59" applyNumberFormat="0" applyProtection="0">
      <alignment horizontal="center" vertical="center"/>
      <protection locked="0"/>
    </xf>
    <xf numFmtId="0" fontId="56" fillId="34" borderId="59">
      <alignment horizontal="center" vertical="center"/>
    </xf>
    <xf numFmtId="0" fontId="56" fillId="35" borderId="59">
      <alignment horizontal="center" vertical="center"/>
      <protection locked="0"/>
    </xf>
    <xf numFmtId="0" fontId="62" fillId="36" borderId="0">
      <alignment horizontal="center" vertical="center"/>
    </xf>
    <xf numFmtId="0" fontId="56" fillId="13" borderId="59">
      <alignment horizontal="center" vertical="center"/>
      <protection locked="0"/>
    </xf>
    <xf numFmtId="0" fontId="58" fillId="37" borderId="60">
      <alignment horizontal="center" vertical="center"/>
    </xf>
    <xf numFmtId="0" fontId="62" fillId="36" borderId="0">
      <alignment horizontal="center" vertical="center"/>
    </xf>
    <xf numFmtId="0" fontId="56" fillId="38" borderId="59">
      <alignment horizontal="center" vertical="center"/>
    </xf>
    <xf numFmtId="0" fontId="58" fillId="20" borderId="60">
      <alignment horizontal="center" vertical="center"/>
    </xf>
    <xf numFmtId="0" fontId="85" fillId="0" borderId="0" applyNumberFormat="0" applyFill="0" applyBorder="0" applyAlignment="0" applyProtection="0"/>
  </cellStyleXfs>
  <cellXfs count="910">
    <xf numFmtId="0" fontId="0" fillId="0" borderId="0" xfId="0"/>
    <xf numFmtId="0" fontId="56" fillId="17" borderId="59" xfId="17" applyProtection="1">
      <alignment horizontal="center" vertical="center"/>
    </xf>
    <xf numFmtId="0" fontId="0" fillId="7" borderId="0" xfId="0" applyFill="1"/>
    <xf numFmtId="0" fontId="29" fillId="9" borderId="31" xfId="0" applyFont="1" applyFill="1" applyBorder="1" applyAlignment="1">
      <alignment horizontal="center" vertical="center" wrapText="1"/>
    </xf>
    <xf numFmtId="0" fontId="0" fillId="10" borderId="31" xfId="0" applyFill="1" applyBorder="1" applyAlignment="1">
      <alignment horizontal="center"/>
    </xf>
    <xf numFmtId="2" fontId="0" fillId="10" borderId="31" xfId="0" applyNumberFormat="1" applyFill="1" applyBorder="1" applyAlignment="1">
      <alignment horizontal="center"/>
    </xf>
    <xf numFmtId="0" fontId="0" fillId="7" borderId="0" xfId="0" applyFill="1" applyBorder="1" applyAlignment="1">
      <alignment horizontal="center"/>
    </xf>
    <xf numFmtId="0" fontId="30" fillId="8" borderId="31" xfId="0" applyFont="1" applyFill="1" applyBorder="1" applyAlignment="1">
      <alignment horizontal="center"/>
    </xf>
    <xf numFmtId="0" fontId="30" fillId="8" borderId="31" xfId="0" applyFont="1" applyFill="1" applyBorder="1"/>
    <xf numFmtId="2" fontId="0" fillId="8" borderId="31" xfId="0" applyNumberFormat="1" applyFont="1" applyFill="1" applyBorder="1" applyAlignment="1">
      <alignment horizontal="center"/>
    </xf>
    <xf numFmtId="168" fontId="0" fillId="10" borderId="31" xfId="0" applyNumberFormat="1" applyFont="1" applyFill="1" applyBorder="1" applyAlignment="1">
      <alignment horizontal="center"/>
    </xf>
    <xf numFmtId="0" fontId="0" fillId="8" borderId="31" xfId="0" applyFont="1" applyFill="1" applyBorder="1" applyAlignment="1">
      <alignment horizontal="center"/>
    </xf>
    <xf numFmtId="0" fontId="0" fillId="10" borderId="31" xfId="0" applyFont="1" applyFill="1" applyBorder="1" applyAlignment="1">
      <alignment horizontal="center"/>
    </xf>
    <xf numFmtId="0" fontId="0" fillId="8" borderId="31" xfId="0" applyFill="1" applyBorder="1" applyAlignment="1">
      <alignment horizontal="center"/>
    </xf>
    <xf numFmtId="2" fontId="0" fillId="10" borderId="31" xfId="0" applyNumberFormat="1" applyFont="1" applyFill="1" applyBorder="1" applyAlignment="1">
      <alignment horizontal="center"/>
    </xf>
    <xf numFmtId="167" fontId="0" fillId="10" borderId="31" xfId="0" applyNumberFormat="1" applyFont="1" applyFill="1" applyBorder="1" applyAlignment="1">
      <alignment horizontal="center"/>
    </xf>
    <xf numFmtId="0" fontId="0" fillId="7" borderId="31" xfId="0" applyFill="1" applyBorder="1"/>
    <xf numFmtId="0" fontId="0" fillId="7" borderId="31" xfId="0" applyFill="1" applyBorder="1" applyAlignment="1">
      <alignment horizontal="center"/>
    </xf>
    <xf numFmtId="1" fontId="0" fillId="7" borderId="31" xfId="0" applyNumberFormat="1" applyFill="1" applyBorder="1" applyAlignment="1">
      <alignment horizontal="center"/>
    </xf>
    <xf numFmtId="0" fontId="0" fillId="7" borderId="32" xfId="0" applyFill="1" applyBorder="1" applyAlignment="1"/>
    <xf numFmtId="0" fontId="0" fillId="7" borderId="32" xfId="0" applyFill="1" applyBorder="1" applyAlignment="1">
      <alignment horizontal="center"/>
    </xf>
    <xf numFmtId="0" fontId="0" fillId="7" borderId="0" xfId="0" applyFill="1" applyBorder="1" applyAlignment="1"/>
    <xf numFmtId="2" fontId="0" fillId="7" borderId="31" xfId="0" applyNumberFormat="1" applyFill="1" applyBorder="1" applyAlignment="1">
      <alignment horizontal="center"/>
    </xf>
    <xf numFmtId="0" fontId="0" fillId="7" borderId="33" xfId="0" applyFill="1" applyBorder="1" applyAlignment="1"/>
    <xf numFmtId="1" fontId="0" fillId="8" borderId="31" xfId="0" applyNumberFormat="1" applyFont="1" applyFill="1" applyBorder="1" applyAlignment="1">
      <alignment horizontal="center"/>
    </xf>
    <xf numFmtId="0" fontId="0" fillId="7" borderId="36" xfId="0" applyFill="1" applyBorder="1" applyAlignment="1"/>
    <xf numFmtId="167" fontId="0" fillId="8" borderId="31" xfId="0" applyNumberFormat="1" applyFill="1" applyBorder="1" applyAlignment="1">
      <alignment horizontal="center"/>
    </xf>
    <xf numFmtId="0" fontId="31" fillId="7" borderId="0" xfId="0" applyFont="1" applyFill="1" applyAlignment="1">
      <alignment horizontal="right"/>
    </xf>
    <xf numFmtId="0" fontId="0" fillId="7" borderId="0" xfId="0" applyFill="1"/>
    <xf numFmtId="0" fontId="0" fillId="9" borderId="31" xfId="0" applyFill="1" applyBorder="1" applyAlignment="1">
      <alignment horizontal="center" wrapText="1"/>
    </xf>
    <xf numFmtId="0" fontId="0" fillId="8" borderId="31" xfId="0" applyFill="1" applyBorder="1" applyAlignment="1">
      <alignment horizontal="center"/>
    </xf>
    <xf numFmtId="2" fontId="0" fillId="10" borderId="31" xfId="0" applyNumberFormat="1" applyFill="1" applyBorder="1" applyAlignment="1">
      <alignment horizontal="center"/>
    </xf>
    <xf numFmtId="0" fontId="0" fillId="0" borderId="31" xfId="0" applyBorder="1"/>
    <xf numFmtId="0" fontId="7" fillId="0" borderId="31" xfId="0" applyFont="1" applyBorder="1"/>
    <xf numFmtId="0" fontId="3" fillId="12" borderId="31" xfId="0" applyFont="1" applyFill="1" applyBorder="1" applyAlignment="1">
      <alignment horizontal="center"/>
    </xf>
    <xf numFmtId="166" fontId="0" fillId="0" borderId="31" xfId="0" applyNumberFormat="1" applyBorder="1" applyAlignment="1">
      <alignment horizontal="center"/>
    </xf>
    <xf numFmtId="0" fontId="9" fillId="0" borderId="31" xfId="0" applyFont="1" applyBorder="1" applyAlignment="1">
      <alignment horizontal="right"/>
    </xf>
    <xf numFmtId="0" fontId="29" fillId="0" borderId="31" xfId="0" applyFont="1" applyBorder="1"/>
    <xf numFmtId="0" fontId="3" fillId="7" borderId="31" xfId="0" applyFont="1" applyFill="1" applyBorder="1" applyAlignment="1">
      <alignment horizontal="center"/>
    </xf>
    <xf numFmtId="0" fontId="3" fillId="7" borderId="31" xfId="0" applyFont="1" applyFill="1" applyBorder="1"/>
    <xf numFmtId="0" fontId="0" fillId="7" borderId="31" xfId="0" applyFill="1" applyBorder="1" applyAlignment="1">
      <alignment horizontal="center"/>
    </xf>
    <xf numFmtId="0" fontId="0" fillId="7" borderId="31" xfId="0" applyFont="1" applyFill="1" applyBorder="1" applyAlignment="1">
      <alignment horizontal="center"/>
    </xf>
    <xf numFmtId="2" fontId="0" fillId="7" borderId="0" xfId="0" applyNumberFormat="1" applyFill="1" applyAlignment="1">
      <alignment horizontal="center"/>
    </xf>
    <xf numFmtId="168" fontId="0" fillId="8" borderId="31" xfId="0" applyNumberFormat="1" applyFill="1" applyBorder="1" applyAlignment="1">
      <alignment horizontal="center"/>
    </xf>
    <xf numFmtId="169" fontId="0" fillId="10" borderId="31" xfId="0" applyNumberFormat="1" applyFill="1" applyBorder="1" applyAlignment="1">
      <alignment horizontal="center"/>
    </xf>
    <xf numFmtId="168" fontId="0" fillId="10" borderId="31" xfId="0" applyNumberFormat="1" applyFill="1" applyBorder="1" applyAlignment="1">
      <alignment horizontal="center"/>
    </xf>
    <xf numFmtId="1" fontId="0" fillId="8" borderId="31" xfId="0" applyNumberFormat="1" applyFill="1" applyBorder="1" applyAlignment="1">
      <alignment horizontal="center"/>
    </xf>
    <xf numFmtId="0" fontId="0" fillId="9" borderId="31" xfId="0" applyFill="1" applyBorder="1" applyAlignment="1">
      <alignment horizontal="center" vertical="center" wrapText="1"/>
    </xf>
    <xf numFmtId="0" fontId="0" fillId="7" borderId="0" xfId="0" applyFill="1" applyBorder="1" applyAlignment="1">
      <alignment horizontal="center"/>
    </xf>
    <xf numFmtId="167" fontId="0" fillId="10" borderId="34" xfId="0" applyNumberFormat="1" applyFont="1" applyFill="1" applyBorder="1" applyAlignment="1">
      <alignment horizontal="center"/>
    </xf>
    <xf numFmtId="0" fontId="0" fillId="7" borderId="0" xfId="0" applyFill="1" applyBorder="1"/>
    <xf numFmtId="168" fontId="0" fillId="8" borderId="31" xfId="0" applyNumberFormat="1" applyFont="1" applyFill="1" applyBorder="1" applyAlignment="1">
      <alignment horizontal="center"/>
    </xf>
    <xf numFmtId="1" fontId="0" fillId="10" borderId="31" xfId="0" applyNumberFormat="1" applyFill="1" applyBorder="1" applyAlignment="1">
      <alignment horizontal="center" vertical="center"/>
    </xf>
    <xf numFmtId="168" fontId="0" fillId="7" borderId="0" xfId="0" applyNumberFormat="1" applyFill="1"/>
    <xf numFmtId="167" fontId="0" fillId="8" borderId="31" xfId="0" applyNumberFormat="1" applyFont="1" applyFill="1" applyBorder="1" applyAlignment="1">
      <alignment horizontal="center"/>
    </xf>
    <xf numFmtId="0" fontId="0" fillId="7" borderId="31" xfId="0" applyFill="1" applyBorder="1" applyAlignment="1">
      <alignment horizontal="center"/>
    </xf>
    <xf numFmtId="0" fontId="0" fillId="7" borderId="0" xfId="0" applyFill="1" applyBorder="1" applyAlignment="1">
      <alignment horizontal="center"/>
    </xf>
    <xf numFmtId="0" fontId="0" fillId="8" borderId="34" xfId="0" applyFont="1" applyFill="1" applyBorder="1" applyAlignment="1">
      <alignment horizontal="center"/>
    </xf>
    <xf numFmtId="167" fontId="0" fillId="8" borderId="38" xfId="0" applyNumberFormat="1" applyFill="1" applyBorder="1" applyAlignment="1">
      <alignment horizontal="center"/>
    </xf>
    <xf numFmtId="0" fontId="0" fillId="8" borderId="38" xfId="0" applyFont="1" applyFill="1" applyBorder="1" applyAlignment="1">
      <alignment horizontal="center"/>
    </xf>
    <xf numFmtId="1" fontId="3" fillId="8" borderId="31" xfId="0" applyNumberFormat="1" applyFont="1" applyFill="1" applyBorder="1" applyAlignment="1">
      <alignment horizontal="center" vertical="center"/>
    </xf>
    <xf numFmtId="0" fontId="0" fillId="13" borderId="35" xfId="0" applyFill="1" applyBorder="1" applyAlignment="1">
      <alignment horizontal="center"/>
    </xf>
    <xf numFmtId="0" fontId="33" fillId="13" borderId="33" xfId="0" applyFont="1" applyFill="1" applyBorder="1" applyAlignment="1">
      <alignment horizontal="center"/>
    </xf>
    <xf numFmtId="0" fontId="34" fillId="9" borderId="39" xfId="0" applyFont="1" applyFill="1" applyBorder="1" applyAlignment="1">
      <alignment horizontal="center" vertical="center" wrapText="1"/>
    </xf>
    <xf numFmtId="164" fontId="27" fillId="8" borderId="31" xfId="3" applyFont="1" applyFill="1" applyBorder="1" applyAlignment="1">
      <alignment horizontal="center"/>
    </xf>
    <xf numFmtId="164" fontId="3" fillId="7" borderId="0" xfId="3" applyFont="1" applyFill="1"/>
    <xf numFmtId="164" fontId="3" fillId="12" borderId="31" xfId="3" applyFont="1" applyFill="1" applyBorder="1" applyAlignment="1" applyProtection="1">
      <alignment horizontal="center"/>
      <protection locked="0"/>
    </xf>
    <xf numFmtId="1" fontId="0" fillId="7" borderId="0" xfId="0" applyNumberFormat="1" applyFill="1" applyAlignment="1">
      <alignment horizontal="center"/>
    </xf>
    <xf numFmtId="0" fontId="3" fillId="12" borderId="31" xfId="0" applyNumberFormat="1" applyFont="1" applyFill="1" applyBorder="1" applyAlignment="1" applyProtection="1">
      <alignment horizontal="center"/>
      <protection locked="0"/>
    </xf>
    <xf numFmtId="0" fontId="0" fillId="7" borderId="0" xfId="0" applyFill="1" applyAlignment="1">
      <alignment horizontal="left"/>
    </xf>
    <xf numFmtId="1" fontId="0" fillId="0" borderId="31" xfId="0" applyNumberFormat="1" applyBorder="1" applyAlignment="1">
      <alignment horizontal="center"/>
    </xf>
    <xf numFmtId="0" fontId="15" fillId="0" borderId="31" xfId="0" applyFont="1" applyBorder="1" applyAlignment="1">
      <alignment horizontal="center"/>
    </xf>
    <xf numFmtId="0" fontId="35" fillId="0" borderId="0" xfId="0" applyFont="1" applyAlignment="1">
      <alignment horizontal="center"/>
    </xf>
    <xf numFmtId="10" fontId="3" fillId="7" borderId="0" xfId="4" applyNumberFormat="1" applyFont="1" applyFill="1" applyAlignment="1">
      <alignment horizontal="center"/>
    </xf>
    <xf numFmtId="165" fontId="0" fillId="0" borderId="31" xfId="0" applyNumberFormat="1" applyBorder="1"/>
    <xf numFmtId="0" fontId="7" fillId="10" borderId="34" xfId="0" applyFont="1" applyFill="1" applyBorder="1"/>
    <xf numFmtId="0" fontId="0" fillId="10" borderId="0" xfId="0" applyFill="1" applyBorder="1"/>
    <xf numFmtId="166" fontId="0" fillId="10" borderId="32" xfId="0" applyNumberFormat="1" applyFill="1" applyBorder="1" applyAlignment="1">
      <alignment horizontal="center"/>
    </xf>
    <xf numFmtId="0" fontId="9" fillId="7" borderId="0" xfId="0" applyFont="1" applyFill="1"/>
    <xf numFmtId="0" fontId="0" fillId="12" borderId="31" xfId="0" applyFill="1" applyBorder="1" applyAlignment="1">
      <alignment horizontal="center"/>
    </xf>
    <xf numFmtId="166" fontId="0" fillId="0" borderId="0" xfId="0" applyNumberFormat="1" applyBorder="1" applyAlignment="1">
      <alignment horizontal="center"/>
    </xf>
    <xf numFmtId="9" fontId="27" fillId="12" borderId="31" xfId="4" applyFont="1" applyFill="1" applyBorder="1" applyAlignment="1">
      <alignment horizontal="center"/>
    </xf>
    <xf numFmtId="0" fontId="3" fillId="7" borderId="31" xfId="0" applyFont="1" applyFill="1" applyBorder="1" applyAlignment="1">
      <alignment horizontal="left"/>
    </xf>
    <xf numFmtId="164" fontId="27" fillId="12" borderId="31" xfId="3" applyFont="1" applyFill="1" applyBorder="1" applyAlignment="1">
      <alignment horizontal="left"/>
    </xf>
    <xf numFmtId="0" fontId="3" fillId="12" borderId="31" xfId="0" applyFont="1" applyFill="1" applyBorder="1" applyAlignment="1">
      <alignment horizontal="left"/>
    </xf>
    <xf numFmtId="166" fontId="0" fillId="13" borderId="32" xfId="0" applyNumberFormat="1" applyFill="1" applyBorder="1" applyAlignment="1">
      <alignment horizontal="center"/>
    </xf>
    <xf numFmtId="0" fontId="0" fillId="13" borderId="33" xfId="0" applyFill="1" applyBorder="1"/>
    <xf numFmtId="0" fontId="3" fillId="13" borderId="33" xfId="0" applyFont="1" applyFill="1" applyBorder="1" applyAlignment="1">
      <alignment horizontal="center"/>
    </xf>
    <xf numFmtId="0" fontId="9" fillId="0" borderId="39" xfId="0" applyFont="1" applyBorder="1" applyAlignment="1">
      <alignment horizontal="right"/>
    </xf>
    <xf numFmtId="0" fontId="0" fillId="0" borderId="39" xfId="0" applyBorder="1"/>
    <xf numFmtId="0" fontId="3" fillId="7" borderId="39" xfId="0" applyFont="1" applyFill="1" applyBorder="1" applyAlignment="1">
      <alignment horizontal="center"/>
    </xf>
    <xf numFmtId="166" fontId="0" fillId="0" borderId="39" xfId="0" applyNumberFormat="1" applyBorder="1" applyAlignment="1">
      <alignment horizontal="center"/>
    </xf>
    <xf numFmtId="0" fontId="0" fillId="0" borderId="37" xfId="0" applyBorder="1"/>
    <xf numFmtId="0" fontId="7" fillId="0" borderId="37" xfId="0" applyFont="1" applyBorder="1" applyAlignment="1">
      <alignment horizontal="center"/>
    </xf>
    <xf numFmtId="0" fontId="7" fillId="13" borderId="33" xfId="0" applyFont="1" applyFill="1" applyBorder="1" applyAlignment="1">
      <alignment horizontal="left"/>
    </xf>
    <xf numFmtId="166" fontId="0" fillId="13" borderId="33" xfId="0" applyNumberFormat="1" applyFill="1" applyBorder="1" applyAlignment="1">
      <alignment horizontal="center"/>
    </xf>
    <xf numFmtId="166" fontId="7" fillId="13" borderId="31" xfId="0" applyNumberFormat="1" applyFont="1" applyFill="1" applyBorder="1" applyAlignment="1">
      <alignment horizontal="left"/>
    </xf>
    <xf numFmtId="0" fontId="33" fillId="13" borderId="33" xfId="0" applyFont="1" applyFill="1" applyBorder="1" applyAlignment="1">
      <alignment horizontal="center"/>
    </xf>
    <xf numFmtId="0" fontId="0" fillId="13" borderId="35" xfId="0" applyFill="1" applyBorder="1" applyAlignment="1">
      <alignment horizontal="center"/>
    </xf>
    <xf numFmtId="0" fontId="0" fillId="0" borderId="0" xfId="0" applyFill="1"/>
    <xf numFmtId="3" fontId="0" fillId="8" borderId="31" xfId="0" applyNumberFormat="1" applyFont="1" applyFill="1" applyBorder="1" applyAlignment="1">
      <alignment horizontal="center"/>
    </xf>
    <xf numFmtId="2" fontId="0" fillId="7" borderId="37" xfId="0" applyNumberFormat="1" applyFill="1" applyBorder="1" applyAlignment="1">
      <alignment horizontal="center"/>
    </xf>
    <xf numFmtId="0" fontId="0" fillId="13" borderId="40" xfId="0" applyFill="1" applyBorder="1" applyAlignment="1">
      <alignment horizontal="center"/>
    </xf>
    <xf numFmtId="0" fontId="0" fillId="7" borderId="40" xfId="0" applyFill="1" applyBorder="1"/>
    <xf numFmtId="0" fontId="0" fillId="9" borderId="40" xfId="0" applyFill="1" applyBorder="1" applyAlignment="1">
      <alignment horizontal="center"/>
    </xf>
    <xf numFmtId="0" fontId="0" fillId="9" borderId="40" xfId="0" applyFill="1" applyBorder="1" applyAlignment="1">
      <alignment horizontal="center" wrapText="1"/>
    </xf>
    <xf numFmtId="2" fontId="0" fillId="10" borderId="40" xfId="0" applyNumberFormat="1" applyFill="1" applyBorder="1" applyAlignment="1">
      <alignment horizontal="center"/>
    </xf>
    <xf numFmtId="0" fontId="0" fillId="10" borderId="40" xfId="0" applyFill="1" applyBorder="1" applyAlignment="1">
      <alignment horizontal="center"/>
    </xf>
    <xf numFmtId="1" fontId="0" fillId="10" borderId="40" xfId="0" applyNumberFormat="1" applyFill="1" applyBorder="1" applyAlignment="1">
      <alignment horizontal="center"/>
    </xf>
    <xf numFmtId="1" fontId="0" fillId="7" borderId="40" xfId="0" applyNumberFormat="1" applyFill="1" applyBorder="1" applyAlignment="1">
      <alignment horizontal="center"/>
    </xf>
    <xf numFmtId="0" fontId="36" fillId="10" borderId="40" xfId="0" applyFont="1" applyFill="1" applyBorder="1" applyAlignment="1">
      <alignment horizontal="center"/>
    </xf>
    <xf numFmtId="167" fontId="0" fillId="7" borderId="40" xfId="0" applyNumberFormat="1" applyFill="1" applyBorder="1" applyAlignment="1">
      <alignment horizontal="center"/>
    </xf>
    <xf numFmtId="0" fontId="0" fillId="7" borderId="40" xfId="0" applyFill="1" applyBorder="1" applyAlignment="1">
      <alignment horizontal="center"/>
    </xf>
    <xf numFmtId="2" fontId="0" fillId="7" borderId="40" xfId="0" applyNumberFormat="1" applyFill="1" applyBorder="1" applyAlignment="1">
      <alignment horizontal="center"/>
    </xf>
    <xf numFmtId="0" fontId="0" fillId="0" borderId="40" xfId="0" applyFill="1" applyBorder="1" applyAlignment="1">
      <alignment horizontal="center"/>
    </xf>
    <xf numFmtId="2" fontId="0" fillId="0" borderId="40" xfId="0" applyNumberFormat="1" applyFill="1" applyBorder="1" applyAlignment="1">
      <alignment horizontal="center"/>
    </xf>
    <xf numFmtId="167" fontId="0" fillId="10" borderId="40" xfId="0" applyNumberFormat="1" applyFill="1" applyBorder="1" applyAlignment="1">
      <alignment horizontal="center"/>
    </xf>
    <xf numFmtId="0" fontId="9" fillId="7" borderId="0" xfId="0" applyFont="1" applyFill="1" applyAlignment="1">
      <alignment horizontal="right"/>
    </xf>
    <xf numFmtId="166" fontId="0" fillId="7" borderId="0" xfId="0" applyNumberFormat="1" applyFill="1"/>
    <xf numFmtId="0" fontId="27" fillId="4" borderId="31" xfId="1" applyFont="1" applyBorder="1" applyAlignment="1">
      <alignment horizontal="center" vertical="center"/>
    </xf>
    <xf numFmtId="0" fontId="27" fillId="4" borderId="31" xfId="1" applyFont="1" applyBorder="1" applyAlignment="1">
      <alignment horizontal="center" vertical="center" wrapText="1"/>
    </xf>
    <xf numFmtId="0" fontId="0" fillId="7" borderId="0" xfId="0" applyFill="1" applyBorder="1" applyAlignment="1">
      <alignment horizontal="right"/>
    </xf>
    <xf numFmtId="0" fontId="38" fillId="7" borderId="0" xfId="5" applyFont="1" applyFill="1" applyBorder="1" applyAlignment="1">
      <alignment horizontal="center"/>
    </xf>
    <xf numFmtId="1" fontId="38" fillId="7" borderId="0" xfId="5" applyNumberFormat="1" applyFont="1" applyFill="1" applyBorder="1" applyAlignment="1">
      <alignment horizontal="center"/>
    </xf>
    <xf numFmtId="168" fontId="38" fillId="7" borderId="0" xfId="5" applyNumberFormat="1" applyFont="1" applyFill="1" applyBorder="1" applyAlignment="1">
      <alignment vertical="center"/>
    </xf>
    <xf numFmtId="0" fontId="38" fillId="7" borderId="0" xfId="5" applyFont="1" applyFill="1" applyBorder="1" applyAlignment="1">
      <alignment horizontal="right"/>
    </xf>
    <xf numFmtId="1" fontId="38" fillId="7" borderId="0" xfId="5" applyNumberFormat="1" applyFont="1" applyFill="1" applyBorder="1" applyAlignment="1">
      <alignment horizontal="left"/>
    </xf>
    <xf numFmtId="2" fontId="3" fillId="10" borderId="31" xfId="0" applyNumberFormat="1" applyFont="1" applyFill="1" applyBorder="1" applyAlignment="1" applyProtection="1">
      <alignment horizontal="center"/>
      <protection locked="0"/>
    </xf>
    <xf numFmtId="0" fontId="3" fillId="10" borderId="31" xfId="0" applyNumberFormat="1" applyFont="1" applyFill="1" applyBorder="1" applyAlignment="1" applyProtection="1">
      <alignment horizontal="center"/>
      <protection locked="0"/>
    </xf>
    <xf numFmtId="1" fontId="3" fillId="10" borderId="31" xfId="0" applyNumberFormat="1" applyFont="1" applyFill="1" applyBorder="1" applyAlignment="1" applyProtection="1">
      <alignment horizontal="center"/>
      <protection locked="0"/>
    </xf>
    <xf numFmtId="0" fontId="7" fillId="7" borderId="0" xfId="0" applyFont="1" applyFill="1" applyAlignment="1">
      <alignment horizontal="right"/>
    </xf>
    <xf numFmtId="2" fontId="37" fillId="12" borderId="31" xfId="0" applyNumberFormat="1" applyFont="1" applyFill="1" applyBorder="1" applyAlignment="1" applyProtection="1">
      <alignment horizontal="center"/>
      <protection locked="0"/>
    </xf>
    <xf numFmtId="0" fontId="3" fillId="0" borderId="34" xfId="0" applyFont="1" applyBorder="1" applyAlignment="1">
      <alignment horizontal="right"/>
    </xf>
    <xf numFmtId="0" fontId="0" fillId="7" borderId="0" xfId="0" applyFill="1" applyAlignment="1">
      <alignment horizontal="right"/>
    </xf>
    <xf numFmtId="0" fontId="0" fillId="0" borderId="31" xfId="0" applyBorder="1" applyAlignment="1">
      <alignment horizontal="right"/>
    </xf>
    <xf numFmtId="167" fontId="0" fillId="7" borderId="0" xfId="0" applyNumberFormat="1" applyFill="1"/>
    <xf numFmtId="170" fontId="3" fillId="7" borderId="0" xfId="4" applyNumberFormat="1" applyFont="1" applyFill="1"/>
    <xf numFmtId="2" fontId="0" fillId="7" borderId="0" xfId="0" applyNumberFormat="1" applyFill="1"/>
    <xf numFmtId="1" fontId="0" fillId="7" borderId="0" xfId="0" applyNumberFormat="1" applyFill="1"/>
    <xf numFmtId="0" fontId="0" fillId="2" borderId="0" xfId="0" applyFill="1"/>
    <xf numFmtId="0" fontId="0" fillId="0" borderId="0" xfId="0"/>
    <xf numFmtId="0" fontId="0" fillId="0" borderId="0"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3" fillId="0" borderId="0" xfId="0" applyFont="1" applyFill="1" applyBorder="1" applyAlignment="1">
      <alignment horizontal="left"/>
    </xf>
    <xf numFmtId="0" fontId="0" fillId="0" borderId="23" xfId="0" applyBorder="1"/>
    <xf numFmtId="0" fontId="3" fillId="0" borderId="0" xfId="0" applyFont="1" applyBorder="1"/>
    <xf numFmtId="0" fontId="3" fillId="0" borderId="0" xfId="0" applyFont="1" applyFill="1" applyBorder="1"/>
    <xf numFmtId="0" fontId="16" fillId="0" borderId="0" xfId="0" applyFont="1" applyFill="1" applyBorder="1"/>
    <xf numFmtId="0" fontId="16" fillId="2" borderId="0" xfId="0" applyFont="1" applyFill="1"/>
    <xf numFmtId="0" fontId="7" fillId="0" borderId="0" xfId="0" applyFont="1" applyBorder="1"/>
    <xf numFmtId="0" fontId="3" fillId="0" borderId="0" xfId="0" applyFont="1" applyBorder="1" applyAlignment="1">
      <alignment horizontal="left"/>
    </xf>
    <xf numFmtId="0" fontId="9" fillId="0" borderId="0" xfId="0" applyFont="1" applyBorder="1"/>
    <xf numFmtId="0" fontId="7" fillId="0" borderId="0" xfId="0" applyFont="1" applyBorder="1" applyAlignment="1">
      <alignment horizontal="center"/>
    </xf>
    <xf numFmtId="0" fontId="9" fillId="0" borderId="0" xfId="0" applyFont="1" applyBorder="1" applyAlignment="1">
      <alignment horizontal="left"/>
    </xf>
    <xf numFmtId="0" fontId="0" fillId="0" borderId="0" xfId="0" applyFill="1" applyBorder="1"/>
    <xf numFmtId="0" fontId="15" fillId="0" borderId="0" xfId="0" applyFont="1" applyBorder="1"/>
    <xf numFmtId="0" fontId="0" fillId="0" borderId="24" xfId="0" applyBorder="1"/>
    <xf numFmtId="0" fontId="3" fillId="0" borderId="25" xfId="0" applyFont="1" applyBorder="1" applyAlignment="1">
      <alignment vertical="center"/>
    </xf>
    <xf numFmtId="0" fontId="9" fillId="0" borderId="0" xfId="0" applyFont="1" applyFill="1" applyBorder="1"/>
    <xf numFmtId="0" fontId="3" fillId="0" borderId="22" xfId="0" applyFont="1" applyBorder="1" applyAlignment="1"/>
    <xf numFmtId="0" fontId="3" fillId="0" borderId="22" xfId="0" applyFont="1" applyBorder="1"/>
    <xf numFmtId="0" fontId="0" fillId="7" borderId="0" xfId="0" applyFill="1" applyBorder="1"/>
    <xf numFmtId="0" fontId="22" fillId="7" borderId="0" xfId="0" applyFont="1" applyFill="1"/>
    <xf numFmtId="165" fontId="0" fillId="7" borderId="0" xfId="0" applyNumberFormat="1" applyFill="1"/>
    <xf numFmtId="0" fontId="0" fillId="7" borderId="0" xfId="0" applyFill="1" applyBorder="1" applyAlignment="1">
      <alignment horizontal="center"/>
    </xf>
    <xf numFmtId="1" fontId="0" fillId="7" borderId="0" xfId="0" applyNumberFormat="1" applyFill="1" applyBorder="1" applyAlignment="1">
      <alignment horizontal="center"/>
    </xf>
    <xf numFmtId="2" fontId="0" fillId="7" borderId="0" xfId="0" applyNumberFormat="1" applyFill="1" applyBorder="1" applyAlignment="1">
      <alignment horizontal="center"/>
    </xf>
    <xf numFmtId="10" fontId="27" fillId="8" borderId="31" xfId="4" applyNumberFormat="1" applyFont="1" applyFill="1" applyBorder="1" applyAlignment="1">
      <alignment horizontal="center"/>
    </xf>
    <xf numFmtId="9" fontId="39" fillId="13" borderId="0" xfId="4" applyNumberFormat="1" applyFont="1" applyFill="1"/>
    <xf numFmtId="0" fontId="0" fillId="7" borderId="0" xfId="0" applyFill="1" applyBorder="1" applyAlignment="1">
      <alignment horizontal="center"/>
    </xf>
    <xf numFmtId="0" fontId="0" fillId="7" borderId="31" xfId="0" applyFill="1" applyBorder="1" applyAlignment="1">
      <alignment horizontal="center"/>
    </xf>
    <xf numFmtId="0" fontId="30" fillId="7" borderId="31" xfId="0" applyFont="1" applyFill="1" applyBorder="1" applyAlignment="1">
      <alignment horizontal="center"/>
    </xf>
    <xf numFmtId="0" fontId="30" fillId="7" borderId="31" xfId="0" applyFont="1" applyFill="1" applyBorder="1"/>
    <xf numFmtId="2" fontId="0" fillId="7" borderId="31" xfId="0" applyNumberFormat="1" applyFont="1" applyFill="1" applyBorder="1" applyAlignment="1">
      <alignment horizontal="center"/>
    </xf>
    <xf numFmtId="1" fontId="0" fillId="7" borderId="31" xfId="0" applyNumberFormat="1" applyFont="1" applyFill="1" applyBorder="1" applyAlignment="1">
      <alignment horizontal="center"/>
    </xf>
    <xf numFmtId="10" fontId="27" fillId="7" borderId="31" xfId="4" applyNumberFormat="1" applyFont="1" applyFill="1" applyBorder="1" applyAlignment="1">
      <alignment horizontal="center"/>
    </xf>
    <xf numFmtId="168" fontId="0" fillId="7" borderId="31" xfId="0" applyNumberFormat="1" applyFont="1" applyFill="1" applyBorder="1" applyAlignment="1">
      <alignment horizontal="center"/>
    </xf>
    <xf numFmtId="167" fontId="0" fillId="7" borderId="31" xfId="0" applyNumberFormat="1" applyFont="1" applyFill="1" applyBorder="1" applyAlignment="1">
      <alignment horizontal="center"/>
    </xf>
    <xf numFmtId="3" fontId="0" fillId="7" borderId="31" xfId="0" applyNumberFormat="1" applyFont="1" applyFill="1" applyBorder="1" applyAlignment="1">
      <alignment horizontal="center"/>
    </xf>
    <xf numFmtId="167" fontId="0" fillId="7" borderId="31" xfId="0" applyNumberFormat="1" applyFill="1" applyBorder="1" applyAlignment="1">
      <alignment horizontal="center"/>
    </xf>
    <xf numFmtId="167" fontId="0" fillId="7" borderId="34" xfId="0" applyNumberFormat="1" applyFont="1" applyFill="1" applyBorder="1" applyAlignment="1">
      <alignment horizontal="center"/>
    </xf>
    <xf numFmtId="0" fontId="0" fillId="7" borderId="0" xfId="0" applyFill="1" applyBorder="1" applyAlignment="1">
      <alignment horizontal="center"/>
    </xf>
    <xf numFmtId="0" fontId="30" fillId="7" borderId="0" xfId="0" applyFont="1" applyFill="1" applyBorder="1" applyAlignment="1">
      <alignment horizontal="center"/>
    </xf>
    <xf numFmtId="9" fontId="27" fillId="15" borderId="41" xfId="4" applyFont="1" applyFill="1" applyBorder="1" applyAlignment="1">
      <alignment horizontal="center" vertical="center"/>
    </xf>
    <xf numFmtId="172" fontId="0" fillId="15" borderId="41" xfId="0" applyNumberFormat="1" applyFill="1" applyBorder="1" applyAlignment="1">
      <alignment horizontal="center" vertical="center"/>
    </xf>
    <xf numFmtId="0" fontId="0" fillId="15" borderId="41" xfId="0" applyFill="1" applyBorder="1" applyAlignment="1">
      <alignment horizontal="center"/>
    </xf>
    <xf numFmtId="9" fontId="27" fillId="16" borderId="41" xfId="4" applyFont="1" applyFill="1" applyBorder="1" applyAlignment="1">
      <alignment horizontal="center" vertical="center"/>
    </xf>
    <xf numFmtId="172" fontId="0" fillId="16" borderId="41" xfId="0" applyNumberFormat="1" applyFill="1" applyBorder="1" applyAlignment="1">
      <alignment horizontal="center" vertical="center"/>
    </xf>
    <xf numFmtId="0" fontId="0" fillId="16" borderId="41" xfId="0" applyFill="1" applyBorder="1" applyAlignment="1">
      <alignment horizontal="center"/>
    </xf>
    <xf numFmtId="167" fontId="30" fillId="13" borderId="26" xfId="0" applyNumberFormat="1" applyFont="1" applyFill="1" applyBorder="1" applyAlignment="1">
      <alignment horizontal="center"/>
    </xf>
    <xf numFmtId="14" fontId="0" fillId="7" borderId="0" xfId="0" applyNumberFormat="1" applyFill="1" applyAlignment="1">
      <alignment horizontal="left"/>
    </xf>
    <xf numFmtId="0" fontId="0" fillId="7" borderId="8" xfId="0" applyFill="1" applyBorder="1"/>
    <xf numFmtId="0" fontId="0" fillId="7" borderId="9" xfId="0" applyFill="1" applyBorder="1"/>
    <xf numFmtId="0" fontId="0" fillId="7" borderId="10" xfId="0" applyFill="1" applyBorder="1"/>
    <xf numFmtId="0" fontId="0" fillId="7" borderId="11" xfId="0" applyFill="1" applyBorder="1"/>
    <xf numFmtId="0" fontId="0" fillId="7" borderId="12" xfId="0" applyFill="1" applyBorder="1"/>
    <xf numFmtId="2" fontId="57" fillId="7" borderId="30" xfId="5" applyNumberFormat="1" applyFill="1" applyBorder="1" applyAlignment="1">
      <alignment horizontal="center"/>
    </xf>
    <xf numFmtId="167" fontId="0" fillId="7" borderId="0" xfId="0" applyNumberFormat="1" applyFill="1" applyBorder="1" applyAlignment="1">
      <alignment horizontal="center"/>
    </xf>
    <xf numFmtId="0" fontId="57" fillId="7" borderId="30" xfId="5" applyFill="1" applyBorder="1" applyAlignment="1">
      <alignment horizontal="center"/>
    </xf>
    <xf numFmtId="0" fontId="1" fillId="4" borderId="0" xfId="1" applyBorder="1" applyAlignment="1"/>
    <xf numFmtId="173" fontId="0" fillId="7" borderId="0" xfId="0" applyNumberFormat="1" applyFill="1" applyBorder="1" applyAlignment="1">
      <alignment horizontal="center"/>
    </xf>
    <xf numFmtId="0" fontId="40" fillId="7" borderId="11" xfId="0" applyFont="1" applyFill="1" applyBorder="1"/>
    <xf numFmtId="3" fontId="0" fillId="7" borderId="0" xfId="0" applyNumberFormat="1" applyFill="1" applyBorder="1" applyAlignment="1">
      <alignment horizontal="center"/>
    </xf>
    <xf numFmtId="0" fontId="0" fillId="7" borderId="13" xfId="0" applyFill="1" applyBorder="1"/>
    <xf numFmtId="0" fontId="0" fillId="7" borderId="14" xfId="0" applyFill="1" applyBorder="1" applyAlignment="1">
      <alignment horizontal="right"/>
    </xf>
    <xf numFmtId="0" fontId="0" fillId="7" borderId="14" xfId="0" applyFill="1" applyBorder="1"/>
    <xf numFmtId="0" fontId="0" fillId="7" borderId="15" xfId="0" applyFill="1" applyBorder="1"/>
    <xf numFmtId="1" fontId="57" fillId="7" borderId="30" xfId="5" applyNumberFormat="1" applyFill="1" applyBorder="1" applyAlignment="1">
      <alignment horizontal="center"/>
    </xf>
    <xf numFmtId="0" fontId="0" fillId="7" borderId="0" xfId="0" applyFill="1" applyBorder="1" applyAlignment="1">
      <alignment horizontal="center" vertical="center"/>
    </xf>
    <xf numFmtId="1" fontId="0" fillId="7" borderId="0" xfId="0" applyNumberFormat="1" applyFill="1" applyBorder="1" applyAlignment="1">
      <alignment horizontal="center" vertical="center"/>
    </xf>
    <xf numFmtId="0" fontId="0" fillId="7" borderId="0" xfId="0" applyFill="1" applyBorder="1" applyAlignment="1">
      <alignment horizontal="left" vertical="center"/>
    </xf>
    <xf numFmtId="0" fontId="0" fillId="7" borderId="0" xfId="0" applyFill="1" applyBorder="1" applyAlignment="1">
      <alignment horizontal="right" vertical="center"/>
    </xf>
    <xf numFmtId="172" fontId="0" fillId="7" borderId="0" xfId="0" applyNumberFormat="1" applyFill="1" applyBorder="1" applyAlignment="1">
      <alignment horizontal="center" vertical="center"/>
    </xf>
    <xf numFmtId="0" fontId="41" fillId="7" borderId="0" xfId="0" applyFont="1" applyFill="1" applyBorder="1" applyAlignment="1">
      <alignment horizontal="right"/>
    </xf>
    <xf numFmtId="0" fontId="42" fillId="7" borderId="0" xfId="0" applyFont="1" applyFill="1" applyBorder="1" applyAlignment="1">
      <alignment horizontal="right"/>
    </xf>
    <xf numFmtId="172" fontId="28" fillId="7" borderId="0" xfId="0" applyNumberFormat="1" applyFont="1" applyFill="1" applyBorder="1" applyAlignment="1">
      <alignment horizontal="right"/>
    </xf>
    <xf numFmtId="172" fontId="28" fillId="7" borderId="0" xfId="0" applyNumberFormat="1" applyFont="1" applyFill="1" applyBorder="1" applyAlignment="1">
      <alignment horizontal="center"/>
    </xf>
    <xf numFmtId="172" fontId="28" fillId="7" borderId="0" xfId="0" applyNumberFormat="1" applyFont="1" applyFill="1" applyBorder="1" applyAlignment="1">
      <alignment horizontal="left"/>
    </xf>
    <xf numFmtId="173" fontId="0" fillId="7" borderId="0" xfId="0" applyNumberFormat="1" applyFill="1" applyBorder="1" applyAlignment="1">
      <alignment horizontal="center" vertical="center"/>
    </xf>
    <xf numFmtId="0" fontId="0" fillId="7" borderId="0" xfId="0" applyFill="1" applyBorder="1" applyAlignment="1">
      <alignment horizontal="center"/>
    </xf>
    <xf numFmtId="0" fontId="0" fillId="7" borderId="0" xfId="0" applyFill="1" applyAlignment="1">
      <alignment horizontal="right"/>
    </xf>
    <xf numFmtId="0" fontId="0" fillId="7" borderId="0" xfId="0" applyFill="1" applyAlignment="1">
      <alignment horizontal="center"/>
    </xf>
    <xf numFmtId="2" fontId="27" fillId="7" borderId="0" xfId="4" applyNumberFormat="1" applyFont="1" applyFill="1" applyAlignment="1">
      <alignment horizontal="center"/>
    </xf>
    <xf numFmtId="167" fontId="0" fillId="7" borderId="0" xfId="0" applyNumberFormat="1" applyFill="1" applyAlignment="1">
      <alignment horizontal="center"/>
    </xf>
    <xf numFmtId="0" fontId="0" fillId="7" borderId="0" xfId="0" applyFill="1" applyBorder="1" applyAlignment="1">
      <alignment horizontal="left"/>
    </xf>
    <xf numFmtId="0" fontId="30" fillId="7" borderId="0" xfId="0" applyFont="1" applyFill="1" applyAlignment="1">
      <alignment horizontal="right"/>
    </xf>
    <xf numFmtId="0" fontId="30" fillId="7" borderId="0" xfId="0" applyFont="1" applyFill="1" applyAlignment="1">
      <alignment horizontal="center"/>
    </xf>
    <xf numFmtId="167" fontId="27" fillId="7" borderId="0" xfId="4" applyNumberFormat="1" applyFont="1" applyFill="1" applyBorder="1" applyAlignment="1">
      <alignment horizontal="center"/>
    </xf>
    <xf numFmtId="2" fontId="0" fillId="7" borderId="0" xfId="0" applyNumberFormat="1" applyFill="1" applyBorder="1" applyAlignment="1">
      <alignment vertical="center"/>
    </xf>
    <xf numFmtId="168" fontId="0" fillId="7" borderId="0" xfId="0" applyNumberFormat="1" applyFill="1" applyBorder="1" applyAlignment="1">
      <alignment horizontal="center"/>
    </xf>
    <xf numFmtId="2" fontId="0" fillId="7" borderId="0" xfId="0" applyNumberFormat="1" applyFill="1" applyBorder="1" applyAlignment="1">
      <alignment horizontal="right"/>
    </xf>
    <xf numFmtId="0" fontId="30" fillId="7" borderId="0" xfId="0" applyFont="1" applyFill="1" applyBorder="1" applyAlignment="1">
      <alignment horizontal="right"/>
    </xf>
    <xf numFmtId="0" fontId="30" fillId="0" borderId="0" xfId="0" applyFont="1" applyFill="1" applyBorder="1" applyAlignment="1">
      <alignment horizontal="center"/>
    </xf>
    <xf numFmtId="2" fontId="0" fillId="0" borderId="41" xfId="0" applyNumberFormat="1" applyFill="1" applyBorder="1" applyAlignment="1">
      <alignment horizontal="center"/>
    </xf>
    <xf numFmtId="2" fontId="0" fillId="13" borderId="26" xfId="0" applyNumberFormat="1" applyFill="1" applyBorder="1" applyAlignment="1">
      <alignment horizontal="center"/>
    </xf>
    <xf numFmtId="0" fontId="0" fillId="13" borderId="26" xfId="0" applyFill="1" applyBorder="1" applyAlignment="1">
      <alignment horizontal="center"/>
    </xf>
    <xf numFmtId="2" fontId="0" fillId="17" borderId="26" xfId="0" applyNumberFormat="1" applyFill="1" applyBorder="1" applyAlignment="1">
      <alignment horizontal="center"/>
    </xf>
    <xf numFmtId="0" fontId="0" fillId="17" borderId="26" xfId="0" applyFill="1" applyBorder="1" applyAlignment="1">
      <alignment horizontal="center"/>
    </xf>
    <xf numFmtId="167" fontId="0" fillId="13" borderId="26" xfId="0" applyNumberFormat="1" applyFill="1" applyBorder="1" applyAlignment="1">
      <alignment horizontal="center"/>
    </xf>
    <xf numFmtId="167" fontId="0" fillId="17" borderId="26" xfId="0" applyNumberFormat="1" applyFill="1" applyBorder="1" applyAlignment="1">
      <alignment horizontal="center"/>
    </xf>
    <xf numFmtId="9" fontId="27" fillId="7" borderId="0" xfId="4" applyFont="1" applyFill="1" applyBorder="1" applyAlignment="1">
      <alignment horizontal="center"/>
    </xf>
    <xf numFmtId="0" fontId="28" fillId="7" borderId="0" xfId="0" applyFont="1" applyFill="1" applyAlignment="1">
      <alignment horizontal="center"/>
    </xf>
    <xf numFmtId="0" fontId="28" fillId="7" borderId="0" xfId="0" applyFont="1" applyFill="1" applyAlignment="1">
      <alignment horizontal="left"/>
    </xf>
    <xf numFmtId="0" fontId="43" fillId="7" borderId="0" xfId="0" applyFont="1" applyFill="1" applyBorder="1"/>
    <xf numFmtId="2" fontId="44" fillId="7" borderId="0" xfId="0" applyNumberFormat="1" applyFont="1" applyFill="1" applyBorder="1" applyAlignment="1">
      <alignment horizontal="center"/>
    </xf>
    <xf numFmtId="0" fontId="38" fillId="10" borderId="31" xfId="5" applyFont="1" applyFill="1" applyBorder="1" applyAlignment="1">
      <alignment horizontal="center"/>
    </xf>
    <xf numFmtId="1" fontId="38" fillId="10" borderId="31" xfId="5" applyNumberFormat="1" applyFont="1" applyFill="1" applyBorder="1" applyAlignment="1">
      <alignment horizontal="center"/>
    </xf>
    <xf numFmtId="168" fontId="38" fillId="10" borderId="31" xfId="5" applyNumberFormat="1" applyFont="1" applyFill="1" applyBorder="1" applyAlignment="1">
      <alignment horizontal="center" vertical="center"/>
    </xf>
    <xf numFmtId="0" fontId="43" fillId="7" borderId="26" xfId="0" applyFont="1" applyFill="1" applyBorder="1" applyAlignment="1">
      <alignment horizontal="center" vertical="center"/>
    </xf>
    <xf numFmtId="0" fontId="0" fillId="9" borderId="31" xfId="0" applyFill="1" applyBorder="1" applyAlignment="1">
      <alignment horizontal="center" vertical="center" wrapText="1"/>
    </xf>
    <xf numFmtId="0" fontId="0" fillId="9" borderId="31" xfId="0" applyFill="1" applyBorder="1" applyAlignment="1">
      <alignment horizontal="center" vertical="center"/>
    </xf>
    <xf numFmtId="0" fontId="0" fillId="0" borderId="0" xfId="0" applyAlignment="1">
      <alignment horizontal="center" vertical="center"/>
    </xf>
    <xf numFmtId="0" fontId="30" fillId="0" borderId="0" xfId="0" applyFont="1" applyAlignment="1">
      <alignment horizontal="left" vertical="center"/>
    </xf>
    <xf numFmtId="0" fontId="0" fillId="10" borderId="42" xfId="0" applyFill="1" applyBorder="1" applyAlignment="1">
      <alignment horizontal="center" vertical="center"/>
    </xf>
    <xf numFmtId="0" fontId="0" fillId="10" borderId="0" xfId="0" applyFill="1" applyBorder="1" applyAlignment="1">
      <alignment horizontal="center" vertical="center"/>
    </xf>
    <xf numFmtId="0" fontId="0" fillId="10" borderId="43" xfId="0" applyFill="1" applyBorder="1" applyAlignment="1">
      <alignment horizontal="center" vertical="center"/>
    </xf>
    <xf numFmtId="0" fontId="0" fillId="18" borderId="0" xfId="0" applyFill="1" applyAlignment="1">
      <alignment horizontal="center" vertical="center"/>
    </xf>
    <xf numFmtId="0" fontId="0" fillId="0" borderId="0" xfId="0" applyAlignment="1">
      <alignment horizontal="left" vertical="center"/>
    </xf>
    <xf numFmtId="0" fontId="0" fillId="10" borderId="31" xfId="0" applyFont="1" applyFill="1" applyBorder="1" applyAlignment="1">
      <alignment horizontal="right" vertical="center"/>
    </xf>
    <xf numFmtId="167" fontId="45" fillId="18" borderId="31" xfId="5" applyNumberFormat="1" applyFont="1" applyFill="1" applyBorder="1" applyAlignment="1">
      <alignment horizontal="center"/>
    </xf>
    <xf numFmtId="0" fontId="0" fillId="10" borderId="31" xfId="0" applyFont="1" applyFill="1" applyBorder="1" applyAlignment="1">
      <alignment horizontal="left" vertical="top"/>
    </xf>
    <xf numFmtId="0" fontId="0" fillId="9" borderId="0" xfId="0" applyFill="1" applyAlignment="1">
      <alignment horizontal="center" vertical="center"/>
    </xf>
    <xf numFmtId="0" fontId="0" fillId="10" borderId="42" xfId="0" applyFont="1" applyFill="1" applyBorder="1" applyAlignment="1">
      <alignment horizontal="center" vertical="center"/>
    </xf>
    <xf numFmtId="2" fontId="0" fillId="10" borderId="39" xfId="0" applyNumberFormat="1" applyFill="1" applyBorder="1" applyAlignment="1">
      <alignment horizontal="center" vertical="center"/>
    </xf>
    <xf numFmtId="0" fontId="0" fillId="10" borderId="44" xfId="0" applyFill="1" applyBorder="1" applyAlignment="1">
      <alignment horizontal="center" vertical="center"/>
    </xf>
    <xf numFmtId="0" fontId="0" fillId="10" borderId="36" xfId="0" applyFill="1" applyBorder="1" applyAlignment="1">
      <alignment horizontal="center" vertical="center"/>
    </xf>
    <xf numFmtId="0" fontId="0" fillId="10" borderId="45" xfId="0" applyFill="1" applyBorder="1" applyAlignment="1">
      <alignment horizontal="center" vertical="center"/>
    </xf>
    <xf numFmtId="0" fontId="0" fillId="10" borderId="31" xfId="0" applyFont="1" applyFill="1" applyBorder="1" applyAlignment="1">
      <alignment horizontal="left" vertical="center"/>
    </xf>
    <xf numFmtId="0" fontId="0" fillId="13" borderId="46" xfId="0" applyFill="1" applyBorder="1" applyAlignment="1">
      <alignment horizontal="center" vertical="center"/>
    </xf>
    <xf numFmtId="0" fontId="0" fillId="13" borderId="40" xfId="0" applyFill="1" applyBorder="1" applyAlignment="1">
      <alignment horizontal="center" vertical="center"/>
    </xf>
    <xf numFmtId="0" fontId="0" fillId="0" borderId="0" xfId="0" applyFill="1" applyBorder="1"/>
    <xf numFmtId="174" fontId="46" fillId="9" borderId="31" xfId="0" applyNumberFormat="1" applyFont="1" applyFill="1" applyBorder="1" applyAlignment="1">
      <alignment horizontal="center"/>
    </xf>
    <xf numFmtId="174" fontId="0" fillId="19" borderId="46" xfId="0" applyNumberFormat="1" applyFill="1" applyBorder="1" applyAlignment="1">
      <alignment horizontal="center" vertical="center"/>
    </xf>
    <xf numFmtId="174" fontId="0" fillId="19" borderId="40" xfId="0" applyNumberFormat="1" applyFill="1" applyBorder="1" applyAlignment="1">
      <alignment horizontal="center"/>
    </xf>
    <xf numFmtId="0" fontId="30" fillId="0" borderId="0" xfId="0" applyFont="1" applyFill="1" applyBorder="1" applyAlignment="1">
      <alignment horizontal="right"/>
    </xf>
    <xf numFmtId="2" fontId="41" fillId="9" borderId="31" xfId="0" applyNumberFormat="1" applyFont="1" applyFill="1" applyBorder="1" applyAlignment="1">
      <alignment horizontal="center"/>
    </xf>
    <xf numFmtId="0" fontId="47" fillId="0" borderId="0" xfId="0" applyFont="1" applyAlignment="1">
      <alignment horizontal="center" vertical="center"/>
    </xf>
    <xf numFmtId="0" fontId="0" fillId="0" borderId="47" xfId="0" applyBorder="1" applyAlignment="1">
      <alignment horizontal="center" vertical="center"/>
    </xf>
    <xf numFmtId="0" fontId="0" fillId="10" borderId="48" xfId="0" applyFill="1" applyBorder="1" applyAlignment="1">
      <alignment horizontal="center" vertical="center"/>
    </xf>
    <xf numFmtId="0" fontId="0" fillId="10" borderId="35" xfId="0" applyFill="1" applyBorder="1" applyAlignment="1">
      <alignment horizontal="center" vertical="center"/>
    </xf>
    <xf numFmtId="0" fontId="0" fillId="10" borderId="49" xfId="0" applyFill="1" applyBorder="1" applyAlignment="1">
      <alignment horizontal="center" vertical="center"/>
    </xf>
    <xf numFmtId="0" fontId="0" fillId="20" borderId="34" xfId="0" applyFill="1" applyBorder="1" applyAlignment="1">
      <alignment horizontal="center" vertical="center"/>
    </xf>
    <xf numFmtId="0" fontId="0" fillId="20" borderId="33" xfId="0" applyFill="1" applyBorder="1" applyAlignment="1">
      <alignment horizontal="center" vertical="center"/>
    </xf>
    <xf numFmtId="0" fontId="0" fillId="20" borderId="32" xfId="0" applyFill="1" applyBorder="1" applyAlignment="1">
      <alignment horizontal="center" vertical="center"/>
    </xf>
    <xf numFmtId="0" fontId="0" fillId="0" borderId="0" xfId="0" applyAlignment="1">
      <alignment vertical="center"/>
    </xf>
    <xf numFmtId="0" fontId="0" fillId="10" borderId="31" xfId="0" applyFill="1" applyBorder="1" applyAlignment="1">
      <alignment horizontal="center" vertical="center"/>
    </xf>
    <xf numFmtId="0" fontId="0" fillId="18" borderId="31" xfId="0" applyFill="1" applyBorder="1" applyAlignment="1">
      <alignment horizontal="center" vertical="center"/>
    </xf>
    <xf numFmtId="0" fontId="0" fillId="17" borderId="27" xfId="0" applyFill="1" applyBorder="1" applyAlignment="1">
      <alignment horizontal="center"/>
    </xf>
    <xf numFmtId="167" fontId="0" fillId="13" borderId="27" xfId="0" applyNumberFormat="1" applyFill="1" applyBorder="1" applyAlignment="1">
      <alignment horizontal="center"/>
    </xf>
    <xf numFmtId="167" fontId="0" fillId="17" borderId="27" xfId="0" applyNumberFormat="1" applyFill="1" applyBorder="1" applyAlignment="1">
      <alignment horizontal="center"/>
    </xf>
    <xf numFmtId="0" fontId="48" fillId="10" borderId="0" xfId="0" applyFont="1" applyFill="1" applyBorder="1" applyAlignment="1">
      <alignment horizontal="center" vertical="center"/>
    </xf>
    <xf numFmtId="0" fontId="49" fillId="10" borderId="0" xfId="0" applyFont="1" applyFill="1" applyBorder="1" applyAlignment="1">
      <alignment horizontal="right" vertical="center"/>
    </xf>
    <xf numFmtId="9" fontId="48" fillId="10" borderId="0" xfId="0" applyNumberFormat="1" applyFont="1" applyFill="1" applyBorder="1" applyAlignment="1">
      <alignment horizontal="center" vertical="center"/>
    </xf>
    <xf numFmtId="0" fontId="0" fillId="13" borderId="27" xfId="0" applyFill="1" applyBorder="1" applyAlignment="1">
      <alignment horizontal="center"/>
    </xf>
    <xf numFmtId="0" fontId="48" fillId="10" borderId="0" xfId="0" applyFont="1" applyFill="1" applyBorder="1" applyAlignment="1">
      <alignment horizontal="right" vertical="center"/>
    </xf>
    <xf numFmtId="167" fontId="41" fillId="9" borderId="31" xfId="5" applyNumberFormat="1" applyFont="1" applyFill="1" applyBorder="1" applyAlignment="1">
      <alignment horizontal="center"/>
    </xf>
    <xf numFmtId="0" fontId="0" fillId="10" borderId="31" xfId="0" applyFill="1" applyBorder="1" applyAlignment="1">
      <alignment horizontal="left" vertical="center"/>
    </xf>
    <xf numFmtId="167" fontId="46" fillId="9" borderId="31" xfId="5" applyNumberFormat="1" applyFont="1" applyFill="1" applyBorder="1" applyAlignment="1">
      <alignment horizontal="center"/>
    </xf>
    <xf numFmtId="0" fontId="0" fillId="14" borderId="34" xfId="0" applyFill="1" applyBorder="1" applyAlignment="1">
      <alignment horizontal="center" vertical="center"/>
    </xf>
    <xf numFmtId="0" fontId="0" fillId="14" borderId="33" xfId="0" applyFill="1" applyBorder="1" applyAlignment="1">
      <alignment horizontal="center" vertical="center"/>
    </xf>
    <xf numFmtId="0" fontId="0" fillId="14" borderId="32" xfId="0" applyFill="1" applyBorder="1" applyAlignment="1">
      <alignment horizontal="center" vertical="center"/>
    </xf>
    <xf numFmtId="0" fontId="0" fillId="10" borderId="34" xfId="0" applyFill="1" applyBorder="1" applyAlignment="1">
      <alignment horizontal="center" vertical="center"/>
    </xf>
    <xf numFmtId="0" fontId="0" fillId="10" borderId="33" xfId="0" applyFill="1" applyBorder="1" applyAlignment="1">
      <alignment horizontal="center" vertical="center"/>
    </xf>
    <xf numFmtId="0" fontId="0" fillId="10" borderId="32" xfId="0" applyFill="1" applyBorder="1" applyAlignment="1">
      <alignment horizontal="center" vertical="center"/>
    </xf>
    <xf numFmtId="0" fontId="0" fillId="10" borderId="31" xfId="0" applyFill="1" applyBorder="1" applyAlignment="1">
      <alignment horizontal="right"/>
    </xf>
    <xf numFmtId="1" fontId="41" fillId="11" borderId="31" xfId="5" applyNumberFormat="1" applyFont="1" applyFill="1" applyBorder="1" applyAlignment="1">
      <alignment horizontal="center"/>
    </xf>
    <xf numFmtId="0" fontId="0" fillId="10" borderId="31" xfId="0" applyFill="1" applyBorder="1"/>
    <xf numFmtId="167" fontId="57" fillId="18" borderId="31" xfId="5" applyNumberFormat="1" applyFill="1" applyBorder="1" applyAlignment="1">
      <alignment horizontal="center"/>
    </xf>
    <xf numFmtId="0" fontId="0" fillId="10" borderId="0" xfId="0" applyFill="1" applyBorder="1" applyAlignment="1">
      <alignment horizontal="left" vertical="center"/>
    </xf>
    <xf numFmtId="0" fontId="46" fillId="10" borderId="31" xfId="0" applyFont="1" applyFill="1" applyBorder="1" applyAlignment="1">
      <alignment horizontal="right"/>
    </xf>
    <xf numFmtId="2" fontId="0" fillId="11" borderId="31" xfId="0" applyNumberFormat="1" applyFill="1" applyBorder="1" applyAlignment="1">
      <alignment horizontal="center"/>
    </xf>
    <xf numFmtId="168" fontId="0" fillId="11" borderId="31" xfId="0" applyNumberFormat="1" applyFill="1" applyBorder="1" applyAlignment="1">
      <alignment horizontal="center"/>
    </xf>
    <xf numFmtId="0" fontId="46" fillId="10" borderId="31" xfId="0" applyFont="1" applyFill="1" applyBorder="1" applyAlignment="1">
      <alignment horizontal="right" vertical="center"/>
    </xf>
    <xf numFmtId="167" fontId="0" fillId="11" borderId="31" xfId="0" applyNumberFormat="1" applyFill="1" applyBorder="1" applyAlignment="1">
      <alignment horizontal="center"/>
    </xf>
    <xf numFmtId="0" fontId="0" fillId="10" borderId="31" xfId="0" applyFill="1" applyBorder="1" applyAlignment="1">
      <alignment horizontal="right" vertical="center"/>
    </xf>
    <xf numFmtId="168" fontId="0" fillId="11" borderId="31" xfId="0" applyNumberFormat="1" applyFill="1" applyBorder="1" applyAlignment="1">
      <alignment horizontal="center" vertical="center"/>
    </xf>
    <xf numFmtId="167" fontId="41" fillId="11" borderId="31" xfId="5" applyNumberFormat="1" applyFont="1" applyFill="1" applyBorder="1" applyAlignment="1">
      <alignment horizontal="center"/>
    </xf>
    <xf numFmtId="9" fontId="48" fillId="10" borderId="43" xfId="0" applyNumberFormat="1" applyFont="1" applyFill="1" applyBorder="1" applyAlignment="1">
      <alignment horizontal="center" vertical="center"/>
    </xf>
    <xf numFmtId="0" fontId="0" fillId="13" borderId="40" xfId="0" applyFill="1" applyBorder="1" applyAlignment="1">
      <alignment horizontal="center"/>
    </xf>
    <xf numFmtId="0" fontId="0" fillId="9" borderId="40" xfId="0" applyFill="1" applyBorder="1" applyAlignment="1">
      <alignment horizontal="center"/>
    </xf>
    <xf numFmtId="0" fontId="0" fillId="7" borderId="40" xfId="0" applyFill="1" applyBorder="1" applyAlignment="1">
      <alignment horizontal="center"/>
    </xf>
    <xf numFmtId="1" fontId="0" fillId="8" borderId="31" xfId="0" applyNumberFormat="1" applyFont="1" applyFill="1" applyBorder="1" applyAlignment="1">
      <alignment horizontal="center" vertical="center"/>
    </xf>
    <xf numFmtId="0" fontId="0" fillId="8" borderId="31" xfId="0" applyFill="1" applyBorder="1" applyAlignment="1">
      <alignment horizontal="center" vertical="center"/>
    </xf>
    <xf numFmtId="167" fontId="0" fillId="10" borderId="31" xfId="0" applyNumberFormat="1" applyFont="1" applyFill="1" applyBorder="1" applyAlignment="1">
      <alignment horizontal="center" vertical="center"/>
    </xf>
    <xf numFmtId="0" fontId="0" fillId="8" borderId="31" xfId="0" applyFont="1" applyFill="1" applyBorder="1" applyAlignment="1">
      <alignment horizontal="center" vertical="center"/>
    </xf>
    <xf numFmtId="2" fontId="0" fillId="10" borderId="31" xfId="0" applyNumberFormat="1" applyFont="1" applyFill="1" applyBorder="1" applyAlignment="1">
      <alignment horizontal="center" vertical="center"/>
    </xf>
    <xf numFmtId="0" fontId="0" fillId="10" borderId="31" xfId="0" applyFont="1" applyFill="1" applyBorder="1" applyAlignment="1">
      <alignment horizontal="center" vertical="center"/>
    </xf>
    <xf numFmtId="2" fontId="0" fillId="10" borderId="31" xfId="0" applyNumberFormat="1" applyFill="1" applyBorder="1" applyAlignment="1">
      <alignment horizontal="center" vertical="center"/>
    </xf>
    <xf numFmtId="2" fontId="0" fillId="8" borderId="31" xfId="0" applyNumberFormat="1" applyFont="1" applyFill="1" applyBorder="1" applyAlignment="1">
      <alignment horizontal="center" vertical="center"/>
    </xf>
    <xf numFmtId="168" fontId="0" fillId="8" borderId="51" xfId="0" applyNumberFormat="1" applyFont="1" applyFill="1" applyBorder="1" applyAlignment="1">
      <alignment horizontal="center"/>
    </xf>
    <xf numFmtId="0" fontId="0" fillId="7" borderId="52" xfId="0" applyFill="1" applyBorder="1" applyAlignment="1">
      <alignment horizontal="center"/>
    </xf>
    <xf numFmtId="0" fontId="27" fillId="7" borderId="0" xfId="0" applyFont="1" applyFill="1"/>
    <xf numFmtId="0" fontId="0" fillId="7" borderId="0" xfId="0" applyFill="1" applyAlignment="1">
      <alignment wrapText="1"/>
    </xf>
    <xf numFmtId="0" fontId="0" fillId="7" borderId="0" xfId="0" applyFill="1" applyBorder="1" applyAlignment="1">
      <alignment horizontal="center"/>
    </xf>
    <xf numFmtId="167" fontId="0" fillId="8" borderId="38" xfId="0" applyNumberFormat="1" applyFill="1" applyBorder="1" applyAlignment="1">
      <alignment horizontal="center" vertical="center"/>
    </xf>
    <xf numFmtId="0" fontId="0" fillId="7" borderId="31" xfId="0" applyFill="1" applyBorder="1" applyAlignment="1">
      <alignment horizontal="center" vertical="center"/>
    </xf>
    <xf numFmtId="0" fontId="0" fillId="7" borderId="31" xfId="0" applyFont="1" applyFill="1" applyBorder="1" applyAlignment="1">
      <alignment horizontal="center" vertical="center"/>
    </xf>
    <xf numFmtId="0" fontId="0" fillId="10" borderId="40" xfId="0" applyFill="1" applyBorder="1" applyAlignment="1">
      <alignment horizontal="center" vertical="center"/>
    </xf>
    <xf numFmtId="2" fontId="0" fillId="10" borderId="40" xfId="0" applyNumberFormat="1" applyFill="1" applyBorder="1" applyAlignment="1">
      <alignment horizontal="center" vertical="center"/>
    </xf>
    <xf numFmtId="1" fontId="0" fillId="10" borderId="40" xfId="0" applyNumberFormat="1" applyFill="1" applyBorder="1" applyAlignment="1">
      <alignment horizontal="center" vertical="center"/>
    </xf>
    <xf numFmtId="168" fontId="0" fillId="8" borderId="31" xfId="0" applyNumberFormat="1" applyFont="1" applyFill="1" applyBorder="1" applyAlignment="1">
      <alignment horizontal="center" vertical="center"/>
    </xf>
    <xf numFmtId="0" fontId="0" fillId="7" borderId="0" xfId="0" applyFill="1" applyBorder="1" applyAlignment="1">
      <alignment horizontal="center"/>
    </xf>
    <xf numFmtId="0" fontId="0" fillId="7" borderId="0" xfId="0" applyFill="1" applyAlignment="1">
      <alignment vertical="center"/>
    </xf>
    <xf numFmtId="167" fontId="0" fillId="7" borderId="0" xfId="0" applyNumberFormat="1" applyFill="1" applyAlignment="1">
      <alignment vertical="center"/>
    </xf>
    <xf numFmtId="0" fontId="30" fillId="0" borderId="0" xfId="0" applyFont="1"/>
    <xf numFmtId="0" fontId="0" fillId="7" borderId="32" xfId="0" applyFill="1" applyBorder="1" applyAlignment="1">
      <alignment wrapText="1"/>
    </xf>
    <xf numFmtId="0" fontId="0" fillId="7" borderId="31" xfId="0" applyFill="1" applyBorder="1" applyAlignment="1">
      <alignment horizontal="center" wrapText="1"/>
    </xf>
    <xf numFmtId="0" fontId="0" fillId="7" borderId="34" xfId="0" applyFill="1" applyBorder="1" applyAlignment="1">
      <alignment wrapText="1"/>
    </xf>
    <xf numFmtId="0" fontId="0" fillId="7" borderId="33" xfId="0" applyFill="1" applyBorder="1" applyAlignment="1">
      <alignment wrapText="1"/>
    </xf>
    <xf numFmtId="167" fontId="56" fillId="7" borderId="59" xfId="18" applyNumberFormat="1">
      <alignment horizontal="center" vertical="center"/>
    </xf>
    <xf numFmtId="0" fontId="56" fillId="34" borderId="59" xfId="20">
      <alignment horizontal="center" vertical="center"/>
    </xf>
    <xf numFmtId="2" fontId="56" fillId="17" borderId="59" xfId="17" applyNumberFormat="1" applyProtection="1">
      <alignment horizontal="center" vertical="center"/>
    </xf>
    <xf numFmtId="2" fontId="56" fillId="7" borderId="59" xfId="18" applyNumberFormat="1">
      <alignment horizontal="center" vertical="center"/>
    </xf>
    <xf numFmtId="0" fontId="56" fillId="33" borderId="59" xfId="19" applyProtection="1">
      <alignment horizontal="center" vertical="center"/>
    </xf>
    <xf numFmtId="0" fontId="0" fillId="13" borderId="59" xfId="23" applyFont="1">
      <alignment horizontal="center" vertical="center"/>
      <protection locked="0"/>
    </xf>
    <xf numFmtId="0" fontId="62" fillId="36" borderId="0" xfId="22">
      <alignment horizontal="center" vertical="center"/>
    </xf>
    <xf numFmtId="0" fontId="56" fillId="17" borderId="70" xfId="17" applyBorder="1" applyProtection="1">
      <alignment horizontal="center" vertical="center"/>
    </xf>
    <xf numFmtId="0" fontId="56" fillId="13" borderId="70" xfId="23" applyBorder="1">
      <alignment horizontal="center" vertical="center"/>
      <protection locked="0"/>
    </xf>
    <xf numFmtId="0" fontId="56" fillId="34" borderId="70" xfId="20" applyBorder="1">
      <alignment horizontal="center" vertical="center"/>
    </xf>
    <xf numFmtId="1" fontId="56" fillId="17" borderId="70" xfId="17" applyNumberFormat="1" applyBorder="1" applyProtection="1">
      <alignment horizontal="center" vertical="center"/>
    </xf>
    <xf numFmtId="2" fontId="56" fillId="17" borderId="70" xfId="17" applyNumberFormat="1" applyBorder="1" applyProtection="1">
      <alignment horizontal="center" vertical="center"/>
    </xf>
    <xf numFmtId="0" fontId="0" fillId="13" borderId="70" xfId="23" applyFont="1" applyBorder="1">
      <alignment horizontal="center" vertical="center"/>
      <protection locked="0"/>
    </xf>
    <xf numFmtId="167" fontId="56" fillId="7" borderId="70" xfId="18" applyNumberFormat="1" applyBorder="1">
      <alignment horizontal="center" vertical="center"/>
    </xf>
    <xf numFmtId="2" fontId="0" fillId="10" borderId="37" xfId="0" applyNumberFormat="1" applyFill="1" applyBorder="1" applyAlignment="1">
      <alignment horizontal="center"/>
    </xf>
    <xf numFmtId="1" fontId="0" fillId="7" borderId="37" xfId="0" applyNumberFormat="1" applyFill="1" applyBorder="1" applyAlignment="1">
      <alignment horizontal="center"/>
    </xf>
    <xf numFmtId="0" fontId="0" fillId="7" borderId="37" xfId="0" applyFill="1" applyBorder="1" applyAlignment="1">
      <alignment horizontal="center"/>
    </xf>
    <xf numFmtId="0" fontId="0" fillId="7" borderId="0" xfId="0" applyFill="1" applyBorder="1" applyAlignment="1">
      <alignment wrapText="1"/>
    </xf>
    <xf numFmtId="0" fontId="62" fillId="36" borderId="26" xfId="22" applyBorder="1" applyAlignment="1">
      <alignment horizontal="center" vertical="center" wrapText="1"/>
    </xf>
    <xf numFmtId="0" fontId="0" fillId="7" borderId="6" xfId="0" applyFill="1" applyBorder="1" applyAlignment="1">
      <alignment wrapText="1"/>
    </xf>
    <xf numFmtId="0" fontId="0" fillId="7" borderId="72" xfId="0" applyFill="1" applyBorder="1" applyAlignment="1">
      <alignment horizontal="center" wrapText="1"/>
    </xf>
    <xf numFmtId="0" fontId="56" fillId="7" borderId="59" xfId="18" applyNumberFormat="1">
      <alignment horizontal="center" vertical="center"/>
    </xf>
    <xf numFmtId="0" fontId="56" fillId="17" borderId="59" xfId="17" applyAlignment="1" applyProtection="1">
      <alignment horizontal="center" vertical="center"/>
    </xf>
    <xf numFmtId="1" fontId="56" fillId="7" borderId="59" xfId="18" applyNumberFormat="1">
      <alignment horizontal="center" vertical="center"/>
    </xf>
    <xf numFmtId="0" fontId="56" fillId="0" borderId="0" xfId="0" applyFont="1" applyFill="1" applyBorder="1" applyAlignment="1">
      <alignment vertical="center"/>
    </xf>
    <xf numFmtId="0" fontId="56" fillId="17" borderId="0" xfId="0" applyFont="1" applyFill="1" applyBorder="1" applyAlignment="1">
      <alignment vertical="center"/>
    </xf>
    <xf numFmtId="0" fontId="56" fillId="17" borderId="4" xfId="0" applyFont="1" applyFill="1" applyBorder="1" applyAlignment="1">
      <alignment vertical="center"/>
    </xf>
    <xf numFmtId="0" fontId="56" fillId="17" borderId="73" xfId="0" applyFont="1" applyFill="1" applyBorder="1" applyAlignment="1">
      <alignment vertical="center"/>
    </xf>
    <xf numFmtId="0" fontId="56" fillId="0" borderId="0" xfId="0" applyFont="1" applyBorder="1" applyAlignment="1">
      <alignment vertical="center"/>
    </xf>
    <xf numFmtId="0" fontId="56" fillId="0" borderId="0" xfId="0" applyFont="1" applyAlignment="1">
      <alignment vertical="center"/>
    </xf>
    <xf numFmtId="0" fontId="56" fillId="0" borderId="0" xfId="0" applyFont="1" applyAlignment="1">
      <alignment horizontal="center" vertical="center"/>
    </xf>
    <xf numFmtId="0" fontId="60" fillId="0" borderId="0" xfId="0" applyFont="1" applyBorder="1" applyAlignment="1">
      <alignment horizontal="center" vertical="center"/>
    </xf>
    <xf numFmtId="0" fontId="61" fillId="0" borderId="0" xfId="0" applyFont="1" applyBorder="1" applyAlignment="1">
      <alignment horizontal="center" vertical="center"/>
    </xf>
    <xf numFmtId="0" fontId="61" fillId="0" borderId="0" xfId="0" applyFont="1" applyFill="1" applyBorder="1" applyAlignment="1">
      <alignment horizontal="center" vertical="center"/>
    </xf>
    <xf numFmtId="0" fontId="56" fillId="34" borderId="76" xfId="20" applyBorder="1">
      <alignment horizontal="center" vertical="center"/>
    </xf>
    <xf numFmtId="0" fontId="56" fillId="34" borderId="76" xfId="20" applyBorder="1" applyAlignment="1">
      <alignment horizontal="right" vertical="center"/>
    </xf>
    <xf numFmtId="0" fontId="56" fillId="34" borderId="77" xfId="20" applyBorder="1" applyAlignment="1">
      <alignment horizontal="left" vertical="center"/>
    </xf>
    <xf numFmtId="0" fontId="56" fillId="7" borderId="77" xfId="18" applyNumberFormat="1" applyBorder="1">
      <alignment horizontal="center" vertical="center"/>
    </xf>
    <xf numFmtId="0" fontId="56" fillId="13" borderId="76" xfId="23" applyFont="1" applyBorder="1">
      <alignment horizontal="center" vertical="center"/>
      <protection locked="0"/>
    </xf>
    <xf numFmtId="0" fontId="56" fillId="0" borderId="78" xfId="0" applyFont="1" applyBorder="1" applyAlignment="1">
      <alignment vertical="center"/>
    </xf>
    <xf numFmtId="0" fontId="56" fillId="0" borderId="79" xfId="0" applyFont="1" applyBorder="1" applyAlignment="1">
      <alignment vertical="center"/>
    </xf>
    <xf numFmtId="0" fontId="56" fillId="0" borderId="80" xfId="0" applyFont="1" applyBorder="1" applyAlignment="1">
      <alignment vertical="center"/>
    </xf>
    <xf numFmtId="0" fontId="56" fillId="0" borderId="81" xfId="0" applyFont="1" applyBorder="1" applyAlignment="1">
      <alignment vertical="center"/>
    </xf>
    <xf numFmtId="0" fontId="56" fillId="0" borderId="20" xfId="0" applyFont="1" applyBorder="1" applyAlignment="1">
      <alignment vertical="center"/>
    </xf>
    <xf numFmtId="0" fontId="56" fillId="17" borderId="59" xfId="17" applyBorder="1" applyProtection="1">
      <alignment horizontal="center" vertical="center"/>
      <protection locked="0"/>
    </xf>
    <xf numFmtId="0" fontId="56" fillId="7" borderId="59" xfId="18" applyNumberFormat="1" applyBorder="1">
      <alignment horizontal="center" vertical="center"/>
    </xf>
    <xf numFmtId="0" fontId="56" fillId="34" borderId="59" xfId="20" applyBorder="1">
      <alignment horizontal="center" vertical="center"/>
    </xf>
    <xf numFmtId="0" fontId="56" fillId="0" borderId="81" xfId="0" applyFont="1" applyBorder="1" applyAlignment="1">
      <alignment horizontal="center" vertical="center"/>
    </xf>
    <xf numFmtId="0" fontId="56" fillId="0" borderId="20" xfId="0" applyFont="1" applyBorder="1" applyAlignment="1">
      <alignment horizontal="center" vertical="center"/>
    </xf>
    <xf numFmtId="0" fontId="56" fillId="0" borderId="21" xfId="0" applyFont="1" applyBorder="1" applyAlignment="1">
      <alignment vertical="center"/>
    </xf>
    <xf numFmtId="0" fontId="56" fillId="0" borderId="82" xfId="0" applyFont="1" applyBorder="1" applyAlignment="1">
      <alignment vertical="center"/>
    </xf>
    <xf numFmtId="0" fontId="56" fillId="0" borderId="83" xfId="0" applyFont="1" applyBorder="1" applyAlignment="1">
      <alignment vertical="center"/>
    </xf>
    <xf numFmtId="0" fontId="0" fillId="0" borderId="0" xfId="0"/>
    <xf numFmtId="0" fontId="56" fillId="0" borderId="7" xfId="0" applyFont="1" applyBorder="1" applyAlignment="1">
      <alignment vertical="center"/>
    </xf>
    <xf numFmtId="0" fontId="56" fillId="17" borderId="76" xfId="17" applyBorder="1" applyProtection="1">
      <alignment horizontal="center" vertical="center"/>
    </xf>
    <xf numFmtId="0" fontId="56" fillId="34" borderId="84" xfId="20" applyFont="1" applyBorder="1">
      <alignment horizontal="center" vertical="center"/>
    </xf>
    <xf numFmtId="0" fontId="56" fillId="17" borderId="84" xfId="17" applyNumberFormat="1" applyFont="1" applyBorder="1" applyProtection="1">
      <alignment horizontal="center" vertical="center"/>
    </xf>
    <xf numFmtId="0" fontId="56" fillId="13" borderId="84" xfId="23" applyFont="1" applyBorder="1">
      <alignment horizontal="center" vertical="center"/>
      <protection locked="0"/>
    </xf>
    <xf numFmtId="0" fontId="56" fillId="0" borderId="4" xfId="0" applyFont="1" applyBorder="1" applyAlignment="1">
      <alignment vertical="center"/>
    </xf>
    <xf numFmtId="0" fontId="56" fillId="7" borderId="85" xfId="18" applyNumberFormat="1" applyFont="1" applyBorder="1">
      <alignment horizontal="center" vertical="center"/>
    </xf>
    <xf numFmtId="0" fontId="56" fillId="0" borderId="6" xfId="0" applyFont="1" applyBorder="1" applyAlignment="1">
      <alignment vertical="center"/>
    </xf>
    <xf numFmtId="0" fontId="56" fillId="17" borderId="76"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6" fillId="0" borderId="0" xfId="0" applyFont="1" applyBorder="1" applyAlignment="1">
      <alignment horizontal="left" vertical="center"/>
    </xf>
    <xf numFmtId="0" fontId="56" fillId="0" borderId="4" xfId="0" applyFont="1" applyBorder="1" applyAlignment="1">
      <alignment horizontal="left" vertical="center"/>
    </xf>
    <xf numFmtId="0" fontId="0" fillId="0" borderId="0" xfId="0" applyAlignment="1">
      <alignment horizontal="center" vertical="center"/>
    </xf>
    <xf numFmtId="0" fontId="0" fillId="13" borderId="59" xfId="23" applyFont="1" applyAlignment="1">
      <alignment horizontal="center" vertical="center"/>
      <protection locked="0"/>
    </xf>
    <xf numFmtId="0" fontId="56" fillId="7" borderId="59" xfId="18" applyNumberFormat="1" applyAlignment="1">
      <alignment horizontal="center" vertical="center"/>
    </xf>
    <xf numFmtId="1" fontId="0" fillId="7" borderId="31" xfId="0" applyNumberFormat="1" applyFill="1" applyBorder="1" applyAlignment="1">
      <alignment horizontal="center" vertical="center"/>
    </xf>
    <xf numFmtId="0" fontId="0" fillId="7" borderId="0" xfId="0" applyFill="1" applyAlignment="1">
      <alignment horizontal="center" vertical="center"/>
    </xf>
    <xf numFmtId="0" fontId="31" fillId="7" borderId="0" xfId="0" applyFont="1" applyFill="1" applyAlignment="1">
      <alignment horizontal="center" vertical="center"/>
    </xf>
    <xf numFmtId="167" fontId="56" fillId="7" borderId="59" xfId="18" applyNumberFormat="1" applyAlignment="1">
      <alignment horizontal="center" vertical="center"/>
    </xf>
    <xf numFmtId="0" fontId="0" fillId="0" borderId="74" xfId="0" applyBorder="1" applyAlignment="1">
      <alignment horizontal="center" vertical="center"/>
    </xf>
    <xf numFmtId="0" fontId="56" fillId="34" borderId="59" xfId="20" applyAlignment="1">
      <alignment horizontal="center" vertical="center"/>
    </xf>
    <xf numFmtId="0" fontId="56" fillId="33" borderId="59" xfId="19" applyAlignment="1" applyProtection="1">
      <alignment horizontal="center" vertical="center"/>
    </xf>
    <xf numFmtId="2" fontId="56" fillId="17" borderId="59" xfId="17" applyNumberFormat="1" applyAlignment="1" applyProtection="1">
      <alignment horizontal="center" vertical="center"/>
    </xf>
    <xf numFmtId="1" fontId="56" fillId="7" borderId="59" xfId="18" applyNumberFormat="1" applyAlignment="1">
      <alignment horizontal="center" vertical="center"/>
    </xf>
    <xf numFmtId="2" fontId="56" fillId="7" borderId="59" xfId="18" applyNumberFormat="1" applyAlignment="1">
      <alignment horizontal="center" vertical="center"/>
    </xf>
    <xf numFmtId="2" fontId="56" fillId="34" borderId="76" xfId="20" applyNumberFormat="1" applyBorder="1">
      <alignment horizontal="center" vertical="center"/>
    </xf>
    <xf numFmtId="167" fontId="56" fillId="34" borderId="76" xfId="20" applyNumberFormat="1" applyBorder="1">
      <alignment horizontal="center" vertical="center"/>
    </xf>
    <xf numFmtId="2" fontId="56" fillId="0" borderId="0" xfId="0" applyNumberFormat="1" applyFont="1" applyAlignment="1">
      <alignment vertical="center"/>
    </xf>
    <xf numFmtId="0" fontId="0" fillId="7" borderId="0" xfId="0" applyFill="1" applyBorder="1" applyAlignment="1">
      <alignment horizontal="center"/>
    </xf>
    <xf numFmtId="0" fontId="58" fillId="37" borderId="75" xfId="24" applyBorder="1" applyAlignment="1">
      <alignment horizontal="center" vertical="center"/>
    </xf>
    <xf numFmtId="0" fontId="0" fillId="10" borderId="31" xfId="0" applyNumberFormat="1" applyFont="1" applyFill="1" applyBorder="1" applyAlignment="1">
      <alignment horizontal="center"/>
    </xf>
    <xf numFmtId="0" fontId="56" fillId="0" borderId="2" xfId="0" quotePrefix="1" applyFont="1" applyBorder="1" applyAlignment="1">
      <alignment horizontal="center" vertical="top"/>
    </xf>
    <xf numFmtId="0" fontId="56" fillId="17" borderId="76" xfId="17" applyBorder="1" applyAlignment="1">
      <alignment vertical="center"/>
      <protection locked="0"/>
    </xf>
    <xf numFmtId="168" fontId="56" fillId="34" borderId="76" xfId="20" applyNumberFormat="1" applyBorder="1">
      <alignment horizontal="center" vertical="center"/>
    </xf>
    <xf numFmtId="0" fontId="0" fillId="7" borderId="0" xfId="0" applyFill="1" applyBorder="1" applyAlignment="1">
      <alignment horizontal="center"/>
    </xf>
    <xf numFmtId="0" fontId="56" fillId="7" borderId="59" xfId="18" applyNumberFormat="1">
      <alignment horizontal="center" vertical="center"/>
    </xf>
    <xf numFmtId="0" fontId="56" fillId="7" borderId="59" xfId="18" applyNumberFormat="1" applyAlignment="1">
      <alignment horizontal="center" vertical="center"/>
    </xf>
    <xf numFmtId="0" fontId="58" fillId="37" borderId="0" xfId="24" applyBorder="1" applyAlignment="1">
      <alignment horizontal="right" vertical="center"/>
    </xf>
    <xf numFmtId="0" fontId="56" fillId="0" borderId="0" xfId="0" applyFont="1" applyBorder="1" applyAlignment="1">
      <alignment horizontal="center" vertical="center"/>
    </xf>
    <xf numFmtId="0" fontId="56" fillId="7" borderId="91" xfId="18" applyNumberFormat="1" applyBorder="1" applyAlignment="1">
      <alignment vertical="center"/>
    </xf>
    <xf numFmtId="0" fontId="56" fillId="33" borderId="59" xfId="19" applyBorder="1" applyProtection="1">
      <alignment horizontal="center" vertical="center"/>
    </xf>
    <xf numFmtId="0" fontId="65" fillId="13" borderId="59" xfId="23" applyFont="1" applyBorder="1">
      <alignment horizontal="center" vertical="center"/>
      <protection locked="0"/>
    </xf>
    <xf numFmtId="0" fontId="58" fillId="0" borderId="0" xfId="0" applyFont="1" applyBorder="1" applyAlignment="1">
      <alignment vertical="center"/>
    </xf>
    <xf numFmtId="0" fontId="56" fillId="33" borderId="59" xfId="19" applyBorder="1" applyProtection="1">
      <alignment horizontal="center" vertical="center"/>
      <protection locked="0"/>
    </xf>
    <xf numFmtId="0" fontId="56" fillId="33" borderId="59" xfId="19" applyNumberFormat="1" applyBorder="1" applyProtection="1">
      <alignment horizontal="center" vertical="center"/>
    </xf>
    <xf numFmtId="0" fontId="56" fillId="33" borderId="59" xfId="19" applyBorder="1" applyAlignment="1" applyProtection="1">
      <alignment horizontal="center" vertical="center"/>
    </xf>
    <xf numFmtId="0" fontId="64" fillId="13" borderId="59" xfId="23" applyFont="1" applyBorder="1" applyAlignment="1">
      <alignment horizontal="right" vertical="center"/>
      <protection locked="0"/>
    </xf>
    <xf numFmtId="0" fontId="0" fillId="0" borderId="0" xfId="0" quotePrefix="1" applyBorder="1" applyAlignment="1">
      <alignment vertical="top"/>
    </xf>
    <xf numFmtId="0" fontId="0" fillId="0" borderId="82" xfId="0" applyBorder="1"/>
    <xf numFmtId="0" fontId="0" fillId="0" borderId="79" xfId="0" applyBorder="1"/>
    <xf numFmtId="0" fontId="56" fillId="0" borderId="79" xfId="0" applyFont="1" applyFill="1" applyBorder="1" applyAlignment="1">
      <alignment vertical="center"/>
    </xf>
    <xf numFmtId="168" fontId="56" fillId="17" borderId="59" xfId="17" applyNumberFormat="1" applyProtection="1">
      <alignment horizontal="center" vertical="center"/>
    </xf>
    <xf numFmtId="1" fontId="56" fillId="17" borderId="59" xfId="17" applyNumberFormat="1" applyProtection="1">
      <alignment horizontal="center" vertical="center"/>
    </xf>
    <xf numFmtId="0" fontId="58" fillId="37" borderId="0" xfId="24" applyBorder="1" applyAlignment="1"/>
    <xf numFmtId="0" fontId="58" fillId="37" borderId="0" xfId="24" applyBorder="1" applyAlignment="1">
      <alignment horizontal="right"/>
    </xf>
    <xf numFmtId="2" fontId="56" fillId="17" borderId="59" xfId="17" applyNumberFormat="1" applyProtection="1">
      <alignment horizontal="center" vertical="center"/>
      <protection locked="0"/>
    </xf>
    <xf numFmtId="1" fontId="56" fillId="17" borderId="59" xfId="17" applyNumberFormat="1" applyProtection="1">
      <alignment horizontal="center" vertical="center"/>
      <protection locked="0"/>
    </xf>
    <xf numFmtId="0" fontId="56" fillId="17" borderId="59" xfId="17" applyNumberFormat="1" applyProtection="1">
      <alignment horizontal="center" vertical="center"/>
      <protection locked="0"/>
    </xf>
    <xf numFmtId="0" fontId="56" fillId="35" borderId="59" xfId="21">
      <alignment horizontal="center" vertical="center"/>
      <protection locked="0"/>
    </xf>
    <xf numFmtId="1" fontId="56" fillId="33" borderId="59" xfId="19" applyNumberFormat="1" applyProtection="1">
      <alignment horizontal="center" vertical="center"/>
    </xf>
    <xf numFmtId="0" fontId="56" fillId="34" borderId="59" xfId="20">
      <alignment horizontal="center" vertical="center"/>
    </xf>
    <xf numFmtId="165" fontId="70" fillId="3" borderId="0" xfId="0" applyNumberFormat="1" applyFont="1" applyFill="1"/>
    <xf numFmtId="0" fontId="56" fillId="3" borderId="0" xfId="0" applyFont="1" applyFill="1" applyAlignment="1">
      <alignment horizontal="center"/>
    </xf>
    <xf numFmtId="0" fontId="56" fillId="3" borderId="0" xfId="0" applyFont="1" applyFill="1"/>
    <xf numFmtId="0" fontId="70" fillId="3" borderId="0" xfId="0" applyFont="1" applyFill="1"/>
    <xf numFmtId="0" fontId="56" fillId="2" borderId="8" xfId="0" applyFont="1" applyFill="1" applyBorder="1"/>
    <xf numFmtId="0" fontId="56" fillId="2" borderId="9" xfId="0" applyFont="1" applyFill="1" applyBorder="1"/>
    <xf numFmtId="0" fontId="56" fillId="2" borderId="10" xfId="0" applyFont="1" applyFill="1" applyBorder="1"/>
    <xf numFmtId="0" fontId="71" fillId="2" borderId="0" xfId="0" applyFont="1" applyFill="1" applyBorder="1"/>
    <xf numFmtId="0" fontId="72" fillId="2" borderId="12" xfId="0" applyFont="1" applyFill="1" applyBorder="1" applyAlignment="1">
      <alignment horizontal="left"/>
    </xf>
    <xf numFmtId="0" fontId="56" fillId="2" borderId="0" xfId="0" applyFont="1" applyFill="1" applyBorder="1" applyAlignment="1">
      <alignment horizontal="right"/>
    </xf>
    <xf numFmtId="0" fontId="56" fillId="2" borderId="12" xfId="0" applyFont="1" applyFill="1" applyBorder="1"/>
    <xf numFmtId="0" fontId="56" fillId="2" borderId="11" xfId="0" applyFont="1" applyFill="1" applyBorder="1" applyAlignment="1">
      <alignment horizontal="center"/>
    </xf>
    <xf numFmtId="0" fontId="56" fillId="2" borderId="0" xfId="0" applyFont="1" applyFill="1" applyBorder="1"/>
    <xf numFmtId="0" fontId="73" fillId="2" borderId="0" xfId="0" applyFont="1" applyFill="1" applyBorder="1"/>
    <xf numFmtId="0" fontId="72" fillId="2" borderId="0" xfId="0" applyFont="1" applyFill="1" applyBorder="1" applyAlignment="1">
      <alignment horizontal="right"/>
    </xf>
    <xf numFmtId="0" fontId="56" fillId="2" borderId="0" xfId="0" applyFont="1" applyFill="1" applyBorder="1" applyAlignment="1">
      <alignment horizontal="center"/>
    </xf>
    <xf numFmtId="0" fontId="75" fillId="3" borderId="0" xfId="0" applyFont="1" applyFill="1"/>
    <xf numFmtId="0" fontId="76" fillId="2" borderId="11" xfId="0" applyFont="1" applyFill="1" applyBorder="1" applyAlignment="1">
      <alignment horizontal="center"/>
    </xf>
    <xf numFmtId="0" fontId="56" fillId="2" borderId="12" xfId="0" applyFont="1" applyFill="1" applyBorder="1" applyAlignment="1">
      <alignment horizontal="left"/>
    </xf>
    <xf numFmtId="0" fontId="71" fillId="7" borderId="0" xfId="0" applyFont="1" applyFill="1" applyBorder="1"/>
    <xf numFmtId="0" fontId="56" fillId="3" borderId="0" xfId="0" applyFont="1" applyFill="1" applyBorder="1"/>
    <xf numFmtId="0" fontId="77" fillId="3" borderId="0" xfId="0" applyFont="1" applyFill="1" applyBorder="1" applyAlignment="1">
      <alignment horizontal="left"/>
    </xf>
    <xf numFmtId="168" fontId="77" fillId="3" borderId="0" xfId="0" applyNumberFormat="1" applyFont="1" applyFill="1" applyBorder="1" applyAlignment="1">
      <alignment horizontal="right"/>
    </xf>
    <xf numFmtId="0" fontId="71" fillId="7" borderId="0" xfId="0" quotePrefix="1" applyFont="1" applyFill="1" applyBorder="1" applyAlignment="1">
      <alignment horizontal="left"/>
    </xf>
    <xf numFmtId="168" fontId="78" fillId="3" borderId="0" xfId="0" applyNumberFormat="1" applyFont="1" applyFill="1" applyBorder="1" applyAlignment="1">
      <alignment horizontal="left"/>
    </xf>
    <xf numFmtId="0" fontId="79" fillId="3" borderId="0" xfId="0" applyFont="1" applyFill="1" applyBorder="1"/>
    <xf numFmtId="0" fontId="56" fillId="7" borderId="0" xfId="0" quotePrefix="1" applyFont="1" applyFill="1" applyBorder="1" applyAlignment="1">
      <alignment horizontal="left"/>
    </xf>
    <xf numFmtId="0" fontId="56" fillId="7" borderId="0" xfId="0" applyFont="1" applyFill="1" applyBorder="1"/>
    <xf numFmtId="2" fontId="72" fillId="3" borderId="0" xfId="0" applyNumberFormat="1" applyFont="1" applyFill="1" applyBorder="1"/>
    <xf numFmtId="0" fontId="72" fillId="3" borderId="0" xfId="0" applyFont="1" applyFill="1" applyBorder="1"/>
    <xf numFmtId="0" fontId="72" fillId="3" borderId="0" xfId="0" applyFont="1" applyFill="1"/>
    <xf numFmtId="0" fontId="56" fillId="2" borderId="13" xfId="0" applyFont="1" applyFill="1" applyBorder="1" applyAlignment="1">
      <alignment horizontal="center"/>
    </xf>
    <xf numFmtId="0" fontId="56" fillId="2" borderId="14" xfId="0" applyFont="1" applyFill="1" applyBorder="1"/>
    <xf numFmtId="0" fontId="56" fillId="2" borderId="15" xfId="0" applyFont="1" applyFill="1" applyBorder="1"/>
    <xf numFmtId="164" fontId="56" fillId="33" borderId="59" xfId="19" applyNumberFormat="1" applyProtection="1">
      <alignment horizontal="center" vertical="center"/>
    </xf>
    <xf numFmtId="164" fontId="56" fillId="34" borderId="59" xfId="20" applyNumberFormat="1">
      <alignment horizontal="center" vertical="center"/>
    </xf>
    <xf numFmtId="0" fontId="56" fillId="38" borderId="59" xfId="20" applyFill="1">
      <alignment horizontal="center" vertical="center"/>
    </xf>
    <xf numFmtId="0" fontId="56" fillId="35" borderId="70" xfId="21" applyBorder="1">
      <alignment horizontal="center" vertical="center"/>
      <protection locked="0"/>
    </xf>
    <xf numFmtId="164" fontId="56" fillId="33" borderId="70" xfId="19" applyNumberFormat="1" applyBorder="1" applyProtection="1">
      <alignment horizontal="center" vertical="center"/>
    </xf>
    <xf numFmtId="164" fontId="56" fillId="34" borderId="70" xfId="20" applyNumberFormat="1" applyBorder="1">
      <alignment horizontal="center" vertical="center"/>
    </xf>
    <xf numFmtId="164" fontId="56" fillId="17" borderId="70" xfId="17" applyNumberFormat="1" applyBorder="1" applyProtection="1">
      <alignment horizontal="center" vertical="center"/>
    </xf>
    <xf numFmtId="164" fontId="56" fillId="34" borderId="70" xfId="20" applyNumberFormat="1" applyFont="1" applyBorder="1">
      <alignment horizontal="center" vertical="center"/>
    </xf>
    <xf numFmtId="0" fontId="58" fillId="37" borderId="0" xfId="24" applyBorder="1" applyAlignment="1">
      <alignment horizontal="center" vertical="center" wrapText="1"/>
    </xf>
    <xf numFmtId="0" fontId="58" fillId="37" borderId="50" xfId="24" applyBorder="1" applyAlignment="1">
      <alignment horizontal="center" vertical="center"/>
    </xf>
    <xf numFmtId="0" fontId="58" fillId="37" borderId="39" xfId="24" applyBorder="1" applyAlignment="1">
      <alignment horizontal="center" vertical="center"/>
    </xf>
    <xf numFmtId="0" fontId="58" fillId="37" borderId="50" xfId="24" applyBorder="1" applyAlignment="1">
      <alignment horizontal="center" vertical="center" wrapText="1"/>
    </xf>
    <xf numFmtId="0" fontId="56" fillId="17" borderId="59" xfId="17" applyNumberFormat="1" applyProtection="1">
      <alignment horizontal="center" vertical="center"/>
    </xf>
    <xf numFmtId="0" fontId="58" fillId="37" borderId="17" xfId="24" applyBorder="1" applyAlignment="1">
      <alignment horizontal="right"/>
    </xf>
    <xf numFmtId="0" fontId="28" fillId="7" borderId="0" xfId="0" applyFont="1" applyFill="1" applyAlignment="1">
      <alignment horizontal="center" vertical="center"/>
    </xf>
    <xf numFmtId="0" fontId="0" fillId="7" borderId="40" xfId="0" applyFill="1" applyBorder="1" applyAlignment="1">
      <alignment horizontal="center" vertical="center"/>
    </xf>
    <xf numFmtId="0" fontId="58" fillId="37" borderId="40" xfId="24" applyBorder="1" applyAlignment="1">
      <alignment horizontal="center"/>
    </xf>
    <xf numFmtId="0" fontId="0" fillId="0" borderId="0" xfId="0" applyBorder="1"/>
    <xf numFmtId="0" fontId="0" fillId="0" borderId="0" xfId="0" applyBorder="1"/>
    <xf numFmtId="0" fontId="0" fillId="0" borderId="93" xfId="0" applyBorder="1"/>
    <xf numFmtId="0" fontId="0" fillId="0" borderId="94" xfId="0" applyBorder="1"/>
    <xf numFmtId="0" fontId="0" fillId="0" borderId="88" xfId="0" applyBorder="1"/>
    <xf numFmtId="0" fontId="0" fillId="0" borderId="96" xfId="0" applyBorder="1"/>
    <xf numFmtId="0" fontId="56" fillId="0" borderId="0" xfId="0" applyFont="1" applyAlignment="1">
      <alignment horizontal="center" vertical="center" wrapText="1"/>
    </xf>
    <xf numFmtId="0" fontId="62" fillId="36" borderId="0" xfId="22" applyAlignment="1">
      <alignment horizontal="center" vertical="center" wrapText="1"/>
    </xf>
    <xf numFmtId="0" fontId="56" fillId="33" borderId="59" xfId="19" applyBorder="1" applyProtection="1">
      <alignment horizontal="center" vertical="center"/>
      <protection locked="0"/>
    </xf>
    <xf numFmtId="0" fontId="58" fillId="37" borderId="0" xfId="24" applyBorder="1" applyAlignment="1">
      <alignment horizontal="right" vertical="center"/>
    </xf>
    <xf numFmtId="0" fontId="56" fillId="0" borderId="0" xfId="0" applyFont="1" applyBorder="1" applyAlignment="1">
      <alignment horizontal="center" vertical="center"/>
    </xf>
    <xf numFmtId="0" fontId="0" fillId="0" borderId="0" xfId="0" applyBorder="1"/>
    <xf numFmtId="0" fontId="58" fillId="37" borderId="0" xfId="24" applyBorder="1" applyAlignment="1">
      <alignment horizontal="center" vertical="center"/>
    </xf>
    <xf numFmtId="0" fontId="58" fillId="37" borderId="0" xfId="24" applyBorder="1" applyAlignment="1">
      <alignment horizontal="center" vertical="center"/>
    </xf>
    <xf numFmtId="0" fontId="56" fillId="34" borderId="59" xfId="20" applyBorder="1" applyAlignment="1">
      <alignment horizontal="center" vertical="center"/>
    </xf>
    <xf numFmtId="0" fontId="56" fillId="17" borderId="59" xfId="17" applyBorder="1" applyAlignment="1" applyProtection="1">
      <alignment horizontal="center" vertical="center"/>
    </xf>
    <xf numFmtId="2" fontId="56" fillId="17" borderId="76" xfId="17" applyNumberFormat="1" applyBorder="1" applyAlignment="1" applyProtection="1">
      <alignment horizontal="center" vertical="center"/>
    </xf>
    <xf numFmtId="0" fontId="0" fillId="0" borderId="0" xfId="0" applyBorder="1"/>
    <xf numFmtId="0" fontId="58" fillId="37" borderId="31" xfId="24" applyBorder="1" applyAlignment="1">
      <alignment horizontal="center" vertical="center" wrapText="1"/>
    </xf>
    <xf numFmtId="0" fontId="56" fillId="34" borderId="59" xfId="20">
      <alignment horizontal="center" vertical="center"/>
    </xf>
    <xf numFmtId="168" fontId="56" fillId="34" borderId="59" xfId="20" applyNumberFormat="1" applyAlignment="1">
      <alignment horizontal="center" vertical="center"/>
    </xf>
    <xf numFmtId="0" fontId="58" fillId="37" borderId="0" xfId="24" applyBorder="1" applyAlignment="1">
      <alignment vertical="center" wrapText="1"/>
    </xf>
    <xf numFmtId="2" fontId="56" fillId="17" borderId="76" xfId="17" applyNumberFormat="1" applyBorder="1" applyAlignment="1" applyProtection="1">
      <alignment horizontal="right" vertical="center"/>
    </xf>
    <xf numFmtId="168" fontId="43" fillId="7" borderId="0" xfId="0" applyNumberFormat="1" applyFont="1" applyFill="1"/>
    <xf numFmtId="2" fontId="56" fillId="17" borderId="76" xfId="17" applyNumberFormat="1" applyBorder="1" applyProtection="1">
      <alignment horizontal="center" vertical="center"/>
    </xf>
    <xf numFmtId="0" fontId="0" fillId="7" borderId="97" xfId="0" applyFill="1" applyBorder="1" applyAlignment="1">
      <alignment horizontal="center" vertical="center"/>
    </xf>
    <xf numFmtId="0" fontId="0" fillId="13" borderId="101" xfId="23" applyFont="1" applyBorder="1" applyAlignment="1">
      <alignment horizontal="center" vertical="center"/>
      <protection locked="0"/>
    </xf>
    <xf numFmtId="0" fontId="0" fillId="13" borderId="59" xfId="23" applyFont="1" applyBorder="1" applyAlignment="1">
      <alignment horizontal="center" vertical="center"/>
      <protection locked="0"/>
    </xf>
    <xf numFmtId="2" fontId="56" fillId="33" borderId="59" xfId="19" applyNumberFormat="1" applyBorder="1" applyAlignment="1" applyProtection="1">
      <alignment horizontal="center" vertical="center"/>
    </xf>
    <xf numFmtId="2" fontId="56" fillId="17" borderId="59" xfId="17" applyNumberFormat="1" applyBorder="1" applyAlignment="1" applyProtection="1">
      <alignment horizontal="center" vertical="center"/>
    </xf>
    <xf numFmtId="0" fontId="0" fillId="7" borderId="97" xfId="0" applyFill="1" applyBorder="1"/>
    <xf numFmtId="0" fontId="80" fillId="0" borderId="0" xfId="0" applyFont="1" applyBorder="1" applyAlignment="1">
      <alignment vertical="center"/>
    </xf>
    <xf numFmtId="0" fontId="81" fillId="0" borderId="0" xfId="0" quotePrefix="1" applyFont="1" applyFill="1" applyBorder="1" applyAlignment="1">
      <alignment vertical="top"/>
    </xf>
    <xf numFmtId="0" fontId="81" fillId="0" borderId="0" xfId="0" quotePrefix="1" applyFont="1" applyBorder="1" applyAlignment="1">
      <alignment vertical="top"/>
    </xf>
    <xf numFmtId="0" fontId="80" fillId="0" borderId="0" xfId="0" applyFont="1" applyFill="1" applyBorder="1" applyAlignment="1">
      <alignment vertical="center"/>
    </xf>
    <xf numFmtId="0" fontId="56" fillId="7" borderId="77" xfId="18" applyNumberFormat="1" applyFont="1" applyBorder="1">
      <alignment horizontal="center" vertical="center"/>
    </xf>
    <xf numFmtId="0" fontId="56" fillId="34" borderId="76" xfId="20" applyFont="1" applyBorder="1">
      <alignment horizontal="center" vertical="center"/>
    </xf>
    <xf numFmtId="2" fontId="56" fillId="34" borderId="76" xfId="20" applyNumberFormat="1" applyFont="1" applyBorder="1">
      <alignment horizontal="center" vertical="center"/>
    </xf>
    <xf numFmtId="0" fontId="80" fillId="17" borderId="59" xfId="17" applyFont="1" applyProtection="1">
      <alignment horizontal="center" vertical="center"/>
    </xf>
    <xf numFmtId="0" fontId="80" fillId="7" borderId="59" xfId="18" applyNumberFormat="1" applyFont="1">
      <alignment horizontal="center" vertical="center"/>
    </xf>
    <xf numFmtId="1" fontId="80" fillId="7" borderId="59" xfId="18" applyNumberFormat="1" applyFont="1">
      <alignment horizontal="center" vertical="center"/>
    </xf>
    <xf numFmtId="1" fontId="56" fillId="17" borderId="76" xfId="17" applyNumberFormat="1" applyBorder="1" applyAlignment="1" applyProtection="1">
      <alignment horizontal="center" vertical="center"/>
    </xf>
    <xf numFmtId="168" fontId="56" fillId="17" borderId="76" xfId="17" applyNumberFormat="1" applyBorder="1" applyAlignment="1" applyProtection="1">
      <alignment horizontal="right" vertical="center"/>
    </xf>
    <xf numFmtId="0" fontId="56" fillId="34" borderId="59" xfId="20" applyNumberFormat="1">
      <alignment horizontal="center" vertical="center"/>
    </xf>
    <xf numFmtId="1" fontId="56" fillId="17" borderId="76" xfId="17" applyNumberFormat="1" applyBorder="1" applyAlignment="1" applyProtection="1">
      <alignment vertical="center"/>
    </xf>
    <xf numFmtId="0" fontId="56" fillId="7" borderId="77" xfId="18" applyNumberFormat="1" applyBorder="1">
      <alignment horizontal="center" vertical="center"/>
    </xf>
    <xf numFmtId="0" fontId="58" fillId="37" borderId="0" xfId="24" applyBorder="1" applyAlignment="1">
      <alignment horizontal="center" vertical="center" wrapText="1"/>
    </xf>
    <xf numFmtId="164" fontId="56" fillId="38" borderId="70" xfId="3" applyFont="1" applyFill="1" applyBorder="1" applyAlignment="1">
      <alignment vertical="center"/>
    </xf>
    <xf numFmtId="175" fontId="56" fillId="33" borderId="70" xfId="19" applyNumberFormat="1" applyBorder="1" applyAlignment="1" applyProtection="1">
      <alignment horizontal="center" vertical="center"/>
    </xf>
    <xf numFmtId="1" fontId="56" fillId="17" borderId="70" xfId="17" applyNumberFormat="1" applyBorder="1" applyAlignment="1" applyProtection="1">
      <alignment horizontal="center" vertical="center"/>
    </xf>
    <xf numFmtId="10" fontId="56" fillId="7" borderId="59" xfId="18" applyNumberFormat="1">
      <alignment horizontal="center" vertical="center"/>
    </xf>
    <xf numFmtId="0" fontId="56" fillId="34" borderId="59" xfId="20">
      <alignment horizontal="center" vertical="center"/>
    </xf>
    <xf numFmtId="0" fontId="56" fillId="7" borderId="77" xfId="18" applyNumberFormat="1" applyBorder="1">
      <alignment horizontal="center" vertical="center"/>
    </xf>
    <xf numFmtId="0" fontId="56" fillId="34" borderId="59" xfId="20">
      <alignment horizontal="center" vertical="center"/>
    </xf>
    <xf numFmtId="1" fontId="56" fillId="17" borderId="76" xfId="17" applyNumberFormat="1" applyBorder="1" applyProtection="1">
      <alignment horizontal="center" vertical="center"/>
    </xf>
    <xf numFmtId="1" fontId="56" fillId="33" borderId="76" xfId="19" applyNumberFormat="1" applyBorder="1" applyProtection="1">
      <alignment horizontal="center" vertical="center"/>
    </xf>
    <xf numFmtId="0" fontId="56" fillId="0" borderId="6" xfId="0" applyFont="1" applyFill="1" applyBorder="1" applyAlignment="1">
      <alignment vertical="center"/>
    </xf>
    <xf numFmtId="0" fontId="0" fillId="0" borderId="6" xfId="0" applyBorder="1"/>
    <xf numFmtId="0" fontId="56" fillId="7" borderId="103" xfId="18" applyNumberFormat="1" applyBorder="1">
      <alignment horizontal="center" vertical="center"/>
    </xf>
    <xf numFmtId="0" fontId="56" fillId="17" borderId="104" xfId="17" applyBorder="1" applyProtection="1">
      <alignment horizontal="center" vertical="center"/>
    </xf>
    <xf numFmtId="0" fontId="56" fillId="34" borderId="104" xfId="20" applyBorder="1">
      <alignment horizontal="center" vertical="center"/>
    </xf>
    <xf numFmtId="0" fontId="56" fillId="7" borderId="105" xfId="18" applyNumberFormat="1" applyBorder="1">
      <alignment horizontal="center" vertical="center"/>
    </xf>
    <xf numFmtId="0" fontId="56" fillId="7" borderId="106" xfId="18" applyNumberFormat="1" applyBorder="1">
      <alignment horizontal="center" vertical="center"/>
    </xf>
    <xf numFmtId="0" fontId="56" fillId="17" borderId="59" xfId="17" applyBorder="1" applyProtection="1">
      <alignment horizontal="center" vertical="center"/>
    </xf>
    <xf numFmtId="0" fontId="56" fillId="7" borderId="107" xfId="18" applyNumberFormat="1" applyBorder="1">
      <alignment horizontal="center" vertical="center"/>
    </xf>
    <xf numFmtId="0" fontId="56" fillId="7" borderId="108" xfId="18" applyNumberFormat="1" applyBorder="1">
      <alignment horizontal="center" vertical="center"/>
    </xf>
    <xf numFmtId="0" fontId="56" fillId="7" borderId="111" xfId="18" applyNumberFormat="1" applyBorder="1">
      <alignment horizontal="center" vertical="center"/>
    </xf>
    <xf numFmtId="0" fontId="56" fillId="7" borderId="112" xfId="18" applyNumberFormat="1" applyBorder="1">
      <alignment horizontal="center" vertical="center"/>
    </xf>
    <xf numFmtId="0" fontId="56" fillId="17" borderId="91" xfId="17" applyBorder="1" applyProtection="1">
      <alignment horizontal="center" vertical="center"/>
    </xf>
    <xf numFmtId="171" fontId="74" fillId="2" borderId="0" xfId="0" applyNumberFormat="1" applyFont="1" applyFill="1" applyBorder="1" applyAlignment="1">
      <alignment horizontal="left"/>
    </xf>
    <xf numFmtId="9" fontId="56" fillId="17" borderId="91" xfId="17" applyNumberFormat="1" applyBorder="1" applyProtection="1">
      <alignment horizontal="center" vertical="center"/>
    </xf>
    <xf numFmtId="0" fontId="56" fillId="7" borderId="113" xfId="18" applyNumberFormat="1" applyBorder="1">
      <alignment horizontal="center" vertical="center"/>
    </xf>
    <xf numFmtId="0" fontId="56" fillId="7" borderId="114" xfId="18" applyNumberFormat="1" applyBorder="1">
      <alignment horizontal="center" vertical="center"/>
    </xf>
    <xf numFmtId="0" fontId="56" fillId="34" borderId="115" xfId="20" applyBorder="1">
      <alignment horizontal="center" vertical="center"/>
    </xf>
    <xf numFmtId="0" fontId="56" fillId="7" borderId="116" xfId="18" applyNumberFormat="1" applyBorder="1">
      <alignment horizontal="center" vertical="center"/>
    </xf>
    <xf numFmtId="0" fontId="56" fillId="7" borderId="117" xfId="18" applyNumberFormat="1" applyBorder="1">
      <alignment horizontal="center" vertical="center"/>
    </xf>
    <xf numFmtId="0" fontId="56" fillId="7" borderId="103" xfId="18" quotePrefix="1" applyNumberFormat="1" applyBorder="1">
      <alignment horizontal="center" vertical="center"/>
    </xf>
    <xf numFmtId="0" fontId="71" fillId="2" borderId="118" xfId="0" quotePrefix="1" applyFont="1" applyFill="1" applyBorder="1" applyAlignment="1">
      <alignment horizontal="left"/>
    </xf>
    <xf numFmtId="2" fontId="56" fillId="17" borderId="104" xfId="17" applyNumberFormat="1" applyBorder="1" applyProtection="1">
      <alignment horizontal="center" vertical="center"/>
    </xf>
    <xf numFmtId="2" fontId="56" fillId="17" borderId="59" xfId="17" applyNumberFormat="1" applyBorder="1" applyProtection="1">
      <alignment horizontal="center" vertical="center"/>
    </xf>
    <xf numFmtId="0" fontId="56" fillId="7" borderId="108" xfId="18" quotePrefix="1" applyNumberFormat="1" applyBorder="1">
      <alignment horizontal="center" vertical="center"/>
    </xf>
    <xf numFmtId="0" fontId="71" fillId="2" borderId="110" xfId="0" quotePrefix="1" applyFont="1" applyFill="1" applyBorder="1" applyAlignment="1">
      <alignment horizontal="left"/>
    </xf>
    <xf numFmtId="0" fontId="56" fillId="34" borderId="109" xfId="20" applyBorder="1">
      <alignment horizontal="center" vertical="center"/>
    </xf>
    <xf numFmtId="0" fontId="71" fillId="7" borderId="118" xfId="0" applyFont="1" applyFill="1" applyBorder="1"/>
    <xf numFmtId="0" fontId="56" fillId="7" borderId="106" xfId="18" quotePrefix="1" applyNumberFormat="1" applyBorder="1">
      <alignment horizontal="center" vertical="center"/>
    </xf>
    <xf numFmtId="0" fontId="71" fillId="14" borderId="110" xfId="0" applyFont="1" applyFill="1" applyBorder="1"/>
    <xf numFmtId="0" fontId="56" fillId="7" borderId="118" xfId="0" quotePrefix="1" applyFont="1" applyFill="1" applyBorder="1" applyAlignment="1">
      <alignment horizontal="left"/>
    </xf>
    <xf numFmtId="0" fontId="72" fillId="7" borderId="110" xfId="0" applyFont="1" applyFill="1" applyBorder="1"/>
    <xf numFmtId="2" fontId="56" fillId="17" borderId="109" xfId="17" applyNumberFormat="1" applyBorder="1" applyProtection="1">
      <alignment horizontal="center" vertical="center"/>
    </xf>
    <xf numFmtId="0" fontId="56" fillId="7" borderId="59" xfId="18" applyNumberFormat="1">
      <alignment horizontal="center" vertical="center"/>
    </xf>
    <xf numFmtId="0" fontId="56" fillId="7" borderId="77" xfId="18" applyNumberFormat="1" applyBorder="1">
      <alignment horizontal="center" vertical="center"/>
    </xf>
    <xf numFmtId="0" fontId="56" fillId="7" borderId="59" xfId="18" applyNumberFormat="1">
      <alignment horizontal="center" vertical="center"/>
    </xf>
    <xf numFmtId="0" fontId="56" fillId="7" borderId="77" xfId="18" applyNumberFormat="1" applyBorder="1">
      <alignment horizontal="center" vertical="center"/>
    </xf>
    <xf numFmtId="0" fontId="56" fillId="33" borderId="76" xfId="19" applyBorder="1" applyProtection="1">
      <alignment horizontal="center" vertical="center"/>
    </xf>
    <xf numFmtId="0" fontId="58" fillId="37" borderId="26" xfId="24" applyBorder="1" applyAlignment="1">
      <alignment horizontal="center" vertical="center"/>
    </xf>
    <xf numFmtId="2" fontId="56" fillId="34" borderId="59" xfId="20" applyNumberFormat="1" applyBorder="1" applyAlignment="1">
      <alignment horizontal="center" vertical="center"/>
    </xf>
    <xf numFmtId="0" fontId="56" fillId="7" borderId="59" xfId="18" applyNumberFormat="1">
      <alignment horizontal="center" vertical="center"/>
    </xf>
    <xf numFmtId="0" fontId="56" fillId="7" borderId="77" xfId="18" applyNumberFormat="1" applyBorder="1">
      <alignment horizontal="center" vertical="center"/>
    </xf>
    <xf numFmtId="0" fontId="56" fillId="34" borderId="59" xfId="20">
      <alignment horizontal="center" vertical="center"/>
    </xf>
    <xf numFmtId="0" fontId="56" fillId="7" borderId="77" xfId="18" applyNumberFormat="1" applyBorder="1">
      <alignment horizontal="center" vertical="center"/>
    </xf>
    <xf numFmtId="0" fontId="18" fillId="2" borderId="0" xfId="0" applyFont="1" applyFill="1" applyBorder="1" applyAlignment="1">
      <alignment horizontal="center" vertical="top" wrapText="1"/>
    </xf>
    <xf numFmtId="3" fontId="19" fillId="2" borderId="0" xfId="0" applyNumberFormat="1" applyFont="1" applyFill="1" applyBorder="1" applyAlignment="1">
      <alignment horizontal="center" vertical="top" wrapText="1"/>
    </xf>
    <xf numFmtId="0" fontId="19" fillId="2" borderId="0" xfId="0" applyFont="1" applyFill="1" applyBorder="1" applyAlignment="1">
      <alignment horizontal="center" vertical="top" wrapText="1"/>
    </xf>
    <xf numFmtId="3" fontId="20" fillId="2" borderId="0" xfId="0" applyNumberFormat="1" applyFont="1" applyFill="1" applyBorder="1" applyAlignment="1">
      <alignment horizontal="center" vertical="top" wrapText="1"/>
    </xf>
    <xf numFmtId="0" fontId="62" fillId="36" borderId="119" xfId="22" applyBorder="1" applyAlignment="1">
      <alignment horizontal="center" vertical="center"/>
    </xf>
    <xf numFmtId="0" fontId="58" fillId="37" borderId="120" xfId="24" applyBorder="1" applyAlignment="1">
      <alignment horizontal="center" vertical="center" wrapText="1"/>
    </xf>
    <xf numFmtId="0" fontId="58" fillId="37" borderId="121" xfId="24" applyBorder="1" applyAlignment="1">
      <alignment horizontal="center" vertical="center" wrapText="1"/>
    </xf>
    <xf numFmtId="0" fontId="58" fillId="37" borderId="122" xfId="24" applyBorder="1" applyAlignment="1">
      <alignment horizontal="center" vertical="center" wrapText="1"/>
    </xf>
    <xf numFmtId="0" fontId="58" fillId="37" borderId="123" xfId="24" applyBorder="1" applyAlignment="1">
      <alignment horizontal="center" vertical="center" wrapText="1"/>
    </xf>
    <xf numFmtId="0" fontId="56" fillId="7" borderId="59" xfId="18" applyNumberFormat="1" applyBorder="1" applyAlignment="1">
      <alignment horizontal="center" vertical="center"/>
    </xf>
    <xf numFmtId="3" fontId="56" fillId="7" borderId="59" xfId="18" applyNumberFormat="1" applyBorder="1" applyAlignment="1">
      <alignment horizontal="center" vertical="center"/>
    </xf>
    <xf numFmtId="3" fontId="56" fillId="7" borderId="124" xfId="18" applyNumberFormat="1" applyBorder="1" applyAlignment="1">
      <alignment horizontal="center" vertical="center"/>
    </xf>
    <xf numFmtId="0" fontId="56" fillId="7" borderId="124" xfId="18" applyNumberFormat="1" applyBorder="1" applyAlignment="1">
      <alignment horizontal="center" vertical="center"/>
    </xf>
    <xf numFmtId="0" fontId="58" fillId="37" borderId="125" xfId="24" applyBorder="1" applyAlignment="1">
      <alignment horizontal="center" vertical="center" wrapText="1"/>
    </xf>
    <xf numFmtId="3" fontId="56" fillId="7" borderId="126" xfId="18" applyNumberFormat="1" applyBorder="1" applyAlignment="1">
      <alignment horizontal="center" vertical="center"/>
    </xf>
    <xf numFmtId="3" fontId="56" fillId="7" borderId="127" xfId="18" applyNumberFormat="1" applyBorder="1" applyAlignment="1">
      <alignment horizontal="center" vertical="center"/>
    </xf>
    <xf numFmtId="2" fontId="56" fillId="34" borderId="59" xfId="20" applyNumberFormat="1" applyAlignment="1">
      <alignment horizontal="center" vertical="center"/>
    </xf>
    <xf numFmtId="0" fontId="82" fillId="36" borderId="6" xfId="25" applyFont="1" applyBorder="1" applyAlignment="1">
      <alignment horizontal="center" vertical="center"/>
    </xf>
    <xf numFmtId="0" fontId="56" fillId="0" borderId="92" xfId="0" applyFont="1" applyBorder="1" applyAlignment="1">
      <alignment vertical="center"/>
    </xf>
    <xf numFmtId="0" fontId="56" fillId="0" borderId="93" xfId="0" applyFont="1" applyBorder="1" applyAlignment="1">
      <alignment vertical="center"/>
    </xf>
    <xf numFmtId="0" fontId="56" fillId="0" borderId="95" xfId="0" applyFont="1" applyBorder="1" applyAlignment="1">
      <alignment vertical="center"/>
    </xf>
    <xf numFmtId="0" fontId="56" fillId="0" borderId="88" xfId="0" applyFont="1" applyBorder="1" applyAlignment="1">
      <alignment vertical="center"/>
    </xf>
    <xf numFmtId="0" fontId="56" fillId="7" borderId="59" xfId="18" applyNumberFormat="1">
      <alignment horizontal="center" vertical="center"/>
    </xf>
    <xf numFmtId="0" fontId="58" fillId="20" borderId="60" xfId="27">
      <alignment horizontal="center" vertical="center"/>
    </xf>
    <xf numFmtId="0" fontId="85" fillId="17" borderId="73" xfId="28" applyFill="1" applyBorder="1" applyAlignment="1">
      <alignment vertical="center"/>
    </xf>
    <xf numFmtId="0" fontId="56" fillId="17" borderId="128" xfId="0" applyFont="1" applyFill="1" applyBorder="1" applyAlignment="1">
      <alignment vertical="center"/>
    </xf>
    <xf numFmtId="0" fontId="85" fillId="17" borderId="128" xfId="28" applyFill="1" applyBorder="1" applyAlignment="1">
      <alignment vertical="center"/>
    </xf>
    <xf numFmtId="0" fontId="87" fillId="17" borderId="73" xfId="0" applyFont="1" applyFill="1" applyBorder="1" applyAlignment="1">
      <alignment horizontal="center" vertical="center"/>
    </xf>
    <xf numFmtId="0" fontId="87" fillId="17" borderId="0" xfId="0" applyFont="1" applyFill="1" applyBorder="1" applyAlignment="1">
      <alignment vertical="center"/>
    </xf>
    <xf numFmtId="0" fontId="87" fillId="17" borderId="128" xfId="0" applyFont="1" applyFill="1" applyBorder="1" applyAlignment="1">
      <alignment horizontal="center" vertical="center"/>
    </xf>
    <xf numFmtId="0" fontId="58" fillId="37" borderId="0" xfId="24" applyBorder="1" applyAlignment="1">
      <alignment horizontal="right" vertical="center"/>
    </xf>
    <xf numFmtId="0" fontId="58" fillId="37" borderId="60" xfId="24" applyAlignment="1">
      <alignment horizontal="right" vertical="center"/>
    </xf>
    <xf numFmtId="0" fontId="56" fillId="34" borderId="59" xfId="20">
      <alignment horizontal="center" vertical="center"/>
    </xf>
    <xf numFmtId="0" fontId="68" fillId="33" borderId="59" xfId="19" applyFont="1" applyBorder="1" applyAlignment="1" applyProtection="1">
      <alignment vertical="center"/>
      <protection locked="0"/>
    </xf>
    <xf numFmtId="0" fontId="56" fillId="33" borderId="59" xfId="19" applyNumberFormat="1" applyBorder="1" applyAlignment="1" applyProtection="1">
      <alignment horizontal="center" vertical="center"/>
    </xf>
    <xf numFmtId="164" fontId="56" fillId="0" borderId="0" xfId="0" applyNumberFormat="1" applyFont="1" applyAlignment="1">
      <alignment vertical="center"/>
    </xf>
    <xf numFmtId="2" fontId="56" fillId="33" borderId="59" xfId="3" applyNumberFormat="1" applyFont="1" applyFill="1" applyBorder="1" applyAlignment="1" applyProtection="1">
      <alignment horizontal="center" vertical="center"/>
    </xf>
    <xf numFmtId="2" fontId="56" fillId="34" borderId="59" xfId="3" applyNumberFormat="1" applyFont="1" applyFill="1" applyBorder="1" applyAlignment="1">
      <alignment horizontal="center" vertical="center"/>
    </xf>
    <xf numFmtId="0" fontId="58" fillId="37" borderId="0" xfId="24" applyBorder="1" applyAlignment="1">
      <alignment horizontal="center" vertical="center" wrapText="1"/>
    </xf>
    <xf numFmtId="0" fontId="56" fillId="13" borderId="59" xfId="23">
      <alignment horizontal="center" vertical="center"/>
      <protection locked="0"/>
    </xf>
    <xf numFmtId="0" fontId="56" fillId="0" borderId="0" xfId="0" applyFont="1" applyAlignment="1">
      <alignment vertical="center" wrapText="1"/>
    </xf>
    <xf numFmtId="0" fontId="56" fillId="7" borderId="59" xfId="18" applyNumberFormat="1">
      <alignment horizontal="center" vertical="center"/>
    </xf>
    <xf numFmtId="0" fontId="56" fillId="0" borderId="0" xfId="0" applyFont="1" applyFill="1" applyBorder="1" applyAlignment="1">
      <alignment horizontal="left" vertical="center"/>
    </xf>
    <xf numFmtId="0" fontId="58" fillId="20" borderId="129" xfId="27" applyBorder="1">
      <alignment horizontal="center" vertical="center"/>
    </xf>
    <xf numFmtId="0" fontId="58" fillId="37" borderId="73" xfId="24" applyBorder="1" applyAlignment="1">
      <alignment horizontal="right" vertical="center"/>
    </xf>
    <xf numFmtId="0" fontId="58" fillId="37" borderId="0" xfId="24" applyBorder="1" applyAlignment="1">
      <alignment horizontal="right" vertical="center"/>
    </xf>
    <xf numFmtId="0" fontId="58" fillId="37" borderId="4" xfId="24" applyBorder="1" applyAlignment="1">
      <alignment horizontal="right" vertical="center"/>
    </xf>
    <xf numFmtId="0" fontId="82" fillId="36" borderId="6" xfId="25" applyFont="1" applyBorder="1" applyAlignment="1">
      <alignment horizontal="center" vertical="center"/>
    </xf>
    <xf numFmtId="0" fontId="56" fillId="0" borderId="27" xfId="0" applyFont="1" applyBorder="1" applyAlignment="1">
      <alignment horizontal="center" vertical="center"/>
    </xf>
    <xf numFmtId="0" fontId="56" fillId="0" borderId="28" xfId="0" applyFont="1" applyBorder="1" applyAlignment="1">
      <alignment horizontal="center" vertical="center"/>
    </xf>
    <xf numFmtId="0" fontId="56" fillId="0" borderId="26" xfId="0" applyFont="1" applyBorder="1" applyAlignment="1">
      <alignment horizontal="left" vertical="center"/>
    </xf>
    <xf numFmtId="0" fontId="56" fillId="0" borderId="26" xfId="0" applyFont="1" applyBorder="1" applyAlignment="1">
      <alignment horizontal="center" vertical="center"/>
    </xf>
    <xf numFmtId="14" fontId="56" fillId="0" borderId="27" xfId="0" applyNumberFormat="1" applyFont="1" applyBorder="1" applyAlignment="1">
      <alignment horizontal="center" vertical="center"/>
    </xf>
    <xf numFmtId="14" fontId="56" fillId="0" borderId="28" xfId="0" applyNumberFormat="1" applyFont="1" applyBorder="1" applyAlignment="1">
      <alignment horizontal="center" vertical="center"/>
    </xf>
    <xf numFmtId="0" fontId="58" fillId="37" borderId="89" xfId="24" applyBorder="1" applyAlignment="1">
      <alignment horizontal="center" vertical="center"/>
    </xf>
    <xf numFmtId="0" fontId="58" fillId="37" borderId="88" xfId="24" applyBorder="1" applyAlignment="1">
      <alignment horizontal="center" vertical="center"/>
    </xf>
    <xf numFmtId="2" fontId="56" fillId="34" borderId="59" xfId="20" applyNumberFormat="1" applyBorder="1" applyAlignment="1">
      <alignment horizontal="center" vertical="center"/>
    </xf>
    <xf numFmtId="2" fontId="56" fillId="34" borderId="76" xfId="20" applyNumberFormat="1" applyBorder="1" applyAlignment="1">
      <alignment horizontal="center" vertical="center"/>
    </xf>
    <xf numFmtId="0" fontId="58" fillId="37" borderId="60" xfId="24" applyBorder="1" applyAlignment="1">
      <alignment horizontal="center" vertical="center"/>
    </xf>
    <xf numFmtId="0" fontId="56" fillId="13" borderId="59" xfId="23" applyBorder="1" applyAlignment="1">
      <alignment horizontal="center" vertical="center"/>
      <protection locked="0"/>
    </xf>
    <xf numFmtId="0" fontId="56" fillId="33" borderId="59" xfId="19" applyNumberFormat="1" applyAlignment="1" applyProtection="1">
      <alignment horizontal="center" vertical="center"/>
    </xf>
    <xf numFmtId="0" fontId="58" fillId="37" borderId="73" xfId="24" applyBorder="1" applyAlignment="1">
      <alignment horizontal="center" vertical="center"/>
    </xf>
    <xf numFmtId="0" fontId="58" fillId="37" borderId="0" xfId="24" applyBorder="1" applyAlignment="1">
      <alignment horizontal="center" vertical="center"/>
    </xf>
    <xf numFmtId="0" fontId="62" fillId="36" borderId="0" xfId="25" applyBorder="1" applyAlignment="1">
      <alignment horizontal="center" vertical="center"/>
    </xf>
    <xf numFmtId="0" fontId="32" fillId="13" borderId="86" xfId="23" applyFont="1" applyBorder="1" applyAlignment="1">
      <alignment horizontal="center" vertical="center"/>
      <protection locked="0"/>
    </xf>
    <xf numFmtId="0" fontId="32" fillId="13" borderId="0" xfId="23" applyFont="1" applyBorder="1" applyAlignment="1">
      <alignment horizontal="center" vertical="center"/>
      <protection locked="0"/>
    </xf>
    <xf numFmtId="0" fontId="58" fillId="37" borderId="60" xfId="24" applyAlignment="1">
      <alignment horizontal="right" vertical="center"/>
    </xf>
    <xf numFmtId="0" fontId="56" fillId="17" borderId="59" xfId="17" applyBorder="1" applyAlignment="1" applyProtection="1">
      <alignment horizontal="left" vertical="center"/>
      <protection locked="0"/>
    </xf>
    <xf numFmtId="0" fontId="56" fillId="33" borderId="59" xfId="19" applyBorder="1" applyAlignment="1" applyProtection="1">
      <alignment horizontal="left" vertical="center"/>
      <protection locked="0"/>
    </xf>
    <xf numFmtId="0" fontId="58" fillId="37" borderId="75" xfId="24" applyBorder="1" applyAlignment="1">
      <alignment horizontal="right" vertical="center"/>
    </xf>
    <xf numFmtId="0" fontId="62" fillId="36" borderId="0" xfId="25" applyBorder="1">
      <alignment horizontal="center" vertical="center"/>
    </xf>
    <xf numFmtId="0" fontId="58" fillId="37" borderId="60" xfId="24" applyBorder="1" applyAlignment="1">
      <alignment horizontal="right" vertical="center"/>
    </xf>
    <xf numFmtId="0" fontId="69" fillId="37" borderId="0" xfId="24" applyFont="1" applyBorder="1" applyAlignment="1">
      <alignment horizontal="center" vertical="center"/>
    </xf>
    <xf numFmtId="0" fontId="83" fillId="0" borderId="79" xfId="0" applyFont="1" applyBorder="1" applyAlignment="1">
      <alignment horizontal="right" vertical="center"/>
    </xf>
    <xf numFmtId="0" fontId="56" fillId="0" borderId="5" xfId="0" applyFont="1" applyBorder="1" applyAlignment="1">
      <alignment horizontal="center" vertical="center"/>
    </xf>
    <xf numFmtId="0" fontId="56" fillId="0" borderId="2" xfId="0" applyFont="1" applyBorder="1" applyAlignment="1">
      <alignment horizontal="center" vertical="center"/>
    </xf>
    <xf numFmtId="0" fontId="56" fillId="0" borderId="73" xfId="0" applyFont="1" applyBorder="1" applyAlignment="1">
      <alignment horizontal="center" vertical="center"/>
    </xf>
    <xf numFmtId="0" fontId="56" fillId="0" borderId="0" xfId="0" applyFont="1" applyBorder="1" applyAlignment="1">
      <alignment horizontal="center" vertical="center"/>
    </xf>
    <xf numFmtId="0" fontId="56" fillId="0" borderId="1" xfId="0" applyFont="1" applyBorder="1" applyAlignment="1">
      <alignment horizontal="center" vertical="center"/>
    </xf>
    <xf numFmtId="0" fontId="56" fillId="0" borderId="6" xfId="0" applyFont="1" applyBorder="1" applyAlignment="1">
      <alignment horizontal="center" vertical="center"/>
    </xf>
    <xf numFmtId="0" fontId="63" fillId="36" borderId="0" xfId="25" applyFont="1" applyBorder="1">
      <alignment horizontal="center" vertical="center"/>
    </xf>
    <xf numFmtId="0" fontId="84" fillId="36" borderId="5" xfId="22" applyFont="1" applyBorder="1" applyAlignment="1">
      <alignment horizontal="center" vertical="center"/>
    </xf>
    <xf numFmtId="0" fontId="84" fillId="36" borderId="2" xfId="22" applyFont="1" applyBorder="1" applyAlignment="1">
      <alignment horizontal="center" vertical="center"/>
    </xf>
    <xf numFmtId="0" fontId="84" fillId="36" borderId="3" xfId="22" applyFont="1" applyBorder="1" applyAlignment="1">
      <alignment horizontal="center" vertical="center"/>
    </xf>
    <xf numFmtId="0" fontId="67" fillId="34" borderId="59" xfId="20" applyFont="1" applyAlignment="1">
      <alignment horizontal="center" vertical="center" wrapText="1"/>
    </xf>
    <xf numFmtId="0" fontId="60" fillId="17" borderId="59" xfId="17" applyFont="1" applyBorder="1" applyAlignment="1" applyProtection="1">
      <alignment horizontal="center" vertical="center"/>
      <protection locked="0"/>
    </xf>
    <xf numFmtId="0" fontId="56" fillId="7" borderId="59" xfId="18" applyNumberFormat="1">
      <alignment horizontal="center" vertical="center"/>
    </xf>
    <xf numFmtId="0" fontId="56" fillId="34" borderId="59" xfId="20" applyBorder="1" applyAlignment="1">
      <alignment horizontal="center" vertical="center"/>
    </xf>
    <xf numFmtId="0" fontId="68" fillId="33" borderId="59" xfId="19" applyFont="1" applyBorder="1" applyProtection="1">
      <alignment horizontal="center" vertical="center"/>
      <protection locked="0"/>
    </xf>
    <xf numFmtId="10" fontId="56" fillId="17" borderId="76" xfId="17" applyNumberFormat="1" applyBorder="1" applyAlignment="1" applyProtection="1">
      <alignment horizontal="center" vertical="center"/>
    </xf>
    <xf numFmtId="10" fontId="56" fillId="17" borderId="77" xfId="17" applyNumberFormat="1" applyBorder="1" applyAlignment="1" applyProtection="1">
      <alignment horizontal="center" vertical="center"/>
    </xf>
    <xf numFmtId="0" fontId="32" fillId="13" borderId="76" xfId="23" applyFont="1" applyBorder="1" applyAlignment="1">
      <alignment horizontal="center" vertical="center"/>
      <protection locked="0"/>
    </xf>
    <xf numFmtId="0" fontId="32" fillId="13" borderId="87" xfId="23" applyFont="1" applyBorder="1" applyAlignment="1">
      <alignment horizontal="center" vertical="center"/>
      <protection locked="0"/>
    </xf>
    <xf numFmtId="0" fontId="32" fillId="13" borderId="77" xfId="23" applyFont="1" applyBorder="1" applyAlignment="1">
      <alignment horizontal="center" vertical="center"/>
      <protection locked="0"/>
    </xf>
    <xf numFmtId="0" fontId="58" fillId="37" borderId="73" xfId="24" applyFont="1" applyBorder="1" applyAlignment="1">
      <alignment horizontal="center" vertical="center"/>
    </xf>
    <xf numFmtId="0" fontId="58" fillId="37" borderId="0" xfId="24" applyFont="1" applyBorder="1" applyAlignment="1">
      <alignment horizontal="center" vertical="center"/>
    </xf>
    <xf numFmtId="0" fontId="56" fillId="17" borderId="59" xfId="17" applyNumberFormat="1" applyBorder="1" applyAlignment="1" applyProtection="1">
      <alignment horizontal="center" vertical="center"/>
    </xf>
    <xf numFmtId="164" fontId="56" fillId="34" borderId="59" xfId="3" applyFont="1" applyFill="1" applyBorder="1" applyAlignment="1">
      <alignment horizontal="center" vertical="center"/>
    </xf>
    <xf numFmtId="164" fontId="56" fillId="33" borderId="59" xfId="3" applyFont="1" applyFill="1" applyBorder="1" applyAlignment="1" applyProtection="1">
      <alignment horizontal="center" vertical="center"/>
    </xf>
    <xf numFmtId="0" fontId="82" fillId="36" borderId="0" xfId="25" applyFont="1" applyAlignment="1">
      <alignment horizontal="center" vertical="center"/>
    </xf>
    <xf numFmtId="0" fontId="56" fillId="33" borderId="59" xfId="19" applyAlignment="1" applyProtection="1">
      <alignment horizontal="right" vertical="center"/>
    </xf>
    <xf numFmtId="0" fontId="58" fillId="37" borderId="90" xfId="24" applyBorder="1" applyAlignment="1">
      <alignment horizontal="center" vertical="center"/>
    </xf>
    <xf numFmtId="0" fontId="58" fillId="37" borderId="87" xfId="24" applyBorder="1" applyAlignment="1">
      <alignment horizontal="center" vertical="center"/>
    </xf>
    <xf numFmtId="0" fontId="58" fillId="37" borderId="102" xfId="24" applyBorder="1" applyAlignment="1">
      <alignment horizontal="center" vertical="center"/>
    </xf>
    <xf numFmtId="0" fontId="62" fillId="36" borderId="69" xfId="22" applyBorder="1">
      <alignment horizontal="center" vertical="center"/>
    </xf>
    <xf numFmtId="0" fontId="62" fillId="36" borderId="64" xfId="22" applyBorder="1">
      <alignment horizontal="center" vertical="center"/>
    </xf>
    <xf numFmtId="0" fontId="62" fillId="36" borderId="63" xfId="22" applyBorder="1">
      <alignment horizontal="center" vertical="center"/>
    </xf>
    <xf numFmtId="0" fontId="62" fillId="36" borderId="60" xfId="22" applyBorder="1" applyAlignment="1">
      <alignment horizontal="center" vertical="center" wrapText="1"/>
    </xf>
    <xf numFmtId="0" fontId="62" fillId="36" borderId="26" xfId="22" applyBorder="1" applyAlignment="1">
      <alignment horizontal="center" vertical="center" wrapText="1"/>
    </xf>
    <xf numFmtId="0" fontId="62" fillId="36" borderId="5" xfId="22" applyBorder="1" applyAlignment="1">
      <alignment horizontal="center" vertical="center" wrapText="1"/>
    </xf>
    <xf numFmtId="0" fontId="62" fillId="36" borderId="27" xfId="22" applyBorder="1" applyAlignment="1">
      <alignment horizontal="center" vertical="center" wrapText="1"/>
    </xf>
    <xf numFmtId="0" fontId="62" fillId="36" borderId="4" xfId="22" applyBorder="1" applyAlignment="1">
      <alignment horizontal="center" vertical="center" wrapText="1"/>
    </xf>
    <xf numFmtId="0" fontId="62" fillId="36" borderId="28" xfId="22" applyBorder="1" applyAlignment="1">
      <alignment horizontal="center" vertical="center" wrapText="1"/>
    </xf>
    <xf numFmtId="0" fontId="59" fillId="36" borderId="60" xfId="22" applyFont="1" applyBorder="1" applyAlignment="1">
      <alignment horizontal="center" vertical="center" wrapText="1"/>
    </xf>
    <xf numFmtId="0" fontId="59" fillId="36" borderId="26" xfId="22" applyFont="1" applyBorder="1" applyAlignment="1">
      <alignment horizontal="center" vertical="center" wrapText="1"/>
    </xf>
    <xf numFmtId="0" fontId="62" fillId="36" borderId="66" xfId="22" applyBorder="1" applyAlignment="1">
      <alignment horizontal="center" vertical="center" wrapText="1"/>
    </xf>
    <xf numFmtId="0" fontId="62" fillId="36" borderId="71" xfId="22" applyBorder="1" applyAlignment="1">
      <alignment horizontal="center" vertical="center" wrapText="1"/>
    </xf>
    <xf numFmtId="0" fontId="0" fillId="7" borderId="31" xfId="0" applyFill="1" applyBorder="1" applyAlignment="1">
      <alignment horizontal="center"/>
    </xf>
    <xf numFmtId="0" fontId="62" fillId="36" borderId="0" xfId="22">
      <alignment horizontal="center" vertical="center"/>
    </xf>
    <xf numFmtId="0" fontId="0" fillId="7" borderId="44" xfId="0" applyFill="1" applyBorder="1" applyAlignment="1">
      <alignment horizontal="center" wrapText="1"/>
    </xf>
    <xf numFmtId="0" fontId="0" fillId="7" borderId="45" xfId="0" applyFill="1" applyBorder="1" applyAlignment="1">
      <alignment horizontal="center"/>
    </xf>
    <xf numFmtId="0" fontId="0" fillId="7" borderId="48" xfId="0" applyFill="1" applyBorder="1" applyAlignment="1">
      <alignment horizontal="center"/>
    </xf>
    <xf numFmtId="0" fontId="0" fillId="7" borderId="49" xfId="0" applyFill="1" applyBorder="1" applyAlignment="1">
      <alignment horizontal="center"/>
    </xf>
    <xf numFmtId="0" fontId="62" fillId="36" borderId="61" xfId="22" applyBorder="1">
      <alignment horizontal="center" vertical="center"/>
    </xf>
    <xf numFmtId="0" fontId="62" fillId="36" borderId="62" xfId="22" applyBorder="1">
      <alignment horizontal="center" vertical="center"/>
    </xf>
    <xf numFmtId="0" fontId="62" fillId="36" borderId="68" xfId="22" applyBorder="1" applyAlignment="1">
      <alignment horizontal="center" vertical="center" wrapText="1"/>
    </xf>
    <xf numFmtId="0" fontId="0" fillId="7" borderId="0" xfId="0" applyFill="1" applyBorder="1" applyAlignment="1">
      <alignment horizontal="center"/>
    </xf>
    <xf numFmtId="0" fontId="62" fillId="36" borderId="65" xfId="22" applyBorder="1">
      <alignment horizontal="center" vertical="center"/>
    </xf>
    <xf numFmtId="0" fontId="62" fillId="36" borderId="67" xfId="22" applyBorder="1">
      <alignment horizontal="center" vertical="center"/>
    </xf>
    <xf numFmtId="0" fontId="0" fillId="9" borderId="40" xfId="0" applyFill="1" applyBorder="1" applyAlignment="1">
      <alignment horizontal="center"/>
    </xf>
    <xf numFmtId="0" fontId="0" fillId="7" borderId="40" xfId="0" applyFill="1" applyBorder="1" applyAlignment="1">
      <alignment horizontal="center"/>
    </xf>
    <xf numFmtId="0" fontId="0" fillId="9" borderId="31" xfId="0" applyFill="1" applyBorder="1" applyAlignment="1">
      <alignment horizontal="center" vertical="center" wrapText="1"/>
    </xf>
    <xf numFmtId="0" fontId="0" fillId="9" borderId="34" xfId="0" applyFill="1" applyBorder="1" applyAlignment="1">
      <alignment horizontal="center" vertical="center" wrapText="1"/>
    </xf>
    <xf numFmtId="0" fontId="0" fillId="9" borderId="54" xfId="0" applyFill="1" applyBorder="1" applyAlignment="1">
      <alignment horizontal="center" vertical="center" wrapText="1"/>
    </xf>
    <xf numFmtId="0" fontId="0" fillId="9" borderId="55" xfId="0" applyFill="1" applyBorder="1" applyAlignment="1">
      <alignment horizontal="center" vertical="center" wrapText="1"/>
    </xf>
    <xf numFmtId="0" fontId="0" fillId="9" borderId="39" xfId="0" applyFill="1" applyBorder="1" applyAlignment="1">
      <alignment horizontal="center" vertical="center" wrapText="1"/>
    </xf>
    <xf numFmtId="0" fontId="0" fillId="9" borderId="37" xfId="0" applyFill="1" applyBorder="1" applyAlignment="1">
      <alignment horizontal="center" vertical="center" wrapText="1"/>
    </xf>
    <xf numFmtId="0" fontId="0" fillId="9" borderId="38" xfId="0" applyFill="1" applyBorder="1" applyAlignment="1">
      <alignment horizontal="center" vertical="center" wrapText="1"/>
    </xf>
    <xf numFmtId="0" fontId="0" fillId="9" borderId="31" xfId="0" applyFill="1" applyBorder="1" applyAlignment="1">
      <alignment horizontal="center" vertical="center"/>
    </xf>
    <xf numFmtId="0" fontId="33" fillId="13" borderId="31" xfId="0" applyFont="1" applyFill="1" applyBorder="1" applyAlignment="1">
      <alignment horizontal="center"/>
    </xf>
    <xf numFmtId="0" fontId="33" fillId="13" borderId="34" xfId="0" applyFont="1" applyFill="1" applyBorder="1" applyAlignment="1">
      <alignment horizontal="center"/>
    </xf>
    <xf numFmtId="0" fontId="33" fillId="13" borderId="38" xfId="0" applyFont="1" applyFill="1" applyBorder="1" applyAlignment="1">
      <alignment horizontal="center"/>
    </xf>
    <xf numFmtId="0" fontId="33" fillId="13" borderId="53" xfId="0" applyFont="1" applyFill="1" applyBorder="1" applyAlignment="1">
      <alignment horizontal="center"/>
    </xf>
    <xf numFmtId="0" fontId="33" fillId="13" borderId="33" xfId="0" applyFont="1" applyFill="1" applyBorder="1" applyAlignment="1">
      <alignment horizontal="center"/>
    </xf>
    <xf numFmtId="0" fontId="33" fillId="13" borderId="32" xfId="0" applyFont="1" applyFill="1" applyBorder="1" applyAlignment="1">
      <alignment horizontal="center"/>
    </xf>
    <xf numFmtId="0" fontId="0" fillId="13" borderId="40" xfId="0" applyFill="1" applyBorder="1" applyAlignment="1">
      <alignment horizontal="center"/>
    </xf>
    <xf numFmtId="0" fontId="34" fillId="9" borderId="31" xfId="0" applyFont="1" applyFill="1" applyBorder="1" applyAlignment="1">
      <alignment horizontal="center" vertical="center" wrapText="1"/>
    </xf>
    <xf numFmtId="0" fontId="0" fillId="9" borderId="31" xfId="0" applyFont="1" applyFill="1" applyBorder="1" applyAlignment="1">
      <alignment horizontal="center" vertical="center" wrapText="1"/>
    </xf>
    <xf numFmtId="0" fontId="0" fillId="13" borderId="34" xfId="0" applyFill="1" applyBorder="1" applyAlignment="1">
      <alignment horizontal="center"/>
    </xf>
    <xf numFmtId="0" fontId="0" fillId="13" borderId="33" xfId="0" applyFill="1" applyBorder="1" applyAlignment="1">
      <alignment horizontal="center"/>
    </xf>
    <xf numFmtId="0" fontId="0" fillId="13" borderId="53" xfId="0" applyFill="1" applyBorder="1" applyAlignment="1">
      <alignment horizontal="center"/>
    </xf>
    <xf numFmtId="0" fontId="0" fillId="13" borderId="56" xfId="0" applyFill="1" applyBorder="1" applyAlignment="1">
      <alignment horizontal="center"/>
    </xf>
    <xf numFmtId="0" fontId="0" fillId="13" borderId="35" xfId="0" applyFill="1" applyBorder="1" applyAlignment="1">
      <alignment horizontal="center"/>
    </xf>
    <xf numFmtId="0" fontId="56" fillId="17" borderId="76" xfId="17" applyBorder="1" applyAlignment="1" applyProtection="1">
      <alignment horizontal="center" vertical="center"/>
    </xf>
    <xf numFmtId="0" fontId="56" fillId="17" borderId="77" xfId="17" applyBorder="1" applyAlignment="1" applyProtection="1">
      <alignment horizontal="center" vertical="center"/>
    </xf>
    <xf numFmtId="0" fontId="56" fillId="17" borderId="59" xfId="17" applyFont="1" applyBorder="1" applyAlignment="1" applyProtection="1">
      <alignment horizontal="center" vertical="center"/>
    </xf>
    <xf numFmtId="0" fontId="56" fillId="17" borderId="76" xfId="17" applyFont="1" applyBorder="1" applyAlignment="1" applyProtection="1">
      <alignment horizontal="center" vertical="center"/>
    </xf>
    <xf numFmtId="0" fontId="58" fillId="37" borderId="60" xfId="24" applyFont="1" applyBorder="1" applyAlignment="1">
      <alignment horizontal="center" vertical="center"/>
    </xf>
    <xf numFmtId="0" fontId="56" fillId="0" borderId="79" xfId="0" applyFont="1" applyBorder="1" applyAlignment="1">
      <alignment horizontal="right" vertical="center"/>
    </xf>
    <xf numFmtId="0" fontId="58" fillId="37" borderId="60" xfId="24">
      <alignment horizontal="center" vertical="center"/>
    </xf>
    <xf numFmtId="0" fontId="66" fillId="36" borderId="5" xfId="22" applyFont="1" applyBorder="1" applyAlignment="1">
      <alignment horizontal="center" vertical="center"/>
    </xf>
    <xf numFmtId="0" fontId="66" fillId="36" borderId="2" xfId="22" applyFont="1" applyBorder="1" applyAlignment="1">
      <alignment horizontal="center" vertical="center"/>
    </xf>
    <xf numFmtId="0" fontId="66" fillId="36" borderId="3" xfId="22" applyFont="1" applyBorder="1" applyAlignment="1">
      <alignment horizontal="center" vertical="center"/>
    </xf>
    <xf numFmtId="10" fontId="56" fillId="34" borderId="59" xfId="20" applyNumberFormat="1" applyAlignment="1">
      <alignment horizontal="center" vertical="center"/>
    </xf>
    <xf numFmtId="0" fontId="56" fillId="33" borderId="59" xfId="19" applyBorder="1" applyProtection="1">
      <alignment horizontal="center" vertical="center"/>
      <protection locked="0"/>
    </xf>
    <xf numFmtId="0" fontId="62" fillId="36" borderId="73" xfId="22" applyBorder="1" applyAlignment="1">
      <alignment horizontal="center" vertical="center"/>
    </xf>
    <xf numFmtId="0" fontId="62" fillId="36" borderId="0" xfId="22" applyBorder="1" applyAlignment="1">
      <alignment horizontal="center" vertical="center"/>
    </xf>
    <xf numFmtId="0" fontId="58" fillId="37" borderId="5" xfId="24" applyBorder="1" applyAlignment="1">
      <alignment horizontal="center" vertical="center"/>
    </xf>
    <xf numFmtId="0" fontId="58" fillId="37" borderId="2" xfId="24" applyBorder="1" applyAlignment="1">
      <alignment horizontal="center" vertical="center"/>
    </xf>
    <xf numFmtId="0" fontId="58" fillId="37" borderId="3" xfId="24" applyBorder="1" applyAlignment="1">
      <alignment horizontal="center" vertical="center"/>
    </xf>
    <xf numFmtId="0" fontId="56" fillId="7" borderId="77" xfId="18" applyNumberFormat="1" applyBorder="1">
      <alignment horizontal="center" vertical="center"/>
    </xf>
    <xf numFmtId="0" fontId="56" fillId="7" borderId="59" xfId="18" applyNumberFormat="1" applyBorder="1">
      <alignment horizontal="center" vertical="center"/>
    </xf>
    <xf numFmtId="0" fontId="58" fillId="37" borderId="0" xfId="24" applyBorder="1" applyAlignment="1">
      <alignment horizontal="center" vertical="center" wrapText="1"/>
    </xf>
    <xf numFmtId="0" fontId="62" fillId="36" borderId="5" xfId="22" applyBorder="1">
      <alignment horizontal="center" vertical="center"/>
    </xf>
    <xf numFmtId="0" fontId="62" fillId="36" borderId="98" xfId="22" applyBorder="1">
      <alignment horizontal="center" vertical="center"/>
    </xf>
    <xf numFmtId="0" fontId="62" fillId="36" borderId="60" xfId="22" applyBorder="1">
      <alignment horizontal="center" vertical="center"/>
    </xf>
    <xf numFmtId="0" fontId="58" fillId="37" borderId="44" xfId="24" applyBorder="1" applyAlignment="1">
      <alignment horizontal="center" vertical="center"/>
    </xf>
    <xf numFmtId="0" fontId="58" fillId="37" borderId="36" xfId="24" applyBorder="1" applyAlignment="1">
      <alignment horizontal="center" vertical="center"/>
    </xf>
    <xf numFmtId="0" fontId="58" fillId="37" borderId="45" xfId="24" applyBorder="1" applyAlignment="1">
      <alignment horizontal="center" vertical="center"/>
    </xf>
    <xf numFmtId="0" fontId="58" fillId="37" borderId="42" xfId="24" applyBorder="1" applyAlignment="1">
      <alignment horizontal="center" vertical="center"/>
    </xf>
    <xf numFmtId="0" fontId="58" fillId="37" borderId="43" xfId="24" applyBorder="1" applyAlignment="1">
      <alignment horizontal="center" vertical="center"/>
    </xf>
    <xf numFmtId="0" fontId="58" fillId="37" borderId="39" xfId="24" applyBorder="1" applyAlignment="1">
      <alignment horizontal="center" vertical="top" wrapText="1"/>
    </xf>
    <xf numFmtId="0" fontId="58" fillId="37" borderId="37" xfId="24" applyBorder="1" applyAlignment="1">
      <alignment horizontal="center" vertical="top" wrapText="1"/>
    </xf>
    <xf numFmtId="0" fontId="58" fillId="37" borderId="31" xfId="24" applyBorder="1" applyAlignment="1">
      <alignment horizontal="center" vertical="center" wrapText="1"/>
    </xf>
    <xf numFmtId="0" fontId="58" fillId="37" borderId="34" xfId="24" applyBorder="1" applyAlignment="1">
      <alignment horizontal="center" vertical="center" wrapText="1"/>
    </xf>
    <xf numFmtId="0" fontId="58" fillId="37" borderId="99" xfId="24" applyBorder="1" applyAlignment="1">
      <alignment horizontal="center" vertical="center" wrapText="1"/>
    </xf>
    <xf numFmtId="0" fontId="58" fillId="37" borderId="100" xfId="24" applyBorder="1" applyAlignment="1">
      <alignment horizontal="center" vertical="center" wrapText="1"/>
    </xf>
    <xf numFmtId="0" fontId="58" fillId="37" borderId="34" xfId="24" applyBorder="1" applyAlignment="1">
      <alignment horizontal="center" vertical="top" wrapText="1"/>
    </xf>
    <xf numFmtId="0" fontId="58" fillId="37" borderId="32" xfId="24" applyBorder="1" applyAlignment="1">
      <alignment horizontal="center" vertical="top" wrapText="1"/>
    </xf>
    <xf numFmtId="0" fontId="58" fillId="37" borderId="31" xfId="24" applyBorder="1" applyAlignment="1">
      <alignment horizontal="center" vertical="center"/>
    </xf>
    <xf numFmtId="0" fontId="58" fillId="37" borderId="39" xfId="24" applyBorder="1" applyAlignment="1">
      <alignment horizontal="center" vertical="center" wrapText="1"/>
    </xf>
    <xf numFmtId="0" fontId="58" fillId="37" borderId="37" xfId="24" applyBorder="1" applyAlignment="1">
      <alignment horizontal="center" vertical="center" wrapText="1"/>
    </xf>
    <xf numFmtId="0" fontId="0" fillId="9" borderId="57" xfId="0" applyFill="1" applyBorder="1" applyAlignment="1">
      <alignment horizontal="center"/>
    </xf>
    <xf numFmtId="0" fontId="0" fillId="9" borderId="58" xfId="0" applyFill="1" applyBorder="1" applyAlignment="1">
      <alignment horizontal="center"/>
    </xf>
    <xf numFmtId="0" fontId="0" fillId="9" borderId="46" xfId="0" applyFill="1" applyBorder="1" applyAlignment="1">
      <alignment horizontal="center"/>
    </xf>
    <xf numFmtId="0" fontId="58" fillId="37" borderId="40" xfId="24" applyBorder="1" applyAlignment="1">
      <alignment horizontal="center"/>
    </xf>
    <xf numFmtId="0" fontId="86" fillId="17" borderId="73" xfId="0" applyFont="1" applyFill="1" applyBorder="1" applyAlignment="1">
      <alignment horizontal="center" vertical="center"/>
    </xf>
    <xf numFmtId="0" fontId="86" fillId="17" borderId="0" xfId="0" applyFont="1" applyFill="1" applyBorder="1" applyAlignment="1">
      <alignment horizontal="center" vertical="center"/>
    </xf>
    <xf numFmtId="0" fontId="86" fillId="17" borderId="4" xfId="0" applyFont="1" applyFill="1" applyBorder="1" applyAlignment="1">
      <alignment horizontal="center" vertical="center"/>
    </xf>
    <xf numFmtId="0" fontId="58" fillId="20" borderId="60" xfId="27">
      <alignment horizontal="center" vertical="center"/>
    </xf>
    <xf numFmtId="0" fontId="58" fillId="20" borderId="27" xfId="27" applyBorder="1" applyAlignment="1">
      <alignment horizontal="center" vertical="center"/>
    </xf>
    <xf numFmtId="0" fontId="58" fillId="20" borderId="28" xfId="27" applyBorder="1" applyAlignment="1">
      <alignment horizontal="center" vertical="center"/>
    </xf>
    <xf numFmtId="0" fontId="0" fillId="7" borderId="0" xfId="0" applyFill="1" applyBorder="1" applyAlignment="1">
      <alignment horizontal="right" vertical="center"/>
    </xf>
    <xf numFmtId="0" fontId="50" fillId="14" borderId="0" xfId="2" applyFont="1" applyFill="1" applyBorder="1" applyAlignment="1">
      <alignment horizontal="center"/>
    </xf>
    <xf numFmtId="0" fontId="50" fillId="14" borderId="0" xfId="2" applyFont="1" applyFill="1" applyBorder="1" applyAlignment="1">
      <alignment horizontal="center" vertical="center"/>
    </xf>
    <xf numFmtId="0" fontId="50" fillId="21" borderId="0" xfId="2" applyFont="1" applyFill="1" applyBorder="1" applyAlignment="1">
      <alignment horizontal="center"/>
    </xf>
    <xf numFmtId="0" fontId="50" fillId="14" borderId="44" xfId="2" applyFont="1" applyFill="1" applyBorder="1" applyAlignment="1">
      <alignment horizontal="center"/>
    </xf>
    <xf numFmtId="0" fontId="50" fillId="14" borderId="36" xfId="2" applyFont="1" applyFill="1" applyBorder="1" applyAlignment="1">
      <alignment horizontal="center"/>
    </xf>
    <xf numFmtId="0" fontId="50" fillId="14" borderId="45" xfId="2" applyFont="1" applyFill="1" applyBorder="1" applyAlignment="1">
      <alignment horizontal="center"/>
    </xf>
    <xf numFmtId="0" fontId="50" fillId="20" borderId="34" xfId="2" applyFont="1" applyFill="1" applyBorder="1" applyAlignment="1">
      <alignment horizontal="center"/>
    </xf>
    <xf numFmtId="0" fontId="50" fillId="20" borderId="33" xfId="2" applyFont="1" applyFill="1" applyBorder="1" applyAlignment="1">
      <alignment horizontal="center"/>
    </xf>
    <xf numFmtId="0" fontId="50" fillId="20" borderId="32" xfId="2" applyFont="1" applyFill="1" applyBorder="1" applyAlignment="1">
      <alignment horizontal="center"/>
    </xf>
    <xf numFmtId="0" fontId="50" fillId="20" borderId="42" xfId="2" applyFont="1" applyFill="1" applyBorder="1" applyAlignment="1">
      <alignment horizontal="center"/>
    </xf>
    <xf numFmtId="0" fontId="50" fillId="20" borderId="0" xfId="2" applyFont="1" applyFill="1" applyBorder="1" applyAlignment="1">
      <alignment horizontal="center"/>
    </xf>
    <xf numFmtId="0" fontId="50" fillId="20" borderId="43" xfId="2" applyFont="1" applyFill="1" applyBorder="1" applyAlignment="1">
      <alignment horizontal="center"/>
    </xf>
    <xf numFmtId="0" fontId="0" fillId="0" borderId="0" xfId="0" applyAlignment="1">
      <alignment horizontal="center" vertical="center"/>
    </xf>
    <xf numFmtId="0" fontId="0" fillId="10" borderId="31" xfId="0" applyFill="1" applyBorder="1" applyAlignment="1">
      <alignment horizontal="right" vertical="center"/>
    </xf>
    <xf numFmtId="0" fontId="0" fillId="0" borderId="0" xfId="0" applyAlignment="1">
      <alignment horizontal="left" vertical="center"/>
    </xf>
    <xf numFmtId="0" fontId="50" fillId="14" borderId="34" xfId="2" applyFont="1" applyFill="1" applyBorder="1" applyAlignment="1">
      <alignment horizontal="center"/>
    </xf>
    <xf numFmtId="0" fontId="50" fillId="14" borderId="33" xfId="2" applyFont="1" applyFill="1" applyBorder="1" applyAlignment="1">
      <alignment horizontal="center"/>
    </xf>
    <xf numFmtId="0" fontId="50" fillId="14" borderId="32" xfId="2" applyFont="1" applyFill="1" applyBorder="1" applyAlignment="1">
      <alignment horizontal="center"/>
    </xf>
    <xf numFmtId="0" fontId="0" fillId="7" borderId="0" xfId="0" applyFill="1" applyAlignment="1">
      <alignment horizontal="left"/>
    </xf>
    <xf numFmtId="14" fontId="0" fillId="7" borderId="0" xfId="0" applyNumberFormat="1" applyFill="1" applyAlignment="1">
      <alignment horizontal="left"/>
    </xf>
    <xf numFmtId="0" fontId="8" fillId="13" borderId="34" xfId="0" applyFont="1" applyFill="1" applyBorder="1" applyAlignment="1">
      <alignment horizontal="center" vertical="center"/>
    </xf>
    <xf numFmtId="0" fontId="8" fillId="13" borderId="33" xfId="0" applyFont="1" applyFill="1" applyBorder="1" applyAlignment="1">
      <alignment horizontal="center" vertical="center"/>
    </xf>
    <xf numFmtId="0" fontId="8" fillId="13" borderId="32" xfId="0" applyFont="1" applyFill="1" applyBorder="1" applyAlignment="1">
      <alignment horizontal="center" vertical="center"/>
    </xf>
    <xf numFmtId="0" fontId="0" fillId="13" borderId="32" xfId="0" applyFill="1" applyBorder="1" applyAlignment="1">
      <alignment horizontal="center"/>
    </xf>
    <xf numFmtId="0" fontId="7" fillId="0" borderId="31" xfId="0" applyFont="1" applyBorder="1" applyAlignment="1">
      <alignment horizontal="right"/>
    </xf>
    <xf numFmtId="0" fontId="8" fillId="13" borderId="31" xfId="0" applyFont="1" applyFill="1" applyBorder="1" applyAlignment="1">
      <alignment horizontal="center" vertical="center"/>
    </xf>
    <xf numFmtId="0" fontId="0" fillId="13" borderId="31" xfId="0" applyFill="1" applyBorder="1" applyAlignment="1">
      <alignment horizontal="center"/>
    </xf>
    <xf numFmtId="0" fontId="10" fillId="9" borderId="31" xfId="0" applyFont="1" applyFill="1" applyBorder="1" applyAlignment="1">
      <alignment horizontal="center" vertical="center"/>
    </xf>
    <xf numFmtId="0" fontId="71" fillId="2" borderId="11" xfId="0" applyFont="1" applyFill="1" applyBorder="1" applyAlignment="1">
      <alignment horizontal="center"/>
    </xf>
    <xf numFmtId="0" fontId="71" fillId="2" borderId="0" xfId="0" applyFont="1" applyFill="1" applyBorder="1" applyAlignment="1">
      <alignment horizontal="center"/>
    </xf>
    <xf numFmtId="0" fontId="71" fillId="2" borderId="12" xfId="0" applyFont="1" applyFill="1" applyBorder="1" applyAlignment="1">
      <alignment horizontal="center"/>
    </xf>
    <xf numFmtId="0" fontId="56" fillId="7" borderId="104" xfId="18" applyNumberFormat="1" applyBorder="1">
      <alignment horizontal="center" vertical="center"/>
    </xf>
    <xf numFmtId="0" fontId="56" fillId="7" borderId="59" xfId="18" applyNumberFormat="1" applyBorder="1" applyAlignment="1">
      <alignment horizontal="right" vertical="center"/>
    </xf>
    <xf numFmtId="0" fontId="56" fillId="7" borderId="115" xfId="18" applyNumberFormat="1" applyBorder="1" applyAlignment="1">
      <alignment horizontal="right" vertical="center"/>
    </xf>
    <xf numFmtId="0" fontId="7" fillId="9" borderId="34" xfId="0" applyFont="1" applyFill="1" applyBorder="1" applyAlignment="1">
      <alignment horizontal="center" vertical="center" wrapText="1"/>
    </xf>
    <xf numFmtId="0" fontId="7" fillId="9" borderId="32" xfId="0" applyFont="1" applyFill="1" applyBorder="1" applyAlignment="1">
      <alignment horizontal="center" vertical="center" wrapText="1"/>
    </xf>
    <xf numFmtId="0" fontId="7" fillId="0" borderId="42" xfId="0" applyFont="1" applyBorder="1" applyAlignment="1">
      <alignment horizontal="left"/>
    </xf>
    <xf numFmtId="0" fontId="7" fillId="0" borderId="0" xfId="0" applyFont="1" applyBorder="1" applyAlignment="1">
      <alignment horizontal="left"/>
    </xf>
    <xf numFmtId="0" fontId="7" fillId="0" borderId="34" xfId="0" applyFont="1" applyBorder="1" applyAlignment="1">
      <alignment horizontal="left"/>
    </xf>
    <xf numFmtId="0" fontId="7" fillId="0" borderId="32" xfId="0" applyFont="1" applyBorder="1" applyAlignment="1">
      <alignment horizontal="left"/>
    </xf>
    <xf numFmtId="0" fontId="10" fillId="9" borderId="34" xfId="0" applyFont="1" applyFill="1" applyBorder="1" applyAlignment="1">
      <alignment horizontal="center" vertical="center"/>
    </xf>
    <xf numFmtId="0" fontId="10" fillId="9" borderId="33" xfId="0" applyFont="1" applyFill="1" applyBorder="1" applyAlignment="1">
      <alignment horizontal="center" vertical="center"/>
    </xf>
    <xf numFmtId="0" fontId="10" fillId="9" borderId="32" xfId="0" applyFont="1" applyFill="1" applyBorder="1" applyAlignment="1">
      <alignment horizontal="center" vertical="center"/>
    </xf>
    <xf numFmtId="0" fontId="7" fillId="0" borderId="43" xfId="0" applyFont="1" applyBorder="1" applyAlignment="1">
      <alignment horizontal="left"/>
    </xf>
    <xf numFmtId="0" fontId="19" fillId="7" borderId="0" xfId="0" applyFont="1" applyFill="1" applyAlignment="1">
      <alignment horizontal="left" vertical="center" wrapText="1"/>
    </xf>
    <xf numFmtId="167" fontId="37" fillId="15" borderId="0" xfId="0" applyNumberFormat="1" applyFont="1" applyFill="1" applyBorder="1" applyAlignment="1">
      <alignment horizontal="center"/>
    </xf>
    <xf numFmtId="0" fontId="37" fillId="20" borderId="34" xfId="0" applyFont="1" applyFill="1" applyBorder="1" applyAlignment="1">
      <alignment horizontal="center"/>
    </xf>
    <xf numFmtId="0" fontId="37" fillId="20" borderId="32" xfId="0" applyFont="1" applyFill="1" applyBorder="1" applyAlignment="1">
      <alignment horizontal="center"/>
    </xf>
    <xf numFmtId="0" fontId="7" fillId="0" borderId="0" xfId="0" applyFont="1" applyBorder="1" applyAlignment="1">
      <alignment horizontal="center"/>
    </xf>
    <xf numFmtId="0" fontId="9" fillId="0" borderId="0" xfId="0" applyFont="1" applyBorder="1" applyAlignment="1">
      <alignment horizontal="left"/>
    </xf>
    <xf numFmtId="167" fontId="37" fillId="20" borderId="34" xfId="0" applyNumberFormat="1" applyFont="1" applyFill="1" applyBorder="1" applyAlignment="1">
      <alignment horizontal="center"/>
    </xf>
    <xf numFmtId="167" fontId="37" fillId="20" borderId="32" xfId="0" applyNumberFormat="1" applyFont="1" applyFill="1" applyBorder="1" applyAlignment="1">
      <alignment horizontal="center"/>
    </xf>
    <xf numFmtId="168" fontId="37" fillId="20" borderId="34" xfId="0" applyNumberFormat="1" applyFont="1" applyFill="1" applyBorder="1" applyAlignment="1">
      <alignment horizontal="center"/>
    </xf>
    <xf numFmtId="168" fontId="37" fillId="20" borderId="32" xfId="0" applyNumberFormat="1" applyFont="1" applyFill="1" applyBorder="1" applyAlignment="1">
      <alignment horizontal="center"/>
    </xf>
    <xf numFmtId="168" fontId="37" fillId="15" borderId="0" xfId="0" applyNumberFormat="1" applyFont="1" applyFill="1"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17" fillId="0" borderId="16" xfId="0" applyFont="1" applyBorder="1" applyAlignment="1">
      <alignment horizontal="center" vertical="center"/>
    </xf>
    <xf numFmtId="0" fontId="17" fillId="0" borderId="17" xfId="0" applyFont="1" applyBorder="1" applyAlignment="1">
      <alignment horizontal="center" vertical="center"/>
    </xf>
    <xf numFmtId="0" fontId="17" fillId="0" borderId="18" xfId="0" applyFont="1" applyBorder="1" applyAlignment="1">
      <alignment horizontal="center" vertical="center"/>
    </xf>
    <xf numFmtId="0" fontId="17" fillId="0" borderId="19" xfId="0" applyFont="1" applyBorder="1" applyAlignment="1">
      <alignment horizontal="center" vertical="center"/>
    </xf>
    <xf numFmtId="0" fontId="17" fillId="0" borderId="0" xfId="0" applyFont="1" applyBorder="1" applyAlignment="1">
      <alignment horizontal="center" vertical="center"/>
    </xf>
    <xf numFmtId="0" fontId="17" fillId="0" borderId="20" xfId="0" applyFont="1" applyBorder="1" applyAlignment="1">
      <alignment horizontal="center" vertical="center"/>
    </xf>
    <xf numFmtId="0" fontId="17" fillId="0" borderId="21" xfId="0" applyFont="1" applyBorder="1" applyAlignment="1">
      <alignment horizontal="center" vertical="center"/>
    </xf>
    <xf numFmtId="0" fontId="17" fillId="0" borderId="22" xfId="0" applyFont="1" applyBorder="1" applyAlignment="1">
      <alignment horizontal="center" vertical="center"/>
    </xf>
    <xf numFmtId="0" fontId="17" fillId="0" borderId="23" xfId="0" applyFont="1" applyBorder="1" applyAlignment="1">
      <alignment horizontal="center" vertical="center"/>
    </xf>
    <xf numFmtId="0" fontId="37" fillId="20" borderId="29" xfId="0" applyFont="1" applyFill="1" applyBorder="1" applyAlignment="1">
      <alignment horizontal="center" vertical="center"/>
    </xf>
    <xf numFmtId="0" fontId="37" fillId="20" borderId="25" xfId="0" applyFont="1" applyFill="1" applyBorder="1" applyAlignment="1">
      <alignment horizontal="center" vertical="center"/>
    </xf>
    <xf numFmtId="0" fontId="21" fillId="0" borderId="16" xfId="0" applyFont="1" applyBorder="1" applyAlignment="1">
      <alignment horizontal="center" vertical="center"/>
    </xf>
    <xf numFmtId="0" fontId="21" fillId="0" borderId="17"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0" xfId="0" applyFont="1" applyBorder="1" applyAlignment="1">
      <alignment horizontal="center" vertical="center"/>
    </xf>
    <xf numFmtId="0" fontId="21" fillId="0" borderId="20" xfId="0" applyFont="1" applyBorder="1" applyAlignment="1">
      <alignment horizontal="center" vertical="center"/>
    </xf>
    <xf numFmtId="0" fontId="21" fillId="0" borderId="21" xfId="0" applyFont="1" applyBorder="1" applyAlignment="1">
      <alignment horizontal="center" vertical="center"/>
    </xf>
    <xf numFmtId="0" fontId="21" fillId="0" borderId="22" xfId="0" applyFont="1" applyBorder="1" applyAlignment="1">
      <alignment horizontal="center" vertical="center"/>
    </xf>
    <xf numFmtId="0" fontId="21" fillId="0" borderId="23" xfId="0" applyFont="1" applyBorder="1" applyAlignment="1">
      <alignment horizontal="center" vertical="center"/>
    </xf>
    <xf numFmtId="0" fontId="0" fillId="0" borderId="0" xfId="0" applyAlignment="1">
      <alignment horizontal="center"/>
    </xf>
    <xf numFmtId="0" fontId="8" fillId="13"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56">
    <dxf>
      <font>
        <color rgb="FFC00000"/>
      </font>
    </dxf>
    <dxf>
      <font>
        <color theme="0" tint="-0.14996795556505021"/>
      </font>
    </dxf>
    <dxf>
      <font>
        <color theme="0" tint="-0.14996795556505021"/>
      </font>
    </dxf>
    <dxf>
      <font>
        <color theme="0" tint="-0.14996795556505021"/>
      </font>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protection locked="1" hidden="0"/>
    </dxf>
    <dxf>
      <protection locked="1" hidden="0"/>
    </dxf>
    <dxf>
      <border outline="0">
        <top style="thin">
          <color indexed="64"/>
        </top>
        <bottom style="hair">
          <color indexed="64"/>
        </bottom>
      </border>
    </dxf>
    <dxf>
      <protection locked="1" hidden="0"/>
    </dxf>
    <dxf>
      <border diagonalUp="0" diagonalDown="0" outline="0">
        <left style="thin">
          <color indexed="64"/>
        </left>
        <right style="thin">
          <color indexed="64"/>
        </right>
        <top/>
        <bottom/>
      </border>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Hora-M&#225;quina'!A1"/><Relationship Id="rId7" Type="http://schemas.openxmlformats.org/officeDocument/2006/relationships/hyperlink" Target="#'Carbono Equivalente'!A1"/><Relationship Id="rId2" Type="http://schemas.openxmlformats.org/officeDocument/2006/relationships/hyperlink" Target="#'Largura de Tira - Tubo'!A1"/><Relationship Id="rId1" Type="http://schemas.openxmlformats.org/officeDocument/2006/relationships/hyperlink" Target="#Embalagem!A1"/><Relationship Id="rId6" Type="http://schemas.openxmlformats.org/officeDocument/2006/relationships/hyperlink" Target="#'Peso de Tira'!A1"/><Relationship Id="rId5" Type="http://schemas.openxmlformats.org/officeDocument/2006/relationships/hyperlink" Target="#Simuladores!A1"/><Relationship Id="rId10" Type="http://schemas.openxmlformats.org/officeDocument/2006/relationships/image" Target="../media/image12.png"/><Relationship Id="rId4" Type="http://schemas.openxmlformats.org/officeDocument/2006/relationships/hyperlink" Target="#'Bobina x tira'!A1"/><Relationship Id="rId9" Type="http://schemas.openxmlformats.org/officeDocument/2006/relationships/image" Target="../media/image1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5.emf"/><Relationship Id="rId1" Type="http://schemas.openxmlformats.org/officeDocument/2006/relationships/image" Target="../media/image14.emf"/></Relationships>
</file>

<file path=xl/drawings/_rels/drawing14.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190500</xdr:colOff>
      <xdr:row>16</xdr:row>
      <xdr:rowOff>19050</xdr:rowOff>
    </xdr:from>
    <xdr:to>
      <xdr:col>13</xdr:col>
      <xdr:colOff>0</xdr:colOff>
      <xdr:row>18</xdr:row>
      <xdr:rowOff>19050</xdr:rowOff>
    </xdr:to>
    <xdr:sp macro="" textlink="">
      <xdr:nvSpPr>
        <xdr:cNvPr id="10" name="Retângulo de cantos arredondados 9">
          <a:hlinkClick xmlns:r="http://schemas.openxmlformats.org/officeDocument/2006/relationships" r:id="rId1"/>
        </xdr:cNvPr>
        <xdr:cNvSpPr/>
      </xdr:nvSpPr>
      <xdr:spPr>
        <a:xfrm>
          <a:off x="7286625" y="26098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4</xdr:row>
      <xdr:rowOff>9525</xdr:rowOff>
    </xdr:from>
    <xdr:to>
      <xdr:col>10</xdr:col>
      <xdr:colOff>0</xdr:colOff>
      <xdr:row>6</xdr:row>
      <xdr:rowOff>9525</xdr:rowOff>
    </xdr:to>
    <xdr:sp macro="" textlink="">
      <xdr:nvSpPr>
        <xdr:cNvPr id="11" name="Retângulo de cantos arredondados 10">
          <a:hlinkClick xmlns:r="http://schemas.openxmlformats.org/officeDocument/2006/relationships" r:id="rId2"/>
        </xdr:cNvPr>
        <xdr:cNvSpPr/>
      </xdr:nvSpPr>
      <xdr:spPr>
        <a:xfrm>
          <a:off x="5610225" y="65722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13</xdr:row>
      <xdr:rowOff>19050</xdr:rowOff>
    </xdr:from>
    <xdr:to>
      <xdr:col>13</xdr:col>
      <xdr:colOff>0</xdr:colOff>
      <xdr:row>15</xdr:row>
      <xdr:rowOff>19050</xdr:rowOff>
    </xdr:to>
    <xdr:sp macro="" textlink="">
      <xdr:nvSpPr>
        <xdr:cNvPr id="12" name="Retângulo de cantos arredondados 11">
          <a:hlinkClick xmlns:r="http://schemas.openxmlformats.org/officeDocument/2006/relationships" r:id="rId3"/>
        </xdr:cNvPr>
        <xdr:cNvSpPr/>
      </xdr:nvSpPr>
      <xdr:spPr>
        <a:xfrm>
          <a:off x="7286625" y="21240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4"/>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8" name="Retângulo de cantos arredondados 17">
          <a:hlinkClick xmlns:r="http://schemas.openxmlformats.org/officeDocument/2006/relationships" r:id="rId5"/>
        </xdr:cNvPr>
        <xdr:cNvSpPr/>
      </xdr:nvSpPr>
      <xdr:spPr>
        <a:xfrm>
          <a:off x="5610225"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6"/>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8</xdr:col>
      <xdr:colOff>0</xdr:colOff>
      <xdr:row>10</xdr:row>
      <xdr:rowOff>0</xdr:rowOff>
    </xdr:from>
    <xdr:to>
      <xdr:col>10</xdr:col>
      <xdr:colOff>1</xdr:colOff>
      <xdr:row>12</xdr:row>
      <xdr:rowOff>0</xdr:rowOff>
    </xdr:to>
    <xdr:sp macro="" textlink="">
      <xdr:nvSpPr>
        <xdr:cNvPr id="26" name="Retângulo de cantos arredondados 25">
          <a:hlinkClick xmlns:r="http://schemas.openxmlformats.org/officeDocument/2006/relationships" r:id="rId7"/>
        </xdr:cNvPr>
        <xdr:cNvSpPr/>
      </xdr:nvSpPr>
      <xdr:spPr>
        <a:xfrm>
          <a:off x="5610225" y="1619250"/>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5"/>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8"/>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9"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0"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ables/table1.xml><?xml version="1.0" encoding="utf-8"?>
<table xmlns="http://schemas.openxmlformats.org/spreadsheetml/2006/main" id="1" name="Tabela1" displayName="Tabela1" ref="BB3:BC1976" totalsRowShown="0" headerRowDxfId="19" dataDxfId="18" tableBorderDxfId="17" headerRowCellStyle="Fixos" dataCellStyle="Dados Editáveis">
  <autoFilter ref="BB3:BC1976"/>
  <tableColumns count="2">
    <tableColumn id="1" name="Cliente" dataDxfId="16" dataCellStyle="Dados Editáveis"/>
    <tableColumn id="2" name="Segmento Mercado" dataDxfId="15" dataCellStyle="Dados Editáveis"/>
  </tableColumns>
  <tableStyleInfo name="TableStyleLight8"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7.v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5.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C32" sqref="C32:E32"/>
    </sheetView>
  </sheetViews>
  <sheetFormatPr defaultColWidth="9.140625" defaultRowHeight="12.75" outlineLevelRow="2" x14ac:dyDescent="0.2"/>
  <cols>
    <col min="1" max="1" width="8.85546875" style="384" customWidth="1"/>
    <col min="2" max="2" width="2.7109375" style="384" customWidth="1"/>
    <col min="3" max="3" width="9.140625" style="384"/>
    <col min="4" max="4" width="9.28515625" style="384" bestFit="1" customWidth="1"/>
    <col min="5" max="5" width="11.5703125" style="384" bestFit="1" customWidth="1"/>
    <col min="6" max="6" width="9.28515625" style="384" bestFit="1" customWidth="1"/>
    <col min="7" max="7" width="9.140625" style="384"/>
    <col min="8" max="8" width="10.42578125" style="384" bestFit="1" customWidth="1"/>
    <col min="9" max="9" width="9.28515625" style="384" bestFit="1" customWidth="1"/>
    <col min="10" max="11" width="9.140625" style="384" customWidth="1"/>
    <col min="12" max="12" width="10.42578125" style="384" bestFit="1" customWidth="1"/>
    <col min="13" max="13" width="9.28515625" style="384" bestFit="1" customWidth="1"/>
    <col min="14" max="14" width="10.42578125" style="384" bestFit="1" customWidth="1"/>
    <col min="15" max="15" width="9.5703125" style="384" bestFit="1" customWidth="1"/>
    <col min="16" max="16" width="10.42578125" style="384" bestFit="1" customWidth="1"/>
    <col min="17" max="17" width="2.7109375" style="384" customWidth="1"/>
    <col min="18" max="18" width="3.5703125" style="384" customWidth="1"/>
    <col min="19" max="19" width="12.7109375" style="384" customWidth="1"/>
    <col min="20" max="23" width="10.7109375" style="384" customWidth="1"/>
    <col min="24" max="24" width="15.140625" style="384" bestFit="1" customWidth="1"/>
    <col min="25" max="25" width="11.7109375" style="384" customWidth="1"/>
    <col min="26" max="16384" width="9.140625" style="384"/>
  </cols>
  <sheetData>
    <row r="1" spans="2:21" ht="13.5" thickBot="1" x14ac:dyDescent="0.25">
      <c r="B1" s="383"/>
      <c r="C1" s="383"/>
      <c r="D1" s="383"/>
      <c r="E1" s="383"/>
      <c r="F1" s="383"/>
      <c r="G1" s="383"/>
      <c r="H1" s="383"/>
      <c r="I1" s="383"/>
      <c r="J1" s="383"/>
      <c r="K1" s="383"/>
      <c r="L1" s="383"/>
      <c r="M1" s="383"/>
      <c r="N1" s="383"/>
      <c r="O1" s="383"/>
      <c r="P1" s="383"/>
      <c r="Q1" s="383"/>
    </row>
    <row r="2" spans="2:21" ht="13.5" customHeight="1" x14ac:dyDescent="0.2">
      <c r="B2" s="394"/>
      <c r="C2" s="395"/>
      <c r="D2" s="395"/>
      <c r="E2" s="395"/>
      <c r="F2" s="395"/>
      <c r="G2" s="395"/>
      <c r="H2" s="395"/>
      <c r="I2" s="395"/>
      <c r="J2" s="395"/>
      <c r="K2" s="395"/>
      <c r="L2" s="395"/>
      <c r="M2" s="395"/>
      <c r="N2" s="395"/>
      <c r="O2" s="694" t="str">
        <f>LOOKUP(2,1/($B$164:B186&lt;&gt;""),$B$164:B186)&amp;"_"&amp;TEXT(LOOKUP(2,1/(P164:P186&lt;&gt;""),P164:P186),"aaaa")</f>
        <v>Versão 2.0_2022</v>
      </c>
      <c r="P2" s="694"/>
      <c r="Q2" s="396"/>
    </row>
    <row r="3" spans="2:21" ht="15" customHeight="1" x14ac:dyDescent="0.2">
      <c r="B3" s="397"/>
      <c r="C3" s="695"/>
      <c r="D3" s="696"/>
      <c r="E3" s="696"/>
      <c r="F3" s="696"/>
      <c r="G3" s="701" t="s">
        <v>696</v>
      </c>
      <c r="H3" s="701"/>
      <c r="I3" s="701"/>
      <c r="J3" s="701"/>
      <c r="K3" s="701"/>
      <c r="L3" s="701"/>
      <c r="M3" s="701"/>
      <c r="N3" s="701"/>
      <c r="O3" s="701"/>
      <c r="P3" s="701"/>
      <c r="Q3" s="398"/>
    </row>
    <row r="4" spans="2:21" ht="15" customHeight="1" x14ac:dyDescent="0.2">
      <c r="B4" s="397"/>
      <c r="C4" s="697"/>
      <c r="D4" s="698"/>
      <c r="E4" s="698"/>
      <c r="F4" s="698"/>
      <c r="G4" s="701"/>
      <c r="H4" s="701"/>
      <c r="I4" s="701"/>
      <c r="J4" s="701"/>
      <c r="K4" s="701"/>
      <c r="L4" s="701"/>
      <c r="M4" s="701"/>
      <c r="N4" s="701"/>
      <c r="O4" s="701"/>
      <c r="P4" s="701"/>
      <c r="Q4" s="398"/>
    </row>
    <row r="5" spans="2:21" ht="15" customHeight="1" x14ac:dyDescent="0.2">
      <c r="B5" s="397"/>
      <c r="C5" s="699"/>
      <c r="D5" s="700"/>
      <c r="E5" s="700"/>
      <c r="F5" s="700"/>
      <c r="G5" s="701"/>
      <c r="H5" s="701"/>
      <c r="I5" s="701"/>
      <c r="J5" s="701"/>
      <c r="K5" s="701"/>
      <c r="L5" s="701"/>
      <c r="M5" s="701"/>
      <c r="N5" s="701"/>
      <c r="O5" s="701"/>
      <c r="P5" s="701"/>
      <c r="Q5" s="398"/>
    </row>
    <row r="6" spans="2:21" ht="5.0999999999999996" customHeight="1" x14ac:dyDescent="0.2">
      <c r="B6" s="397"/>
      <c r="C6" s="383"/>
      <c r="D6" s="383"/>
      <c r="E6" s="383"/>
      <c r="F6" s="383"/>
      <c r="G6" s="383"/>
      <c r="H6" s="383"/>
      <c r="I6" s="383"/>
      <c r="J6" s="383"/>
      <c r="K6" s="383"/>
      <c r="L6" s="383"/>
      <c r="M6" s="383"/>
      <c r="N6" s="383"/>
      <c r="O6" s="383"/>
      <c r="P6" s="383"/>
      <c r="Q6" s="398"/>
    </row>
    <row r="7" spans="2:21" ht="5.0999999999999996" customHeight="1" x14ac:dyDescent="0.2">
      <c r="B7" s="397"/>
      <c r="C7" s="383"/>
      <c r="D7" s="383"/>
      <c r="E7" s="383"/>
      <c r="F7" s="383"/>
      <c r="G7" s="383"/>
      <c r="H7" s="383"/>
      <c r="I7" s="383"/>
      <c r="J7" s="383"/>
      <c r="K7" s="383"/>
      <c r="L7" s="383"/>
      <c r="M7" s="383"/>
      <c r="N7" s="383"/>
      <c r="O7" s="383"/>
      <c r="P7" s="383"/>
      <c r="Q7" s="398"/>
    </row>
    <row r="8" spans="2:21" ht="15" customHeight="1" x14ac:dyDescent="0.2">
      <c r="B8" s="397"/>
      <c r="C8" s="687" t="s">
        <v>692</v>
      </c>
      <c r="D8" s="687"/>
      <c r="E8" s="705" t="str">
        <f ca="1">IFERROR(MID(CELL("nome.arquivo",A1),FIND("]",CELL("nome.arquivo",A1))+1,LEN(CELL("nome.arquivo",A1) )),"{Salvar Este Arquivo}")</f>
        <v>PJT XXXX</v>
      </c>
      <c r="F8" s="705"/>
      <c r="G8" s="141"/>
      <c r="H8" s="687" t="s">
        <v>695</v>
      </c>
      <c r="I8" s="687"/>
      <c r="J8" s="706"/>
      <c r="K8" s="706"/>
      <c r="L8" s="706"/>
      <c r="M8" s="383"/>
      <c r="N8" s="702" t="s">
        <v>613</v>
      </c>
      <c r="O8" s="703"/>
      <c r="P8" s="704"/>
      <c r="Q8" s="398"/>
    </row>
    <row r="9" spans="2:21" ht="15" customHeight="1" x14ac:dyDescent="0.2">
      <c r="B9" s="397"/>
      <c r="C9" s="383"/>
      <c r="D9" s="383"/>
      <c r="E9" s="705"/>
      <c r="F9" s="705"/>
      <c r="G9" s="141"/>
      <c r="H9" s="383"/>
      <c r="I9" s="383"/>
      <c r="J9" s="706"/>
      <c r="K9" s="706"/>
      <c r="L9" s="706"/>
      <c r="M9" s="383"/>
      <c r="N9" s="410"/>
      <c r="O9" s="419" t="s">
        <v>615</v>
      </c>
      <c r="P9" s="420"/>
      <c r="Q9" s="398"/>
    </row>
    <row r="10" spans="2:21" ht="15" customHeight="1" x14ac:dyDescent="0.2">
      <c r="B10" s="397"/>
      <c r="C10" s="383"/>
      <c r="D10" s="383"/>
      <c r="E10" s="383"/>
      <c r="F10" s="383"/>
      <c r="G10" s="383"/>
      <c r="H10" s="383"/>
      <c r="I10" s="383"/>
      <c r="J10" s="383"/>
      <c r="K10" s="383"/>
      <c r="L10" s="383"/>
      <c r="M10" s="383"/>
      <c r="N10" s="449"/>
      <c r="O10" s="419" t="s">
        <v>693</v>
      </c>
      <c r="P10" s="420"/>
      <c r="Q10" s="398"/>
    </row>
    <row r="11" spans="2:21" ht="15" customHeight="1" x14ac:dyDescent="0.2">
      <c r="B11" s="397"/>
      <c r="C11" s="687" t="s">
        <v>612</v>
      </c>
      <c r="D11" s="687"/>
      <c r="E11" s="688"/>
      <c r="F11" s="688"/>
      <c r="G11" s="688"/>
      <c r="H11" s="688"/>
      <c r="I11" s="688"/>
      <c r="J11" s="688"/>
      <c r="K11" s="383"/>
      <c r="L11" s="534" t="s">
        <v>790</v>
      </c>
      <c r="M11" s="383"/>
      <c r="N11" s="411"/>
      <c r="O11" s="419" t="s">
        <v>694</v>
      </c>
      <c r="P11" s="420"/>
      <c r="Q11" s="398"/>
    </row>
    <row r="12" spans="2:21" ht="15" customHeight="1" x14ac:dyDescent="0.2">
      <c r="B12" s="397"/>
      <c r="C12" s="687" t="s">
        <v>614</v>
      </c>
      <c r="D12" s="687"/>
      <c r="E12" s="688"/>
      <c r="F12" s="688"/>
      <c r="G12" s="688"/>
      <c r="H12" s="688"/>
      <c r="I12" s="688"/>
      <c r="J12" s="688"/>
      <c r="K12" s="383"/>
      <c r="L12" s="430">
        <v>0</v>
      </c>
      <c r="M12" s="383"/>
      <c r="N12" s="412"/>
      <c r="O12" s="383" t="s">
        <v>631</v>
      </c>
      <c r="P12" s="413"/>
      <c r="Q12" s="398"/>
    </row>
    <row r="13" spans="2:21" ht="15" customHeight="1" x14ac:dyDescent="0.2">
      <c r="B13" s="397"/>
      <c r="C13" s="687" t="s">
        <v>616</v>
      </c>
      <c r="D13" s="687"/>
      <c r="E13" s="689"/>
      <c r="F13" s="689"/>
      <c r="G13" s="689"/>
      <c r="H13" s="689"/>
      <c r="I13" s="689"/>
      <c r="J13" s="689"/>
      <c r="K13" s="383"/>
      <c r="L13" s="383"/>
      <c r="M13" s="383"/>
      <c r="N13" s="414"/>
      <c r="O13" s="415" t="s">
        <v>632</v>
      </c>
      <c r="P13" s="408"/>
      <c r="Q13" s="398"/>
    </row>
    <row r="14" spans="2:21" ht="15" customHeight="1" x14ac:dyDescent="0.2">
      <c r="B14" s="397"/>
      <c r="C14" s="383"/>
      <c r="D14" s="383"/>
      <c r="E14" s="383"/>
      <c r="F14" s="383"/>
      <c r="G14" s="383"/>
      <c r="H14" s="383"/>
      <c r="I14" s="383"/>
      <c r="J14" s="383"/>
      <c r="K14" s="383"/>
      <c r="L14" s="383"/>
      <c r="M14" s="383"/>
      <c r="N14" s="383"/>
      <c r="O14" s="383"/>
      <c r="P14" s="383"/>
      <c r="Q14" s="398"/>
    </row>
    <row r="15" spans="2:21" ht="20.100000000000001" customHeight="1" x14ac:dyDescent="0.2">
      <c r="B15" s="397"/>
      <c r="C15" s="691" t="s">
        <v>648</v>
      </c>
      <c r="D15" s="691"/>
      <c r="E15" s="691"/>
      <c r="F15" s="691"/>
      <c r="G15" s="691"/>
      <c r="H15" s="691"/>
      <c r="I15" s="691"/>
      <c r="J15" s="691"/>
      <c r="K15" s="691"/>
      <c r="L15" s="691"/>
      <c r="M15" s="691"/>
      <c r="N15" s="691"/>
      <c r="O15" s="691"/>
      <c r="P15" s="691"/>
      <c r="Q15" s="398"/>
      <c r="R15"/>
      <c r="S15"/>
      <c r="T15"/>
      <c r="U15"/>
    </row>
    <row r="16" spans="2:21" ht="5.0999999999999996" customHeight="1" x14ac:dyDescent="0.2">
      <c r="B16" s="397"/>
      <c r="C16" s="383"/>
      <c r="D16" s="383"/>
      <c r="E16" s="379"/>
      <c r="F16" s="383"/>
      <c r="G16" s="379"/>
      <c r="H16" s="379"/>
      <c r="I16" s="379"/>
      <c r="J16" s="379"/>
      <c r="K16" s="383"/>
      <c r="L16" s="383"/>
      <c r="M16" s="383"/>
      <c r="N16" s="383"/>
      <c r="O16" s="383"/>
      <c r="P16" s="383"/>
      <c r="Q16" s="398"/>
    </row>
    <row r="17" spans="2:26" ht="15" customHeight="1" x14ac:dyDescent="0.2">
      <c r="B17" s="397"/>
      <c r="C17" s="665" t="s">
        <v>841</v>
      </c>
      <c r="D17" s="666"/>
      <c r="E17" s="666"/>
      <c r="F17" s="450">
        <v>1</v>
      </c>
      <c r="G17" s="451"/>
      <c r="H17" s="679" t="s">
        <v>392</v>
      </c>
      <c r="I17" s="679"/>
      <c r="J17" s="679" t="s">
        <v>623</v>
      </c>
      <c r="K17" s="679"/>
      <c r="L17" s="383"/>
      <c r="M17" s="692" t="s">
        <v>617</v>
      </c>
      <c r="N17" s="692"/>
      <c r="O17" s="399"/>
      <c r="P17" s="400" t="s">
        <v>717</v>
      </c>
      <c r="Q17" s="398"/>
      <c r="R17"/>
      <c r="S17"/>
      <c r="T17"/>
      <c r="U17"/>
    </row>
    <row r="18" spans="2:26" ht="15" customHeight="1" x14ac:dyDescent="0.2">
      <c r="B18" s="397"/>
      <c r="C18" s="665" t="s">
        <v>842</v>
      </c>
      <c r="D18" s="666"/>
      <c r="E18" s="666"/>
      <c r="F18" s="450"/>
      <c r="G18" s="451"/>
      <c r="H18" s="390">
        <f>ROUND((7.85*IF(E22&lt;&gt;0,E22,E24)*G22)/1000,3)</f>
        <v>0</v>
      </c>
      <c r="I18" s="391" t="s">
        <v>393</v>
      </c>
      <c r="J18" s="390">
        <f>(I22*H18)/1000</f>
        <v>0</v>
      </c>
      <c r="K18" s="391" t="s">
        <v>779</v>
      </c>
      <c r="L18" s="383"/>
      <c r="M18" s="383"/>
      <c r="N18" s="383"/>
      <c r="O18" s="401" t="str">
        <f>IFERROR((O17*1000)/H18,"")</f>
        <v/>
      </c>
      <c r="P18" s="400" t="s">
        <v>618</v>
      </c>
      <c r="Q18" s="398"/>
      <c r="R18"/>
      <c r="S18"/>
      <c r="T18"/>
      <c r="U18"/>
    </row>
    <row r="19" spans="2:26" ht="15" customHeight="1" x14ac:dyDescent="0.2">
      <c r="B19" s="397"/>
      <c r="C19" s="665" t="s">
        <v>843</v>
      </c>
      <c r="D19" s="666"/>
      <c r="E19" s="666"/>
      <c r="F19" s="450"/>
      <c r="G19" s="451"/>
      <c r="H19" s="383"/>
      <c r="I19" s="383"/>
      <c r="J19" s="383"/>
      <c r="K19" s="383"/>
      <c r="L19" s="383"/>
      <c r="M19" s="383"/>
      <c r="N19" s="383"/>
      <c r="O19" s="401" t="str">
        <f>IFERROR(ROUNDUP((O17*1000)/J18,0),"")</f>
        <v/>
      </c>
      <c r="P19" s="400" t="s">
        <v>619</v>
      </c>
      <c r="Q19" s="398"/>
      <c r="R19"/>
      <c r="S19"/>
      <c r="T19"/>
      <c r="U19"/>
    </row>
    <row r="20" spans="2:26" ht="15" customHeight="1" x14ac:dyDescent="0.2">
      <c r="B20" s="397"/>
      <c r="C20" s="383"/>
      <c r="D20" s="383"/>
      <c r="E20" s="379"/>
      <c r="F20" s="383"/>
      <c r="G20" s="379"/>
      <c r="H20" s="379"/>
      <c r="I20" s="379"/>
      <c r="J20" s="379"/>
      <c r="K20" s="383"/>
      <c r="L20" s="383"/>
      <c r="M20" s="383"/>
      <c r="N20" s="383"/>
      <c r="O20" s="383"/>
      <c r="P20" s="383"/>
      <c r="Q20" s="398"/>
    </row>
    <row r="21" spans="2:26" ht="15" customHeight="1" x14ac:dyDescent="0.2">
      <c r="B21" s="397"/>
      <c r="C21" s="679" t="s">
        <v>621</v>
      </c>
      <c r="D21" s="679"/>
      <c r="E21" s="679" t="s">
        <v>622</v>
      </c>
      <c r="F21" s="679"/>
      <c r="G21" s="679" t="s">
        <v>95</v>
      </c>
      <c r="H21" s="679"/>
      <c r="I21" s="679" t="s">
        <v>620</v>
      </c>
      <c r="J21" s="679"/>
      <c r="K21" s="383"/>
      <c r="L21" s="383"/>
      <c r="M21" s="383"/>
      <c r="N21" s="446" t="s">
        <v>636</v>
      </c>
      <c r="O21" s="452"/>
      <c r="P21" s="453" t="s">
        <v>715</v>
      </c>
      <c r="Q21" s="398"/>
    </row>
    <row r="22" spans="2:26" ht="15" customHeight="1" x14ac:dyDescent="0.2">
      <c r="B22" s="397"/>
      <c r="C22" s="409"/>
      <c r="D22" s="392" t="s">
        <v>9</v>
      </c>
      <c r="E22" s="409"/>
      <c r="F22" s="392" t="s">
        <v>9</v>
      </c>
      <c r="G22" s="393"/>
      <c r="H22" s="392" t="s">
        <v>9</v>
      </c>
      <c r="I22" s="416"/>
      <c r="J22" s="392" t="s">
        <v>9</v>
      </c>
      <c r="K22" s="383"/>
      <c r="L22" s="383"/>
      <c r="M22" s="383"/>
      <c r="N22" s="383"/>
      <c r="O22" s="383"/>
      <c r="P22" s="383"/>
      <c r="Q22" s="398"/>
    </row>
    <row r="23" spans="2:26" ht="15" customHeight="1" x14ac:dyDescent="0.2">
      <c r="B23" s="397"/>
      <c r="C23" s="383"/>
      <c r="D23" s="383"/>
      <c r="E23" s="679" t="s">
        <v>794</v>
      </c>
      <c r="F23" s="679"/>
      <c r="G23" s="383"/>
      <c r="H23" s="383"/>
      <c r="I23" s="383"/>
      <c r="J23" s="383"/>
      <c r="K23" s="383"/>
      <c r="L23" s="693" t="s">
        <v>746</v>
      </c>
      <c r="M23" s="693"/>
      <c r="N23" s="693"/>
      <c r="O23" s="438" t="s">
        <v>709</v>
      </c>
      <c r="P23" s="438" t="s">
        <v>710</v>
      </c>
      <c r="Q23" s="398"/>
    </row>
    <row r="24" spans="2:26" ht="15" customHeight="1" x14ac:dyDescent="0.2">
      <c r="B24" s="397"/>
      <c r="C24" s="383"/>
      <c r="D24" s="383"/>
      <c r="E24" s="389">
        <f>ROUND((C22-(G22/2))*PI(),0)</f>
        <v>0</v>
      </c>
      <c r="F24" s="392" t="s">
        <v>9</v>
      </c>
      <c r="G24" s="383"/>
      <c r="H24" s="383"/>
      <c r="I24" s="379"/>
      <c r="J24" s="383"/>
      <c r="K24" s="383"/>
      <c r="L24" s="666" t="s">
        <v>713</v>
      </c>
      <c r="M24" s="666"/>
      <c r="N24" s="690"/>
      <c r="O24" s="454" t="s">
        <v>116</v>
      </c>
      <c r="P24" s="454" t="s">
        <v>116</v>
      </c>
      <c r="Q24" s="398"/>
      <c r="R24"/>
    </row>
    <row r="25" spans="2:26" ht="15" customHeight="1" x14ac:dyDescent="0.2">
      <c r="B25" s="397"/>
      <c r="C25" s="383"/>
      <c r="D25" s="383"/>
      <c r="E25" s="379"/>
      <c r="F25" s="383"/>
      <c r="G25" s="379"/>
      <c r="H25" s="379"/>
      <c r="I25" s="379"/>
      <c r="J25" s="379"/>
      <c r="K25" s="383"/>
      <c r="L25" s="666" t="s">
        <v>714</v>
      </c>
      <c r="M25" s="666"/>
      <c r="N25" s="690"/>
      <c r="O25" s="454" t="s">
        <v>116</v>
      </c>
      <c r="P25" s="454" t="s">
        <v>116</v>
      </c>
      <c r="Q25" s="398"/>
    </row>
    <row r="26" spans="2:26" ht="15" customHeight="1" x14ac:dyDescent="0.2">
      <c r="B26" s="397"/>
      <c r="C26" s="679" t="s">
        <v>624</v>
      </c>
      <c r="D26" s="679"/>
      <c r="E26" s="679" t="s">
        <v>625</v>
      </c>
      <c r="F26" s="679"/>
      <c r="G26" s="679" t="s">
        <v>627</v>
      </c>
      <c r="H26" s="679"/>
      <c r="I26" s="679" t="s">
        <v>626</v>
      </c>
      <c r="J26" s="679"/>
      <c r="K26" s="141"/>
      <c r="L26" s="666" t="s">
        <v>711</v>
      </c>
      <c r="M26" s="666"/>
      <c r="N26" s="690"/>
      <c r="O26" s="454" t="s">
        <v>116</v>
      </c>
      <c r="P26" s="454" t="s">
        <v>116</v>
      </c>
      <c r="Q26" s="398"/>
      <c r="R26"/>
    </row>
    <row r="27" spans="2:26" ht="15" customHeight="1" x14ac:dyDescent="0.2">
      <c r="B27" s="397"/>
      <c r="C27" s="709" t="b">
        <v>0</v>
      </c>
      <c r="D27" s="709"/>
      <c r="E27" s="709" t="b">
        <v>0</v>
      </c>
      <c r="F27" s="709"/>
      <c r="G27" s="709" t="b">
        <v>0</v>
      </c>
      <c r="H27" s="709"/>
      <c r="I27" s="709" t="b">
        <v>0</v>
      </c>
      <c r="J27" s="709"/>
      <c r="K27" s="141"/>
      <c r="L27" s="666" t="s">
        <v>712</v>
      </c>
      <c r="M27" s="666"/>
      <c r="N27" s="690"/>
      <c r="O27" s="454" t="s">
        <v>116</v>
      </c>
      <c r="P27" s="454" t="s">
        <v>116</v>
      </c>
      <c r="Q27" s="398"/>
      <c r="R27"/>
    </row>
    <row r="28" spans="2:26" ht="15" customHeight="1" x14ac:dyDescent="0.2">
      <c r="B28" s="397"/>
      <c r="C28" s="141"/>
      <c r="D28" s="141"/>
      <c r="E28" s="141"/>
      <c r="F28" s="141"/>
      <c r="G28" s="379"/>
      <c r="H28" s="379"/>
      <c r="I28" s="379"/>
      <c r="J28" s="379"/>
      <c r="K28" s="383"/>
      <c r="L28" s="383"/>
      <c r="M28" s="383"/>
      <c r="N28" s="383"/>
      <c r="O28" s="383"/>
      <c r="P28" s="383"/>
      <c r="Q28" s="398"/>
      <c r="R28"/>
    </row>
    <row r="29" spans="2:26" ht="20.100000000000001" customHeight="1" x14ac:dyDescent="0.2">
      <c r="B29" s="397"/>
      <c r="C29" s="691" t="s">
        <v>663</v>
      </c>
      <c r="D29" s="691"/>
      <c r="E29" s="691"/>
      <c r="F29" s="691"/>
      <c r="G29" s="691"/>
      <c r="H29" s="691"/>
      <c r="I29" s="691"/>
      <c r="J29" s="691"/>
      <c r="K29" s="691"/>
      <c r="L29" s="691"/>
      <c r="M29" s="691"/>
      <c r="N29" s="691"/>
      <c r="O29" s="691"/>
      <c r="P29" s="691"/>
      <c r="Q29" s="398"/>
    </row>
    <row r="30" spans="2:26" ht="5.0999999999999996" customHeight="1" x14ac:dyDescent="0.2">
      <c r="B30" s="397"/>
      <c r="C30" s="383"/>
      <c r="D30" s="383"/>
      <c r="E30" s="379"/>
      <c r="F30" s="383"/>
      <c r="G30" s="379"/>
      <c r="H30" s="379"/>
      <c r="I30" s="379"/>
      <c r="J30" s="379"/>
      <c r="K30" s="383"/>
      <c r="L30" s="383"/>
      <c r="M30" s="383"/>
      <c r="N30" s="383"/>
      <c r="O30" s="383"/>
      <c r="P30" s="383"/>
      <c r="Q30" s="398"/>
    </row>
    <row r="31" spans="2:26" ht="15" customHeight="1" x14ac:dyDescent="0.2">
      <c r="B31" s="397"/>
      <c r="C31" s="715" t="s">
        <v>49</v>
      </c>
      <c r="D31" s="716"/>
      <c r="E31" s="383"/>
      <c r="F31" s="383"/>
      <c r="G31" s="383"/>
      <c r="H31" s="683" t="s">
        <v>583</v>
      </c>
      <c r="I31" s="683"/>
      <c r="J31" s="679" t="s">
        <v>521</v>
      </c>
      <c r="K31" s="679"/>
      <c r="L31" s="679" t="s">
        <v>649</v>
      </c>
      <c r="M31" s="679"/>
      <c r="N31" s="682" t="s">
        <v>707</v>
      </c>
      <c r="O31" s="683"/>
      <c r="P31" s="683"/>
      <c r="Q31" s="398"/>
      <c r="S31" s="668" t="s">
        <v>837</v>
      </c>
      <c r="T31" s="668"/>
      <c r="U31" s="668"/>
      <c r="V31" s="668"/>
      <c r="W31" s="668" t="s">
        <v>848</v>
      </c>
      <c r="X31" s="668"/>
      <c r="Y31" s="638" t="s">
        <v>839</v>
      </c>
      <c r="Z31" s="638" t="s">
        <v>348</v>
      </c>
    </row>
    <row r="32" spans="2:26" s="385" customFormat="1" ht="15" customHeight="1" x14ac:dyDescent="0.2">
      <c r="B32" s="402"/>
      <c r="C32" s="712"/>
      <c r="D32" s="713"/>
      <c r="E32" s="714"/>
      <c r="F32" s="447"/>
      <c r="G32" s="447"/>
      <c r="H32" s="409"/>
      <c r="I32" s="392" t="s">
        <v>720</v>
      </c>
      <c r="J32" s="409"/>
      <c r="K32" s="392" t="s">
        <v>281</v>
      </c>
      <c r="L32" s="710"/>
      <c r="M32" s="711"/>
      <c r="N32" s="677">
        <f>SUMPRODUCT(W33:W36,Z33:Z36)</f>
        <v>0</v>
      </c>
      <c r="O32" s="678"/>
      <c r="P32" s="392" t="s">
        <v>708</v>
      </c>
      <c r="Q32" s="403"/>
      <c r="S32" s="615" t="s">
        <v>840</v>
      </c>
      <c r="T32" s="615" t="s">
        <v>815</v>
      </c>
      <c r="U32" s="615" t="s">
        <v>816</v>
      </c>
      <c r="V32" s="615" t="s">
        <v>817</v>
      </c>
      <c r="W32" s="615" t="s">
        <v>846</v>
      </c>
      <c r="X32" s="615" t="s">
        <v>847</v>
      </c>
      <c r="Y32" s="615" t="s">
        <v>838</v>
      </c>
      <c r="Z32" s="615" t="s">
        <v>834</v>
      </c>
    </row>
    <row r="33" spans="2:26" s="385" customFormat="1" ht="15" customHeight="1" x14ac:dyDescent="0.2">
      <c r="B33" s="402"/>
      <c r="C33" s="447"/>
      <c r="D33" s="447"/>
      <c r="E33" s="447"/>
      <c r="F33" s="141"/>
      <c r="G33" s="447"/>
      <c r="H33" s="409"/>
      <c r="I33" s="392" t="s">
        <v>653</v>
      </c>
      <c r="J33" s="447"/>
      <c r="K33" s="141"/>
      <c r="L33" s="141"/>
      <c r="M33" s="141"/>
      <c r="N33" s="141"/>
      <c r="O33" s="447"/>
      <c r="P33" s="447"/>
      <c r="Q33" s="403"/>
      <c r="S33" s="615" t="s">
        <v>818</v>
      </c>
      <c r="T33" s="377">
        <v>0</v>
      </c>
      <c r="U33" s="377">
        <v>0</v>
      </c>
      <c r="V33" s="445" t="s">
        <v>819</v>
      </c>
      <c r="W33" s="377">
        <v>0</v>
      </c>
      <c r="X33" s="377">
        <v>0</v>
      </c>
      <c r="Y33" s="637">
        <f>(T33*PI())+U33*2</f>
        <v>0</v>
      </c>
      <c r="Z33" s="616">
        <f>((PI())*((T33/2)^2)+(U33*T33))</f>
        <v>0</v>
      </c>
    </row>
    <row r="34" spans="2:26" ht="15" customHeight="1" x14ac:dyDescent="0.2">
      <c r="B34" s="397"/>
      <c r="C34" s="682" t="s">
        <v>105</v>
      </c>
      <c r="D34" s="683"/>
      <c r="E34" s="455" t="b">
        <v>0</v>
      </c>
      <c r="F34" s="141"/>
      <c r="G34" s="141"/>
      <c r="H34" s="383"/>
      <c r="I34" s="383"/>
      <c r="J34" s="679" t="s">
        <v>109</v>
      </c>
      <c r="K34" s="679"/>
      <c r="L34" s="679" t="s">
        <v>703</v>
      </c>
      <c r="M34" s="679"/>
      <c r="N34" s="682" t="s">
        <v>719</v>
      </c>
      <c r="O34" s="683"/>
      <c r="P34" s="683"/>
      <c r="Q34" s="398"/>
      <c r="S34" s="615" t="s">
        <v>833</v>
      </c>
      <c r="T34" s="377">
        <v>0</v>
      </c>
      <c r="U34" s="445" t="s">
        <v>819</v>
      </c>
      <c r="V34" s="445" t="s">
        <v>819</v>
      </c>
      <c r="W34" s="377">
        <v>0</v>
      </c>
      <c r="X34" s="377">
        <v>0</v>
      </c>
      <c r="Y34" s="637">
        <f>T34*PI()</f>
        <v>0</v>
      </c>
      <c r="Z34" s="616">
        <f>(PI())*((T34/2)^2)</f>
        <v>0</v>
      </c>
    </row>
    <row r="35" spans="2:26" ht="15" customHeight="1" x14ac:dyDescent="0.2">
      <c r="B35" s="397"/>
      <c r="C35" s="383"/>
      <c r="D35" s="383"/>
      <c r="E35" s="383"/>
      <c r="F35" s="141"/>
      <c r="G35" s="383"/>
      <c r="H35" s="383"/>
      <c r="I35" s="383"/>
      <c r="J35" s="680"/>
      <c r="K35" s="680"/>
      <c r="L35" s="680"/>
      <c r="M35" s="680"/>
      <c r="N35" s="677">
        <f>SUMPRODUCT(Y33:Y36,W33:W36)</f>
        <v>0</v>
      </c>
      <c r="O35" s="678"/>
      <c r="P35" s="392" t="s">
        <v>9</v>
      </c>
      <c r="Q35" s="398"/>
      <c r="S35" s="615" t="s">
        <v>820</v>
      </c>
      <c r="T35" s="445" t="s">
        <v>819</v>
      </c>
      <c r="U35" s="377">
        <v>0</v>
      </c>
      <c r="V35" s="377">
        <v>0</v>
      </c>
      <c r="W35" s="377">
        <v>0</v>
      </c>
      <c r="X35" s="377">
        <v>0</v>
      </c>
      <c r="Y35" s="637">
        <f>U35*2+V35*2</f>
        <v>0</v>
      </c>
      <c r="Z35" s="616">
        <f>U35*V35</f>
        <v>0</v>
      </c>
    </row>
    <row r="36" spans="2:26" ht="15" customHeight="1" x14ac:dyDescent="0.2">
      <c r="B36" s="397"/>
      <c r="C36" s="715" t="s">
        <v>698</v>
      </c>
      <c r="D36" s="716"/>
      <c r="E36" s="141"/>
      <c r="F36" s="141"/>
      <c r="G36" s="383"/>
      <c r="H36" s="383"/>
      <c r="I36" s="383"/>
      <c r="J36" s="383"/>
      <c r="K36" s="383"/>
      <c r="L36" s="383"/>
      <c r="M36" s="383"/>
      <c r="N36" s="383"/>
      <c r="O36" s="383"/>
      <c r="P36" s="383"/>
      <c r="Q36" s="398"/>
      <c r="S36" s="615" t="s">
        <v>821</v>
      </c>
      <c r="T36" s="445" t="s">
        <v>819</v>
      </c>
      <c r="U36" s="377">
        <v>0</v>
      </c>
      <c r="V36" s="445" t="s">
        <v>819</v>
      </c>
      <c r="W36" s="377">
        <v>0</v>
      </c>
      <c r="X36" s="377">
        <v>0</v>
      </c>
      <c r="Y36" s="637">
        <f>U36*4</f>
        <v>0</v>
      </c>
      <c r="Z36" s="616">
        <f>U36*U36</f>
        <v>0</v>
      </c>
    </row>
    <row r="37" spans="2:26" ht="15" customHeight="1" x14ac:dyDescent="0.2">
      <c r="B37" s="397"/>
      <c r="C37" s="456"/>
      <c r="D37" s="456"/>
      <c r="E37" s="456"/>
      <c r="F37" s="417"/>
      <c r="G37" s="418"/>
      <c r="H37" s="418"/>
      <c r="I37" s="418"/>
      <c r="J37" s="418"/>
      <c r="K37" s="679" t="s">
        <v>650</v>
      </c>
      <c r="L37" s="679"/>
      <c r="M37" s="679" t="s">
        <v>814</v>
      </c>
      <c r="N37" s="679"/>
      <c r="O37" s="679" t="s">
        <v>804</v>
      </c>
      <c r="P37" s="679"/>
      <c r="Q37" s="398"/>
      <c r="S37"/>
      <c r="T37"/>
      <c r="Y37"/>
    </row>
    <row r="38" spans="2:26" ht="15" customHeight="1" x14ac:dyDescent="0.2">
      <c r="B38" s="397"/>
      <c r="C38" s="383"/>
      <c r="D38" s="383"/>
      <c r="E38" s="383"/>
      <c r="F38" s="383"/>
      <c r="G38" s="383"/>
      <c r="H38" s="383"/>
      <c r="I38" s="383"/>
      <c r="J38" s="383"/>
      <c r="K38" s="717"/>
      <c r="L38" s="717"/>
      <c r="M38" s="614"/>
      <c r="N38" s="556" t="s">
        <v>653</v>
      </c>
      <c r="O38" s="681"/>
      <c r="P38" s="681"/>
      <c r="Q38" s="398"/>
      <c r="S38"/>
      <c r="T38"/>
      <c r="U38"/>
      <c r="V38"/>
      <c r="W38"/>
      <c r="X38"/>
    </row>
    <row r="39" spans="2:26" ht="15" customHeight="1" x14ac:dyDescent="0.2">
      <c r="B39" s="397"/>
      <c r="C39" s="383"/>
      <c r="D39" s="383"/>
      <c r="E39" s="383"/>
      <c r="F39" s="383"/>
      <c r="G39" s="383"/>
      <c r="H39" s="383"/>
      <c r="I39" s="383"/>
      <c r="J39" s="383"/>
      <c r="K39" s="417"/>
      <c r="L39" s="417"/>
      <c r="M39" s="417"/>
      <c r="N39" s="417"/>
      <c r="O39" s="417"/>
      <c r="P39" s="417"/>
      <c r="Q39" s="398"/>
    </row>
    <row r="40" spans="2:26" ht="15" customHeight="1" x14ac:dyDescent="0.2">
      <c r="B40" s="397"/>
      <c r="C40" s="383"/>
      <c r="D40" s="383"/>
      <c r="E40" s="383"/>
      <c r="F40" s="383"/>
      <c r="G40" s="383"/>
      <c r="H40" s="383"/>
      <c r="I40" s="418"/>
      <c r="J40" s="418"/>
      <c r="K40" s="679" t="s">
        <v>701</v>
      </c>
      <c r="L40" s="679"/>
      <c r="M40" s="679" t="s">
        <v>702</v>
      </c>
      <c r="N40" s="679"/>
      <c r="O40" s="679" t="s">
        <v>688</v>
      </c>
      <c r="P40" s="679"/>
      <c r="Q40" s="398"/>
    </row>
    <row r="41" spans="2:26" ht="15" customHeight="1" x14ac:dyDescent="0.2">
      <c r="B41" s="397"/>
      <c r="C41" s="383"/>
      <c r="D41" s="383"/>
      <c r="E41" s="383"/>
      <c r="F41" s="383"/>
      <c r="G41" s="383"/>
      <c r="H41" s="383"/>
      <c r="I41" s="383"/>
      <c r="J41" s="383"/>
      <c r="K41" s="434">
        <f>IFERROR(IF(VLOOKUP($C$32,'Listas de Dados'!$A:$F,2,0)&lt;7,IF(C22&gt;=200,8,VLOOKUP(C32,'Listas de Dados'!A:F,4,0)),(VLOOKUP(C32,'Listas de Dados'!A:F,4,0)*K38/60)),0)</f>
        <v>0</v>
      </c>
      <c r="L41" s="392" t="s">
        <v>653</v>
      </c>
      <c r="M41" s="389">
        <f>IFERROR(VLOOKUP(J35,'Listas de Dados'!Z:AB,3,0),0)</f>
        <v>0</v>
      </c>
      <c r="N41" s="392" t="s">
        <v>653</v>
      </c>
      <c r="O41" s="389">
        <f>IFERROR(IF(E34,VLOOKUP(C32&amp;L35,'Listas de Dados'!AP:AQ,2,0),0),0)</f>
        <v>0</v>
      </c>
      <c r="P41" s="392" t="s">
        <v>653</v>
      </c>
      <c r="Q41" s="398"/>
    </row>
    <row r="42" spans="2:26" ht="15" customHeight="1" x14ac:dyDescent="0.2">
      <c r="B42" s="397"/>
      <c r="C42" s="383"/>
      <c r="D42" s="383"/>
      <c r="E42" s="383"/>
      <c r="F42" s="383"/>
      <c r="G42" s="383"/>
      <c r="H42" s="383"/>
      <c r="I42" s="383"/>
      <c r="J42" s="383"/>
      <c r="K42" s="456"/>
      <c r="L42" s="456"/>
      <c r="M42" s="456"/>
      <c r="N42" s="417"/>
      <c r="O42" s="418"/>
      <c r="P42" s="418"/>
      <c r="Q42" s="398"/>
    </row>
    <row r="43" spans="2:26" ht="15" customHeight="1" x14ac:dyDescent="0.2">
      <c r="B43" s="397"/>
      <c r="C43" s="383"/>
      <c r="D43" s="383"/>
      <c r="E43" s="383"/>
      <c r="F43" s="383"/>
      <c r="G43" s="383"/>
      <c r="H43" s="383"/>
      <c r="I43" s="379"/>
      <c r="J43" s="379"/>
      <c r="K43" s="679" t="s">
        <v>697</v>
      </c>
      <c r="L43" s="679"/>
      <c r="M43" s="679" t="s">
        <v>792</v>
      </c>
      <c r="N43" s="679"/>
      <c r="O43" s="675" t="s">
        <v>730</v>
      </c>
      <c r="P43" s="676"/>
      <c r="Q43" s="398"/>
    </row>
    <row r="44" spans="2:26" ht="15" customHeight="1" x14ac:dyDescent="0.2">
      <c r="B44" s="397"/>
      <c r="C44" s="383"/>
      <c r="D44" s="383"/>
      <c r="E44" s="383"/>
      <c r="F44" s="383"/>
      <c r="G44" s="383"/>
      <c r="H44" s="383"/>
      <c r="I44" s="379"/>
      <c r="J44" s="379"/>
      <c r="K44" s="434">
        <f>IFERROR(K41+H33+O41+M41,0)</f>
        <v>0</v>
      </c>
      <c r="L44" s="392" t="s">
        <v>653</v>
      </c>
      <c r="M44" s="434">
        <f>IFERROR(K38*(VLOOKUP(C32,'Listas de Dados'!A:F,5,0)/60),0)</f>
        <v>0</v>
      </c>
      <c r="N44" s="566" t="s">
        <v>653</v>
      </c>
      <c r="O44" s="442">
        <f>J18*(1-(O47/100))</f>
        <v>0</v>
      </c>
      <c r="P44" s="392" t="s">
        <v>731</v>
      </c>
      <c r="Q44" s="398"/>
    </row>
    <row r="45" spans="2:26" ht="15" customHeight="1" x14ac:dyDescent="0.2">
      <c r="B45" s="397"/>
      <c r="C45" s="383"/>
      <c r="D45" s="383"/>
      <c r="E45" s="383"/>
      <c r="F45" s="383"/>
      <c r="G45" s="383"/>
      <c r="H45" s="383"/>
      <c r="I45" s="379"/>
      <c r="J45" s="379"/>
      <c r="K45" s="383"/>
      <c r="L45" s="383"/>
      <c r="M45" s="383"/>
      <c r="N45" s="383"/>
      <c r="O45" s="383"/>
      <c r="P45" s="383"/>
      <c r="Q45" s="398"/>
      <c r="W45"/>
      <c r="X45"/>
    </row>
    <row r="46" spans="2:26" ht="15" customHeight="1" x14ac:dyDescent="0.2">
      <c r="B46" s="397"/>
      <c r="C46" s="383"/>
      <c r="D46" s="383"/>
      <c r="E46" s="383"/>
      <c r="F46" s="383"/>
      <c r="G46" s="383"/>
      <c r="H46" s="383"/>
      <c r="I46" s="379"/>
      <c r="J46" s="379"/>
      <c r="K46" s="679" t="s">
        <v>651</v>
      </c>
      <c r="L46" s="679"/>
      <c r="M46" s="679" t="s">
        <v>662</v>
      </c>
      <c r="N46" s="679"/>
      <c r="O46" s="679" t="s">
        <v>661</v>
      </c>
      <c r="P46" s="679"/>
      <c r="Q46" s="398"/>
    </row>
    <row r="47" spans="2:26" ht="15" customHeight="1" x14ac:dyDescent="0.2">
      <c r="B47" s="397"/>
      <c r="C47" s="383"/>
      <c r="D47" s="383"/>
      <c r="E47" s="383"/>
      <c r="F47" s="383"/>
      <c r="G47" s="383"/>
      <c r="H47" s="383"/>
      <c r="I47" s="379"/>
      <c r="J47" s="379"/>
      <c r="K47" s="389">
        <f>IFERROR(ROUND(H18*H32/O17/1000*100,2),0)</f>
        <v>0</v>
      </c>
      <c r="L47" s="392" t="s">
        <v>292</v>
      </c>
      <c r="M47" s="434">
        <f>IF(J35="Faca",1-(J18/(J18+0.00785*G22*IF(E22&lt;&gt;0,E22,E24)*0.012)),0)</f>
        <v>0</v>
      </c>
      <c r="N47" s="392" t="s">
        <v>292</v>
      </c>
      <c r="O47" s="434">
        <f>IFERROR(IF(E34,(1-((J18-N32*G22*0.00000785)/J18))*100,0),0)</f>
        <v>0</v>
      </c>
      <c r="P47" s="392" t="s">
        <v>292</v>
      </c>
      <c r="Q47" s="398"/>
      <c r="S47" s="436"/>
    </row>
    <row r="48" spans="2:26" ht="15" customHeight="1" x14ac:dyDescent="0.2">
      <c r="B48" s="397"/>
      <c r="C48" s="383"/>
      <c r="D48" s="383"/>
      <c r="E48" s="383"/>
      <c r="F48" s="383"/>
      <c r="G48" s="383"/>
      <c r="H48" s="383"/>
      <c r="I48" s="379"/>
      <c r="J48" s="379"/>
      <c r="K48" s="383"/>
      <c r="L48" s="383"/>
      <c r="M48" s="379"/>
      <c r="N48" s="383"/>
      <c r="O48" s="379"/>
      <c r="P48" s="379"/>
      <c r="Q48" s="398"/>
    </row>
    <row r="49" spans="2:17" ht="15" customHeight="1" x14ac:dyDescent="0.2">
      <c r="B49" s="397"/>
      <c r="C49" s="383"/>
      <c r="D49" s="383"/>
      <c r="E49" s="383"/>
      <c r="F49" s="383"/>
      <c r="G49" s="383"/>
      <c r="H49" s="383"/>
      <c r="I49" s="379"/>
      <c r="J49" s="379"/>
      <c r="K49" s="679" t="s">
        <v>686</v>
      </c>
      <c r="L49" s="679"/>
      <c r="M49" s="707"/>
      <c r="N49" s="707"/>
      <c r="O49" s="679" t="s">
        <v>658</v>
      </c>
      <c r="P49" s="679"/>
      <c r="Q49" s="398"/>
    </row>
    <row r="50" spans="2:17" ht="15" customHeight="1" x14ac:dyDescent="0.2">
      <c r="B50" s="397"/>
      <c r="C50" s="383"/>
      <c r="D50" s="383"/>
      <c r="E50" s="383"/>
      <c r="F50" s="383"/>
      <c r="G50" s="383"/>
      <c r="H50" s="383"/>
      <c r="I50" s="379"/>
      <c r="J50" s="379"/>
      <c r="K50" s="434">
        <f>IFERROR(SUM(K47,(L32*100),O47,M47),"")</f>
        <v>0</v>
      </c>
      <c r="L50" s="392" t="s">
        <v>292</v>
      </c>
      <c r="M50" s="707"/>
      <c r="N50" s="707"/>
      <c r="O50" s="434">
        <f>IFERROR((M56+K44)/(M38*O38),0)</f>
        <v>0</v>
      </c>
      <c r="P50" s="392" t="s">
        <v>657</v>
      </c>
      <c r="Q50" s="398"/>
    </row>
    <row r="51" spans="2:17" ht="15" customHeight="1" x14ac:dyDescent="0.2">
      <c r="B51" s="397"/>
      <c r="C51" s="383"/>
      <c r="D51" s="383"/>
      <c r="E51" s="383"/>
      <c r="F51" s="383"/>
      <c r="G51" s="383"/>
      <c r="H51" s="383"/>
      <c r="I51" s="379"/>
      <c r="J51" s="379"/>
      <c r="K51" s="383"/>
      <c r="L51" s="383"/>
      <c r="M51" s="379"/>
      <c r="N51" s="383"/>
      <c r="O51" s="379"/>
      <c r="P51" s="379"/>
      <c r="Q51" s="398"/>
    </row>
    <row r="52" spans="2:17" ht="15" customHeight="1" x14ac:dyDescent="0.2">
      <c r="B52" s="397"/>
      <c r="C52" s="383"/>
      <c r="D52" s="383"/>
      <c r="E52" s="379"/>
      <c r="F52" s="383"/>
      <c r="G52" s="379"/>
      <c r="H52" s="379"/>
      <c r="I52" s="379"/>
      <c r="J52" s="379"/>
      <c r="K52" s="679" t="s">
        <v>64</v>
      </c>
      <c r="L52" s="679"/>
      <c r="M52" s="679" t="s">
        <v>655</v>
      </c>
      <c r="N52" s="679"/>
      <c r="O52" s="679" t="s">
        <v>652</v>
      </c>
      <c r="P52" s="679"/>
      <c r="Q52" s="398"/>
    </row>
    <row r="53" spans="2:17" ht="15" customHeight="1" x14ac:dyDescent="0.2">
      <c r="B53" s="397"/>
      <c r="C53" s="383"/>
      <c r="D53" s="383"/>
      <c r="E53" s="379"/>
      <c r="F53" s="383"/>
      <c r="G53" s="379"/>
      <c r="H53" s="379"/>
      <c r="I53" s="379"/>
      <c r="J53" s="379"/>
      <c r="K53" s="389">
        <f>IFERROR(VLOOKUP(C32,'Listas de Dados'!A:F,6,0),0)</f>
        <v>0</v>
      </c>
      <c r="L53" s="392" t="s">
        <v>292</v>
      </c>
      <c r="M53" s="434">
        <f>IFERROR((K44*60)/O17,0)</f>
        <v>0</v>
      </c>
      <c r="N53" s="392" t="s">
        <v>654</v>
      </c>
      <c r="O53" s="389">
        <f>IFERROR(ROUND(((J32*H18/1000)^(-1))*((1+(100-K53)/100)),2),0)</f>
        <v>0</v>
      </c>
      <c r="P53" s="392" t="s">
        <v>654</v>
      </c>
      <c r="Q53" s="398"/>
    </row>
    <row r="54" spans="2:17" ht="15" customHeight="1" x14ac:dyDescent="0.2">
      <c r="B54" s="397"/>
      <c r="C54" s="383"/>
      <c r="D54" s="383"/>
      <c r="E54" s="379"/>
      <c r="F54" s="383"/>
      <c r="G54" s="379"/>
      <c r="H54" s="379"/>
      <c r="I54" s="379"/>
      <c r="J54" s="379"/>
      <c r="K54" s="383"/>
      <c r="L54" s="383"/>
      <c r="M54" s="383"/>
      <c r="N54" s="383"/>
      <c r="O54" s="383"/>
      <c r="P54" s="383"/>
      <c r="Q54" s="398"/>
    </row>
    <row r="55" spans="2:17" ht="15" customHeight="1" x14ac:dyDescent="0.2">
      <c r="B55" s="397"/>
      <c r="C55" s="383"/>
      <c r="D55" s="383"/>
      <c r="E55" s="379"/>
      <c r="F55" s="383"/>
      <c r="G55" s="379"/>
      <c r="H55" s="379"/>
      <c r="I55" s="379"/>
      <c r="J55" s="379"/>
      <c r="K55" s="679" t="s">
        <v>659</v>
      </c>
      <c r="L55" s="679"/>
      <c r="M55" s="679" t="s">
        <v>656</v>
      </c>
      <c r="N55" s="679"/>
      <c r="O55" s="679" t="s">
        <v>656</v>
      </c>
      <c r="P55" s="679"/>
      <c r="Q55" s="398"/>
    </row>
    <row r="56" spans="2:17" ht="15" customHeight="1" x14ac:dyDescent="0.2">
      <c r="B56" s="397"/>
      <c r="C56" s="383"/>
      <c r="D56" s="383"/>
      <c r="E56" s="379"/>
      <c r="F56" s="383"/>
      <c r="G56" s="379"/>
      <c r="H56" s="379"/>
      <c r="I56" s="379"/>
      <c r="J56" s="379"/>
      <c r="K56" s="435">
        <f>IFERROR((O53^-1)*M38*60*O38,0)</f>
        <v>0</v>
      </c>
      <c r="L56" s="392" t="s">
        <v>660</v>
      </c>
      <c r="M56" s="434">
        <f>IFERROR(O53*O17/60,0)</f>
        <v>0</v>
      </c>
      <c r="N56" s="620" t="s">
        <v>653</v>
      </c>
      <c r="O56" s="434">
        <f>IFERROR(M56/(M38*O38),0)</f>
        <v>0</v>
      </c>
      <c r="P56" s="392" t="s">
        <v>657</v>
      </c>
      <c r="Q56" s="398"/>
    </row>
    <row r="57" spans="2:17" ht="15" customHeight="1" x14ac:dyDescent="0.2">
      <c r="B57" s="397"/>
      <c r="C57" s="141"/>
      <c r="D57" s="141"/>
      <c r="E57" s="141"/>
      <c r="F57" s="141"/>
      <c r="G57" s="141"/>
      <c r="H57" s="141"/>
      <c r="I57" s="141"/>
      <c r="J57" s="141"/>
      <c r="K57" s="141"/>
      <c r="L57" s="141"/>
      <c r="M57" s="141"/>
      <c r="N57" s="141"/>
      <c r="O57" s="141"/>
      <c r="P57" s="141"/>
      <c r="Q57" s="398"/>
    </row>
    <row r="58" spans="2:17" ht="15" customHeight="1" x14ac:dyDescent="0.2">
      <c r="B58" s="397"/>
      <c r="C58" s="141"/>
      <c r="D58" s="141"/>
      <c r="E58" s="141"/>
      <c r="F58" s="141"/>
      <c r="G58" s="141"/>
      <c r="H58" s="141"/>
      <c r="I58" s="141"/>
      <c r="J58" s="141"/>
      <c r="K58" s="679" t="s">
        <v>718</v>
      </c>
      <c r="L58" s="679"/>
      <c r="M58" s="679" t="s">
        <v>349</v>
      </c>
      <c r="N58" s="679"/>
      <c r="O58" s="679" t="s">
        <v>311</v>
      </c>
      <c r="P58" s="679"/>
      <c r="Q58" s="398"/>
    </row>
    <row r="59" spans="2:17" ht="15" customHeight="1" x14ac:dyDescent="0.2">
      <c r="B59" s="397"/>
      <c r="C59" s="141"/>
      <c r="D59" s="141"/>
      <c r="E59" s="141"/>
      <c r="F59" s="141"/>
      <c r="G59" s="141"/>
      <c r="H59" s="141"/>
      <c r="I59" s="141"/>
      <c r="J59" s="141"/>
      <c r="K59" s="435">
        <f>IFERROR((SUMPRODUCT(Y33:Y36,X33:X36)*G22*P25*0.8)/9.81/1000,0)</f>
        <v>0</v>
      </c>
      <c r="L59" s="392" t="s">
        <v>717</v>
      </c>
      <c r="M59" s="434">
        <f>IFERROR((((P25*0.8)*E22*G22)/9.81)/1000,0)</f>
        <v>0</v>
      </c>
      <c r="N59" s="392" t="s">
        <v>717</v>
      </c>
      <c r="O59" s="434">
        <f>IFERROR(P24*(E22*G22)/1000,0)</f>
        <v>0</v>
      </c>
      <c r="P59" s="392" t="s">
        <v>313</v>
      </c>
      <c r="Q59" s="398"/>
    </row>
    <row r="60" spans="2:17" ht="15" customHeight="1" x14ac:dyDescent="0.2">
      <c r="B60" s="397"/>
      <c r="C60" s="141"/>
      <c r="D60" s="141"/>
      <c r="E60" s="141"/>
      <c r="F60" s="141"/>
      <c r="G60" s="141"/>
      <c r="H60" s="141"/>
      <c r="I60" s="141"/>
      <c r="J60" s="141"/>
      <c r="K60" s="141"/>
      <c r="L60" s="141"/>
      <c r="M60" s="141"/>
      <c r="N60" s="141"/>
      <c r="O60" s="141"/>
      <c r="P60" s="141"/>
      <c r="Q60" s="398"/>
    </row>
    <row r="61" spans="2:17" ht="15" customHeight="1" x14ac:dyDescent="0.2">
      <c r="B61" s="397"/>
      <c r="C61" s="141"/>
      <c r="D61" s="141"/>
      <c r="E61" s="141"/>
      <c r="F61" s="141"/>
      <c r="G61" s="141"/>
      <c r="H61" s="141"/>
      <c r="I61" s="141"/>
      <c r="J61" s="141"/>
      <c r="K61" s="679" t="s">
        <v>828</v>
      </c>
      <c r="L61" s="679"/>
      <c r="M61" s="679" t="s">
        <v>829</v>
      </c>
      <c r="N61" s="679"/>
      <c r="O61" s="679" t="s">
        <v>830</v>
      </c>
      <c r="P61" s="679"/>
      <c r="Q61" s="398"/>
    </row>
    <row r="62" spans="2:17" ht="15" customHeight="1" x14ac:dyDescent="0.2">
      <c r="B62" s="397"/>
      <c r="C62" s="141"/>
      <c r="D62" s="141"/>
      <c r="E62" s="141"/>
      <c r="F62" s="141"/>
      <c r="G62" s="141"/>
      <c r="H62" s="141"/>
      <c r="I62" s="141"/>
      <c r="J62" s="141"/>
      <c r="K62" s="434">
        <f>VLOOKUP(G22,'Listas de Dados'!$AS$4:$AW$7,2,1)</f>
        <v>0.95</v>
      </c>
      <c r="L62" s="618" t="s">
        <v>654</v>
      </c>
      <c r="M62" s="389">
        <f>VLOOKUP(G22,'Listas de Dados'!$AS$4:$AW$7,3,1)</f>
        <v>3.85</v>
      </c>
      <c r="N62" s="618" t="s">
        <v>654</v>
      </c>
      <c r="O62" s="389">
        <f>VLOOKUP(G22,'Listas de Dados'!$AS$4:$AW$7,4,1)</f>
        <v>1.5</v>
      </c>
      <c r="P62" s="613" t="s">
        <v>292</v>
      </c>
      <c r="Q62" s="398"/>
    </row>
    <row r="63" spans="2:17" ht="15" customHeight="1" x14ac:dyDescent="0.2">
      <c r="B63" s="397"/>
      <c r="C63" s="141"/>
      <c r="D63" s="141"/>
      <c r="E63" s="141"/>
      <c r="F63" s="141"/>
      <c r="G63" s="141"/>
      <c r="H63" s="141"/>
      <c r="I63" s="141"/>
      <c r="J63" s="141"/>
      <c r="K63" s="538"/>
      <c r="L63" s="538"/>
      <c r="M63" s="538"/>
      <c r="N63" s="538"/>
      <c r="O63" s="538"/>
      <c r="P63" s="538"/>
      <c r="Q63" s="398"/>
    </row>
    <row r="64" spans="2:17" ht="15" customHeight="1" outlineLevel="1" x14ac:dyDescent="0.2">
      <c r="B64" s="397"/>
      <c r="C64" s="141"/>
      <c r="D64" s="141"/>
      <c r="E64" s="141"/>
      <c r="F64" s="141"/>
      <c r="G64" s="141"/>
      <c r="H64" s="141"/>
      <c r="I64" s="141"/>
      <c r="J64" s="141"/>
      <c r="K64" s="639"/>
      <c r="L64" s="640"/>
      <c r="M64" s="640"/>
      <c r="N64" s="640"/>
      <c r="O64" s="523"/>
      <c r="P64" s="524"/>
      <c r="Q64" s="398"/>
    </row>
    <row r="65" spans="2:20" ht="15" customHeight="1" outlineLevel="1" x14ac:dyDescent="0.2">
      <c r="B65" s="397"/>
      <c r="C65" s="141"/>
      <c r="D65" s="141"/>
      <c r="E65" s="141"/>
      <c r="F65" s="141"/>
      <c r="G65" s="141"/>
      <c r="H65" s="141"/>
      <c r="I65" s="141"/>
      <c r="J65" s="141"/>
      <c r="K65" s="641"/>
      <c r="L65" s="642"/>
      <c r="M65" s="642"/>
      <c r="N65" s="642"/>
      <c r="O65" s="525"/>
      <c r="P65" s="526"/>
      <c r="Q65" s="398"/>
    </row>
    <row r="66" spans="2:20" ht="15" customHeight="1" outlineLevel="1" x14ac:dyDescent="0.2">
      <c r="B66" s="397"/>
      <c r="C66" s="141"/>
      <c r="D66" s="141"/>
      <c r="E66" s="141"/>
      <c r="F66" s="141"/>
      <c r="G66" s="141"/>
      <c r="H66" s="141"/>
      <c r="I66" s="141"/>
      <c r="J66" s="141"/>
      <c r="O66" s="141"/>
      <c r="P66" s="141"/>
      <c r="Q66" s="398"/>
    </row>
    <row r="67" spans="2:20" ht="15" customHeight="1" outlineLevel="1" x14ac:dyDescent="0.2">
      <c r="B67" s="397"/>
      <c r="C67" s="141"/>
      <c r="D67" s="141"/>
      <c r="E67" s="141"/>
      <c r="F67" s="141"/>
      <c r="G67" s="141"/>
      <c r="H67" s="141"/>
      <c r="I67" s="141"/>
      <c r="J67" s="141"/>
      <c r="K67" s="639"/>
      <c r="L67" s="640"/>
      <c r="M67" s="640"/>
      <c r="N67" s="640"/>
      <c r="O67" s="523"/>
      <c r="P67" s="524"/>
      <c r="Q67" s="398"/>
    </row>
    <row r="68" spans="2:20" ht="15" customHeight="1" outlineLevel="1" x14ac:dyDescent="0.2">
      <c r="B68" s="397"/>
      <c r="C68" s="141"/>
      <c r="D68" s="141"/>
      <c r="E68" s="141"/>
      <c r="F68" s="141"/>
      <c r="G68" s="141"/>
      <c r="H68" s="141"/>
      <c r="I68" s="141"/>
      <c r="J68" s="141"/>
      <c r="K68" s="641"/>
      <c r="L68" s="642"/>
      <c r="M68" s="642"/>
      <c r="N68" s="642"/>
      <c r="O68" s="525"/>
      <c r="P68" s="526"/>
      <c r="Q68" s="398"/>
    </row>
    <row r="69" spans="2:20" ht="15" customHeight="1" outlineLevel="1" x14ac:dyDescent="0.2">
      <c r="B69" s="397"/>
      <c r="C69" s="141"/>
      <c r="D69" s="141"/>
      <c r="E69" s="141"/>
      <c r="F69" s="141"/>
      <c r="G69" s="141"/>
      <c r="H69" s="141"/>
      <c r="I69" s="141"/>
      <c r="J69" s="141"/>
      <c r="O69" s="141"/>
      <c r="P69" s="141"/>
      <c r="Q69" s="398"/>
    </row>
    <row r="70" spans="2:20" ht="15" customHeight="1" outlineLevel="1" x14ac:dyDescent="0.2">
      <c r="B70" s="397"/>
      <c r="C70" s="141"/>
      <c r="D70" s="141"/>
      <c r="E70" s="141"/>
      <c r="F70" s="141"/>
      <c r="G70" s="141"/>
      <c r="H70" s="141"/>
      <c r="I70" s="141"/>
      <c r="J70" s="141"/>
      <c r="K70" s="720" t="s">
        <v>852</v>
      </c>
      <c r="L70" s="720"/>
      <c r="M70" s="720"/>
      <c r="N70" s="720"/>
      <c r="O70" s="720"/>
      <c r="P70" s="720"/>
      <c r="Q70" s="398"/>
    </row>
    <row r="71" spans="2:20" ht="15" customHeight="1" outlineLevel="1" x14ac:dyDescent="0.2">
      <c r="B71" s="397"/>
      <c r="C71" s="141"/>
      <c r="D71" s="141"/>
      <c r="E71" s="141"/>
      <c r="F71" s="141"/>
      <c r="G71" s="141"/>
      <c r="H71" s="141"/>
      <c r="I71" s="141"/>
      <c r="J71" s="141"/>
      <c r="K71" s="665" t="s">
        <v>858</v>
      </c>
      <c r="L71" s="666"/>
      <c r="M71" s="666"/>
      <c r="N71" s="667"/>
      <c r="O71" s="718">
        <f ca="1">IFERROR(INDEX(Investimentos!B:W,MATCH($E$8,Investimentos!B:B,0),14),0)</f>
        <v>0</v>
      </c>
      <c r="P71" s="718"/>
      <c r="Q71" s="398"/>
    </row>
    <row r="72" spans="2:20" ht="15" customHeight="1" outlineLevel="1" x14ac:dyDescent="0.2">
      <c r="B72" s="397"/>
      <c r="C72" s="538"/>
      <c r="D72" s="538"/>
      <c r="E72" s="538"/>
      <c r="F72" s="538"/>
      <c r="G72" s="538"/>
      <c r="H72" s="538"/>
      <c r="I72" s="538"/>
      <c r="J72" s="538"/>
      <c r="K72" s="665" t="s">
        <v>850</v>
      </c>
      <c r="L72" s="666"/>
      <c r="M72" s="666"/>
      <c r="N72" s="667"/>
      <c r="O72" s="718">
        <f ca="1">IFERROR(INDEX(Investimentos!B:W,MATCH($E$8,Investimentos!B:B,0),15),0)</f>
        <v>0</v>
      </c>
      <c r="P72" s="718"/>
      <c r="Q72" s="398"/>
    </row>
    <row r="73" spans="2:20" ht="15" customHeight="1" outlineLevel="1" x14ac:dyDescent="0.2">
      <c r="B73" s="397"/>
      <c r="C73" s="538"/>
      <c r="D73" s="538"/>
      <c r="E73" s="538"/>
      <c r="F73" s="538"/>
      <c r="G73" s="538"/>
      <c r="H73" s="538"/>
      <c r="I73" s="538"/>
      <c r="J73" s="538"/>
      <c r="K73" s="665" t="s">
        <v>851</v>
      </c>
      <c r="L73" s="666"/>
      <c r="M73" s="666"/>
      <c r="N73" s="667"/>
      <c r="O73" s="718">
        <f ca="1">IFERROR(INDEX(Investimentos!B:W,MATCH($E$8,Investimentos!B:B,0),16),0)</f>
        <v>0</v>
      </c>
      <c r="P73" s="718"/>
      <c r="Q73" s="398"/>
    </row>
    <row r="74" spans="2:20" ht="15" customHeight="1" outlineLevel="1" x14ac:dyDescent="0.2">
      <c r="B74" s="397"/>
      <c r="C74" s="538"/>
      <c r="D74" s="538"/>
      <c r="E74" s="538"/>
      <c r="F74" s="538"/>
      <c r="G74" s="538"/>
      <c r="H74" s="538"/>
      <c r="I74" s="538"/>
      <c r="J74" s="538"/>
      <c r="K74" s="665" t="s">
        <v>871</v>
      </c>
      <c r="L74" s="666"/>
      <c r="M74" s="666"/>
      <c r="N74" s="667"/>
      <c r="O74" s="718">
        <f ca="1">IFERROR(INDEX(Investimentos!B:W,MATCH($E$8,Investimentos!B:B,0),17),0)</f>
        <v>0</v>
      </c>
      <c r="P74" s="718"/>
      <c r="Q74" s="398"/>
    </row>
    <row r="75" spans="2:20" ht="15" customHeight="1" outlineLevel="1" x14ac:dyDescent="0.2">
      <c r="B75" s="397"/>
      <c r="C75" s="538"/>
      <c r="D75" s="538"/>
      <c r="E75" s="538"/>
      <c r="F75" s="538"/>
      <c r="G75" s="538"/>
      <c r="H75" s="538"/>
      <c r="I75" s="538"/>
      <c r="J75" s="538"/>
      <c r="K75" s="665" t="s">
        <v>872</v>
      </c>
      <c r="L75" s="666"/>
      <c r="M75" s="666"/>
      <c r="N75" s="667"/>
      <c r="O75" s="718">
        <f ca="1">IFERROR(INDEX(Investimentos!B:W,MATCH($E$8,Investimentos!B:B,0),18),0)</f>
        <v>0</v>
      </c>
      <c r="P75" s="718"/>
      <c r="Q75" s="398"/>
    </row>
    <row r="76" spans="2:20" ht="15" customHeight="1" outlineLevel="1" x14ac:dyDescent="0.2">
      <c r="B76" s="397"/>
      <c r="C76" s="538"/>
      <c r="D76" s="538"/>
      <c r="E76" s="538"/>
      <c r="F76" s="538"/>
      <c r="G76" s="538"/>
      <c r="H76" s="538"/>
      <c r="I76" s="538"/>
      <c r="J76" s="538"/>
      <c r="K76" s="665" t="s">
        <v>873</v>
      </c>
      <c r="L76" s="666"/>
      <c r="M76" s="666"/>
      <c r="N76" s="667"/>
      <c r="O76" s="718">
        <f ca="1">IFERROR(INDEX(Investimentos!B:W,MATCH($E$8,Investimentos!B:B,0),19),0)</f>
        <v>0</v>
      </c>
      <c r="P76" s="718"/>
      <c r="Q76" s="398"/>
      <c r="S76" s="661"/>
      <c r="T76" s="661"/>
    </row>
    <row r="77" spans="2:20" ht="15" customHeight="1" outlineLevel="1" x14ac:dyDescent="0.2">
      <c r="B77" s="397"/>
      <c r="C77" s="538"/>
      <c r="D77" s="538"/>
      <c r="E77" s="538"/>
      <c r="F77" s="538"/>
      <c r="G77" s="538"/>
      <c r="H77" s="538"/>
      <c r="I77" s="538"/>
      <c r="J77" s="538"/>
      <c r="K77" s="665" t="s">
        <v>874</v>
      </c>
      <c r="L77" s="666"/>
      <c r="M77" s="666"/>
      <c r="N77" s="667"/>
      <c r="O77" s="718">
        <f ca="1">IFERROR(INDEX(Investimentos!B:W,MATCH($E$8,Investimentos!B:B,0),20),0)</f>
        <v>0</v>
      </c>
      <c r="P77" s="718"/>
      <c r="Q77" s="398"/>
    </row>
    <row r="78" spans="2:20" ht="15" customHeight="1" outlineLevel="1" x14ac:dyDescent="0.2">
      <c r="B78" s="397"/>
      <c r="C78" s="521"/>
      <c r="D78" s="521"/>
      <c r="E78" s="521"/>
      <c r="F78" s="521"/>
      <c r="G78" s="521"/>
      <c r="H78" s="521"/>
      <c r="I78" s="521"/>
      <c r="J78" s="521"/>
      <c r="K78" s="721"/>
      <c r="L78" s="721"/>
      <c r="M78" s="721"/>
      <c r="N78" s="721"/>
      <c r="O78" s="719">
        <v>0</v>
      </c>
      <c r="P78" s="719"/>
      <c r="Q78" s="398"/>
    </row>
    <row r="79" spans="2:20" ht="15" customHeight="1" outlineLevel="1" x14ac:dyDescent="0.2">
      <c r="B79" s="397"/>
      <c r="C79" s="521"/>
      <c r="D79" s="521"/>
      <c r="E79" s="521"/>
      <c r="F79" s="521"/>
      <c r="G79" s="521"/>
      <c r="H79" s="521"/>
      <c r="I79" s="521"/>
      <c r="J79" s="521"/>
      <c r="K79" s="721"/>
      <c r="L79" s="721"/>
      <c r="M79" s="721"/>
      <c r="N79" s="721"/>
      <c r="O79" s="719">
        <v>0</v>
      </c>
      <c r="P79" s="719"/>
      <c r="Q79" s="398"/>
    </row>
    <row r="80" spans="2:20" ht="15" customHeight="1" outlineLevel="1" x14ac:dyDescent="0.2">
      <c r="B80" s="397"/>
      <c r="C80" s="141"/>
      <c r="D80" s="141"/>
      <c r="E80" s="141"/>
      <c r="F80" s="141"/>
      <c r="G80" s="141"/>
      <c r="H80" s="141"/>
      <c r="I80" s="141"/>
      <c r="J80" s="141"/>
      <c r="K80" s="665" t="s">
        <v>849</v>
      </c>
      <c r="L80" s="666"/>
      <c r="M80" s="666"/>
      <c r="N80" s="667"/>
      <c r="O80" s="718">
        <f ca="1">SUM(O71:P79)</f>
        <v>0</v>
      </c>
      <c r="P80" s="718"/>
      <c r="Q80" s="398"/>
    </row>
    <row r="81" spans="2:18" ht="15" customHeight="1" thickBot="1" x14ac:dyDescent="0.25">
      <c r="B81" s="404"/>
      <c r="C81" s="457"/>
      <c r="D81" s="457"/>
      <c r="E81" s="457"/>
      <c r="F81" s="457"/>
      <c r="G81" s="457"/>
      <c r="H81" s="457"/>
      <c r="I81" s="457"/>
      <c r="J81" s="457"/>
      <c r="K81" s="457"/>
      <c r="L81" s="457"/>
      <c r="M81" s="457"/>
      <c r="N81" s="457"/>
      <c r="O81" s="457"/>
      <c r="P81" s="457"/>
      <c r="Q81" s="406"/>
    </row>
    <row r="82" spans="2:18" ht="4.5" hidden="1" customHeight="1" outlineLevel="1" x14ac:dyDescent="0.2">
      <c r="B82" s="394"/>
      <c r="C82" s="395"/>
      <c r="D82" s="395"/>
      <c r="E82" s="459"/>
      <c r="F82" s="395"/>
      <c r="G82" s="459"/>
      <c r="H82" s="459"/>
      <c r="I82" s="459"/>
      <c r="J82" s="459"/>
      <c r="K82" s="458"/>
      <c r="L82" s="458"/>
      <c r="M82" s="458"/>
      <c r="N82" s="458"/>
      <c r="O82" s="458"/>
      <c r="P82" s="458"/>
      <c r="Q82" s="396"/>
    </row>
    <row r="83" spans="2:18" ht="20.100000000000001" hidden="1" customHeight="1" outlineLevel="1" x14ac:dyDescent="0.2">
      <c r="B83" s="397"/>
      <c r="C83" s="684" t="s">
        <v>806</v>
      </c>
      <c r="D83" s="684"/>
      <c r="E83" s="684"/>
      <c r="F83" s="684"/>
      <c r="G83" s="684"/>
      <c r="H83" s="684"/>
      <c r="I83" s="684"/>
      <c r="J83" s="684"/>
      <c r="K83" s="684"/>
      <c r="L83" s="684"/>
      <c r="M83" s="684"/>
      <c r="N83" s="684"/>
      <c r="O83" s="684"/>
      <c r="P83" s="684"/>
      <c r="Q83" s="398"/>
    </row>
    <row r="84" spans="2:18" ht="4.5" hidden="1" customHeight="1" outlineLevel="1" x14ac:dyDescent="0.2">
      <c r="B84" s="397"/>
      <c r="C84" s="383"/>
      <c r="D84" s="383"/>
      <c r="E84" s="379"/>
      <c r="F84" s="383"/>
      <c r="G84" s="379"/>
      <c r="H84" s="379"/>
      <c r="I84" s="379"/>
      <c r="J84" s="379"/>
      <c r="K84" s="141"/>
      <c r="L84" s="141"/>
      <c r="M84" s="141"/>
      <c r="N84" s="141"/>
      <c r="O84" s="141"/>
      <c r="P84" s="141"/>
      <c r="Q84" s="398"/>
    </row>
    <row r="85" spans="2:18" ht="15" hidden="1" customHeight="1" outlineLevel="1" x14ac:dyDescent="0.2">
      <c r="B85" s="397"/>
      <c r="C85" s="675" t="s">
        <v>668</v>
      </c>
      <c r="D85" s="676"/>
      <c r="E85" s="676"/>
      <c r="F85" s="440"/>
      <c r="G85" s="440"/>
      <c r="H85" s="440"/>
      <c r="I85" s="440"/>
      <c r="J85" s="440"/>
      <c r="K85" s="440"/>
      <c r="L85" s="440"/>
      <c r="M85" s="440"/>
      <c r="N85" s="440"/>
      <c r="O85" s="440"/>
      <c r="P85" s="440"/>
      <c r="Q85" s="398"/>
      <c r="R85" s="386"/>
    </row>
    <row r="86" spans="2:18" ht="15" hidden="1" customHeight="1" outlineLevel="2" x14ac:dyDescent="0.2">
      <c r="B86" s="397"/>
      <c r="C86" s="685"/>
      <c r="D86" s="686"/>
      <c r="E86" s="686"/>
      <c r="F86" s="686"/>
      <c r="G86" s="686"/>
      <c r="H86" s="141"/>
      <c r="I86" s="683" t="s">
        <v>583</v>
      </c>
      <c r="J86" s="683"/>
      <c r="K86" s="675" t="s">
        <v>721</v>
      </c>
      <c r="L86" s="676"/>
      <c r="M86" s="675" t="s">
        <v>812</v>
      </c>
      <c r="N86" s="676"/>
      <c r="O86" s="675" t="s">
        <v>732</v>
      </c>
      <c r="P86" s="676"/>
      <c r="Q86" s="398"/>
      <c r="R86" s="387"/>
    </row>
    <row r="87" spans="2:18" ht="15" hidden="1" customHeight="1" outlineLevel="2" x14ac:dyDescent="0.2">
      <c r="B87" s="397"/>
      <c r="C87" s="141"/>
      <c r="D87" s="141"/>
      <c r="E87" s="141"/>
      <c r="F87" s="141"/>
      <c r="G87" s="141"/>
      <c r="H87" s="141"/>
      <c r="I87" s="409"/>
      <c r="J87" s="392" t="s">
        <v>728</v>
      </c>
      <c r="K87" s="409"/>
      <c r="L87" s="392" t="s">
        <v>722</v>
      </c>
      <c r="M87" s="545">
        <v>0</v>
      </c>
      <c r="N87" s="611" t="s">
        <v>292</v>
      </c>
      <c r="O87" s="545">
        <v>0</v>
      </c>
      <c r="P87" s="573" t="s">
        <v>780</v>
      </c>
      <c r="Q87" s="398"/>
      <c r="R87" s="387"/>
    </row>
    <row r="88" spans="2:18" ht="15" hidden="1" customHeight="1" outlineLevel="2" x14ac:dyDescent="0.2">
      <c r="B88" s="397"/>
      <c r="C88" s="141"/>
      <c r="D88" s="675" t="s">
        <v>805</v>
      </c>
      <c r="E88" s="676"/>
      <c r="F88" s="675" t="s">
        <v>163</v>
      </c>
      <c r="G88" s="676"/>
      <c r="H88" s="141"/>
      <c r="I88" s="409"/>
      <c r="J88" s="392" t="s">
        <v>664</v>
      </c>
      <c r="K88" s="383"/>
      <c r="L88" s="383"/>
      <c r="M88" s="383"/>
      <c r="N88" s="383"/>
      <c r="O88" s="383"/>
      <c r="P88" s="383"/>
      <c r="Q88" s="398"/>
      <c r="R88" s="387"/>
    </row>
    <row r="89" spans="2:18" ht="15" hidden="1" customHeight="1" outlineLevel="2" x14ac:dyDescent="0.2">
      <c r="B89" s="397"/>
      <c r="C89" s="141"/>
      <c r="D89" s="441"/>
      <c r="E89" s="392" t="s">
        <v>9</v>
      </c>
      <c r="F89" s="389">
        <f>D89*D92+F92</f>
        <v>0</v>
      </c>
      <c r="G89" s="392" t="s">
        <v>9</v>
      </c>
      <c r="H89" s="141"/>
      <c r="I89" s="383"/>
      <c r="J89" s="383"/>
      <c r="M89" s="679" t="s">
        <v>814</v>
      </c>
      <c r="N89" s="679"/>
      <c r="O89" s="679" t="s">
        <v>804</v>
      </c>
      <c r="P89" s="679"/>
      <c r="Q89" s="398"/>
      <c r="R89" s="387"/>
    </row>
    <row r="90" spans="2:18" ht="15" hidden="1" customHeight="1" outlineLevel="2" x14ac:dyDescent="0.2">
      <c r="B90" s="397"/>
      <c r="C90" s="141"/>
      <c r="D90" s="383"/>
      <c r="E90" s="383"/>
      <c r="F90" s="383"/>
      <c r="G90" s="383"/>
      <c r="H90" s="383"/>
      <c r="I90" s="383"/>
      <c r="J90" s="383"/>
      <c r="M90" s="614">
        <v>8.48</v>
      </c>
      <c r="N90" s="556" t="s">
        <v>653</v>
      </c>
      <c r="O90" s="681">
        <v>1</v>
      </c>
      <c r="P90" s="681"/>
      <c r="Q90" s="398"/>
      <c r="R90" s="387"/>
    </row>
    <row r="91" spans="2:18" ht="15" hidden="1" customHeight="1" outlineLevel="2" x14ac:dyDescent="0.2">
      <c r="B91" s="397"/>
      <c r="C91" s="141"/>
      <c r="D91" s="722" t="s">
        <v>727</v>
      </c>
      <c r="E91" s="724"/>
      <c r="F91" s="722" t="s">
        <v>72</v>
      </c>
      <c r="G91" s="723"/>
      <c r="H91" s="383"/>
      <c r="I91" s="383"/>
      <c r="J91" s="383"/>
      <c r="K91" s="383"/>
      <c r="L91" s="383"/>
      <c r="M91" s="383"/>
      <c r="N91" s="383"/>
      <c r="O91" s="383"/>
      <c r="P91" s="383"/>
      <c r="Q91" s="398"/>
      <c r="R91" s="388"/>
    </row>
    <row r="92" spans="2:18" ht="15" hidden="1" customHeight="1" outlineLevel="2" x14ac:dyDescent="0.2">
      <c r="B92" s="397"/>
      <c r="C92" s="141"/>
      <c r="D92" s="409">
        <v>1</v>
      </c>
      <c r="E92" s="573" t="s">
        <v>728</v>
      </c>
      <c r="F92" s="575">
        <v>0</v>
      </c>
      <c r="G92" s="573" t="s">
        <v>9</v>
      </c>
      <c r="H92" s="383"/>
      <c r="I92" s="675" t="s">
        <v>723</v>
      </c>
      <c r="J92" s="676"/>
      <c r="K92" s="679" t="s">
        <v>651</v>
      </c>
      <c r="L92" s="679"/>
      <c r="M92" s="679" t="s">
        <v>724</v>
      </c>
      <c r="N92" s="679"/>
      <c r="O92" s="679" t="s">
        <v>686</v>
      </c>
      <c r="P92" s="679"/>
      <c r="Q92" s="398"/>
      <c r="R92" s="388"/>
    </row>
    <row r="93" spans="2:18" ht="15" hidden="1" customHeight="1" outlineLevel="2" x14ac:dyDescent="0.2">
      <c r="B93" s="397"/>
      <c r="C93" s="141"/>
      <c r="D93" s="383"/>
      <c r="E93" s="383"/>
      <c r="F93" s="383"/>
      <c r="G93" s="383"/>
      <c r="H93" s="383"/>
      <c r="I93" s="434" t="str">
        <f>IFERROR((F89-D89*D92)/F89*100,"")</f>
        <v/>
      </c>
      <c r="J93" s="573" t="s">
        <v>292</v>
      </c>
      <c r="K93" s="434">
        <f>IFERROR(($H$18*D89*I87/1000)/1000/D98*100,0)</f>
        <v>0</v>
      </c>
      <c r="L93" s="392" t="s">
        <v>292</v>
      </c>
      <c r="M93" s="434">
        <f>IFERROR(((D95/F95)-1)*100,0)</f>
        <v>0</v>
      </c>
      <c r="N93" s="392" t="s">
        <v>292</v>
      </c>
      <c r="O93" s="434">
        <f>SUM(K93,M93,I93)</f>
        <v>0</v>
      </c>
      <c r="P93" s="392" t="s">
        <v>292</v>
      </c>
      <c r="Q93" s="398"/>
      <c r="R93" s="388"/>
    </row>
    <row r="94" spans="2:18" ht="15" hidden="1" customHeight="1" outlineLevel="2" x14ac:dyDescent="0.2">
      <c r="B94" s="397"/>
      <c r="C94" s="141"/>
      <c r="D94" s="675" t="s">
        <v>729</v>
      </c>
      <c r="E94" s="676"/>
      <c r="F94" s="675" t="s">
        <v>730</v>
      </c>
      <c r="G94" s="676"/>
      <c r="H94" s="383"/>
      <c r="I94" s="141"/>
      <c r="J94" s="141"/>
      <c r="K94" s="383"/>
      <c r="L94" s="383"/>
      <c r="M94" s="383"/>
      <c r="N94" s="383"/>
      <c r="O94" s="383"/>
      <c r="P94" s="383"/>
      <c r="Q94" s="398"/>
      <c r="R94" s="387"/>
    </row>
    <row r="95" spans="2:18" ht="15" hidden="1" customHeight="1" outlineLevel="2" x14ac:dyDescent="0.2">
      <c r="B95" s="397"/>
      <c r="C95" s="141"/>
      <c r="D95" s="389">
        <f>ROUND(D89/1000*$H$18,3)</f>
        <v>0</v>
      </c>
      <c r="E95" s="392" t="s">
        <v>731</v>
      </c>
      <c r="F95" s="389">
        <f>D95-O87</f>
        <v>0</v>
      </c>
      <c r="G95" s="392" t="s">
        <v>731</v>
      </c>
      <c r="H95" s="383"/>
      <c r="I95" s="679" t="s">
        <v>721</v>
      </c>
      <c r="J95" s="679"/>
      <c r="K95" s="679" t="s">
        <v>658</v>
      </c>
      <c r="L95" s="679"/>
      <c r="M95" s="679" t="s">
        <v>741</v>
      </c>
      <c r="N95" s="679"/>
      <c r="O95" s="679" t="s">
        <v>64</v>
      </c>
      <c r="P95" s="679"/>
      <c r="Q95" s="398"/>
      <c r="R95" s="387"/>
    </row>
    <row r="96" spans="2:18" ht="15" hidden="1" customHeight="1" outlineLevel="2" x14ac:dyDescent="0.2">
      <c r="B96" s="397"/>
      <c r="C96" s="141"/>
      <c r="D96" s="383"/>
      <c r="E96" s="383"/>
      <c r="F96" s="383"/>
      <c r="G96" s="383"/>
      <c r="H96" s="383"/>
      <c r="I96" s="434">
        <f>K87/60</f>
        <v>0</v>
      </c>
      <c r="J96" s="392" t="s">
        <v>664</v>
      </c>
      <c r="K96" s="434">
        <f>IFERROR(((O99*D98/60)+K99)/(M90*O90),"")</f>
        <v>0</v>
      </c>
      <c r="L96" s="392" t="s">
        <v>657</v>
      </c>
      <c r="M96" s="708" t="str">
        <f>IF(F95&lt;5,"Leve",IF(AND(F95&gt;=5,F95&lt;10),"Normal","Pesada"))</f>
        <v>Leve</v>
      </c>
      <c r="N96" s="708"/>
      <c r="O96" s="434">
        <f>IFERROR(INDEX('Listas de Dados'!Q:S,MATCH('PJT XXXX'!C86,'Listas de Dados'!P:P,0),MATCH("Eficiência "&amp;M96,'Listas de Dados'!$Q$3:$S$3,0)),0)</f>
        <v>0</v>
      </c>
      <c r="P96" s="392" t="s">
        <v>292</v>
      </c>
      <c r="Q96" s="398"/>
      <c r="R96" s="387"/>
    </row>
    <row r="97" spans="2:18" ht="15" hidden="1" customHeight="1" outlineLevel="2" x14ac:dyDescent="0.2">
      <c r="B97" s="397"/>
      <c r="C97" s="141"/>
      <c r="D97" s="722" t="s">
        <v>733</v>
      </c>
      <c r="E97" s="723"/>
      <c r="F97" s="722" t="s">
        <v>734</v>
      </c>
      <c r="G97" s="723"/>
      <c r="H97" s="383"/>
      <c r="I97" s="383"/>
      <c r="J97" s="383"/>
      <c r="K97" s="383"/>
      <c r="L97" s="383"/>
      <c r="M97" s="141"/>
      <c r="N97" s="141"/>
      <c r="O97" s="141"/>
      <c r="P97" s="141"/>
      <c r="Q97" s="398"/>
      <c r="R97" s="387"/>
    </row>
    <row r="98" spans="2:18" ht="15" hidden="1" customHeight="1" outlineLevel="2" x14ac:dyDescent="0.2">
      <c r="B98" s="397"/>
      <c r="C98" s="141"/>
      <c r="D98" s="409"/>
      <c r="E98" s="392" t="s">
        <v>717</v>
      </c>
      <c r="F98" s="449"/>
      <c r="G98" s="392" t="s">
        <v>715</v>
      </c>
      <c r="H98" s="383"/>
      <c r="I98" s="679" t="s">
        <v>61</v>
      </c>
      <c r="J98" s="679"/>
      <c r="K98" s="679" t="s">
        <v>697</v>
      </c>
      <c r="L98" s="679"/>
      <c r="M98" s="679" t="s">
        <v>655</v>
      </c>
      <c r="N98" s="679"/>
      <c r="O98" s="679" t="s">
        <v>652</v>
      </c>
      <c r="P98" s="679"/>
      <c r="Q98" s="398"/>
    </row>
    <row r="99" spans="2:18" ht="15" hidden="1" customHeight="1" outlineLevel="2" x14ac:dyDescent="0.2">
      <c r="B99" s="397"/>
      <c r="C99" s="141"/>
      <c r="D99" s="383"/>
      <c r="E99" s="383"/>
      <c r="F99" s="449"/>
      <c r="G99" s="392" t="s">
        <v>716</v>
      </c>
      <c r="H99" s="383"/>
      <c r="I99" s="434">
        <f>IFERROR(VLOOKUP(C86,'Listas de Dados'!$I:$N,3,0),0)</f>
        <v>0</v>
      </c>
      <c r="J99" s="392" t="s">
        <v>653</v>
      </c>
      <c r="K99" s="434">
        <f>SUM(I99,I88/60)</f>
        <v>0</v>
      </c>
      <c r="L99" s="392" t="s">
        <v>653</v>
      </c>
      <c r="M99" s="434">
        <f>IFERROR(K99*60/D98,0)</f>
        <v>0</v>
      </c>
      <c r="N99" s="392" t="s">
        <v>654</v>
      </c>
      <c r="O99" s="434">
        <f>IFERROR(K87/(F95)/60*1000*((1+(100-O96)/100)),0)</f>
        <v>0</v>
      </c>
      <c r="P99" s="392" t="s">
        <v>654</v>
      </c>
      <c r="Q99" s="398"/>
      <c r="R99" s="387"/>
    </row>
    <row r="100" spans="2:18" ht="15" hidden="1" customHeight="1" outlineLevel="1" collapsed="1" x14ac:dyDescent="0.2">
      <c r="B100" s="397"/>
      <c r="C100" s="141"/>
      <c r="D100" s="141"/>
      <c r="E100" s="141"/>
      <c r="F100" s="141"/>
      <c r="G100" s="141"/>
      <c r="H100" s="141"/>
      <c r="I100" s="141"/>
      <c r="J100" s="141"/>
      <c r="K100" s="141"/>
      <c r="L100" s="141"/>
      <c r="M100" s="141"/>
      <c r="N100" s="141"/>
      <c r="O100" s="141"/>
      <c r="P100" s="141"/>
      <c r="Q100" s="398"/>
      <c r="R100" s="387"/>
    </row>
    <row r="101" spans="2:18" ht="15" hidden="1" customHeight="1" outlineLevel="1" x14ac:dyDescent="0.2">
      <c r="B101" s="397"/>
      <c r="C101" s="675" t="s">
        <v>726</v>
      </c>
      <c r="D101" s="676"/>
      <c r="E101" s="676"/>
      <c r="F101" s="440"/>
      <c r="G101" s="440"/>
      <c r="H101" s="440"/>
      <c r="I101" s="440"/>
      <c r="J101" s="440"/>
      <c r="K101" s="440"/>
      <c r="L101" s="440"/>
      <c r="M101" s="440"/>
      <c r="N101" s="440"/>
      <c r="O101" s="440"/>
      <c r="P101" s="440"/>
      <c r="Q101" s="398"/>
      <c r="R101" s="386"/>
    </row>
    <row r="102" spans="2:18" ht="15" hidden="1" customHeight="1" outlineLevel="2" x14ac:dyDescent="0.2">
      <c r="B102" s="397"/>
      <c r="C102" s="685"/>
      <c r="D102" s="686"/>
      <c r="E102" s="686"/>
      <c r="F102" s="686"/>
      <c r="G102" s="686"/>
      <c r="H102" s="141"/>
      <c r="I102" s="683" t="s">
        <v>583</v>
      </c>
      <c r="J102" s="683"/>
      <c r="K102" s="675" t="s">
        <v>721</v>
      </c>
      <c r="L102" s="676"/>
      <c r="M102" s="675" t="s">
        <v>812</v>
      </c>
      <c r="N102" s="676"/>
      <c r="O102" s="675" t="s">
        <v>732</v>
      </c>
      <c r="P102" s="676"/>
      <c r="Q102" s="398"/>
      <c r="R102" s="387"/>
    </row>
    <row r="103" spans="2:18" ht="15" hidden="1" customHeight="1" outlineLevel="2" x14ac:dyDescent="0.2">
      <c r="B103" s="397"/>
      <c r="C103" s="141"/>
      <c r="D103" s="141"/>
      <c r="E103" s="141"/>
      <c r="F103" s="141"/>
      <c r="G103" s="141"/>
      <c r="H103" s="141"/>
      <c r="I103" s="409"/>
      <c r="J103" s="392" t="s">
        <v>728</v>
      </c>
      <c r="K103" s="409"/>
      <c r="L103" s="392" t="s">
        <v>722</v>
      </c>
      <c r="M103" s="545">
        <v>0</v>
      </c>
      <c r="N103" s="611" t="s">
        <v>292</v>
      </c>
      <c r="O103" s="545">
        <v>0</v>
      </c>
      <c r="P103" s="392" t="s">
        <v>780</v>
      </c>
      <c r="Q103" s="398"/>
      <c r="R103" s="387"/>
    </row>
    <row r="104" spans="2:18" ht="15" hidden="1" customHeight="1" outlineLevel="2" x14ac:dyDescent="0.2">
      <c r="B104" s="397"/>
      <c r="C104" s="141"/>
      <c r="D104" s="675" t="s">
        <v>805</v>
      </c>
      <c r="E104" s="676"/>
      <c r="F104" s="675" t="s">
        <v>163</v>
      </c>
      <c r="G104" s="676"/>
      <c r="H104" s="141"/>
      <c r="I104" s="409"/>
      <c r="J104" s="392" t="s">
        <v>664</v>
      </c>
      <c r="K104" s="383"/>
      <c r="L104" s="383"/>
      <c r="M104" s="383"/>
      <c r="N104" s="383"/>
      <c r="O104" s="383"/>
      <c r="P104" s="383"/>
      <c r="Q104" s="398"/>
      <c r="R104" s="387"/>
    </row>
    <row r="105" spans="2:18" ht="15" hidden="1" customHeight="1" outlineLevel="2" x14ac:dyDescent="0.2">
      <c r="B105" s="397"/>
      <c r="C105" s="141"/>
      <c r="D105" s="574">
        <f>IFERROR((F105-F108)/D108,0)</f>
        <v>0</v>
      </c>
      <c r="E105" s="392" t="s">
        <v>9</v>
      </c>
      <c r="F105" s="389">
        <f>D89</f>
        <v>0</v>
      </c>
      <c r="G105" s="392" t="s">
        <v>9</v>
      </c>
      <c r="H105" s="141"/>
      <c r="I105" s="383"/>
      <c r="J105" s="383"/>
      <c r="M105" s="679" t="s">
        <v>814</v>
      </c>
      <c r="N105" s="679"/>
      <c r="O105" s="679" t="s">
        <v>804</v>
      </c>
      <c r="P105" s="679"/>
      <c r="Q105" s="398"/>
      <c r="R105" s="387"/>
    </row>
    <row r="106" spans="2:18" ht="15" hidden="1" customHeight="1" outlineLevel="2" x14ac:dyDescent="0.2">
      <c r="B106" s="397"/>
      <c r="C106" s="141"/>
      <c r="D106" s="383"/>
      <c r="E106" s="383"/>
      <c r="F106" s="383"/>
      <c r="G106" s="383"/>
      <c r="H106" s="383"/>
      <c r="I106" s="383"/>
      <c r="J106" s="383"/>
      <c r="M106" s="614">
        <v>8.48</v>
      </c>
      <c r="N106" s="556" t="s">
        <v>653</v>
      </c>
      <c r="O106" s="681">
        <v>1</v>
      </c>
      <c r="P106" s="681"/>
      <c r="Q106" s="398"/>
      <c r="R106" s="387"/>
    </row>
    <row r="107" spans="2:18" ht="15" hidden="1" customHeight="1" outlineLevel="2" x14ac:dyDescent="0.2">
      <c r="B107" s="397"/>
      <c r="C107" s="141"/>
      <c r="D107" s="722" t="s">
        <v>727</v>
      </c>
      <c r="E107" s="723"/>
      <c r="F107" s="722" t="s">
        <v>72</v>
      </c>
      <c r="G107" s="723"/>
      <c r="H107" s="383"/>
      <c r="I107" s="383"/>
      <c r="J107" s="383"/>
      <c r="K107" s="383"/>
      <c r="L107" s="383"/>
      <c r="M107" s="383"/>
      <c r="N107" s="383"/>
      <c r="O107" s="383"/>
      <c r="P107" s="383"/>
      <c r="Q107" s="398"/>
      <c r="R107" s="388"/>
    </row>
    <row r="108" spans="2:18" ht="15" hidden="1" customHeight="1" outlineLevel="2" x14ac:dyDescent="0.2">
      <c r="B108" s="397"/>
      <c r="C108" s="141"/>
      <c r="D108" s="576">
        <v>1</v>
      </c>
      <c r="E108" s="573" t="s">
        <v>728</v>
      </c>
      <c r="F108" s="576">
        <v>0</v>
      </c>
      <c r="G108" s="573" t="s">
        <v>9</v>
      </c>
      <c r="H108" s="383"/>
      <c r="I108" s="675" t="s">
        <v>723</v>
      </c>
      <c r="J108" s="676"/>
      <c r="K108" s="679" t="s">
        <v>651</v>
      </c>
      <c r="L108" s="679"/>
      <c r="M108" s="679" t="s">
        <v>724</v>
      </c>
      <c r="N108" s="679"/>
      <c r="O108" s="679" t="s">
        <v>686</v>
      </c>
      <c r="P108" s="679"/>
      <c r="Q108" s="398"/>
      <c r="R108" s="388"/>
    </row>
    <row r="109" spans="2:18" ht="15" hidden="1" customHeight="1" outlineLevel="2" x14ac:dyDescent="0.2">
      <c r="B109" s="397"/>
      <c r="C109" s="141"/>
      <c r="D109" s="383"/>
      <c r="E109" s="383"/>
      <c r="F109" s="383"/>
      <c r="G109" s="383"/>
      <c r="H109" s="383"/>
      <c r="I109" s="434" t="str">
        <f>IFERROR((F105-D105*D108)/F105*100,"")</f>
        <v/>
      </c>
      <c r="J109" s="611" t="s">
        <v>292</v>
      </c>
      <c r="K109" s="434">
        <f>IFERROR(($H$18*D105*I103/1000)/1000/D114*100,0)</f>
        <v>0</v>
      </c>
      <c r="L109" s="392" t="s">
        <v>292</v>
      </c>
      <c r="M109" s="434">
        <f>IFERROR(((D111/F111)-1)*100,0)</f>
        <v>0</v>
      </c>
      <c r="N109" s="392" t="s">
        <v>292</v>
      </c>
      <c r="O109" s="434">
        <f>SUM(K109,M109,I109)</f>
        <v>0</v>
      </c>
      <c r="P109" s="392" t="s">
        <v>292</v>
      </c>
      <c r="Q109" s="398"/>
      <c r="R109" s="388"/>
    </row>
    <row r="110" spans="2:18" ht="15" hidden="1" customHeight="1" outlineLevel="2" x14ac:dyDescent="0.2">
      <c r="B110" s="397"/>
      <c r="C110" s="141"/>
      <c r="D110" s="675" t="s">
        <v>729</v>
      </c>
      <c r="E110" s="676"/>
      <c r="F110" s="675" t="s">
        <v>730</v>
      </c>
      <c r="G110" s="676"/>
      <c r="H110" s="383"/>
      <c r="I110" s="141"/>
      <c r="J110" s="141"/>
      <c r="K110" s="383"/>
      <c r="L110" s="383"/>
      <c r="M110" s="383"/>
      <c r="N110" s="383"/>
      <c r="O110" s="383"/>
      <c r="P110" s="383"/>
      <c r="Q110" s="398"/>
      <c r="R110" s="387"/>
    </row>
    <row r="111" spans="2:18" ht="15" hidden="1" customHeight="1" outlineLevel="2" x14ac:dyDescent="0.2">
      <c r="B111" s="397"/>
      <c r="C111" s="141"/>
      <c r="D111" s="389">
        <f>F95</f>
        <v>0</v>
      </c>
      <c r="E111" s="392" t="s">
        <v>731</v>
      </c>
      <c r="F111" s="434">
        <f>D111-O103</f>
        <v>0</v>
      </c>
      <c r="G111" s="392" t="s">
        <v>731</v>
      </c>
      <c r="H111" s="383"/>
      <c r="I111" s="679" t="s">
        <v>721</v>
      </c>
      <c r="J111" s="679"/>
      <c r="K111" s="679" t="s">
        <v>658</v>
      </c>
      <c r="L111" s="679"/>
      <c r="M111" s="679" t="s">
        <v>741</v>
      </c>
      <c r="N111" s="679"/>
      <c r="O111" s="679" t="s">
        <v>64</v>
      </c>
      <c r="P111" s="679"/>
      <c r="Q111" s="398"/>
      <c r="R111" s="387"/>
    </row>
    <row r="112" spans="2:18" ht="15" hidden="1" customHeight="1" outlineLevel="2" x14ac:dyDescent="0.2">
      <c r="B112" s="397"/>
      <c r="C112" s="141"/>
      <c r="D112" s="383"/>
      <c r="E112" s="383"/>
      <c r="F112" s="383"/>
      <c r="G112" s="383"/>
      <c r="H112" s="383"/>
      <c r="I112" s="434">
        <f>K103/60</f>
        <v>0</v>
      </c>
      <c r="J112" s="392" t="s">
        <v>664</v>
      </c>
      <c r="K112" s="434">
        <f>IFERROR(((O115*D114/60)+K115)/(M106*O106),"")</f>
        <v>0</v>
      </c>
      <c r="L112" s="392" t="s">
        <v>657</v>
      </c>
      <c r="M112" s="708" t="str">
        <f>IF(F111&lt;5,"Leve",IF(AND(F111&gt;=5,F111&lt;10),"Normal","Pesada"))</f>
        <v>Leve</v>
      </c>
      <c r="N112" s="708"/>
      <c r="O112" s="434">
        <f>IFERROR(INDEX('Listas de Dados'!Q:S,MATCH('PJT XXXX'!C102,'Listas de Dados'!P:P,0),MATCH("Eficiência "&amp;M112,'Listas de Dados'!$Q$3:$S$3,0)),0)</f>
        <v>0</v>
      </c>
      <c r="P112" s="392" t="s">
        <v>292</v>
      </c>
      <c r="Q112" s="398"/>
      <c r="R112" s="387"/>
    </row>
    <row r="113" spans="2:18" ht="15" hidden="1" customHeight="1" outlineLevel="2" x14ac:dyDescent="0.2">
      <c r="B113" s="397"/>
      <c r="C113" s="141"/>
      <c r="D113" s="722" t="s">
        <v>733</v>
      </c>
      <c r="E113" s="723"/>
      <c r="F113" s="722" t="s">
        <v>734</v>
      </c>
      <c r="G113" s="723"/>
      <c r="H113" s="383"/>
      <c r="I113" s="383"/>
      <c r="J113" s="383"/>
      <c r="K113" s="383"/>
      <c r="L113" s="383"/>
      <c r="M113" s="141"/>
      <c r="N113" s="141"/>
      <c r="O113" s="141"/>
      <c r="P113" s="141"/>
      <c r="Q113" s="398"/>
      <c r="R113" s="387"/>
    </row>
    <row r="114" spans="2:18" ht="15" hidden="1" customHeight="1" outlineLevel="2" x14ac:dyDescent="0.2">
      <c r="B114" s="397"/>
      <c r="C114" s="141"/>
      <c r="D114" s="572">
        <f>D98</f>
        <v>0</v>
      </c>
      <c r="E114" s="392" t="s">
        <v>717</v>
      </c>
      <c r="F114" s="574">
        <f>F98</f>
        <v>0</v>
      </c>
      <c r="G114" s="392" t="s">
        <v>715</v>
      </c>
      <c r="H114" s="383"/>
      <c r="I114" s="679" t="s">
        <v>61</v>
      </c>
      <c r="J114" s="679"/>
      <c r="K114" s="679" t="s">
        <v>697</v>
      </c>
      <c r="L114" s="679"/>
      <c r="M114" s="679" t="s">
        <v>655</v>
      </c>
      <c r="N114" s="679"/>
      <c r="O114" s="679" t="s">
        <v>652</v>
      </c>
      <c r="P114" s="679"/>
      <c r="Q114" s="398"/>
    </row>
    <row r="115" spans="2:18" ht="15" hidden="1" customHeight="1" outlineLevel="2" x14ac:dyDescent="0.2">
      <c r="B115" s="397"/>
      <c r="C115" s="141"/>
      <c r="D115" s="383"/>
      <c r="E115" s="383"/>
      <c r="F115" s="574">
        <f>F99</f>
        <v>0</v>
      </c>
      <c r="G115" s="392" t="s">
        <v>716</v>
      </c>
      <c r="H115" s="383"/>
      <c r="I115" s="434">
        <f>IFERROR(VLOOKUP(C102,'Listas de Dados'!$I:$N,3,0),0)</f>
        <v>0</v>
      </c>
      <c r="J115" s="392" t="s">
        <v>653</v>
      </c>
      <c r="K115" s="434">
        <f>SUM(I115,I104/60)</f>
        <v>0</v>
      </c>
      <c r="L115" s="392" t="s">
        <v>653</v>
      </c>
      <c r="M115" s="434">
        <f>IFERROR(K115*60/D114,0)</f>
        <v>0</v>
      </c>
      <c r="N115" s="392" t="s">
        <v>654</v>
      </c>
      <c r="O115" s="434">
        <f>IFERROR(K103/(F111)/60*1000*((1+(100-O112)/100)),0)</f>
        <v>0</v>
      </c>
      <c r="P115" s="392" t="s">
        <v>654</v>
      </c>
      <c r="Q115" s="398"/>
      <c r="R115" s="387"/>
    </row>
    <row r="116" spans="2:18" ht="15" hidden="1" customHeight="1" outlineLevel="1" collapsed="1" x14ac:dyDescent="0.2">
      <c r="B116" s="397"/>
      <c r="C116" s="141"/>
      <c r="D116" s="141"/>
      <c r="E116" s="383"/>
      <c r="F116" s="383"/>
      <c r="G116" s="383"/>
      <c r="H116" s="383"/>
      <c r="I116" s="383"/>
      <c r="J116" s="383"/>
      <c r="K116" s="383"/>
      <c r="L116" s="383"/>
      <c r="M116" s="383"/>
      <c r="N116" s="383"/>
      <c r="O116" s="383"/>
      <c r="P116" s="141"/>
      <c r="Q116" s="398"/>
      <c r="R116" s="387"/>
    </row>
    <row r="117" spans="2:18" ht="15" hidden="1" customHeight="1" outlineLevel="1" x14ac:dyDescent="0.2">
      <c r="B117" s="397"/>
      <c r="C117" s="675" t="s">
        <v>739</v>
      </c>
      <c r="D117" s="676"/>
      <c r="E117" s="676"/>
      <c r="F117" s="440"/>
      <c r="G117" s="440"/>
      <c r="H117" s="440"/>
      <c r="I117" s="440"/>
      <c r="J117" s="440"/>
      <c r="K117" s="440"/>
      <c r="L117" s="440"/>
      <c r="M117" s="440"/>
      <c r="N117" s="440"/>
      <c r="O117" s="440"/>
      <c r="P117" s="440"/>
      <c r="Q117" s="398"/>
      <c r="R117" s="386"/>
    </row>
    <row r="118" spans="2:18" ht="15" hidden="1" customHeight="1" outlineLevel="2" x14ac:dyDescent="0.2">
      <c r="B118" s="397"/>
      <c r="C118" s="685"/>
      <c r="D118" s="686"/>
      <c r="E118" s="686"/>
      <c r="F118" s="686"/>
      <c r="G118" s="686"/>
      <c r="H118" s="141"/>
      <c r="I118" s="683" t="s">
        <v>583</v>
      </c>
      <c r="J118" s="683"/>
      <c r="K118" s="675" t="s">
        <v>721</v>
      </c>
      <c r="L118" s="676"/>
      <c r="M118" s="675" t="s">
        <v>812</v>
      </c>
      <c r="N118" s="676"/>
      <c r="O118" s="675" t="s">
        <v>732</v>
      </c>
      <c r="P118" s="676"/>
      <c r="Q118" s="398"/>
      <c r="R118" s="387"/>
    </row>
    <row r="119" spans="2:18" ht="15" hidden="1" customHeight="1" outlineLevel="2" x14ac:dyDescent="0.2">
      <c r="B119" s="397"/>
      <c r="C119" s="141"/>
      <c r="D119" s="141"/>
      <c r="E119" s="141"/>
      <c r="F119" s="141"/>
      <c r="G119" s="141"/>
      <c r="H119" s="141"/>
      <c r="I119" s="409"/>
      <c r="J119" s="392" t="s">
        <v>728</v>
      </c>
      <c r="K119" s="409"/>
      <c r="L119" s="392" t="s">
        <v>722</v>
      </c>
      <c r="M119" s="545">
        <v>0</v>
      </c>
      <c r="N119" s="611" t="s">
        <v>292</v>
      </c>
      <c r="O119" s="545">
        <v>0</v>
      </c>
      <c r="P119" s="392" t="s">
        <v>780</v>
      </c>
      <c r="Q119" s="398"/>
      <c r="R119" s="387"/>
    </row>
    <row r="120" spans="2:18" ht="15" hidden="1" customHeight="1" outlineLevel="2" x14ac:dyDescent="0.2">
      <c r="B120" s="397"/>
      <c r="C120" s="141"/>
      <c r="D120" s="675" t="s">
        <v>805</v>
      </c>
      <c r="E120" s="676"/>
      <c r="F120" s="675" t="s">
        <v>163</v>
      </c>
      <c r="G120" s="676"/>
      <c r="H120" s="141"/>
      <c r="I120" s="409"/>
      <c r="J120" s="392" t="s">
        <v>664</v>
      </c>
      <c r="K120" s="383"/>
      <c r="L120" s="383"/>
      <c r="M120" s="383"/>
      <c r="N120" s="383"/>
      <c r="O120" s="383"/>
      <c r="P120" s="383"/>
      <c r="Q120" s="398"/>
      <c r="R120" s="387"/>
    </row>
    <row r="121" spans="2:18" ht="15" hidden="1" customHeight="1" outlineLevel="2" x14ac:dyDescent="0.2">
      <c r="B121" s="397"/>
      <c r="C121" s="141"/>
      <c r="D121" s="574">
        <f>IFERROR((F121-F124)/D124,0)</f>
        <v>0</v>
      </c>
      <c r="E121" s="573" t="s">
        <v>9</v>
      </c>
      <c r="F121" s="389">
        <f>D105</f>
        <v>0</v>
      </c>
      <c r="G121" s="573" t="s">
        <v>9</v>
      </c>
      <c r="H121" s="141"/>
      <c r="I121" s="383"/>
      <c r="J121" s="383"/>
      <c r="M121" s="679" t="s">
        <v>814</v>
      </c>
      <c r="N121" s="679"/>
      <c r="O121" s="679" t="s">
        <v>804</v>
      </c>
      <c r="P121" s="679"/>
      <c r="Q121" s="398"/>
      <c r="R121" s="387"/>
    </row>
    <row r="122" spans="2:18" ht="15" hidden="1" customHeight="1" outlineLevel="2" x14ac:dyDescent="0.2">
      <c r="B122" s="397"/>
      <c r="C122" s="141"/>
      <c r="D122" s="383"/>
      <c r="E122" s="383"/>
      <c r="F122" s="383"/>
      <c r="G122" s="383"/>
      <c r="H122" s="383"/>
      <c r="I122" s="383"/>
      <c r="J122" s="383"/>
      <c r="M122" s="614">
        <v>8.48</v>
      </c>
      <c r="N122" s="556" t="s">
        <v>653</v>
      </c>
      <c r="O122" s="681">
        <v>1</v>
      </c>
      <c r="P122" s="681"/>
      <c r="Q122" s="398"/>
      <c r="R122" s="387"/>
    </row>
    <row r="123" spans="2:18" ht="15" hidden="1" customHeight="1" outlineLevel="2" x14ac:dyDescent="0.2">
      <c r="B123" s="397"/>
      <c r="C123" s="141"/>
      <c r="D123" s="722" t="s">
        <v>727</v>
      </c>
      <c r="E123" s="723"/>
      <c r="F123" s="722" t="s">
        <v>72</v>
      </c>
      <c r="G123" s="723"/>
      <c r="H123" s="383"/>
      <c r="I123" s="383"/>
      <c r="J123" s="383"/>
      <c r="K123" s="383"/>
      <c r="L123" s="383"/>
      <c r="M123" s="383"/>
      <c r="N123" s="383"/>
      <c r="O123" s="383"/>
      <c r="P123" s="383"/>
      <c r="Q123" s="398"/>
      <c r="R123" s="388"/>
    </row>
    <row r="124" spans="2:18" ht="15" hidden="1" customHeight="1" outlineLevel="2" x14ac:dyDescent="0.2">
      <c r="B124" s="397"/>
      <c r="C124" s="141"/>
      <c r="D124" s="576">
        <v>1</v>
      </c>
      <c r="E124" s="573" t="s">
        <v>728</v>
      </c>
      <c r="F124" s="576">
        <v>0</v>
      </c>
      <c r="G124" s="573" t="s">
        <v>9</v>
      </c>
      <c r="H124" s="383"/>
      <c r="I124" s="675" t="s">
        <v>723</v>
      </c>
      <c r="J124" s="676"/>
      <c r="K124" s="679" t="s">
        <v>651</v>
      </c>
      <c r="L124" s="679"/>
      <c r="M124" s="679" t="s">
        <v>724</v>
      </c>
      <c r="N124" s="679"/>
      <c r="O124" s="679" t="s">
        <v>686</v>
      </c>
      <c r="P124" s="679"/>
      <c r="Q124" s="398"/>
      <c r="R124" s="388"/>
    </row>
    <row r="125" spans="2:18" ht="15" hidden="1" customHeight="1" outlineLevel="2" x14ac:dyDescent="0.2">
      <c r="B125" s="397"/>
      <c r="C125" s="141"/>
      <c r="D125" s="383"/>
      <c r="E125" s="383"/>
      <c r="F125" s="383"/>
      <c r="G125" s="383"/>
      <c r="H125" s="383"/>
      <c r="I125" s="434" t="str">
        <f>IFERROR((F121-D121*D124)/F121*100,"")</f>
        <v/>
      </c>
      <c r="J125" s="611" t="s">
        <v>292</v>
      </c>
      <c r="K125" s="434">
        <f>IFERROR(($H$18*D121*I119/1000)/1000/D130*100,0)</f>
        <v>0</v>
      </c>
      <c r="L125" s="392" t="s">
        <v>292</v>
      </c>
      <c r="M125" s="434">
        <f>IFERROR(((D127/F127)-1)*100,0)</f>
        <v>0</v>
      </c>
      <c r="N125" s="392" t="s">
        <v>292</v>
      </c>
      <c r="O125" s="434">
        <f>SUM(K125,M125,I125)</f>
        <v>0</v>
      </c>
      <c r="P125" s="392" t="s">
        <v>292</v>
      </c>
      <c r="Q125" s="398"/>
      <c r="R125" s="388"/>
    </row>
    <row r="126" spans="2:18" ht="15" hidden="1" customHeight="1" outlineLevel="2" x14ac:dyDescent="0.2">
      <c r="B126" s="397"/>
      <c r="C126" s="141"/>
      <c r="D126" s="675" t="s">
        <v>729</v>
      </c>
      <c r="E126" s="676"/>
      <c r="F126" s="675" t="s">
        <v>730</v>
      </c>
      <c r="G126" s="676"/>
      <c r="H126" s="383"/>
      <c r="I126" s="141"/>
      <c r="J126" s="141"/>
      <c r="K126" s="383"/>
      <c r="L126" s="383"/>
      <c r="M126" s="383"/>
      <c r="N126" s="383"/>
      <c r="O126" s="383"/>
      <c r="P126" s="383"/>
      <c r="Q126" s="398"/>
      <c r="R126" s="387"/>
    </row>
    <row r="127" spans="2:18" ht="15" hidden="1" customHeight="1" outlineLevel="2" x14ac:dyDescent="0.2">
      <c r="B127" s="397"/>
      <c r="C127" s="141"/>
      <c r="D127" s="389">
        <f>F111</f>
        <v>0</v>
      </c>
      <c r="E127" s="392" t="s">
        <v>731</v>
      </c>
      <c r="F127" s="389">
        <f>D127-O119</f>
        <v>0</v>
      </c>
      <c r="G127" s="392" t="s">
        <v>731</v>
      </c>
      <c r="H127" s="383"/>
      <c r="I127" s="679" t="s">
        <v>721</v>
      </c>
      <c r="J127" s="679"/>
      <c r="K127" s="679" t="s">
        <v>658</v>
      </c>
      <c r="L127" s="679"/>
      <c r="M127" s="679" t="s">
        <v>741</v>
      </c>
      <c r="N127" s="679"/>
      <c r="O127" s="679" t="s">
        <v>64</v>
      </c>
      <c r="P127" s="679"/>
      <c r="Q127" s="398"/>
      <c r="R127" s="387"/>
    </row>
    <row r="128" spans="2:18" ht="15" hidden="1" customHeight="1" outlineLevel="2" x14ac:dyDescent="0.2">
      <c r="B128" s="397"/>
      <c r="C128" s="141"/>
      <c r="D128" s="383"/>
      <c r="E128" s="383"/>
      <c r="F128" s="383"/>
      <c r="G128" s="383"/>
      <c r="H128" s="383"/>
      <c r="I128" s="434">
        <f>K119/60</f>
        <v>0</v>
      </c>
      <c r="J128" s="392" t="s">
        <v>664</v>
      </c>
      <c r="K128" s="434">
        <f>IFERROR(((O131*D130/60)+K131)/(M122*O122),"")</f>
        <v>0</v>
      </c>
      <c r="L128" s="392" t="s">
        <v>657</v>
      </c>
      <c r="M128" s="708" t="str">
        <f>IF(F127&lt;5,"Leve",IF(AND(F127&gt;=5,F127&lt;10),"Normal","Pesada"))</f>
        <v>Leve</v>
      </c>
      <c r="N128" s="708"/>
      <c r="O128" s="434">
        <f>IFERROR(INDEX('Listas de Dados'!Q:S,MATCH('PJT XXXX'!C118,'Listas de Dados'!P:P,0),MATCH("Eficiência "&amp;M128,'Listas de Dados'!$Q$3:$S$3,0)),0)</f>
        <v>0</v>
      </c>
      <c r="P128" s="392" t="s">
        <v>292</v>
      </c>
      <c r="Q128" s="398"/>
      <c r="R128" s="387"/>
    </row>
    <row r="129" spans="2:18" ht="15" hidden="1" customHeight="1" outlineLevel="2" x14ac:dyDescent="0.2">
      <c r="B129" s="397"/>
      <c r="C129" s="141"/>
      <c r="D129" s="722" t="s">
        <v>733</v>
      </c>
      <c r="E129" s="723"/>
      <c r="F129" s="722" t="s">
        <v>734</v>
      </c>
      <c r="G129" s="723"/>
      <c r="H129" s="383"/>
      <c r="I129" s="383"/>
      <c r="J129" s="383"/>
      <c r="K129" s="383"/>
      <c r="L129" s="383"/>
      <c r="M129" s="141"/>
      <c r="N129" s="141"/>
      <c r="O129" s="141"/>
      <c r="P129" s="141"/>
      <c r="Q129" s="398"/>
      <c r="R129" s="387"/>
    </row>
    <row r="130" spans="2:18" ht="15" hidden="1" customHeight="1" outlineLevel="2" x14ac:dyDescent="0.2">
      <c r="B130" s="397"/>
      <c r="C130" s="141"/>
      <c r="D130" s="572">
        <f>D114</f>
        <v>0</v>
      </c>
      <c r="E130" s="392" t="s">
        <v>717</v>
      </c>
      <c r="F130" s="574">
        <f>F114</f>
        <v>0</v>
      </c>
      <c r="G130" s="392" t="s">
        <v>715</v>
      </c>
      <c r="H130" s="383"/>
      <c r="I130" s="679" t="s">
        <v>61</v>
      </c>
      <c r="J130" s="679"/>
      <c r="K130" s="679" t="s">
        <v>697</v>
      </c>
      <c r="L130" s="679"/>
      <c r="M130" s="679" t="s">
        <v>655</v>
      </c>
      <c r="N130" s="679"/>
      <c r="O130" s="679" t="s">
        <v>652</v>
      </c>
      <c r="P130" s="679"/>
      <c r="Q130" s="398"/>
    </row>
    <row r="131" spans="2:18" ht="15" hidden="1" customHeight="1" outlineLevel="2" x14ac:dyDescent="0.2">
      <c r="B131" s="397"/>
      <c r="C131" s="141"/>
      <c r="D131" s="383"/>
      <c r="E131" s="383"/>
      <c r="F131" s="574">
        <f>F115</f>
        <v>0</v>
      </c>
      <c r="G131" s="392" t="s">
        <v>716</v>
      </c>
      <c r="H131" s="383"/>
      <c r="I131" s="434">
        <f>IFERROR(VLOOKUP(C118,'Listas de Dados'!$I:$N,3,0),0)</f>
        <v>0</v>
      </c>
      <c r="J131" s="392" t="s">
        <v>653</v>
      </c>
      <c r="K131" s="434">
        <f>SUM(I131,I120/60)</f>
        <v>0</v>
      </c>
      <c r="L131" s="392" t="s">
        <v>653</v>
      </c>
      <c r="M131" s="434">
        <f>IFERROR(K131*60/D130,0)</f>
        <v>0</v>
      </c>
      <c r="N131" s="392" t="s">
        <v>654</v>
      </c>
      <c r="O131" s="434">
        <f>IFERROR(K119/(F127)/60*1000*((1+(100-O128)/100)),0)</f>
        <v>0</v>
      </c>
      <c r="P131" s="392" t="s">
        <v>654</v>
      </c>
      <c r="Q131" s="398"/>
      <c r="R131" s="387"/>
    </row>
    <row r="132" spans="2:18" ht="15" hidden="1" customHeight="1" outlineLevel="1" collapsed="1" x14ac:dyDescent="0.2">
      <c r="B132" s="397"/>
      <c r="C132" s="141"/>
      <c r="D132" s="141"/>
      <c r="E132" s="383"/>
      <c r="F132" s="383"/>
      <c r="G132" s="383"/>
      <c r="H132" s="383"/>
      <c r="I132" s="383"/>
      <c r="J132" s="383"/>
      <c r="K132" s="383"/>
      <c r="L132" s="383"/>
      <c r="M132" s="383"/>
      <c r="N132" s="383"/>
      <c r="O132" s="383"/>
      <c r="P132" s="141"/>
      <c r="Q132" s="398"/>
      <c r="R132" s="387"/>
    </row>
    <row r="133" spans="2:18" ht="15" hidden="1" customHeight="1" outlineLevel="1" x14ac:dyDescent="0.2">
      <c r="B133" s="397"/>
      <c r="C133" s="675" t="s">
        <v>740</v>
      </c>
      <c r="D133" s="676"/>
      <c r="E133" s="676"/>
      <c r="F133" s="440"/>
      <c r="G133" s="440"/>
      <c r="H133" s="440"/>
      <c r="I133" s="440"/>
      <c r="J133" s="440"/>
      <c r="K133" s="440"/>
      <c r="L133" s="440"/>
      <c r="M133" s="440"/>
      <c r="N133" s="440"/>
      <c r="O133" s="440"/>
      <c r="P133" s="440"/>
      <c r="Q133" s="398"/>
      <c r="R133" s="386"/>
    </row>
    <row r="134" spans="2:18" ht="15" hidden="1" customHeight="1" outlineLevel="2" x14ac:dyDescent="0.2">
      <c r="B134" s="397"/>
      <c r="C134" s="685"/>
      <c r="D134" s="686"/>
      <c r="E134" s="686"/>
      <c r="F134" s="686"/>
      <c r="G134" s="686"/>
      <c r="H134" s="141"/>
      <c r="I134" s="683" t="s">
        <v>583</v>
      </c>
      <c r="J134" s="683"/>
      <c r="K134" s="675" t="s">
        <v>721</v>
      </c>
      <c r="L134" s="676"/>
      <c r="M134" s="675" t="s">
        <v>812</v>
      </c>
      <c r="N134" s="676"/>
      <c r="O134" s="675" t="s">
        <v>732</v>
      </c>
      <c r="P134" s="676"/>
      <c r="Q134" s="398"/>
      <c r="R134" s="387"/>
    </row>
    <row r="135" spans="2:18" ht="15" hidden="1" customHeight="1" outlineLevel="2" x14ac:dyDescent="0.2">
      <c r="B135" s="397"/>
      <c r="C135" s="141"/>
      <c r="D135" s="141"/>
      <c r="E135" s="141"/>
      <c r="F135" s="141"/>
      <c r="G135" s="141"/>
      <c r="H135" s="141"/>
      <c r="I135" s="409"/>
      <c r="J135" s="392" t="s">
        <v>728</v>
      </c>
      <c r="K135" s="409"/>
      <c r="L135" s="392" t="s">
        <v>722</v>
      </c>
      <c r="M135" s="545">
        <v>0</v>
      </c>
      <c r="N135" s="611" t="s">
        <v>292</v>
      </c>
      <c r="O135" s="545"/>
      <c r="P135" s="392" t="s">
        <v>780</v>
      </c>
      <c r="Q135" s="398"/>
      <c r="R135" s="387"/>
    </row>
    <row r="136" spans="2:18" ht="15" hidden="1" customHeight="1" outlineLevel="2" x14ac:dyDescent="0.2">
      <c r="B136" s="397"/>
      <c r="C136" s="141"/>
      <c r="D136" s="675" t="s">
        <v>805</v>
      </c>
      <c r="E136" s="676"/>
      <c r="F136" s="675" t="s">
        <v>163</v>
      </c>
      <c r="G136" s="676"/>
      <c r="H136" s="141"/>
      <c r="I136" s="409"/>
      <c r="J136" s="392" t="s">
        <v>664</v>
      </c>
      <c r="K136" s="383"/>
      <c r="L136" s="383"/>
      <c r="M136" s="383"/>
      <c r="N136" s="383"/>
      <c r="O136" s="383"/>
      <c r="P136" s="383"/>
      <c r="Q136" s="398"/>
      <c r="R136" s="387"/>
    </row>
    <row r="137" spans="2:18" ht="15" hidden="1" customHeight="1" outlineLevel="2" x14ac:dyDescent="0.2">
      <c r="B137" s="397"/>
      <c r="C137" s="141"/>
      <c r="D137" s="574">
        <f>IFERROR((F137-F140)/D140,0)</f>
        <v>0</v>
      </c>
      <c r="E137" s="573" t="s">
        <v>9</v>
      </c>
      <c r="F137" s="389">
        <f>D121</f>
        <v>0</v>
      </c>
      <c r="G137" s="573" t="s">
        <v>9</v>
      </c>
      <c r="H137" s="141"/>
      <c r="I137" s="383"/>
      <c r="J137" s="383"/>
      <c r="M137" s="679" t="s">
        <v>814</v>
      </c>
      <c r="N137" s="679"/>
      <c r="O137" s="679" t="s">
        <v>804</v>
      </c>
      <c r="P137" s="679"/>
      <c r="Q137" s="398"/>
      <c r="R137" s="387"/>
    </row>
    <row r="138" spans="2:18" ht="15" hidden="1" customHeight="1" outlineLevel="2" x14ac:dyDescent="0.2">
      <c r="B138" s="397"/>
      <c r="C138" s="141"/>
      <c r="D138" s="383"/>
      <c r="E138" s="383"/>
      <c r="F138" s="383"/>
      <c r="G138" s="383"/>
      <c r="H138" s="383"/>
      <c r="I138" s="383"/>
      <c r="J138" s="383"/>
      <c r="M138" s="614">
        <v>8.48</v>
      </c>
      <c r="N138" s="556" t="s">
        <v>653</v>
      </c>
      <c r="O138" s="681">
        <v>1</v>
      </c>
      <c r="P138" s="681"/>
      <c r="Q138" s="398"/>
      <c r="R138" s="387"/>
    </row>
    <row r="139" spans="2:18" ht="15" hidden="1" customHeight="1" outlineLevel="2" x14ac:dyDescent="0.2">
      <c r="B139" s="397"/>
      <c r="C139" s="141"/>
      <c r="D139" s="722" t="s">
        <v>727</v>
      </c>
      <c r="E139" s="723"/>
      <c r="F139" s="722" t="s">
        <v>72</v>
      </c>
      <c r="G139" s="723"/>
      <c r="H139" s="383"/>
      <c r="I139" s="383"/>
      <c r="J139" s="383"/>
      <c r="K139" s="383"/>
      <c r="L139" s="383"/>
      <c r="M139" s="383"/>
      <c r="N139" s="383"/>
      <c r="O139" s="383"/>
      <c r="P139" s="383"/>
      <c r="Q139" s="398"/>
      <c r="R139" s="388"/>
    </row>
    <row r="140" spans="2:18" ht="15" hidden="1" customHeight="1" outlineLevel="2" x14ac:dyDescent="0.2">
      <c r="B140" s="397"/>
      <c r="C140" s="141"/>
      <c r="D140" s="576">
        <v>1</v>
      </c>
      <c r="E140" s="392" t="s">
        <v>728</v>
      </c>
      <c r="F140" s="576">
        <v>0</v>
      </c>
      <c r="G140" s="392" t="s">
        <v>9</v>
      </c>
      <c r="H140" s="383"/>
      <c r="I140" s="675" t="s">
        <v>723</v>
      </c>
      <c r="J140" s="676"/>
      <c r="K140" s="679" t="s">
        <v>651</v>
      </c>
      <c r="L140" s="679"/>
      <c r="M140" s="679" t="s">
        <v>724</v>
      </c>
      <c r="N140" s="679"/>
      <c r="O140" s="679" t="s">
        <v>686</v>
      </c>
      <c r="P140" s="679"/>
      <c r="Q140" s="398"/>
      <c r="R140" s="388"/>
    </row>
    <row r="141" spans="2:18" ht="15" hidden="1" customHeight="1" outlineLevel="2" x14ac:dyDescent="0.2">
      <c r="B141" s="397"/>
      <c r="C141" s="141"/>
      <c r="D141" s="383"/>
      <c r="E141" s="383"/>
      <c r="F141" s="383"/>
      <c r="G141" s="383"/>
      <c r="H141" s="383"/>
      <c r="I141" s="434" t="str">
        <f>IFERROR((F137-D137*D140)/F137*100,"")</f>
        <v/>
      </c>
      <c r="J141" s="611" t="s">
        <v>292</v>
      </c>
      <c r="K141" s="434">
        <f>IFERROR(($H$18*D137*I135/1000)/1000/D146*100,0)</f>
        <v>0</v>
      </c>
      <c r="L141" s="392" t="s">
        <v>292</v>
      </c>
      <c r="M141" s="434">
        <f>IFERROR(((D143/F143)-1)*100,0)</f>
        <v>0</v>
      </c>
      <c r="N141" s="392" t="s">
        <v>292</v>
      </c>
      <c r="O141" s="434">
        <f>SUM(K141,M141,I141)</f>
        <v>0</v>
      </c>
      <c r="P141" s="392" t="s">
        <v>292</v>
      </c>
      <c r="Q141" s="398"/>
      <c r="R141" s="388"/>
    </row>
    <row r="142" spans="2:18" ht="15" hidden="1" customHeight="1" outlineLevel="2" x14ac:dyDescent="0.2">
      <c r="B142" s="397"/>
      <c r="C142" s="141"/>
      <c r="D142" s="675" t="s">
        <v>729</v>
      </c>
      <c r="E142" s="676"/>
      <c r="F142" s="675" t="s">
        <v>730</v>
      </c>
      <c r="G142" s="676"/>
      <c r="H142" s="383"/>
      <c r="I142" s="141"/>
      <c r="J142" s="141"/>
      <c r="K142" s="383"/>
      <c r="L142" s="383"/>
      <c r="M142" s="383"/>
      <c r="N142" s="383"/>
      <c r="O142" s="383"/>
      <c r="P142" s="383"/>
      <c r="Q142" s="398"/>
      <c r="R142" s="387"/>
    </row>
    <row r="143" spans="2:18" ht="15" hidden="1" customHeight="1" outlineLevel="2" x14ac:dyDescent="0.2">
      <c r="B143" s="397"/>
      <c r="C143" s="141"/>
      <c r="D143" s="389">
        <f>F127</f>
        <v>0</v>
      </c>
      <c r="E143" s="392" t="s">
        <v>731</v>
      </c>
      <c r="F143" s="389">
        <f>D143-O135</f>
        <v>0</v>
      </c>
      <c r="G143" s="392" t="s">
        <v>731</v>
      </c>
      <c r="H143" s="383"/>
      <c r="I143" s="679" t="s">
        <v>721</v>
      </c>
      <c r="J143" s="679"/>
      <c r="K143" s="679" t="s">
        <v>658</v>
      </c>
      <c r="L143" s="679"/>
      <c r="M143" s="679" t="s">
        <v>741</v>
      </c>
      <c r="N143" s="679"/>
      <c r="O143" s="679" t="s">
        <v>64</v>
      </c>
      <c r="P143" s="679"/>
      <c r="Q143" s="398"/>
      <c r="R143" s="387"/>
    </row>
    <row r="144" spans="2:18" ht="15" hidden="1" customHeight="1" outlineLevel="2" x14ac:dyDescent="0.2">
      <c r="B144" s="397"/>
      <c r="C144" s="141"/>
      <c r="D144" s="383"/>
      <c r="E144" s="383"/>
      <c r="F144" s="383"/>
      <c r="G144" s="383"/>
      <c r="H144" s="383"/>
      <c r="I144" s="434">
        <f>K135/60</f>
        <v>0</v>
      </c>
      <c r="J144" s="392" t="s">
        <v>664</v>
      </c>
      <c r="K144" s="434">
        <f>IFERROR(((O147*D146/60)+K147)/(M138*O138),"")</f>
        <v>0</v>
      </c>
      <c r="L144" s="392" t="s">
        <v>657</v>
      </c>
      <c r="M144" s="708" t="str">
        <f>IF(F143&lt;5,"Leve",IF(AND(F143&gt;=5,F143&lt;10),"Normal","Pesada"))</f>
        <v>Leve</v>
      </c>
      <c r="N144" s="708"/>
      <c r="O144" s="434">
        <f>IFERROR(INDEX('Listas de Dados'!Q:S,MATCH('PJT XXXX'!C134,'Listas de Dados'!P:P,0),MATCH("Eficiência "&amp;M144,'Listas de Dados'!$Q$3:$S$3,0)),0)</f>
        <v>0</v>
      </c>
      <c r="P144" s="392" t="s">
        <v>292</v>
      </c>
      <c r="Q144" s="398"/>
      <c r="R144" s="387"/>
    </row>
    <row r="145" spans="2:18" ht="15" hidden="1" customHeight="1" outlineLevel="2" x14ac:dyDescent="0.2">
      <c r="B145" s="397"/>
      <c r="C145" s="141"/>
      <c r="D145" s="722" t="s">
        <v>733</v>
      </c>
      <c r="E145" s="723"/>
      <c r="F145" s="722" t="s">
        <v>734</v>
      </c>
      <c r="G145" s="723"/>
      <c r="H145" s="383"/>
      <c r="I145" s="383"/>
      <c r="J145" s="383"/>
      <c r="K145" s="383"/>
      <c r="L145" s="383"/>
      <c r="M145" s="141"/>
      <c r="N145" s="141"/>
      <c r="O145" s="141"/>
      <c r="P145" s="141"/>
      <c r="Q145" s="398"/>
      <c r="R145" s="387"/>
    </row>
    <row r="146" spans="2:18" ht="15" hidden="1" customHeight="1" outlineLevel="2" x14ac:dyDescent="0.2">
      <c r="B146" s="397"/>
      <c r="C146" s="141"/>
      <c r="D146" s="572">
        <f>D130</f>
        <v>0</v>
      </c>
      <c r="E146" s="392" t="s">
        <v>717</v>
      </c>
      <c r="F146" s="574">
        <f>F130</f>
        <v>0</v>
      </c>
      <c r="G146" s="392" t="s">
        <v>715</v>
      </c>
      <c r="H146" s="383"/>
      <c r="I146" s="679" t="s">
        <v>61</v>
      </c>
      <c r="J146" s="679"/>
      <c r="K146" s="679" t="s">
        <v>697</v>
      </c>
      <c r="L146" s="679"/>
      <c r="M146" s="679" t="s">
        <v>655</v>
      </c>
      <c r="N146" s="679"/>
      <c r="O146" s="679" t="s">
        <v>652</v>
      </c>
      <c r="P146" s="679"/>
      <c r="Q146" s="398"/>
    </row>
    <row r="147" spans="2:18" ht="15" hidden="1" customHeight="1" outlineLevel="2" x14ac:dyDescent="0.2">
      <c r="B147" s="397"/>
      <c r="C147" s="141"/>
      <c r="D147" s="383"/>
      <c r="E147" s="383"/>
      <c r="F147" s="574">
        <f>F131</f>
        <v>0</v>
      </c>
      <c r="G147" s="392" t="s">
        <v>716</v>
      </c>
      <c r="H147" s="383"/>
      <c r="I147" s="434">
        <f>IFERROR(VLOOKUP(C134,'Listas de Dados'!$I:$N,3,0),0)</f>
        <v>0</v>
      </c>
      <c r="J147" s="392" t="s">
        <v>653</v>
      </c>
      <c r="K147" s="434">
        <f>SUM(I147,I136/60)</f>
        <v>0</v>
      </c>
      <c r="L147" s="392" t="s">
        <v>653</v>
      </c>
      <c r="M147" s="434">
        <f>IFERROR(K147*60/D146,0)</f>
        <v>0</v>
      </c>
      <c r="N147" s="392" t="s">
        <v>654</v>
      </c>
      <c r="O147" s="434">
        <f>IFERROR(K135/(F143)/60*1000*((1+(100-O144)/100)),0)</f>
        <v>0</v>
      </c>
      <c r="P147" s="392" t="s">
        <v>654</v>
      </c>
      <c r="Q147" s="398"/>
      <c r="R147" s="387"/>
    </row>
    <row r="148" spans="2:18" ht="9.9499999999999993" hidden="1" customHeight="1" outlineLevel="1" collapsed="1" x14ac:dyDescent="0.2">
      <c r="B148" s="397"/>
      <c r="C148" s="415"/>
      <c r="D148" s="415"/>
      <c r="E148" s="577"/>
      <c r="F148" s="415"/>
      <c r="G148" s="577"/>
      <c r="H148" s="577"/>
      <c r="I148" s="577"/>
      <c r="J148" s="577"/>
      <c r="K148" s="578"/>
      <c r="L148" s="578"/>
      <c r="M148" s="578"/>
      <c r="N148" s="578"/>
      <c r="O148" s="578"/>
      <c r="P148" s="578"/>
      <c r="Q148" s="398"/>
    </row>
    <row r="149" spans="2:18" ht="15" hidden="1" customHeight="1" outlineLevel="1" x14ac:dyDescent="0.2">
      <c r="B149" s="397"/>
      <c r="C149" s="141"/>
      <c r="D149" s="141"/>
      <c r="E149" s="383"/>
      <c r="F149" s="383"/>
      <c r="G149" s="383"/>
      <c r="H149" s="383"/>
      <c r="I149" s="383"/>
      <c r="J149" s="383"/>
      <c r="K149" s="383"/>
      <c r="L149" s="383"/>
      <c r="M149" s="383"/>
      <c r="N149" s="383"/>
      <c r="O149" s="383"/>
      <c r="P149" s="141"/>
      <c r="Q149" s="398"/>
      <c r="R149" s="387"/>
    </row>
    <row r="150" spans="2:18" ht="15" hidden="1" customHeight="1" outlineLevel="1" x14ac:dyDescent="0.2">
      <c r="B150" s="397"/>
      <c r="C150" s="141"/>
      <c r="D150" s="141"/>
      <c r="E150" s="383"/>
      <c r="F150" s="383"/>
      <c r="G150" s="383"/>
      <c r="H150" s="383"/>
      <c r="I150" s="383"/>
      <c r="J150" s="383"/>
      <c r="K150" s="383"/>
      <c r="L150" s="383"/>
      <c r="M150" s="383"/>
      <c r="N150" s="383"/>
      <c r="O150" s="383"/>
      <c r="P150" s="141"/>
      <c r="Q150" s="398"/>
      <c r="R150" s="387"/>
    </row>
    <row r="151" spans="2:18" ht="15" hidden="1" customHeight="1" outlineLevel="1" x14ac:dyDescent="0.2">
      <c r="B151" s="397"/>
      <c r="C151" s="141"/>
      <c r="D151" s="141"/>
      <c r="E151" s="383"/>
      <c r="F151" s="383"/>
      <c r="G151" s="383"/>
      <c r="H151" s="383"/>
      <c r="I151" s="141"/>
      <c r="J151" s="141"/>
      <c r="K151" s="141"/>
      <c r="L151" s="141"/>
      <c r="M151" s="141"/>
      <c r="N151" s="141"/>
      <c r="O151" s="141"/>
      <c r="P151" s="141"/>
      <c r="Q151" s="398"/>
      <c r="R151" s="387"/>
    </row>
    <row r="152" spans="2:18" ht="15" hidden="1" customHeight="1" outlineLevel="1" x14ac:dyDescent="0.2">
      <c r="B152" s="397"/>
      <c r="C152" s="522"/>
      <c r="D152" s="522"/>
      <c r="E152" s="383"/>
      <c r="F152" s="383"/>
      <c r="G152" s="383"/>
      <c r="H152" s="383"/>
      <c r="I152" s="522"/>
      <c r="J152" s="522"/>
      <c r="K152" s="522"/>
      <c r="L152" s="522"/>
      <c r="M152" s="522"/>
      <c r="N152" s="522"/>
      <c r="O152" s="522"/>
      <c r="P152" s="522"/>
      <c r="Q152" s="398"/>
      <c r="R152" s="387"/>
    </row>
    <row r="153" spans="2:18" ht="15" hidden="1" customHeight="1" outlineLevel="1" x14ac:dyDescent="0.2">
      <c r="B153" s="397"/>
      <c r="C153" s="522"/>
      <c r="D153" s="522"/>
      <c r="E153" s="383"/>
      <c r="F153" s="383"/>
      <c r="G153" s="383"/>
      <c r="H153" s="383"/>
      <c r="I153" s="522"/>
      <c r="J153" s="522"/>
      <c r="K153" s="522"/>
      <c r="L153" s="522"/>
      <c r="M153" s="522"/>
      <c r="N153" s="522"/>
      <c r="O153" s="522"/>
      <c r="P153" s="522"/>
      <c r="Q153" s="398"/>
      <c r="R153" s="387"/>
    </row>
    <row r="154" spans="2:18" ht="15" hidden="1" customHeight="1" outlineLevel="1" x14ac:dyDescent="0.2">
      <c r="B154" s="397"/>
      <c r="C154" s="141"/>
      <c r="D154" s="141"/>
      <c r="E154" s="383"/>
      <c r="F154" s="383"/>
      <c r="G154" s="383"/>
      <c r="H154" s="383"/>
      <c r="I154" s="141"/>
      <c r="J154" s="141"/>
      <c r="K154" s="141"/>
      <c r="L154" s="141"/>
      <c r="M154" s="141"/>
      <c r="N154" s="141"/>
      <c r="O154" s="141"/>
      <c r="P154" s="141"/>
      <c r="Q154" s="398"/>
    </row>
    <row r="155" spans="2:18" ht="15" hidden="1" customHeight="1" outlineLevel="1" x14ac:dyDescent="0.2">
      <c r="B155" s="397"/>
      <c r="C155" s="141"/>
      <c r="D155" s="141"/>
      <c r="E155" s="383"/>
      <c r="F155" s="383"/>
      <c r="G155" s="383"/>
      <c r="H155" s="383"/>
      <c r="I155" s="141"/>
      <c r="J155" s="141"/>
      <c r="K155" s="141"/>
      <c r="L155" s="141"/>
      <c r="M155" s="141"/>
      <c r="N155" s="141"/>
      <c r="O155" s="141"/>
      <c r="P155" s="141"/>
      <c r="Q155" s="398"/>
    </row>
    <row r="156" spans="2:18" ht="15" hidden="1" customHeight="1" outlineLevel="1" x14ac:dyDescent="0.2">
      <c r="B156" s="397"/>
      <c r="C156" s="141"/>
      <c r="D156" s="141"/>
      <c r="E156" s="383"/>
      <c r="F156" s="383"/>
      <c r="G156" s="383"/>
      <c r="H156" s="383"/>
      <c r="I156" s="141"/>
      <c r="J156" s="141"/>
      <c r="K156" s="141"/>
      <c r="L156" s="141"/>
      <c r="M156" s="141"/>
      <c r="N156" s="141"/>
      <c r="O156" s="141"/>
      <c r="P156" s="141"/>
      <c r="Q156" s="398"/>
    </row>
    <row r="157" spans="2:18" ht="15" hidden="1" customHeight="1" outlineLevel="1" x14ac:dyDescent="0.2">
      <c r="B157" s="397"/>
      <c r="C157" s="141"/>
      <c r="D157" s="141"/>
      <c r="E157" s="383"/>
      <c r="F157" s="383"/>
      <c r="G157" s="383"/>
      <c r="H157" s="383"/>
      <c r="I157" s="141"/>
      <c r="J157" s="141"/>
      <c r="K157" s="141"/>
      <c r="L157" s="141"/>
      <c r="M157" s="141"/>
      <c r="N157" s="141"/>
      <c r="O157" s="141"/>
      <c r="P157" s="141"/>
      <c r="Q157" s="398"/>
    </row>
    <row r="158" spans="2:18" ht="14.25" hidden="1" customHeight="1" outlineLevel="1" x14ac:dyDescent="0.2">
      <c r="B158" s="397"/>
      <c r="C158" s="141"/>
      <c r="D158" s="141"/>
      <c r="E158" s="383"/>
      <c r="F158" s="383"/>
      <c r="G158" s="383"/>
      <c r="H158" s="383"/>
      <c r="I158" s="141"/>
      <c r="J158" s="141"/>
      <c r="K158" s="141"/>
      <c r="L158" s="141"/>
      <c r="M158" s="141"/>
      <c r="N158" s="141"/>
      <c r="O158" s="141"/>
      <c r="P158" s="141"/>
      <c r="Q158" s="398"/>
    </row>
    <row r="159" spans="2:18" ht="15" hidden="1" customHeight="1" outlineLevel="1" thickBot="1" x14ac:dyDescent="0.25">
      <c r="B159" s="404"/>
      <c r="C159" s="405"/>
      <c r="D159" s="405"/>
      <c r="E159" s="405"/>
      <c r="F159" s="405"/>
      <c r="G159" s="405"/>
      <c r="H159" s="405"/>
      <c r="I159" s="405"/>
      <c r="J159" s="405"/>
      <c r="K159" s="405"/>
      <c r="L159" s="405"/>
      <c r="M159" s="405"/>
      <c r="N159" s="405"/>
      <c r="O159" s="405"/>
      <c r="P159" s="405"/>
      <c r="Q159" s="406"/>
    </row>
    <row r="160" spans="2:18" collapsed="1" x14ac:dyDescent="0.2"/>
    <row r="163" spans="2:17" x14ac:dyDescent="0.2">
      <c r="B163" s="669" t="s">
        <v>628</v>
      </c>
      <c r="C163" s="670"/>
      <c r="D163" s="672" t="s">
        <v>2</v>
      </c>
      <c r="E163" s="672"/>
      <c r="F163" s="672"/>
      <c r="G163" s="672"/>
      <c r="H163" s="672"/>
      <c r="I163" s="672"/>
      <c r="J163" s="672"/>
      <c r="K163" s="672"/>
      <c r="L163" s="672"/>
      <c r="M163" s="672" t="s">
        <v>629</v>
      </c>
      <c r="N163" s="672"/>
      <c r="O163" s="672"/>
      <c r="P163" s="669" t="s">
        <v>630</v>
      </c>
      <c r="Q163" s="670"/>
    </row>
    <row r="164" spans="2:17" x14ac:dyDescent="0.2">
      <c r="B164" s="669" t="s">
        <v>634</v>
      </c>
      <c r="C164" s="670"/>
      <c r="D164" s="671" t="s">
        <v>747</v>
      </c>
      <c r="E164" s="671"/>
      <c r="F164" s="671"/>
      <c r="G164" s="671"/>
      <c r="H164" s="671"/>
      <c r="I164" s="671"/>
      <c r="J164" s="671"/>
      <c r="K164" s="671"/>
      <c r="L164" s="671"/>
      <c r="M164" s="672" t="s">
        <v>635</v>
      </c>
      <c r="N164" s="672"/>
      <c r="O164" s="672"/>
      <c r="P164" s="673">
        <v>44459</v>
      </c>
      <c r="Q164" s="674"/>
    </row>
    <row r="165" spans="2:17" x14ac:dyDescent="0.2">
      <c r="B165" s="669" t="s">
        <v>795</v>
      </c>
      <c r="C165" s="670"/>
      <c r="D165" s="671" t="s">
        <v>796</v>
      </c>
      <c r="E165" s="671"/>
      <c r="F165" s="671"/>
      <c r="G165" s="671"/>
      <c r="H165" s="671"/>
      <c r="I165" s="671"/>
      <c r="J165" s="671"/>
      <c r="K165" s="671"/>
      <c r="L165" s="671"/>
      <c r="M165" s="672" t="s">
        <v>635</v>
      </c>
      <c r="N165" s="672"/>
      <c r="O165" s="672"/>
      <c r="P165" s="673">
        <v>44476</v>
      </c>
      <c r="Q165" s="674"/>
    </row>
    <row r="166" spans="2:17" x14ac:dyDescent="0.2">
      <c r="B166" s="669" t="s">
        <v>797</v>
      </c>
      <c r="C166" s="670"/>
      <c r="D166" s="671" t="s">
        <v>798</v>
      </c>
      <c r="E166" s="671"/>
      <c r="F166" s="671"/>
      <c r="G166" s="671"/>
      <c r="H166" s="671"/>
      <c r="I166" s="671"/>
      <c r="J166" s="671"/>
      <c r="K166" s="671"/>
      <c r="L166" s="671"/>
      <c r="M166" s="672" t="s">
        <v>635</v>
      </c>
      <c r="N166" s="672"/>
      <c r="O166" s="672"/>
      <c r="P166" s="673">
        <v>44482</v>
      </c>
      <c r="Q166" s="674"/>
    </row>
    <row r="167" spans="2:17" x14ac:dyDescent="0.2">
      <c r="B167" s="669" t="s">
        <v>799</v>
      </c>
      <c r="C167" s="670"/>
      <c r="D167" s="671" t="s">
        <v>800</v>
      </c>
      <c r="E167" s="671"/>
      <c r="F167" s="671"/>
      <c r="G167" s="671"/>
      <c r="H167" s="671"/>
      <c r="I167" s="671"/>
      <c r="J167" s="671"/>
      <c r="K167" s="671"/>
      <c r="L167" s="671"/>
      <c r="M167" s="672" t="s">
        <v>635</v>
      </c>
      <c r="N167" s="672"/>
      <c r="O167" s="672"/>
      <c r="P167" s="673">
        <v>44489</v>
      </c>
      <c r="Q167" s="674"/>
    </row>
    <row r="168" spans="2:17" x14ac:dyDescent="0.2">
      <c r="B168" s="669" t="s">
        <v>801</v>
      </c>
      <c r="C168" s="670"/>
      <c r="D168" s="671" t="s">
        <v>802</v>
      </c>
      <c r="E168" s="671"/>
      <c r="F168" s="671"/>
      <c r="G168" s="671"/>
      <c r="H168" s="671"/>
      <c r="I168" s="671"/>
      <c r="J168" s="671"/>
      <c r="K168" s="671"/>
      <c r="L168" s="671"/>
      <c r="M168" s="672" t="s">
        <v>635</v>
      </c>
      <c r="N168" s="672"/>
      <c r="O168" s="672"/>
      <c r="P168" s="673">
        <v>44491</v>
      </c>
      <c r="Q168" s="674"/>
    </row>
    <row r="169" spans="2:17" x14ac:dyDescent="0.2">
      <c r="B169" s="669" t="s">
        <v>803</v>
      </c>
      <c r="C169" s="670"/>
      <c r="D169" s="671" t="s">
        <v>813</v>
      </c>
      <c r="E169" s="671"/>
      <c r="F169" s="671"/>
      <c r="G169" s="671"/>
      <c r="H169" s="671"/>
      <c r="I169" s="671"/>
      <c r="J169" s="671"/>
      <c r="K169" s="671"/>
      <c r="L169" s="671"/>
      <c r="M169" s="672" t="s">
        <v>635</v>
      </c>
      <c r="N169" s="672"/>
      <c r="O169" s="672"/>
      <c r="P169" s="673">
        <v>44496</v>
      </c>
      <c r="Q169" s="674"/>
    </row>
    <row r="170" spans="2:17" x14ac:dyDescent="0.2">
      <c r="B170" s="669" t="s">
        <v>835</v>
      </c>
      <c r="C170" s="670"/>
      <c r="D170" s="671" t="s">
        <v>836</v>
      </c>
      <c r="E170" s="671"/>
      <c r="F170" s="671"/>
      <c r="G170" s="671"/>
      <c r="H170" s="671"/>
      <c r="I170" s="671"/>
      <c r="J170" s="671"/>
      <c r="K170" s="671"/>
      <c r="L170" s="671"/>
      <c r="M170" s="672" t="s">
        <v>635</v>
      </c>
      <c r="N170" s="672"/>
      <c r="O170" s="672"/>
      <c r="P170" s="673">
        <v>44524</v>
      </c>
      <c r="Q170" s="674"/>
    </row>
    <row r="171" spans="2:17" x14ac:dyDescent="0.2">
      <c r="B171" s="669" t="s">
        <v>844</v>
      </c>
      <c r="C171" s="670"/>
      <c r="D171" s="671" t="s">
        <v>845</v>
      </c>
      <c r="E171" s="671"/>
      <c r="F171" s="671"/>
      <c r="G171" s="671"/>
      <c r="H171" s="671"/>
      <c r="I171" s="671"/>
      <c r="J171" s="671"/>
      <c r="K171" s="671"/>
      <c r="L171" s="671"/>
      <c r="M171" s="672" t="s">
        <v>635</v>
      </c>
      <c r="N171" s="672"/>
      <c r="O171" s="672"/>
      <c r="P171" s="673">
        <v>44526</v>
      </c>
      <c r="Q171" s="674"/>
    </row>
    <row r="172" spans="2:17" x14ac:dyDescent="0.2">
      <c r="B172" s="669" t="s">
        <v>853</v>
      </c>
      <c r="C172" s="670"/>
      <c r="D172" s="671" t="s">
        <v>859</v>
      </c>
      <c r="E172" s="671"/>
      <c r="F172" s="671"/>
      <c r="G172" s="671"/>
      <c r="H172" s="671"/>
      <c r="I172" s="671"/>
      <c r="J172" s="671"/>
      <c r="K172" s="671"/>
      <c r="L172" s="671"/>
      <c r="M172" s="672" t="s">
        <v>854</v>
      </c>
      <c r="N172" s="672"/>
      <c r="O172" s="672"/>
      <c r="P172" s="673">
        <v>44536</v>
      </c>
      <c r="Q172" s="674"/>
    </row>
    <row r="173" spans="2:17" x14ac:dyDescent="0.2">
      <c r="B173" s="669" t="s">
        <v>860</v>
      </c>
      <c r="C173" s="670"/>
      <c r="D173" s="671" t="s">
        <v>867</v>
      </c>
      <c r="E173" s="671"/>
      <c r="F173" s="671"/>
      <c r="G173" s="671"/>
      <c r="H173" s="671"/>
      <c r="I173" s="671"/>
      <c r="J173" s="671"/>
      <c r="K173" s="671"/>
      <c r="L173" s="671"/>
      <c r="M173" s="672" t="s">
        <v>635</v>
      </c>
      <c r="N173" s="672"/>
      <c r="O173" s="672"/>
      <c r="P173" s="673">
        <v>44574</v>
      </c>
      <c r="Q173" s="674"/>
    </row>
    <row r="174" spans="2:17" x14ac:dyDescent="0.2">
      <c r="B174" s="669"/>
      <c r="C174" s="670"/>
      <c r="D174" s="671"/>
      <c r="E174" s="671"/>
      <c r="F174" s="671"/>
      <c r="G174" s="671"/>
      <c r="H174" s="671"/>
      <c r="I174" s="671"/>
      <c r="J174" s="671"/>
      <c r="K174" s="671"/>
      <c r="L174" s="671"/>
      <c r="M174" s="672"/>
      <c r="N174" s="672"/>
      <c r="O174" s="672"/>
      <c r="P174" s="673"/>
      <c r="Q174" s="674"/>
    </row>
    <row r="175" spans="2:17" x14ac:dyDescent="0.2">
      <c r="B175" s="669"/>
      <c r="C175" s="670"/>
      <c r="D175" s="671"/>
      <c r="E175" s="671"/>
      <c r="F175" s="671"/>
      <c r="G175" s="671"/>
      <c r="H175" s="671"/>
      <c r="I175" s="671"/>
      <c r="J175" s="671"/>
      <c r="K175" s="671"/>
      <c r="L175" s="671"/>
      <c r="M175" s="672"/>
      <c r="N175" s="672"/>
      <c r="O175" s="672"/>
      <c r="P175" s="673"/>
      <c r="Q175" s="674"/>
    </row>
    <row r="176" spans="2:17" x14ac:dyDescent="0.2">
      <c r="B176" s="669"/>
      <c r="C176" s="670"/>
      <c r="D176" s="671"/>
      <c r="E176" s="671"/>
      <c r="F176" s="671"/>
      <c r="G176" s="671"/>
      <c r="H176" s="671"/>
      <c r="I176" s="671"/>
      <c r="J176" s="671"/>
      <c r="K176" s="671"/>
      <c r="L176" s="671"/>
      <c r="M176" s="672"/>
      <c r="N176" s="672"/>
      <c r="O176" s="672"/>
      <c r="P176" s="673"/>
      <c r="Q176" s="674"/>
    </row>
    <row r="177" spans="2:17" x14ac:dyDescent="0.2">
      <c r="B177" s="669"/>
      <c r="C177" s="670"/>
      <c r="D177" s="671"/>
      <c r="E177" s="671"/>
      <c r="F177" s="671"/>
      <c r="G177" s="671"/>
      <c r="H177" s="671"/>
      <c r="I177" s="671"/>
      <c r="J177" s="671"/>
      <c r="K177" s="671"/>
      <c r="L177" s="671"/>
      <c r="M177" s="672"/>
      <c r="N177" s="672"/>
      <c r="O177" s="672"/>
      <c r="P177" s="673"/>
      <c r="Q177" s="674"/>
    </row>
    <row r="178" spans="2:17" x14ac:dyDescent="0.2">
      <c r="B178" s="669"/>
      <c r="C178" s="670"/>
      <c r="D178" s="671"/>
      <c r="E178" s="671"/>
      <c r="F178" s="671"/>
      <c r="G178" s="671"/>
      <c r="H178" s="671"/>
      <c r="I178" s="671"/>
      <c r="J178" s="671"/>
      <c r="K178" s="671"/>
      <c r="L178" s="671"/>
      <c r="M178" s="672"/>
      <c r="N178" s="672"/>
      <c r="O178" s="672"/>
      <c r="P178" s="673"/>
      <c r="Q178" s="674"/>
    </row>
    <row r="179" spans="2:17" x14ac:dyDescent="0.2">
      <c r="B179" s="669"/>
      <c r="C179" s="670"/>
      <c r="D179" s="671"/>
      <c r="E179" s="671"/>
      <c r="F179" s="671"/>
      <c r="G179" s="671"/>
      <c r="H179" s="671"/>
      <c r="I179" s="671"/>
      <c r="J179" s="671"/>
      <c r="K179" s="671"/>
      <c r="L179" s="671"/>
      <c r="M179" s="672"/>
      <c r="N179" s="672"/>
      <c r="O179" s="672"/>
      <c r="P179" s="673"/>
      <c r="Q179" s="674"/>
    </row>
    <row r="180" spans="2:17" x14ac:dyDescent="0.2">
      <c r="B180" s="669"/>
      <c r="C180" s="670"/>
      <c r="D180" s="671"/>
      <c r="E180" s="671"/>
      <c r="F180" s="671"/>
      <c r="G180" s="671"/>
      <c r="H180" s="671"/>
      <c r="I180" s="671"/>
      <c r="J180" s="671"/>
      <c r="K180" s="671"/>
      <c r="L180" s="671"/>
      <c r="M180" s="672"/>
      <c r="N180" s="672"/>
      <c r="O180" s="672"/>
      <c r="P180" s="673"/>
      <c r="Q180" s="674"/>
    </row>
    <row r="181" spans="2:17" x14ac:dyDescent="0.2">
      <c r="B181" s="669"/>
      <c r="C181" s="670"/>
      <c r="D181" s="671"/>
      <c r="E181" s="671"/>
      <c r="F181" s="671"/>
      <c r="G181" s="671"/>
      <c r="H181" s="671"/>
      <c r="I181" s="671"/>
      <c r="J181" s="671"/>
      <c r="K181" s="671"/>
      <c r="L181" s="671"/>
      <c r="M181" s="672"/>
      <c r="N181" s="672"/>
      <c r="O181" s="672"/>
      <c r="P181" s="673"/>
      <c r="Q181" s="674"/>
    </row>
    <row r="182" spans="2:17" x14ac:dyDescent="0.2">
      <c r="B182" s="669"/>
      <c r="C182" s="670"/>
      <c r="D182" s="671"/>
      <c r="E182" s="671"/>
      <c r="F182" s="671"/>
      <c r="G182" s="671"/>
      <c r="H182" s="671"/>
      <c r="I182" s="671"/>
      <c r="J182" s="671"/>
      <c r="K182" s="671"/>
      <c r="L182" s="671"/>
      <c r="M182" s="672"/>
      <c r="N182" s="672"/>
      <c r="O182" s="672"/>
      <c r="P182" s="673"/>
      <c r="Q182" s="674"/>
    </row>
    <row r="183" spans="2:17" x14ac:dyDescent="0.2">
      <c r="B183" s="669"/>
      <c r="C183" s="670"/>
      <c r="D183" s="671"/>
      <c r="E183" s="671"/>
      <c r="F183" s="671"/>
      <c r="G183" s="671"/>
      <c r="H183" s="671"/>
      <c r="I183" s="671"/>
      <c r="J183" s="671"/>
      <c r="K183" s="671"/>
      <c r="L183" s="671"/>
      <c r="M183" s="672"/>
      <c r="N183" s="672"/>
      <c r="O183" s="672"/>
      <c r="P183" s="673"/>
      <c r="Q183" s="674"/>
    </row>
    <row r="184" spans="2:17" x14ac:dyDescent="0.2">
      <c r="B184" s="669"/>
      <c r="C184" s="670"/>
      <c r="D184" s="671"/>
      <c r="E184" s="671"/>
      <c r="F184" s="671"/>
      <c r="G184" s="671"/>
      <c r="H184" s="671"/>
      <c r="I184" s="671"/>
      <c r="J184" s="671"/>
      <c r="K184" s="671"/>
      <c r="L184" s="671"/>
      <c r="M184" s="672"/>
      <c r="N184" s="672"/>
      <c r="O184" s="672"/>
      <c r="P184" s="673"/>
      <c r="Q184" s="674"/>
    </row>
    <row r="185" spans="2:17" x14ac:dyDescent="0.2">
      <c r="B185" s="669"/>
      <c r="C185" s="670"/>
      <c r="D185" s="671"/>
      <c r="E185" s="671"/>
      <c r="F185" s="671"/>
      <c r="G185" s="671"/>
      <c r="H185" s="671"/>
      <c r="I185" s="671"/>
      <c r="J185" s="671"/>
      <c r="K185" s="671"/>
      <c r="L185" s="671"/>
      <c r="M185" s="672"/>
      <c r="N185" s="672"/>
      <c r="O185" s="672"/>
      <c r="P185" s="673"/>
      <c r="Q185" s="674"/>
    </row>
    <row r="186" spans="2:17" x14ac:dyDescent="0.2">
      <c r="B186" s="669"/>
      <c r="C186" s="670"/>
      <c r="D186" s="671"/>
      <c r="E186" s="671"/>
      <c r="F186" s="671"/>
      <c r="G186" s="671"/>
      <c r="H186" s="671"/>
      <c r="I186" s="671"/>
      <c r="J186" s="671"/>
      <c r="K186" s="671"/>
      <c r="L186" s="671"/>
      <c r="M186" s="672"/>
      <c r="N186" s="672"/>
      <c r="O186" s="672"/>
      <c r="P186" s="673"/>
      <c r="Q186" s="674"/>
    </row>
  </sheetData>
  <mergeCells count="325">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M137:N137"/>
    <mergeCell ref="O137:P137"/>
    <mergeCell ref="O138:P138"/>
    <mergeCell ref="D139:E139"/>
    <mergeCell ref="F139:G139"/>
    <mergeCell ref="I140:J140"/>
    <mergeCell ref="K140:L140"/>
    <mergeCell ref="M140:N140"/>
    <mergeCell ref="O140:P14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D97:E97"/>
    <mergeCell ref="F97:G97"/>
    <mergeCell ref="D94:E94"/>
    <mergeCell ref="F94:G94"/>
    <mergeCell ref="D113:E113"/>
    <mergeCell ref="F113:G113"/>
    <mergeCell ref="D110:E110"/>
    <mergeCell ref="F110:G110"/>
    <mergeCell ref="I108:J108"/>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O2:P2"/>
    <mergeCell ref="C3:F5"/>
    <mergeCell ref="G3:P5"/>
    <mergeCell ref="C11:D11"/>
    <mergeCell ref="E11:J11"/>
    <mergeCell ref="N8:P8"/>
    <mergeCell ref="C8:D8"/>
    <mergeCell ref="E8:F9"/>
    <mergeCell ref="H8:I8"/>
    <mergeCell ref="J8:L9"/>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s>
  <conditionalFormatting sqref="E21:F22">
    <cfRule type="expression" dxfId="155" priority="99" stopIfTrue="1">
      <formula>$F$17=1</formula>
    </cfRule>
  </conditionalFormatting>
  <conditionalFormatting sqref="O18:P19">
    <cfRule type="containsText" dxfId="154" priority="96" stopIfTrue="1" operator="containsText" text="FALSO">
      <formula>NOT(ISERROR(SEARCH("FALSO",O18)))</formula>
    </cfRule>
  </conditionalFormatting>
  <conditionalFormatting sqref="H18:I18">
    <cfRule type="containsText" dxfId="153" priority="44" stopIfTrue="1" operator="containsText" text="FALSO">
      <formula>NOT(ISERROR(SEARCH("FALSO",H18)))</formula>
    </cfRule>
  </conditionalFormatting>
  <conditionalFormatting sqref="C22:D22">
    <cfRule type="containsText" dxfId="152" priority="41" stopIfTrue="1" operator="containsText" text="FALSO">
      <formula>NOT(ISERROR(SEARCH("FALSO",C22)))</formula>
    </cfRule>
  </conditionalFormatting>
  <conditionalFormatting sqref="E24:F24">
    <cfRule type="containsText" dxfId="151" priority="40" stopIfTrue="1" operator="containsText" text="FALSO">
      <formula>NOT(ISERROR(SEARCH("FALSO",E24)))</formula>
    </cfRule>
  </conditionalFormatting>
  <conditionalFormatting sqref="P21">
    <cfRule type="containsText" dxfId="150" priority="39" stopIfTrue="1" operator="containsText" text="FALSO">
      <formula>NOT(ISERROR(SEARCH("FALSO",P21)))</formula>
    </cfRule>
  </conditionalFormatting>
  <conditionalFormatting sqref="E23:F24 C21:D22">
    <cfRule type="expression" dxfId="149" priority="194">
      <formula>$F$17&gt;1</formula>
    </cfRule>
  </conditionalFormatting>
  <conditionalFormatting sqref="E34">
    <cfRule type="containsText" dxfId="148" priority="37" operator="containsText" text="VERDADEIRO">
      <formula>NOT(ISERROR(SEARCH("VERDADEIRO",E34)))</formula>
    </cfRule>
  </conditionalFormatting>
  <conditionalFormatting sqref="J18:K18">
    <cfRule type="containsText" dxfId="147" priority="32" stopIfTrue="1" operator="containsText" text="FALSO">
      <formula>NOT(ISERROR(SEARCH("FALSO",J18)))</formula>
    </cfRule>
  </conditionalFormatting>
  <conditionalFormatting sqref="O40:P41 O46:P47 N31 N32:P32 O43:P44 L34:P35 S45:V45 S37:Y37 S32:W36 Y31:Z36 S31 W31">
    <cfRule type="expression" dxfId="146" priority="30">
      <formula>NOT($E$34)</formula>
    </cfRule>
  </conditionalFormatting>
  <conditionalFormatting sqref="O58:P59">
    <cfRule type="expression" dxfId="145" priority="25">
      <formula>$C$32&lt;&gt;"Perfiladeira 1"</formula>
    </cfRule>
  </conditionalFormatting>
  <conditionalFormatting sqref="K58:L59">
    <cfRule type="expression" dxfId="144" priority="12">
      <formula>NOT($E$34)</formula>
    </cfRule>
  </conditionalFormatting>
  <conditionalFormatting sqref="M58:N59">
    <cfRule type="expression" dxfId="143" priority="11">
      <formula>AND($J$35&lt;&gt;"Cisalhamento",$J$35&lt;&gt;"Faca")</formula>
    </cfRule>
  </conditionalFormatting>
  <conditionalFormatting sqref="M43:N44">
    <cfRule type="expression" dxfId="142" priority="10">
      <formula>$F$17&lt;&gt;2</formula>
    </cfRule>
  </conditionalFormatting>
  <conditionalFormatting sqref="Z33:Z36">
    <cfRule type="containsText" dxfId="141" priority="4" stopIfTrue="1" operator="containsText" text="FALSO">
      <formula>NOT(ISERROR(SEARCH("FALSO",Z33)))</formula>
    </cfRule>
  </conditionalFormatting>
  <conditionalFormatting sqref="X32">
    <cfRule type="expression" dxfId="140" priority="3">
      <formula>NOT($E$34)</formula>
    </cfRule>
  </conditionalFormatting>
  <conditionalFormatting sqref="X33:X36">
    <cfRule type="expression" dxfId="139" priority="2">
      <formula>NOT($E$34)</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28"/>
      <c r="B1" s="725" t="s">
        <v>0</v>
      </c>
      <c r="C1" s="726"/>
      <c r="D1" s="726"/>
      <c r="E1" s="726"/>
      <c r="F1" s="726"/>
      <c r="G1" s="726"/>
      <c r="H1" s="726"/>
      <c r="I1" s="726"/>
      <c r="J1" s="726"/>
      <c r="K1" s="726"/>
      <c r="L1" s="726"/>
      <c r="M1" s="726"/>
      <c r="N1" s="726"/>
      <c r="O1" s="726"/>
      <c r="P1" s="726"/>
      <c r="Q1" s="727"/>
      <c r="R1" s="748" t="s">
        <v>39</v>
      </c>
      <c r="S1" s="726"/>
      <c r="T1" s="726"/>
      <c r="U1" s="726"/>
      <c r="V1" s="726"/>
      <c r="W1" s="726"/>
      <c r="X1" s="726"/>
      <c r="Y1" s="726"/>
      <c r="Z1" s="726"/>
      <c r="AA1" s="726"/>
      <c r="AB1" s="726"/>
      <c r="AC1" s="726"/>
      <c r="AD1" s="726"/>
      <c r="AE1" s="726"/>
      <c r="AF1" s="726"/>
      <c r="AG1" s="726"/>
      <c r="AH1" s="726"/>
      <c r="AI1" s="749"/>
      <c r="AJ1" s="744" t="s">
        <v>68</v>
      </c>
      <c r="AK1" s="745"/>
      <c r="AL1" s="745"/>
      <c r="AM1" s="745"/>
      <c r="AN1" s="745"/>
      <c r="AO1" s="745"/>
      <c r="AP1" s="745"/>
      <c r="AQ1" s="745"/>
      <c r="AR1" s="745"/>
      <c r="AS1" s="745"/>
      <c r="AT1" s="745"/>
      <c r="AU1" s="745"/>
      <c r="AV1" s="745"/>
      <c r="AW1" s="745"/>
      <c r="AX1" s="745"/>
      <c r="AY1" s="745"/>
      <c r="AZ1" s="745"/>
      <c r="BA1" s="745"/>
      <c r="BB1" s="745"/>
      <c r="BC1" s="745"/>
      <c r="BD1" s="745"/>
      <c r="BE1" s="745"/>
      <c r="BF1" s="745"/>
      <c r="BG1" s="745"/>
      <c r="BH1" s="745"/>
      <c r="BI1" s="745"/>
      <c r="BJ1" s="745"/>
      <c r="BK1" s="745"/>
      <c r="BL1" s="745"/>
      <c r="BM1" s="745"/>
      <c r="BN1" s="745"/>
      <c r="BO1" s="745"/>
      <c r="BP1" s="745"/>
      <c r="BR1" s="739" t="s">
        <v>67</v>
      </c>
      <c r="BS1" s="739"/>
      <c r="BT1" s="739"/>
      <c r="BU1" s="739"/>
      <c r="BV1" s="739"/>
      <c r="BW1" s="739"/>
      <c r="BX1" s="739"/>
      <c r="BY1" s="739"/>
      <c r="BZ1" s="739"/>
      <c r="CA1" s="739"/>
      <c r="CB1" s="739"/>
      <c r="CC1" s="739"/>
      <c r="CD1" s="739"/>
      <c r="CE1" s="739"/>
      <c r="CF1" s="739"/>
      <c r="CG1" s="739"/>
      <c r="CH1" s="739"/>
      <c r="CI1" s="739"/>
      <c r="CJ1" s="739"/>
      <c r="CK1" s="739"/>
      <c r="CL1" s="739"/>
      <c r="CM1" s="739"/>
      <c r="CN1" s="739"/>
      <c r="CO1" s="739"/>
      <c r="CP1" s="739"/>
      <c r="CQ1" s="739"/>
      <c r="CR1" s="739"/>
      <c r="CS1" s="739"/>
      <c r="CT1" s="739"/>
      <c r="CU1" s="739"/>
      <c r="CV1" s="739"/>
      <c r="CW1" s="739"/>
      <c r="CY1" s="739" t="s">
        <v>94</v>
      </c>
      <c r="CZ1" s="739"/>
      <c r="DA1" s="739"/>
      <c r="DB1" s="23"/>
      <c r="DC1" s="23"/>
      <c r="DD1" s="23"/>
      <c r="DE1" s="23"/>
      <c r="DF1" s="23"/>
      <c r="DG1" s="19"/>
    </row>
    <row r="2" spans="1:111" s="372" customFormat="1" ht="18" customHeight="1" thickTop="1" thickBot="1" x14ac:dyDescent="0.25">
      <c r="A2" s="28"/>
      <c r="B2" s="732" t="s">
        <v>1</v>
      </c>
      <c r="C2" s="728" t="s">
        <v>2</v>
      </c>
      <c r="D2" s="734" t="s">
        <v>3</v>
      </c>
      <c r="E2" s="728" t="s">
        <v>102</v>
      </c>
      <c r="F2" s="728" t="s">
        <v>573</v>
      </c>
      <c r="G2" s="728" t="s">
        <v>170</v>
      </c>
      <c r="H2" s="728" t="s">
        <v>574</v>
      </c>
      <c r="I2" s="728" t="s">
        <v>575</v>
      </c>
      <c r="J2" s="728" t="s">
        <v>134</v>
      </c>
      <c r="K2" s="734" t="s">
        <v>169</v>
      </c>
      <c r="L2" s="728" t="s">
        <v>576</v>
      </c>
      <c r="M2" s="728" t="s">
        <v>577</v>
      </c>
      <c r="N2" s="728" t="s">
        <v>578</v>
      </c>
      <c r="O2" s="728" t="s">
        <v>580</v>
      </c>
      <c r="P2" s="728" t="s">
        <v>581</v>
      </c>
      <c r="Q2" s="730" t="s">
        <v>579</v>
      </c>
      <c r="R2" s="736" t="s">
        <v>49</v>
      </c>
      <c r="S2" s="728" t="s">
        <v>582</v>
      </c>
      <c r="T2" s="728" t="s">
        <v>583</v>
      </c>
      <c r="U2" s="728"/>
      <c r="V2" s="728" t="s">
        <v>584</v>
      </c>
      <c r="W2" s="728" t="s">
        <v>301</v>
      </c>
      <c r="X2" s="728" t="s">
        <v>585</v>
      </c>
      <c r="Y2" s="728" t="s">
        <v>586</v>
      </c>
      <c r="Z2" s="728" t="s">
        <v>587</v>
      </c>
      <c r="AA2" s="728" t="s">
        <v>588</v>
      </c>
      <c r="AB2" s="728" t="s">
        <v>589</v>
      </c>
      <c r="AC2" s="728" t="s">
        <v>590</v>
      </c>
      <c r="AD2" s="728" t="s">
        <v>591</v>
      </c>
      <c r="AE2" s="728" t="s">
        <v>92</v>
      </c>
      <c r="AF2" s="728" t="s">
        <v>592</v>
      </c>
      <c r="AG2" s="728" t="s">
        <v>593</v>
      </c>
      <c r="AH2" s="728" t="s">
        <v>594</v>
      </c>
      <c r="AI2" s="730" t="s">
        <v>595</v>
      </c>
      <c r="AJ2" s="746" t="s">
        <v>68</v>
      </c>
      <c r="AK2" s="728" t="s">
        <v>49</v>
      </c>
      <c r="AL2" s="728" t="s">
        <v>78</v>
      </c>
      <c r="AM2" s="728" t="s">
        <v>596</v>
      </c>
      <c r="AN2" s="728" t="s">
        <v>597</v>
      </c>
      <c r="AO2" s="728" t="s">
        <v>598</v>
      </c>
      <c r="AP2" s="728" t="s">
        <v>151</v>
      </c>
      <c r="AQ2" s="728" t="s">
        <v>599</v>
      </c>
      <c r="AR2" s="728" t="s">
        <v>600</v>
      </c>
      <c r="AS2" s="728" t="s">
        <v>601</v>
      </c>
      <c r="AT2" s="728" t="s">
        <v>582</v>
      </c>
      <c r="AU2" s="728" t="s">
        <v>583</v>
      </c>
      <c r="AV2" s="728"/>
      <c r="AW2" s="728" t="s">
        <v>584</v>
      </c>
      <c r="AX2" s="728" t="s">
        <v>602</v>
      </c>
      <c r="AY2" s="728" t="s">
        <v>603</v>
      </c>
      <c r="AZ2" s="728" t="s">
        <v>585</v>
      </c>
      <c r="BA2" s="728" t="s">
        <v>604</v>
      </c>
      <c r="BB2" s="728" t="s">
        <v>586</v>
      </c>
      <c r="BC2" s="728" t="s">
        <v>587</v>
      </c>
      <c r="BD2" s="728" t="s">
        <v>588</v>
      </c>
      <c r="BE2" s="728" t="s">
        <v>589</v>
      </c>
      <c r="BF2" s="728" t="s">
        <v>590</v>
      </c>
      <c r="BG2" s="728" t="s">
        <v>591</v>
      </c>
      <c r="BH2" s="728" t="s">
        <v>92</v>
      </c>
      <c r="BI2" s="728" t="s">
        <v>592</v>
      </c>
      <c r="BJ2" s="728" t="s">
        <v>593</v>
      </c>
      <c r="BK2" s="728" t="s">
        <v>605</v>
      </c>
      <c r="BL2" s="728" t="s">
        <v>606</v>
      </c>
      <c r="BM2" s="728" t="s">
        <v>607</v>
      </c>
      <c r="BN2" s="728" t="s">
        <v>608</v>
      </c>
      <c r="BO2" s="728" t="s">
        <v>609</v>
      </c>
      <c r="BP2" s="728" t="s">
        <v>610</v>
      </c>
      <c r="BR2" s="739" t="s">
        <v>39</v>
      </c>
      <c r="BS2" s="739"/>
      <c r="BT2" s="739"/>
      <c r="BU2" s="739"/>
      <c r="BV2" s="739" t="s">
        <v>145</v>
      </c>
      <c r="BW2" s="739"/>
      <c r="BX2" s="739"/>
      <c r="BY2" s="739"/>
      <c r="BZ2" s="739"/>
      <c r="CA2" s="739" t="s">
        <v>150</v>
      </c>
      <c r="CB2" s="739"/>
      <c r="CC2" s="739"/>
      <c r="CD2" s="739"/>
      <c r="CE2" s="739"/>
      <c r="CF2" s="739"/>
      <c r="CG2" s="739" t="s">
        <v>553</v>
      </c>
      <c r="CH2" s="739"/>
      <c r="CI2" s="739"/>
      <c r="CJ2" s="739"/>
      <c r="CK2" s="739"/>
      <c r="CL2" s="739" t="s">
        <v>146</v>
      </c>
      <c r="CM2" s="739"/>
      <c r="CN2" s="739"/>
      <c r="CO2" s="739"/>
      <c r="CP2" s="739" t="s">
        <v>554</v>
      </c>
      <c r="CQ2" s="739"/>
      <c r="CR2" s="739"/>
      <c r="CS2" s="739"/>
      <c r="CT2" s="739" t="s">
        <v>70</v>
      </c>
      <c r="CU2" s="739"/>
      <c r="CV2" s="739"/>
      <c r="CW2" s="739"/>
      <c r="CY2" s="739" t="s">
        <v>96</v>
      </c>
      <c r="CZ2" s="739"/>
      <c r="DA2" s="739"/>
      <c r="DB2" s="351"/>
      <c r="DC2" s="352"/>
      <c r="DD2" s="353"/>
      <c r="DE2" s="354"/>
      <c r="DF2" s="354"/>
      <c r="DG2" s="351"/>
    </row>
    <row r="3" spans="1:111" s="374" customFormat="1" ht="19.5" customHeight="1" x14ac:dyDescent="0.2">
      <c r="A3" s="28"/>
      <c r="B3" s="733"/>
      <c r="C3" s="729"/>
      <c r="D3" s="735"/>
      <c r="E3" s="729"/>
      <c r="F3" s="729"/>
      <c r="G3" s="729"/>
      <c r="H3" s="729"/>
      <c r="I3" s="729"/>
      <c r="J3" s="729"/>
      <c r="K3" s="735"/>
      <c r="L3" s="729"/>
      <c r="M3" s="729"/>
      <c r="N3" s="729"/>
      <c r="O3" s="729"/>
      <c r="P3" s="729"/>
      <c r="Q3" s="731"/>
      <c r="R3" s="737"/>
      <c r="S3" s="729"/>
      <c r="T3" s="373" t="s">
        <v>43</v>
      </c>
      <c r="U3" s="373" t="s">
        <v>63</v>
      </c>
      <c r="V3" s="729"/>
      <c r="W3" s="729"/>
      <c r="X3" s="729"/>
      <c r="Y3" s="729"/>
      <c r="Z3" s="729"/>
      <c r="AA3" s="729"/>
      <c r="AB3" s="729"/>
      <c r="AC3" s="729"/>
      <c r="AD3" s="729"/>
      <c r="AE3" s="729"/>
      <c r="AF3" s="729"/>
      <c r="AG3" s="729"/>
      <c r="AH3" s="729"/>
      <c r="AI3" s="731"/>
      <c r="AJ3" s="737"/>
      <c r="AK3" s="729"/>
      <c r="AL3" s="729"/>
      <c r="AM3" s="729"/>
      <c r="AN3" s="729"/>
      <c r="AO3" s="729"/>
      <c r="AP3" s="729"/>
      <c r="AQ3" s="729"/>
      <c r="AR3" s="729"/>
      <c r="AS3" s="729"/>
      <c r="AT3" s="729"/>
      <c r="AU3" s="373" t="s">
        <v>80</v>
      </c>
      <c r="AV3" s="373" t="s">
        <v>44</v>
      </c>
      <c r="AW3" s="729"/>
      <c r="AX3" s="729"/>
      <c r="AY3" s="729"/>
      <c r="AZ3" s="729"/>
      <c r="BA3" s="729"/>
      <c r="BB3" s="729"/>
      <c r="BC3" s="729"/>
      <c r="BD3" s="729"/>
      <c r="BE3" s="729"/>
      <c r="BF3" s="729"/>
      <c r="BG3" s="729"/>
      <c r="BH3" s="729"/>
      <c r="BI3" s="729"/>
      <c r="BJ3" s="729"/>
      <c r="BK3" s="729"/>
      <c r="BL3" s="729"/>
      <c r="BM3" s="729"/>
      <c r="BN3" s="729"/>
      <c r="BO3" s="729"/>
      <c r="BP3" s="729"/>
      <c r="BR3" s="361" t="s">
        <v>49</v>
      </c>
      <c r="BS3" s="361" t="s">
        <v>50</v>
      </c>
      <c r="BT3" s="361" t="s">
        <v>61</v>
      </c>
      <c r="BU3" s="361" t="s">
        <v>64</v>
      </c>
      <c r="BV3" s="361" t="s">
        <v>49</v>
      </c>
      <c r="BW3" s="361" t="s">
        <v>50</v>
      </c>
      <c r="BX3" s="361" t="s">
        <v>61</v>
      </c>
      <c r="BY3" s="361" t="s">
        <v>64</v>
      </c>
      <c r="BZ3" s="361" t="s">
        <v>72</v>
      </c>
      <c r="CA3" s="361" t="s">
        <v>49</v>
      </c>
      <c r="CB3" s="361" t="s">
        <v>50</v>
      </c>
      <c r="CC3" s="361" t="s">
        <v>61</v>
      </c>
      <c r="CD3" s="361" t="s">
        <v>64</v>
      </c>
      <c r="CE3" s="361" t="s">
        <v>72</v>
      </c>
      <c r="CF3" s="361" t="s">
        <v>611</v>
      </c>
      <c r="CG3" s="361" t="s">
        <v>49</v>
      </c>
      <c r="CH3" s="361" t="s">
        <v>50</v>
      </c>
      <c r="CI3" s="361" t="s">
        <v>61</v>
      </c>
      <c r="CJ3" s="361" t="s">
        <v>64</v>
      </c>
      <c r="CK3" s="361" t="s">
        <v>72</v>
      </c>
      <c r="CL3" s="361" t="s">
        <v>49</v>
      </c>
      <c r="CM3" s="361" t="s">
        <v>50</v>
      </c>
      <c r="CN3" s="361" t="s">
        <v>61</v>
      </c>
      <c r="CO3" s="361" t="s">
        <v>72</v>
      </c>
      <c r="CP3" s="361" t="s">
        <v>49</v>
      </c>
      <c r="CQ3" s="361" t="s">
        <v>50</v>
      </c>
      <c r="CR3" s="361" t="s">
        <v>61</v>
      </c>
      <c r="CS3" s="361" t="s">
        <v>72</v>
      </c>
      <c r="CT3" s="361" t="s">
        <v>49</v>
      </c>
      <c r="CU3" s="361" t="s">
        <v>50</v>
      </c>
      <c r="CV3" s="361" t="s">
        <v>61</v>
      </c>
      <c r="CW3" s="361" t="s">
        <v>72</v>
      </c>
      <c r="CY3" s="361" t="s">
        <v>95</v>
      </c>
      <c r="CZ3" s="361" t="s">
        <v>97</v>
      </c>
      <c r="DA3" s="361" t="s">
        <v>98</v>
      </c>
      <c r="DB3" s="375"/>
      <c r="DC3" s="375"/>
      <c r="DD3" s="375"/>
      <c r="DE3" s="375"/>
      <c r="DF3" s="375"/>
      <c r="DG3" s="375"/>
    </row>
    <row r="4" spans="1:111" ht="13.5" thickBot="1" x14ac:dyDescent="0.25">
      <c r="B4" s="362"/>
      <c r="C4" s="362"/>
      <c r="D4" s="363"/>
      <c r="E4" s="364" t="str">
        <f>IFERROR(VLOOKUP(D4,$CZ$4:$DA$51,2),"")</f>
        <v/>
      </c>
      <c r="F4" s="363"/>
      <c r="G4" s="365">
        <f>(D4-(F4/2))*PI()</f>
        <v>0</v>
      </c>
      <c r="H4" s="364">
        <f>7.85*(G4/1000)*F4</f>
        <v>0</v>
      </c>
      <c r="I4" s="364">
        <f>(PI()*7.85*(D4-F4)*F4)/1000</f>
        <v>0</v>
      </c>
      <c r="J4" s="362"/>
      <c r="K4" s="362"/>
      <c r="L4" s="364">
        <f>I4*J4/1000</f>
        <v>0</v>
      </c>
      <c r="M4" s="364">
        <f>I4*J4/1000-K4</f>
        <v>0</v>
      </c>
      <c r="N4" s="364" t="str">
        <f>IFERROR(K4/M4*100,"")</f>
        <v/>
      </c>
      <c r="O4" s="366"/>
      <c r="P4" s="366"/>
      <c r="Q4" s="362"/>
      <c r="R4" s="367"/>
      <c r="S4" s="364" t="str">
        <f>IFERROR(VLOOKUP(R4,$BR$4:$BT$10,3),"")</f>
        <v/>
      </c>
      <c r="T4" s="359"/>
      <c r="U4" s="359"/>
      <c r="V4" s="356" t="str">
        <f>IFERROR(S4+U4,"")</f>
        <v/>
      </c>
      <c r="W4" s="1"/>
      <c r="X4" s="356" t="str">
        <f>IFERROR(VLOOKUP(R4,$BR$4:$BU$10,4),"")</f>
        <v/>
      </c>
      <c r="Y4" s="377">
        <v>5</v>
      </c>
      <c r="Z4" s="356" t="str">
        <f>IFERROR(H4*T4/Q4/1000*100,"")</f>
        <v/>
      </c>
      <c r="AA4" s="356" t="str">
        <f>IFERROR(Y4+Z4,"")</f>
        <v/>
      </c>
      <c r="AB4" s="356" t="str">
        <f>IFERROR(((W4*H4/1000)^(-1))*((1+(100-X4)/100)),"")</f>
        <v/>
      </c>
      <c r="AC4" s="356" t="str">
        <f>IFERROR((V4*60)/Q4,"")</f>
        <v/>
      </c>
      <c r="AD4" s="359"/>
      <c r="AE4" s="359"/>
      <c r="AF4" s="356" t="str">
        <f>IFERROR(AB4*Q4/60,"")</f>
        <v/>
      </c>
      <c r="AG4" s="356" t="str">
        <f>IFERROR(AF4/(AD4*AE4),"")</f>
        <v/>
      </c>
      <c r="AH4" s="356" t="str">
        <f>IFERROR((AF4+V4)/(AD4*AE4),"")</f>
        <v/>
      </c>
      <c r="AI4" s="356" t="str">
        <f>IFERROR((AB4^-1)*AD4*60*AE4,"")</f>
        <v/>
      </c>
      <c r="AJ4" s="368" t="s">
        <v>145</v>
      </c>
      <c r="AK4" s="360" t="s">
        <v>418</v>
      </c>
      <c r="AL4" s="360"/>
      <c r="AM4" s="1" t="str">
        <f>IF(J4=0,"",J4)</f>
        <v/>
      </c>
      <c r="AN4"/>
      <c r="AO4" s="1"/>
      <c r="AP4"/>
      <c r="AQ4"/>
      <c r="AR4" s="1">
        <f>IFERROR(VLOOKUP(AK4,BV4:BZ8,5),"")</f>
        <v>50</v>
      </c>
      <c r="AS4" s="1" t="str">
        <f t="shared" ref="AS4:AS9" si="0">IFERROR(AO4*AM4+AR4,"")</f>
        <v/>
      </c>
      <c r="AT4" s="356">
        <f>IFERROR(VLOOKUP(AK4,BV4:BZ8,3),"")</f>
        <v>0.25</v>
      </c>
      <c r="AU4" s="1"/>
      <c r="AV4" s="1"/>
      <c r="AW4" s="356">
        <f t="shared" ref="AW4:AW9" si="1">IFERROR(AT4+AV4/60,"")</f>
        <v>0.25</v>
      </c>
      <c r="AX4" s="356" t="str">
        <f>IFERROR(VLOOKUP(AL4,BV11:BW14,2),"")</f>
        <v/>
      </c>
      <c r="AY4" s="356" t="str">
        <f t="shared" ref="AY4:AY9" si="2">IFERROR(AX4/60,"")</f>
        <v/>
      </c>
      <c r="AZ4" s="356">
        <f>IFERROR(VLOOKUP(AK4,BV4:BZ8,4),"")</f>
        <v>90</v>
      </c>
      <c r="BA4"/>
      <c r="BB4" s="356" t="str">
        <f>IFERROR((AS4-AM4*AO4)/AS4*100,"")</f>
        <v/>
      </c>
      <c r="BC4" s="356" t="str">
        <f>IFERROR((H4*AM4*AU4/1000)/1000/Q4*100,"")</f>
        <v/>
      </c>
      <c r="BD4" s="356" t="str">
        <f t="shared" ref="BD4:BD9" si="3">IFERROR(BA4+BB4+BC4,"")</f>
        <v/>
      </c>
      <c r="BE4" s="356" t="str">
        <f>IFERROR(AX4/(H4*AM4/1000)/60*1000*((1+(100-AZ4)/100)),"")</f>
        <v/>
      </c>
      <c r="BF4" s="356" t="str">
        <f>IFERROR(AW4*60/Q4,"")</f>
        <v/>
      </c>
      <c r="BG4" s="359"/>
      <c r="BH4" s="359"/>
      <c r="BI4" s="356" t="str">
        <f>IFERROR(BE4*O4/60+AW4,"")</f>
        <v/>
      </c>
      <c r="BJ4" s="356" t="str">
        <f t="shared" ref="BJ4:BJ9" si="4">IFERROR(BI4/(BG4*BH4),"")</f>
        <v/>
      </c>
      <c r="BK4" s="357"/>
      <c r="BL4" s="357"/>
      <c r="BM4" s="356" t="str">
        <f t="shared" ref="BM4:BM9" si="5">IFERROR(BD4/100*BL4,"")</f>
        <v/>
      </c>
      <c r="BN4" s="356" t="str">
        <f t="shared" ref="BN4:BN9" si="6">IFERROR(BF4/60*BK4,"")</f>
        <v/>
      </c>
      <c r="BO4" s="356" t="str">
        <f t="shared" ref="BO4:BO9" si="7">IFERROR(BE4/60*BK4,"")</f>
        <v/>
      </c>
      <c r="BP4" s="356" t="str">
        <f t="shared" ref="BP4:BP9" si="8">IFERROR(BM4+BN4+BO4,"")</f>
        <v/>
      </c>
      <c r="BR4" s="376" t="s">
        <v>51</v>
      </c>
      <c r="BS4" s="355">
        <v>2.9</v>
      </c>
      <c r="BT4" s="355">
        <v>1.5</v>
      </c>
      <c r="BU4" s="378">
        <v>70</v>
      </c>
      <c r="BV4" s="376" t="s">
        <v>418</v>
      </c>
      <c r="BW4" s="376">
        <v>1.5</v>
      </c>
      <c r="BX4" s="356">
        <f>15/60</f>
        <v>0.25</v>
      </c>
      <c r="BY4" s="1">
        <v>90</v>
      </c>
      <c r="BZ4" s="1">
        <v>50</v>
      </c>
      <c r="CA4" s="1" t="s">
        <v>413</v>
      </c>
      <c r="CB4" s="1">
        <v>1</v>
      </c>
      <c r="CC4" s="356">
        <f>15/60</f>
        <v>0.25</v>
      </c>
      <c r="CD4" s="376">
        <v>65</v>
      </c>
      <c r="CE4" s="376">
        <v>50</v>
      </c>
      <c r="CF4" s="376">
        <v>2.5</v>
      </c>
      <c r="CG4" s="376" t="s">
        <v>557</v>
      </c>
      <c r="CH4" s="376"/>
      <c r="CI4" s="376">
        <v>0.75</v>
      </c>
      <c r="CJ4" s="376">
        <v>80</v>
      </c>
      <c r="CK4" s="376">
        <v>400</v>
      </c>
      <c r="CL4" s="376" t="s">
        <v>556</v>
      </c>
      <c r="CM4" s="376"/>
      <c r="CN4" s="358">
        <v>0.35</v>
      </c>
      <c r="CO4" s="378">
        <v>120</v>
      </c>
      <c r="CP4" s="376" t="s">
        <v>408</v>
      </c>
      <c r="CQ4" s="376">
        <v>3</v>
      </c>
      <c r="CR4" s="376">
        <v>1</v>
      </c>
      <c r="CS4" s="376"/>
      <c r="CT4" s="376" t="s">
        <v>70</v>
      </c>
      <c r="CU4" s="376"/>
      <c r="CV4" s="376">
        <v>0.5</v>
      </c>
      <c r="CW4" s="376"/>
      <c r="CY4" s="369">
        <v>0.6</v>
      </c>
      <c r="CZ4" s="369">
        <v>9.5299999999999994</v>
      </c>
      <c r="DA4" s="369" t="s">
        <v>10</v>
      </c>
      <c r="DB4" s="370"/>
      <c r="DC4" s="370"/>
      <c r="DD4" s="371"/>
      <c r="DE4" s="371"/>
      <c r="DF4" s="371"/>
      <c r="DG4" s="371"/>
    </row>
    <row r="5" spans="1:111" s="425" customFormat="1" ht="13.5" thickBot="1" x14ac:dyDescent="0.25">
      <c r="S5" s="425" t="s">
        <v>685</v>
      </c>
      <c r="V5" s="425" t="s">
        <v>685</v>
      </c>
      <c r="X5" s="425" t="s">
        <v>685</v>
      </c>
      <c r="Y5" s="214"/>
      <c r="Z5" s="214" t="s">
        <v>685</v>
      </c>
      <c r="AA5" s="214" t="s">
        <v>685</v>
      </c>
      <c r="AB5" s="425" t="s">
        <v>685</v>
      </c>
      <c r="AC5" s="425" t="s">
        <v>685</v>
      </c>
      <c r="AF5" s="425" t="s">
        <v>685</v>
      </c>
      <c r="AG5" s="426" t="s">
        <v>685</v>
      </c>
      <c r="AH5" s="426" t="s">
        <v>685</v>
      </c>
      <c r="AI5" s="426"/>
      <c r="AJ5" s="427" t="s">
        <v>150</v>
      </c>
      <c r="AK5" s="422"/>
      <c r="AL5" s="428"/>
      <c r="AM5" s="377" t="str">
        <f>IF(J4=0,"",J4)</f>
        <v/>
      </c>
      <c r="AN5" s="421"/>
      <c r="AO5" s="377"/>
      <c r="AP5" s="377"/>
      <c r="AQ5" s="377"/>
      <c r="AR5" s="377" t="str">
        <f>IFERROR(VLOOKUP(AK5,BV4:BZ8,5),"")</f>
        <v/>
      </c>
      <c r="AS5" s="377" t="str">
        <f t="shared" si="0"/>
        <v/>
      </c>
      <c r="AT5" s="429" t="str">
        <f>IFERROR(VLOOKUP(AK5,BV4:BZ8,3),"")</f>
        <v/>
      </c>
      <c r="AU5" s="377"/>
      <c r="AV5" s="377"/>
      <c r="AW5" s="429" t="str">
        <f t="shared" si="1"/>
        <v/>
      </c>
      <c r="AX5" s="429" t="str">
        <f>IFERROR((VLOOKUP(AK5,CA4:CF4,6)*AQ5*(AO5+1))/(AO5*AP5),"")</f>
        <v/>
      </c>
      <c r="AY5" s="429" t="str">
        <f t="shared" si="2"/>
        <v/>
      </c>
      <c r="AZ5" s="429" t="str">
        <f>IFERROR(VLOOKUP(AK5,BV4:BZ8,4),"")</f>
        <v/>
      </c>
      <c r="BA5" s="421"/>
      <c r="BB5" s="429" t="str">
        <f>IFERROR((AS5-AM5*AO5)/AS5*100,"")</f>
        <v/>
      </c>
      <c r="BC5" s="429" t="str">
        <f>IFERROR((H5*AM5*AU5/1000)/1000/Q4*100,"")</f>
        <v/>
      </c>
      <c r="BD5" s="429" t="str">
        <f t="shared" si="3"/>
        <v/>
      </c>
      <c r="BE5" s="429" t="str">
        <f>IFERROR(AX5/(H4*AM5/1000)/60*1000*((1+(100-AZ5)/100)),"")</f>
        <v/>
      </c>
      <c r="BF5" s="429" t="str">
        <f>IFERROR(AW5*60/Q4,"")</f>
        <v/>
      </c>
      <c r="BG5" s="430"/>
      <c r="BH5" s="430"/>
      <c r="BI5" s="429" t="str">
        <f>IFERROR(BE5*O4/60+AW5,"")</f>
        <v/>
      </c>
      <c r="BJ5" s="429" t="str">
        <f t="shared" si="4"/>
        <v/>
      </c>
      <c r="BK5" s="431"/>
      <c r="BL5" s="431"/>
      <c r="BM5" s="429" t="str">
        <f t="shared" si="5"/>
        <v/>
      </c>
      <c r="BN5" s="429" t="str">
        <f t="shared" si="6"/>
        <v/>
      </c>
      <c r="BO5" s="429" t="str">
        <f t="shared" si="7"/>
        <v/>
      </c>
      <c r="BP5" s="429" t="str">
        <f t="shared" si="8"/>
        <v/>
      </c>
      <c r="BR5" s="423" t="s">
        <v>52</v>
      </c>
      <c r="BS5" s="427">
        <v>3.2</v>
      </c>
      <c r="BT5" s="427">
        <v>2.5</v>
      </c>
      <c r="BU5" s="432">
        <v>70</v>
      </c>
      <c r="BX5" s="421"/>
      <c r="BY5" s="214"/>
      <c r="BZ5" s="214"/>
      <c r="CA5" s="377" t="s">
        <v>551</v>
      </c>
      <c r="CB5" s="377">
        <v>1</v>
      </c>
      <c r="CC5" s="429">
        <f>15/60</f>
        <v>0.25</v>
      </c>
      <c r="CD5" s="423">
        <v>65</v>
      </c>
      <c r="CE5" s="423">
        <v>50</v>
      </c>
      <c r="CF5" s="423">
        <v>2.5</v>
      </c>
      <c r="CG5" s="423" t="s">
        <v>558</v>
      </c>
      <c r="CH5" s="423"/>
      <c r="CI5" s="423">
        <v>0.75</v>
      </c>
      <c r="CJ5" s="423">
        <v>80</v>
      </c>
      <c r="CK5" s="423">
        <v>400</v>
      </c>
      <c r="CL5" s="423" t="s">
        <v>555</v>
      </c>
      <c r="CM5" s="423"/>
      <c r="CN5" s="433">
        <v>0.35</v>
      </c>
      <c r="CO5" s="432">
        <v>120</v>
      </c>
      <c r="CP5" s="423" t="s">
        <v>409</v>
      </c>
      <c r="CQ5" s="423">
        <v>3</v>
      </c>
      <c r="CR5" s="423">
        <v>1</v>
      </c>
      <c r="CS5" s="421"/>
      <c r="CT5" s="421"/>
      <c r="CU5" s="421"/>
      <c r="CV5" s="421"/>
      <c r="CW5" s="421"/>
      <c r="CY5" s="333">
        <v>0.75</v>
      </c>
      <c r="CZ5" s="333">
        <v>10</v>
      </c>
      <c r="DA5" s="333" t="s">
        <v>116</v>
      </c>
      <c r="DB5" s="424"/>
      <c r="DC5" s="424"/>
      <c r="DD5" s="341"/>
      <c r="DE5" s="341"/>
      <c r="DF5" s="341"/>
      <c r="DG5" s="341"/>
    </row>
    <row r="6" spans="1:111" ht="13.5" thickBot="1" x14ac:dyDescent="0.25">
      <c r="N6" s="53"/>
      <c r="AJ6" s="355" t="s">
        <v>553</v>
      </c>
      <c r="AK6" s="360"/>
      <c r="AL6" s="360"/>
      <c r="AM6" s="1" t="str">
        <f>IF(J4=0,"",J4)</f>
        <v/>
      </c>
      <c r="AN6" s="356" t="str">
        <f>IF(L4-M4=0,"",L4-M4)</f>
        <v/>
      </c>
      <c r="AO6" s="1"/>
      <c r="AP6"/>
      <c r="AQ6"/>
      <c r="AR6" s="1" t="str">
        <f>IFERROR(VLOOKUP(AK6,BV4:BZ8,5),"")</f>
        <v/>
      </c>
      <c r="AS6" s="1" t="str">
        <f t="shared" si="0"/>
        <v/>
      </c>
      <c r="AT6" s="356" t="str">
        <f>IFERROR(VLOOKUP(AK6,BV4:BZ8,3),"")</f>
        <v/>
      </c>
      <c r="AU6" s="1"/>
      <c r="AV6" s="1"/>
      <c r="AW6" s="356" t="str">
        <f t="shared" si="1"/>
        <v/>
      </c>
      <c r="AX6" s="1"/>
      <c r="AY6" s="356">
        <f t="shared" si="2"/>
        <v>0</v>
      </c>
      <c r="AZ6" s="356" t="str">
        <f>IFERROR(VLOOKUP(AK6,BV4:BZ8,4),"")</f>
        <v/>
      </c>
      <c r="BA6" s="356" t="str">
        <f>IFERROR(AN6/M4*100,"")</f>
        <v/>
      </c>
      <c r="BB6" s="356" t="str">
        <f>IFERROR((AS6-AM6*AO6)/AS6*100,"")</f>
        <v/>
      </c>
      <c r="BC6" s="356" t="str">
        <f>IFERROR((H6*AM6*AU6/1000)/1000/Q4*100,"")</f>
        <v/>
      </c>
      <c r="BD6" s="356" t="str">
        <f t="shared" si="3"/>
        <v/>
      </c>
      <c r="BE6" s="356" t="str">
        <f>IFERROR(AX6/(H4*AM6/1000)/60*1000*((1+(100-AZ6)/100)),"")</f>
        <v/>
      </c>
      <c r="BF6" s="356" t="str">
        <f>IFERROR(AW6*60/Q4,"")</f>
        <v/>
      </c>
      <c r="BG6" s="359"/>
      <c r="BH6" s="359"/>
      <c r="BI6" s="356" t="str">
        <f>IFERROR(BE6*O4/60+AW6,"")</f>
        <v/>
      </c>
      <c r="BJ6" s="356" t="str">
        <f t="shared" si="4"/>
        <v/>
      </c>
      <c r="BK6" s="357"/>
      <c r="BL6" s="357"/>
      <c r="BM6" s="356" t="str">
        <f t="shared" si="5"/>
        <v/>
      </c>
      <c r="BN6" s="356" t="str">
        <f t="shared" si="6"/>
        <v/>
      </c>
      <c r="BO6" s="356" t="str">
        <f t="shared" si="7"/>
        <v/>
      </c>
      <c r="BP6" s="356" t="str">
        <f t="shared" si="8"/>
        <v/>
      </c>
      <c r="BR6" s="376" t="s">
        <v>53</v>
      </c>
      <c r="BS6" s="355">
        <v>4.5</v>
      </c>
      <c r="BT6" s="355">
        <v>2.5</v>
      </c>
      <c r="BU6" s="378">
        <v>70</v>
      </c>
      <c r="CA6" s="16"/>
      <c r="CB6" s="16"/>
      <c r="CC6" s="16"/>
      <c r="CD6" s="16"/>
      <c r="CE6" s="16"/>
      <c r="CF6" s="50"/>
      <c r="CJ6"/>
      <c r="CK6"/>
      <c r="CL6" s="376" t="s">
        <v>559</v>
      </c>
      <c r="CM6" s="376"/>
      <c r="CN6" s="358">
        <v>1</v>
      </c>
      <c r="CO6" s="378">
        <v>50</v>
      </c>
      <c r="CP6"/>
      <c r="CQ6"/>
      <c r="CR6"/>
      <c r="CS6"/>
      <c r="CV6" s="16"/>
      <c r="CW6" s="16"/>
      <c r="CY6" s="5">
        <v>0.9</v>
      </c>
      <c r="CZ6" s="5">
        <v>12</v>
      </c>
      <c r="DA6" s="5" t="s">
        <v>116</v>
      </c>
      <c r="DB6" s="18"/>
      <c r="DC6" s="18"/>
      <c r="DD6" s="17"/>
      <c r="DE6" s="17"/>
      <c r="DF6" s="17"/>
      <c r="DG6" s="17"/>
    </row>
    <row r="7" spans="1:111" ht="19.5" thickBot="1" x14ac:dyDescent="0.25">
      <c r="AJ7" s="355" t="s">
        <v>146</v>
      </c>
      <c r="AK7" s="360" t="s">
        <v>559</v>
      </c>
      <c r="AL7" s="360"/>
      <c r="AM7" s="1" t="str">
        <f>IF(J4=0,"",J4)</f>
        <v/>
      </c>
      <c r="AN7" s="356" t="str">
        <f>IF(L4-M4=0,"",L4-M4)</f>
        <v/>
      </c>
      <c r="AO7" s="1"/>
      <c r="AP7"/>
      <c r="AQ7"/>
      <c r="AR7" s="1">
        <f>IFERROR(VLOOKUP(AK7,BV4:BZ8,5),"")</f>
        <v>50</v>
      </c>
      <c r="AS7" s="1" t="str">
        <f t="shared" si="0"/>
        <v/>
      </c>
      <c r="AT7" s="356">
        <f>IFERROR(VLOOKUP(AK7,BV4:BZ8,3),"")</f>
        <v>0.25</v>
      </c>
      <c r="AU7" s="1"/>
      <c r="AV7" s="1"/>
      <c r="AW7" s="356">
        <f t="shared" si="1"/>
        <v>0.25</v>
      </c>
      <c r="AX7" s="1"/>
      <c r="AY7" s="356">
        <f t="shared" si="2"/>
        <v>0</v>
      </c>
      <c r="AZ7" s="356">
        <f>IFERROR(VLOOKUP(AK7,BV4:BZ8,4),"")</f>
        <v>90</v>
      </c>
      <c r="BA7" s="356" t="str">
        <f>IFERROR(AN7/M4*100,"")</f>
        <v/>
      </c>
      <c r="BB7" s="356" t="str">
        <f>IFERROR((AS7-AM7*AO7)/AS7*100,"")</f>
        <v/>
      </c>
      <c r="BC7" s="356" t="str">
        <f>IFERROR((H7*AM7*AU7/1000)/1000/Q4*100,"")</f>
        <v/>
      </c>
      <c r="BD7" s="356" t="str">
        <f t="shared" si="3"/>
        <v/>
      </c>
      <c r="BE7" s="356" t="str">
        <f>IFERROR(AX7/(H4*AM7/1000)/60*1000*((1+(100-AZ7)/100)),"")</f>
        <v/>
      </c>
      <c r="BF7" s="356" t="str">
        <f>IFERROR(AW7*60/Q4,"")</f>
        <v/>
      </c>
      <c r="BG7" s="359"/>
      <c r="BH7" s="359"/>
      <c r="BI7" s="356" t="str">
        <f>IFERROR(BE7*O4/60+AW7,"")</f>
        <v/>
      </c>
      <c r="BJ7" s="356" t="str">
        <f t="shared" si="4"/>
        <v/>
      </c>
      <c r="BK7" s="357"/>
      <c r="BL7" s="357"/>
      <c r="BM7" s="356" t="str">
        <f t="shared" si="5"/>
        <v/>
      </c>
      <c r="BN7" s="356" t="str">
        <f t="shared" si="6"/>
        <v/>
      </c>
      <c r="BO7" s="356" t="str">
        <f t="shared" si="7"/>
        <v/>
      </c>
      <c r="BP7" s="356" t="str">
        <f t="shared" si="8"/>
        <v/>
      </c>
      <c r="BR7" s="376" t="s">
        <v>54</v>
      </c>
      <c r="BS7" s="355">
        <v>3.7</v>
      </c>
      <c r="BT7" s="355">
        <v>2.4</v>
      </c>
      <c r="BU7" s="378">
        <v>70</v>
      </c>
      <c r="BX7" s="20"/>
      <c r="BY7" s="339"/>
      <c r="BZ7" s="339"/>
      <c r="CA7" s="16"/>
      <c r="CB7" s="16"/>
      <c r="CC7" s="16"/>
      <c r="CD7" s="16"/>
      <c r="CE7" s="16"/>
      <c r="CF7" s="50"/>
      <c r="CG7" s="739" t="s">
        <v>81</v>
      </c>
      <c r="CH7" s="739"/>
      <c r="CI7" s="739"/>
      <c r="CJ7"/>
      <c r="CK7"/>
      <c r="CL7" s="739" t="s">
        <v>81</v>
      </c>
      <c r="CM7" s="739"/>
      <c r="CN7"/>
      <c r="CO7"/>
      <c r="CP7" s="739" t="s">
        <v>81</v>
      </c>
      <c r="CQ7" s="739"/>
      <c r="CR7"/>
      <c r="CS7"/>
      <c r="CT7" s="739" t="s">
        <v>81</v>
      </c>
      <c r="CU7" s="739"/>
      <c r="CV7"/>
      <c r="CW7"/>
      <c r="CY7" s="5">
        <v>0.95</v>
      </c>
      <c r="CZ7" s="5">
        <v>12.7</v>
      </c>
      <c r="DA7" s="5" t="s">
        <v>11</v>
      </c>
      <c r="DB7" s="18"/>
      <c r="DC7" s="18"/>
      <c r="DD7" s="17"/>
      <c r="DE7" s="17"/>
      <c r="DF7" s="17"/>
      <c r="DG7" s="17"/>
    </row>
    <row r="8" spans="1:111" ht="19.5" thickBot="1" x14ac:dyDescent="0.25">
      <c r="AJ8" s="355" t="s">
        <v>554</v>
      </c>
      <c r="AK8" s="360" t="s">
        <v>408</v>
      </c>
      <c r="AL8" s="360"/>
      <c r="AM8" s="1" t="str">
        <f>IF(J4=0,"",J4)</f>
        <v/>
      </c>
      <c r="AN8" s="356" t="str">
        <f>IF(L4-M4=0,"",L4-M4)</f>
        <v/>
      </c>
      <c r="AO8" s="1"/>
      <c r="AP8"/>
      <c r="AQ8"/>
      <c r="AR8" s="1">
        <f>IFERROR(VLOOKUP(AK8,BV4:BZ8,5),"")</f>
        <v>50</v>
      </c>
      <c r="AS8" s="1" t="str">
        <f t="shared" si="0"/>
        <v/>
      </c>
      <c r="AT8" s="356">
        <f>IFERROR(VLOOKUP(AK8,BV4:BZ8,3),"")</f>
        <v>0.25</v>
      </c>
      <c r="AU8" s="1"/>
      <c r="AV8" s="1"/>
      <c r="AW8" s="356">
        <f t="shared" si="1"/>
        <v>0.25</v>
      </c>
      <c r="AX8" s="1"/>
      <c r="AY8" s="356">
        <f t="shared" si="2"/>
        <v>0</v>
      </c>
      <c r="AZ8" s="356">
        <f>IFERROR(VLOOKUP(AK8,BV4:BZ8,4),"")</f>
        <v>90</v>
      </c>
      <c r="BA8" s="356" t="str">
        <f>IFERROR(AN8/M4*100,"")</f>
        <v/>
      </c>
      <c r="BB8" s="357"/>
      <c r="BC8" s="356" t="str">
        <f>IFERROR((H8*AM8*AU8/1000)/1000/Q4*100,"")</f>
        <v/>
      </c>
      <c r="BD8" s="356" t="str">
        <f t="shared" si="3"/>
        <v/>
      </c>
      <c r="BE8" s="356" t="str">
        <f>IFERROR(AX8/(H4*AM8/1000)/60*1000*((1+(100-AZ8)/100)),"")</f>
        <v/>
      </c>
      <c r="BF8" s="356" t="str">
        <f>IFERROR(AW8*60/Q4,"")</f>
        <v/>
      </c>
      <c r="BG8" s="359"/>
      <c r="BH8" s="359"/>
      <c r="BI8" s="356" t="str">
        <f>IFERROR(BE8*O4/60+AW8,"")</f>
        <v/>
      </c>
      <c r="BJ8" s="356" t="str">
        <f t="shared" si="4"/>
        <v/>
      </c>
      <c r="BK8" s="357"/>
      <c r="BL8" s="357"/>
      <c r="BM8" s="356" t="str">
        <f t="shared" si="5"/>
        <v/>
      </c>
      <c r="BN8" s="356" t="str">
        <f t="shared" si="6"/>
        <v/>
      </c>
      <c r="BO8" s="356" t="str">
        <f t="shared" si="7"/>
        <v/>
      </c>
      <c r="BP8" s="356" t="str">
        <f t="shared" si="8"/>
        <v/>
      </c>
      <c r="BR8" s="376" t="s">
        <v>55</v>
      </c>
      <c r="BS8" s="355">
        <v>6</v>
      </c>
      <c r="BT8" s="355">
        <v>6</v>
      </c>
      <c r="BU8" s="378">
        <v>65</v>
      </c>
      <c r="CA8" s="16"/>
      <c r="CB8" s="16"/>
      <c r="CC8" s="16"/>
      <c r="CD8" s="16"/>
      <c r="CE8" s="16"/>
      <c r="CF8" s="50"/>
      <c r="CG8" s="361" t="s">
        <v>85</v>
      </c>
      <c r="CH8" s="361" t="s">
        <v>163</v>
      </c>
      <c r="CI8" s="361" t="s">
        <v>50</v>
      </c>
      <c r="CJ8"/>
      <c r="CK8"/>
      <c r="CL8" s="361" t="s">
        <v>85</v>
      </c>
      <c r="CM8" s="361" t="s">
        <v>64</v>
      </c>
      <c r="CN8"/>
      <c r="CO8"/>
      <c r="CP8" s="361" t="s">
        <v>85</v>
      </c>
      <c r="CQ8" s="361" t="s">
        <v>64</v>
      </c>
      <c r="CR8"/>
      <c r="CS8"/>
      <c r="CT8" s="361" t="s">
        <v>85</v>
      </c>
      <c r="CU8" s="361" t="s">
        <v>64</v>
      </c>
      <c r="CV8"/>
      <c r="CW8"/>
      <c r="CY8" s="5">
        <v>1.06</v>
      </c>
      <c r="CZ8" s="5">
        <v>15.88</v>
      </c>
      <c r="DA8" s="5" t="s">
        <v>12</v>
      </c>
      <c r="DB8" s="18"/>
      <c r="DC8" s="18"/>
      <c r="DD8" s="17"/>
      <c r="DE8" s="17"/>
      <c r="DF8" s="17"/>
      <c r="DG8" s="17"/>
    </row>
    <row r="9" spans="1:111" ht="13.5" thickBot="1" x14ac:dyDescent="0.25">
      <c r="AJ9" s="355" t="s">
        <v>70</v>
      </c>
      <c r="AK9" s="360"/>
      <c r="AL9" s="360"/>
      <c r="AM9" s="1" t="str">
        <f>IF(J4=0,"",J4)</f>
        <v/>
      </c>
      <c r="AN9" s="356" t="str">
        <f>IF(L4-M4=0,"",L4-M4)</f>
        <v/>
      </c>
      <c r="AO9" s="1"/>
      <c r="AP9"/>
      <c r="AQ9"/>
      <c r="AR9" s="1" t="str">
        <f>IFERROR(VLOOKUP(AK9,BV4:BZ8,5),"")</f>
        <v/>
      </c>
      <c r="AS9" s="1" t="str">
        <f t="shared" si="0"/>
        <v/>
      </c>
      <c r="AT9" s="356" t="str">
        <f>IFERROR(VLOOKUP(AK9,BV4:BZ8,3),"")</f>
        <v/>
      </c>
      <c r="AU9" s="1"/>
      <c r="AV9" s="1"/>
      <c r="AW9" s="356" t="str">
        <f t="shared" si="1"/>
        <v/>
      </c>
      <c r="AX9" s="1"/>
      <c r="AY9" s="356">
        <f t="shared" si="2"/>
        <v>0</v>
      </c>
      <c r="AZ9" s="356" t="str">
        <f>IFERROR(VLOOKUP(AK9,BV4:BZ8,4),"")</f>
        <v/>
      </c>
      <c r="BA9" s="356" t="str">
        <f>IFERROR(AN9/M4*100,"")</f>
        <v/>
      </c>
      <c r="BB9" s="356" t="str">
        <f>IFERROR((AS9-AM9*AO9)/AS9*100,"")</f>
        <v/>
      </c>
      <c r="BC9" s="356" t="str">
        <f>IFERROR((H9*AM9*AU9/1000)/1000/Q4*100,"")</f>
        <v/>
      </c>
      <c r="BD9" s="356" t="str">
        <f t="shared" si="3"/>
        <v/>
      </c>
      <c r="BE9" s="356" t="str">
        <f>IFERROR(AX9/(H4*AM9/1000)/60*1000*((1+(100-AZ9)/100)),"")</f>
        <v/>
      </c>
      <c r="BF9" s="356" t="str">
        <f>IFERROR(AW9*60/Q4,"")</f>
        <v/>
      </c>
      <c r="BG9" s="359"/>
      <c r="BH9" s="359"/>
      <c r="BI9" s="356" t="str">
        <f>IFERROR(BE9*O4/60+AW9,"")</f>
        <v/>
      </c>
      <c r="BJ9" s="356" t="str">
        <f t="shared" si="4"/>
        <v/>
      </c>
      <c r="BK9" s="357"/>
      <c r="BL9" s="357"/>
      <c r="BM9" s="356" t="str">
        <f t="shared" si="5"/>
        <v/>
      </c>
      <c r="BN9" s="356" t="str">
        <f t="shared" si="6"/>
        <v/>
      </c>
      <c r="BO9" s="356" t="str">
        <f t="shared" si="7"/>
        <v/>
      </c>
      <c r="BP9" s="356" t="str">
        <f t="shared" si="8"/>
        <v/>
      </c>
      <c r="BR9" s="376" t="s">
        <v>56</v>
      </c>
      <c r="BS9" s="355">
        <v>2</v>
      </c>
      <c r="BT9" s="355">
        <v>2.5</v>
      </c>
      <c r="BU9" s="378">
        <v>70</v>
      </c>
      <c r="CA9" s="16"/>
      <c r="CB9" s="16"/>
      <c r="CC9" s="16"/>
      <c r="CD9" s="16"/>
      <c r="CE9" s="16"/>
      <c r="CF9" s="50"/>
      <c r="CG9" s="376" t="s">
        <v>160</v>
      </c>
      <c r="CH9" s="376">
        <v>1</v>
      </c>
      <c r="CI9" s="376">
        <v>0</v>
      </c>
      <c r="CJ9"/>
      <c r="CK9"/>
      <c r="CL9" s="376" t="s">
        <v>82</v>
      </c>
      <c r="CM9" s="376">
        <v>90</v>
      </c>
      <c r="CN9"/>
      <c r="CO9"/>
      <c r="CP9" s="376" t="s">
        <v>82</v>
      </c>
      <c r="CQ9" s="376">
        <v>70</v>
      </c>
      <c r="CR9"/>
      <c r="CS9"/>
      <c r="CT9" s="376" t="s">
        <v>82</v>
      </c>
      <c r="CU9" s="376">
        <v>90</v>
      </c>
      <c r="CV9"/>
      <c r="CW9"/>
      <c r="CY9" s="5">
        <v>1.2</v>
      </c>
      <c r="CZ9" s="5">
        <v>19.05</v>
      </c>
      <c r="DA9" s="5" t="s">
        <v>13</v>
      </c>
      <c r="DB9" s="18"/>
      <c r="DC9" s="18"/>
      <c r="DD9" s="17"/>
      <c r="DE9" s="17"/>
      <c r="DF9" s="17"/>
      <c r="DG9" s="17"/>
    </row>
    <row r="10" spans="1:111" ht="19.5" thickBot="1" x14ac:dyDescent="0.25">
      <c r="BR10"/>
      <c r="BS10"/>
      <c r="BT10"/>
      <c r="BU10"/>
      <c r="BV10" s="361" t="s">
        <v>154</v>
      </c>
      <c r="BW10" s="361" t="s">
        <v>159</v>
      </c>
      <c r="BX10"/>
      <c r="BY10"/>
      <c r="BZ10" s="16"/>
      <c r="CA10" s="16"/>
      <c r="CB10" s="16"/>
      <c r="CC10" s="16"/>
      <c r="CD10" s="16"/>
      <c r="CE10" s="16"/>
      <c r="CF10" s="50"/>
      <c r="CG10" s="376" t="s">
        <v>161</v>
      </c>
      <c r="CH10" s="376">
        <v>2</v>
      </c>
      <c r="CI10" s="376">
        <v>1</v>
      </c>
      <c r="CJ10"/>
      <c r="CK10"/>
      <c r="CL10" s="376" t="s">
        <v>83</v>
      </c>
      <c r="CM10" s="376">
        <v>80</v>
      </c>
      <c r="CN10"/>
      <c r="CO10"/>
      <c r="CP10" s="376" t="s">
        <v>83</v>
      </c>
      <c r="CQ10" s="376">
        <v>65</v>
      </c>
      <c r="CR10"/>
      <c r="CS10"/>
      <c r="CT10" s="376" t="s">
        <v>83</v>
      </c>
      <c r="CU10" s="376">
        <v>80</v>
      </c>
      <c r="CV10"/>
      <c r="CW10"/>
      <c r="CY10" s="5">
        <v>1.25</v>
      </c>
      <c r="CZ10" s="5">
        <v>20.65</v>
      </c>
      <c r="DA10" s="5" t="s">
        <v>116</v>
      </c>
      <c r="DB10" s="18"/>
      <c r="DC10" s="18"/>
      <c r="DD10" s="17"/>
      <c r="DE10" s="17"/>
      <c r="DF10" s="22"/>
      <c r="DG10" s="18"/>
    </row>
    <row r="11" spans="1:111" ht="13.5" thickBot="1" x14ac:dyDescent="0.25">
      <c r="Y11" s="747"/>
      <c r="Z11" s="747"/>
      <c r="AA11" s="34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R11"/>
      <c r="BS11"/>
      <c r="BT11"/>
      <c r="BU11"/>
      <c r="BV11" s="376" t="s">
        <v>155</v>
      </c>
      <c r="BW11" s="376">
        <v>5</v>
      </c>
      <c r="BX11"/>
      <c r="BY11"/>
      <c r="BZ11" s="16"/>
      <c r="CA11" s="16"/>
      <c r="CB11" s="16"/>
      <c r="CC11" s="16"/>
      <c r="CD11" s="16"/>
      <c r="CE11" s="16"/>
      <c r="CF11" s="16"/>
      <c r="CG11"/>
      <c r="CH11"/>
      <c r="CI11"/>
      <c r="CJ11"/>
      <c r="CK11"/>
      <c r="CL11" s="376" t="s">
        <v>84</v>
      </c>
      <c r="CM11" s="376">
        <v>80</v>
      </c>
      <c r="CN11"/>
      <c r="CO11"/>
      <c r="CP11" s="376" t="s">
        <v>84</v>
      </c>
      <c r="CQ11" s="376">
        <v>60</v>
      </c>
      <c r="CR11"/>
      <c r="CS11"/>
      <c r="CT11" s="376" t="s">
        <v>84</v>
      </c>
      <c r="CU11" s="376">
        <v>80</v>
      </c>
      <c r="CV11"/>
      <c r="CW11"/>
      <c r="CY11" s="5">
        <v>1.5</v>
      </c>
      <c r="CZ11" s="5">
        <v>22.22</v>
      </c>
      <c r="DA11" s="5" t="s">
        <v>14</v>
      </c>
      <c r="DB11" s="18"/>
      <c r="DC11" s="18"/>
      <c r="DD11" s="17"/>
      <c r="DE11" s="17"/>
      <c r="DF11" s="22"/>
      <c r="DG11" s="18"/>
    </row>
    <row r="12" spans="1:111" ht="13.5" thickBot="1" x14ac:dyDescent="0.25">
      <c r="N12" s="53"/>
      <c r="BR12"/>
      <c r="BS12"/>
      <c r="BT12"/>
      <c r="BU12"/>
      <c r="BV12" s="376" t="s">
        <v>157</v>
      </c>
      <c r="BW12" s="376">
        <v>10</v>
      </c>
      <c r="BX12"/>
      <c r="BY12"/>
      <c r="BZ12" s="50"/>
      <c r="CA12" s="50"/>
      <c r="CB12" s="50"/>
      <c r="CC12" s="50"/>
      <c r="CD12" s="50"/>
      <c r="CE12" s="50"/>
      <c r="CF12" s="50"/>
      <c r="CG12" s="50"/>
      <c r="CH12" s="50"/>
      <c r="CI12" s="50"/>
      <c r="CJ12"/>
      <c r="CK12"/>
      <c r="CL12" s="376"/>
      <c r="CM12" s="376"/>
      <c r="CN12"/>
      <c r="CO12"/>
      <c r="CP12" s="376"/>
      <c r="CQ12" s="376"/>
      <c r="CR12"/>
      <c r="CS12"/>
      <c r="CT12" s="376"/>
      <c r="CU12" s="376"/>
      <c r="CV12"/>
      <c r="CW12"/>
      <c r="CY12" s="5">
        <v>1.45</v>
      </c>
      <c r="CZ12" s="5"/>
      <c r="DA12" s="5"/>
      <c r="DB12" s="171"/>
      <c r="DC12" s="171"/>
      <c r="DD12" s="170"/>
      <c r="DE12" s="170"/>
      <c r="DF12" s="172"/>
      <c r="DG12" s="171"/>
    </row>
    <row r="13" spans="1:111" ht="15.75" customHeight="1" thickBot="1" x14ac:dyDescent="0.25">
      <c r="BR13"/>
      <c r="BS13"/>
      <c r="BT13"/>
      <c r="BU13"/>
      <c r="BV13" s="376" t="s">
        <v>158</v>
      </c>
      <c r="BW13" s="376">
        <v>15</v>
      </c>
      <c r="BX13"/>
      <c r="BY13"/>
      <c r="CJ13"/>
      <c r="CK13"/>
      <c r="CN13"/>
      <c r="CO13"/>
      <c r="CP13"/>
      <c r="CQ13"/>
      <c r="CR13"/>
      <c r="CS13"/>
      <c r="CV13"/>
      <c r="CW13"/>
      <c r="CY13" s="5">
        <v>1.55</v>
      </c>
      <c r="CZ13" s="5">
        <v>25.4</v>
      </c>
      <c r="DA13" s="5" t="s">
        <v>15</v>
      </c>
    </row>
    <row r="14" spans="1:111" ht="13.5" thickBot="1" x14ac:dyDescent="0.25">
      <c r="AK14" s="28"/>
      <c r="BR14"/>
      <c r="BS14"/>
      <c r="BT14"/>
      <c r="BU14"/>
      <c r="BV14" s="376" t="s">
        <v>156</v>
      </c>
      <c r="BW14" s="376">
        <v>20</v>
      </c>
      <c r="BX14"/>
      <c r="BY14"/>
      <c r="CJ14"/>
      <c r="CK14"/>
      <c r="CN14"/>
      <c r="CO14"/>
      <c r="CR14"/>
      <c r="CS14"/>
      <c r="CV14"/>
      <c r="CW14"/>
      <c r="CY14" s="5">
        <v>1.8</v>
      </c>
      <c r="CZ14" s="5">
        <v>28.57</v>
      </c>
      <c r="DA14" s="5" t="s">
        <v>16</v>
      </c>
    </row>
    <row r="15" spans="1:111" ht="13.5" thickBot="1" x14ac:dyDescent="0.25">
      <c r="AK15" s="28"/>
      <c r="CJ15"/>
      <c r="CK15"/>
      <c r="CN15"/>
      <c r="CO15"/>
      <c r="CR15"/>
      <c r="CS15"/>
      <c r="CY15" s="5">
        <v>1.9</v>
      </c>
      <c r="CZ15" s="5">
        <v>31.75</v>
      </c>
      <c r="DA15" s="5" t="s">
        <v>17</v>
      </c>
    </row>
    <row r="16" spans="1:111" ht="13.5" thickBot="1" x14ac:dyDescent="0.25">
      <c r="BX16" s="19"/>
      <c r="BY16" s="21"/>
      <c r="BZ16" s="21"/>
      <c r="CN16"/>
      <c r="CO16"/>
      <c r="CR16"/>
      <c r="CS16"/>
      <c r="CY16" s="5">
        <v>1.95</v>
      </c>
      <c r="CZ16" s="5">
        <v>33.4</v>
      </c>
      <c r="DA16" s="5" t="s">
        <v>116</v>
      </c>
    </row>
    <row r="17" spans="12:105" ht="13.5" thickBot="1" x14ac:dyDescent="0.25">
      <c r="BX17" s="20"/>
      <c r="BY17" s="48"/>
      <c r="BZ17" s="6"/>
      <c r="CN17"/>
      <c r="CO17"/>
      <c r="CY17" s="5">
        <v>2</v>
      </c>
      <c r="CZ17" s="5">
        <v>33.700000000000003</v>
      </c>
      <c r="DA17" s="5" t="s">
        <v>116</v>
      </c>
    </row>
    <row r="18" spans="12:105" ht="13.5" thickBot="1" x14ac:dyDescent="0.25">
      <c r="L18" s="348"/>
      <c r="M18" s="348"/>
      <c r="CY18" s="5">
        <v>2.25</v>
      </c>
      <c r="CZ18" s="5">
        <v>34.93</v>
      </c>
      <c r="DA18" s="5" t="s">
        <v>18</v>
      </c>
    </row>
    <row r="19" spans="12:105" ht="13.5" thickBot="1" x14ac:dyDescent="0.25">
      <c r="L19" s="349"/>
      <c r="M19" s="348"/>
      <c r="CY19" s="5">
        <v>2.2999999999999998</v>
      </c>
      <c r="CZ19" s="5">
        <v>38.1</v>
      </c>
      <c r="DA19" s="5" t="s">
        <v>19</v>
      </c>
    </row>
    <row r="20" spans="12:105" ht="13.5" thickBot="1" x14ac:dyDescent="0.25">
      <c r="CY20" s="5">
        <v>2.65</v>
      </c>
      <c r="CZ20" s="5">
        <v>41.27</v>
      </c>
      <c r="DA20" s="5" t="s">
        <v>20</v>
      </c>
    </row>
    <row r="21" spans="12:105" ht="13.5" thickBot="1" x14ac:dyDescent="0.25">
      <c r="BV21" s="740"/>
      <c r="BW21" s="741"/>
      <c r="CY21" s="5">
        <v>2.7</v>
      </c>
      <c r="CZ21" s="5">
        <v>42.2</v>
      </c>
      <c r="DA21" s="5" t="s">
        <v>116</v>
      </c>
    </row>
    <row r="22" spans="12:105" ht="13.5" thickBot="1" x14ac:dyDescent="0.25">
      <c r="BV22" s="742"/>
      <c r="BW22" s="743"/>
      <c r="CY22" s="5">
        <v>3</v>
      </c>
      <c r="CZ22" s="5">
        <v>42.4</v>
      </c>
      <c r="DA22" s="5" t="s">
        <v>116</v>
      </c>
    </row>
    <row r="23" spans="12:105" ht="13.5" thickBot="1" x14ac:dyDescent="0.25">
      <c r="BV23" s="40"/>
      <c r="BW23" s="40"/>
      <c r="CY23" s="5">
        <v>3.35</v>
      </c>
      <c r="CZ23" s="5">
        <v>44.45</v>
      </c>
      <c r="DA23" s="5" t="s">
        <v>21</v>
      </c>
    </row>
    <row r="24" spans="12:105" ht="13.5" thickBot="1" x14ac:dyDescent="0.25">
      <c r="BV24" s="40"/>
      <c r="BW24" s="40"/>
      <c r="CY24" s="5">
        <v>3.75</v>
      </c>
      <c r="CZ24" s="5">
        <v>47.62</v>
      </c>
      <c r="DA24" s="5" t="s">
        <v>22</v>
      </c>
    </row>
    <row r="25" spans="12:105" ht="13.5" thickBot="1" x14ac:dyDescent="0.25">
      <c r="BV25" s="17"/>
      <c r="BW25" s="17"/>
      <c r="CY25" s="5">
        <v>4.25</v>
      </c>
      <c r="CZ25" s="5">
        <v>48.3</v>
      </c>
      <c r="DA25" s="5" t="s">
        <v>116</v>
      </c>
    </row>
    <row r="26" spans="12:105" ht="13.5" thickBot="1" x14ac:dyDescent="0.25">
      <c r="CY26" s="5">
        <v>4.5</v>
      </c>
      <c r="CZ26" s="5">
        <v>50.8</v>
      </c>
      <c r="DA26" s="5" t="s">
        <v>23</v>
      </c>
    </row>
    <row r="27" spans="12:105" ht="13.5" thickBot="1" x14ac:dyDescent="0.25">
      <c r="CY27" s="5">
        <v>4.75</v>
      </c>
      <c r="CZ27" s="5">
        <v>53.97</v>
      </c>
      <c r="DA27" s="5" t="s">
        <v>99</v>
      </c>
    </row>
    <row r="28" spans="12:105" ht="13.5" thickBot="1" x14ac:dyDescent="0.25">
      <c r="CY28" s="5">
        <v>5</v>
      </c>
      <c r="CZ28" s="5">
        <v>57.15</v>
      </c>
      <c r="DA28" s="5" t="s">
        <v>24</v>
      </c>
    </row>
    <row r="29" spans="12:105" ht="13.5" thickBot="1" x14ac:dyDescent="0.25">
      <c r="BR29" s="738"/>
      <c r="BS29" s="738"/>
      <c r="BT29" s="738"/>
      <c r="BU29" s="738"/>
      <c r="CY29" s="5">
        <v>5.4</v>
      </c>
      <c r="CZ29" s="5">
        <v>60.3</v>
      </c>
      <c r="DA29" s="5" t="s">
        <v>25</v>
      </c>
    </row>
    <row r="30" spans="12:105" ht="13.5" thickBot="1" x14ac:dyDescent="0.25">
      <c r="BR30" s="17"/>
      <c r="BS30" s="17"/>
      <c r="BT30" s="17"/>
      <c r="BU30" s="17"/>
      <c r="CY30" s="5">
        <v>6.3</v>
      </c>
      <c r="CZ30" s="5">
        <v>63.5</v>
      </c>
      <c r="DA30" s="5" t="s">
        <v>26</v>
      </c>
    </row>
    <row r="31" spans="12:105" ht="13.5" thickBot="1" x14ac:dyDescent="0.25">
      <c r="BR31" s="17"/>
      <c r="BS31" s="17"/>
      <c r="BT31" s="17"/>
      <c r="BU31" s="17"/>
      <c r="CY31" s="5">
        <v>7.3</v>
      </c>
      <c r="CZ31" s="5">
        <v>70</v>
      </c>
      <c r="DA31" s="5" t="s">
        <v>116</v>
      </c>
    </row>
    <row r="32" spans="12:105" ht="13.5" thickBot="1" x14ac:dyDescent="0.25">
      <c r="CY32" s="5">
        <v>8</v>
      </c>
      <c r="CZ32" s="5">
        <v>73.03</v>
      </c>
      <c r="DA32" s="5" t="s">
        <v>100</v>
      </c>
    </row>
    <row r="33" spans="103:105" ht="13.5" thickBot="1" x14ac:dyDescent="0.25">
      <c r="CY33" s="5">
        <v>8.18</v>
      </c>
      <c r="CZ33" s="5">
        <v>76.099999999999994</v>
      </c>
      <c r="DA33" s="5" t="s">
        <v>116</v>
      </c>
    </row>
    <row r="34" spans="103:105" ht="13.5" thickBot="1" x14ac:dyDescent="0.25">
      <c r="CY34" s="5">
        <v>8.56</v>
      </c>
      <c r="CZ34" s="5">
        <v>76.2</v>
      </c>
      <c r="DA34" s="5" t="s">
        <v>27</v>
      </c>
    </row>
    <row r="35" spans="103:105" ht="13.5" thickBot="1" x14ac:dyDescent="0.25">
      <c r="CZ35" s="5">
        <v>80</v>
      </c>
      <c r="DA35" s="5" t="s">
        <v>116</v>
      </c>
    </row>
    <row r="36" spans="103:105" ht="13.5" thickBot="1" x14ac:dyDescent="0.25">
      <c r="CZ36" s="5">
        <v>82.55</v>
      </c>
      <c r="DA36" s="5" t="s">
        <v>28</v>
      </c>
    </row>
    <row r="37" spans="103:105" ht="13.5" thickBot="1" x14ac:dyDescent="0.25">
      <c r="CZ37" s="5">
        <v>88.9</v>
      </c>
      <c r="DA37" s="5" t="s">
        <v>29</v>
      </c>
    </row>
    <row r="38" spans="103:105" ht="13.5" thickBot="1" x14ac:dyDescent="0.25">
      <c r="CZ38" s="5">
        <v>95.25</v>
      </c>
      <c r="DA38" s="5" t="s">
        <v>101</v>
      </c>
    </row>
    <row r="39" spans="103:105" ht="13.5" thickBot="1" x14ac:dyDescent="0.25">
      <c r="CZ39" s="5">
        <v>101.6</v>
      </c>
      <c r="DA39" s="5" t="s">
        <v>30</v>
      </c>
    </row>
    <row r="40" spans="103:105" ht="13.5" thickBot="1" x14ac:dyDescent="0.25">
      <c r="CZ40" s="5">
        <v>111.13</v>
      </c>
      <c r="DA40" s="5" t="s">
        <v>113</v>
      </c>
    </row>
    <row r="41" spans="103:105" ht="13.5" thickBot="1" x14ac:dyDescent="0.25">
      <c r="CZ41" s="5">
        <v>114.3</v>
      </c>
      <c r="DA41" s="5" t="s">
        <v>31</v>
      </c>
    </row>
    <row r="42" spans="103:105" ht="13.5" thickBot="1" x14ac:dyDescent="0.25">
      <c r="CZ42" s="5">
        <v>122</v>
      </c>
      <c r="DA42" s="5" t="s">
        <v>115</v>
      </c>
    </row>
    <row r="43" spans="103:105" ht="13.5" thickBot="1" x14ac:dyDescent="0.25">
      <c r="CZ43" s="5">
        <v>123.83</v>
      </c>
      <c r="DA43" s="5" t="s">
        <v>114</v>
      </c>
    </row>
    <row r="44" spans="103:105" ht="13.5" thickBot="1" x14ac:dyDescent="0.25">
      <c r="CZ44" s="5">
        <v>127</v>
      </c>
      <c r="DA44" s="5" t="s">
        <v>32</v>
      </c>
    </row>
    <row r="45" spans="103:105" ht="13.5" thickBot="1" x14ac:dyDescent="0.25">
      <c r="CZ45" s="5">
        <v>139.69999999999999</v>
      </c>
      <c r="DA45" s="5" t="s">
        <v>33</v>
      </c>
    </row>
    <row r="46" spans="103:105" ht="13.5" thickBot="1" x14ac:dyDescent="0.25">
      <c r="CZ46" s="5">
        <v>152.4</v>
      </c>
      <c r="DA46" s="5" t="s">
        <v>34</v>
      </c>
    </row>
    <row r="47" spans="103:105" ht="13.5" thickBot="1" x14ac:dyDescent="0.25">
      <c r="CZ47" s="5">
        <v>165.1</v>
      </c>
      <c r="DA47" s="5" t="s">
        <v>116</v>
      </c>
    </row>
    <row r="48" spans="103:105" ht="13.5" thickBot="1" x14ac:dyDescent="0.25">
      <c r="CZ48" s="5">
        <v>168.3</v>
      </c>
      <c r="DA48" s="5" t="s">
        <v>35</v>
      </c>
    </row>
    <row r="49" spans="104:105" ht="13.5" thickBot="1" x14ac:dyDescent="0.25">
      <c r="CZ49" s="5">
        <v>193.7</v>
      </c>
      <c r="DA49" s="5" t="s">
        <v>36</v>
      </c>
    </row>
    <row r="50" spans="104:105" ht="13.5" thickBot="1" x14ac:dyDescent="0.25">
      <c r="CZ50" s="5">
        <v>219.1</v>
      </c>
      <c r="DA50" s="5" t="s">
        <v>37</v>
      </c>
    </row>
    <row r="51" spans="104:105" ht="13.5" thickBot="1" x14ac:dyDescent="0.25">
      <c r="CZ51" s="5">
        <v>273.05</v>
      </c>
      <c r="DA51" s="5" t="s">
        <v>38</v>
      </c>
    </row>
  </sheetData>
  <dataConsolidate link="1"/>
  <mergeCells count="85">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 ref="CT7:CU7"/>
    <mergeCell ref="BM2:BM3"/>
    <mergeCell ref="BB2:BB3"/>
    <mergeCell ref="BC2:BC3"/>
    <mergeCell ref="BD2:BD3"/>
    <mergeCell ref="BL2:BL3"/>
    <mergeCell ref="CP7:CQ7"/>
    <mergeCell ref="BP2:BP3"/>
    <mergeCell ref="BK2:BK3"/>
    <mergeCell ref="AX2:AX3"/>
    <mergeCell ref="CP2:CS2"/>
    <mergeCell ref="CT2:CW2"/>
    <mergeCell ref="AT2:AT3"/>
    <mergeCell ref="BE2:BE3"/>
    <mergeCell ref="BO2:BO3"/>
    <mergeCell ref="AW2:AW3"/>
    <mergeCell ref="BA2:BA3"/>
    <mergeCell ref="BN2:BN3"/>
    <mergeCell ref="BF2:BF3"/>
    <mergeCell ref="AY2:AY3"/>
    <mergeCell ref="AZ2:AZ3"/>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BR29:BU29"/>
    <mergeCell ref="CL7:CM7"/>
    <mergeCell ref="BV2:BZ2"/>
    <mergeCell ref="BV21:BW22"/>
    <mergeCell ref="CG7:CI7"/>
    <mergeCell ref="CA2:CF2"/>
    <mergeCell ref="CG2:CK2"/>
    <mergeCell ref="CL2:CO2"/>
    <mergeCell ref="Z2:Z3"/>
    <mergeCell ref="S2:S3"/>
    <mergeCell ref="K2:K3"/>
    <mergeCell ref="N2:N3"/>
    <mergeCell ref="I2:I3"/>
    <mergeCell ref="M2:M3"/>
    <mergeCell ref="R2:R3"/>
    <mergeCell ref="T2:U2"/>
    <mergeCell ref="W2:W3"/>
    <mergeCell ref="X2:X3"/>
    <mergeCell ref="Y2:Y3"/>
    <mergeCell ref="B1:Q1"/>
    <mergeCell ref="O2:O3"/>
    <mergeCell ref="Q2:Q3"/>
    <mergeCell ref="P2:P3"/>
    <mergeCell ref="E2:E3"/>
    <mergeCell ref="B2:B3"/>
    <mergeCell ref="D2:D3"/>
    <mergeCell ref="F2:F3"/>
    <mergeCell ref="G2:G3"/>
    <mergeCell ref="J2:J3"/>
    <mergeCell ref="L2:L3"/>
    <mergeCell ref="H2:H3"/>
    <mergeCell ref="C2:C3"/>
  </mergeCells>
  <conditionalFormatting sqref="I4 L4:M4 AY4:AY9 BM4:BP9">
    <cfRule type="cellIs" dxfId="137" priority="150" operator="equal">
      <formula>0</formula>
    </cfRule>
  </conditionalFormatting>
  <conditionalFormatting sqref="AM4:AM9">
    <cfRule type="cellIs" dxfId="136" priority="126" operator="lessThan">
      <formula>$J$4</formula>
    </cfRule>
  </conditionalFormatting>
  <conditionalFormatting sqref="AN6:AN9">
    <cfRule type="cellIs" dxfId="135" priority="73" operator="equal">
      <formula>0</formula>
    </cfRule>
  </conditionalFormatting>
  <conditionalFormatting sqref="O4:P4">
    <cfRule type="cellIs" dxfId="134" priority="69" operator="equal">
      <formula>0</formula>
    </cfRule>
    <cfRule type="containsErrors" dxfId="133" priority="154">
      <formula>ISERROR(O4)</formula>
    </cfRule>
  </conditionalFormatting>
  <conditionalFormatting sqref="I4">
    <cfRule type="cellIs" dxfId="132" priority="32" operator="greaterThan">
      <formula>18</formula>
    </cfRule>
  </conditionalFormatting>
  <conditionalFormatting sqref="L4">
    <cfRule type="cellIs" dxfId="131" priority="31" operator="greaterThan">
      <formula>100</formula>
    </cfRule>
  </conditionalFormatting>
  <conditionalFormatting sqref="AJ4:AJ9">
    <cfRule type="containsErrors" dxfId="130" priority="19">
      <formula>ISERROR(AJ4)</formula>
    </cfRule>
  </conditionalFormatting>
  <conditionalFormatting sqref="G4:H4">
    <cfRule type="cellIs" dxfId="129" priority="3" operator="equal">
      <formula>0</formula>
    </cfRule>
  </conditionalFormatting>
  <conditionalFormatting sqref="H4">
    <cfRule type="cellIs" dxfId="128" priority="2" operator="greaterThan">
      <formula>18</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760" t="s">
        <v>0</v>
      </c>
      <c r="C2" s="760"/>
      <c r="D2" s="760"/>
      <c r="E2" s="760"/>
      <c r="F2" s="760"/>
      <c r="G2" s="760"/>
      <c r="H2" s="760"/>
      <c r="I2" s="760"/>
      <c r="J2" s="760"/>
      <c r="K2" s="760"/>
      <c r="L2" s="760"/>
      <c r="M2" s="760"/>
      <c r="N2" s="761"/>
      <c r="O2" s="761"/>
      <c r="P2" s="762" t="s">
        <v>39</v>
      </c>
      <c r="Q2" s="760"/>
      <c r="R2" s="760"/>
      <c r="S2" s="760"/>
      <c r="T2" s="760"/>
      <c r="U2" s="760"/>
      <c r="V2" s="760"/>
      <c r="W2" s="760"/>
      <c r="X2" s="760"/>
      <c r="Y2" s="760"/>
      <c r="Z2" s="760"/>
      <c r="AA2" s="760"/>
      <c r="AB2" s="760"/>
      <c r="AC2" s="760"/>
      <c r="AD2" s="760"/>
      <c r="AE2" s="760"/>
      <c r="AF2" s="760"/>
      <c r="AG2" s="760"/>
      <c r="AH2" s="760"/>
      <c r="AI2" s="760"/>
      <c r="AJ2" s="760"/>
      <c r="AK2" s="760"/>
      <c r="AL2" s="761"/>
      <c r="AM2" s="97"/>
      <c r="AN2" s="62"/>
      <c r="AO2" s="763" t="s">
        <v>68</v>
      </c>
      <c r="AP2" s="764"/>
      <c r="AQ2" s="764"/>
      <c r="AR2" s="764"/>
      <c r="AS2" s="764"/>
      <c r="AT2" s="764"/>
      <c r="AU2" s="764"/>
      <c r="AV2" s="764"/>
      <c r="AW2" s="764"/>
      <c r="AX2" s="764"/>
      <c r="AY2" s="764"/>
      <c r="AZ2" s="764"/>
      <c r="BA2" s="764"/>
      <c r="BB2" s="764"/>
      <c r="BC2" s="764"/>
      <c r="BD2" s="764"/>
      <c r="BE2" s="764"/>
      <c r="BF2" s="764"/>
      <c r="BG2" s="764"/>
      <c r="BH2" s="764"/>
      <c r="BI2" s="764"/>
      <c r="BJ2" s="764"/>
      <c r="BK2" s="764"/>
      <c r="BL2" s="764"/>
      <c r="BM2" s="764"/>
      <c r="BN2" s="764"/>
      <c r="BO2" s="764"/>
      <c r="BP2" s="764"/>
      <c r="BQ2" s="764"/>
      <c r="BR2" s="764"/>
      <c r="BS2" s="764"/>
      <c r="BT2" s="764"/>
      <c r="BU2" s="765"/>
      <c r="BW2" s="102" t="s">
        <v>94</v>
      </c>
      <c r="BX2" s="103"/>
      <c r="BY2" s="766" t="s">
        <v>67</v>
      </c>
      <c r="BZ2" s="766"/>
      <c r="CA2" s="766"/>
      <c r="CB2" s="766"/>
      <c r="CC2" s="766"/>
      <c r="CD2" s="766"/>
      <c r="CE2" s="766"/>
      <c r="CF2" s="766"/>
      <c r="CG2" s="766"/>
      <c r="CH2" s="766"/>
      <c r="CI2" s="766"/>
      <c r="CJ2" s="766"/>
      <c r="CK2" s="766"/>
      <c r="CL2" s="766"/>
      <c r="CM2" s="766"/>
      <c r="CN2" s="766"/>
      <c r="CO2" s="766"/>
      <c r="CP2" s="766"/>
      <c r="CQ2" s="766"/>
      <c r="CR2" s="766"/>
      <c r="CS2" s="766"/>
      <c r="CT2" s="766"/>
      <c r="CU2" s="766"/>
      <c r="CV2" s="766"/>
      <c r="CW2" s="766"/>
      <c r="CX2" s="766"/>
      <c r="CY2" s="766"/>
      <c r="CZ2" s="766"/>
      <c r="DA2" s="766"/>
      <c r="DB2" s="766"/>
      <c r="DC2" s="766"/>
      <c r="DD2" s="766"/>
      <c r="DE2" s="766"/>
    </row>
    <row r="3" spans="2:109" ht="18" customHeight="1" thickBot="1" x14ac:dyDescent="0.25">
      <c r="B3" s="759" t="s">
        <v>1</v>
      </c>
      <c r="C3" s="759" t="s">
        <v>2</v>
      </c>
      <c r="D3" s="752" t="s">
        <v>4</v>
      </c>
      <c r="E3" s="752" t="s">
        <v>170</v>
      </c>
      <c r="F3" s="752" t="s">
        <v>5</v>
      </c>
      <c r="G3" s="752" t="s">
        <v>74</v>
      </c>
      <c r="H3" s="752" t="s">
        <v>169</v>
      </c>
      <c r="I3" s="752" t="s">
        <v>76</v>
      </c>
      <c r="J3" s="752" t="s">
        <v>6</v>
      </c>
      <c r="K3" s="752" t="s">
        <v>75</v>
      </c>
      <c r="L3" s="752" t="s">
        <v>7</v>
      </c>
      <c r="M3" s="752" t="s">
        <v>87</v>
      </c>
      <c r="N3" s="752" t="s">
        <v>260</v>
      </c>
      <c r="O3" s="753" t="s">
        <v>8</v>
      </c>
      <c r="P3" s="758" t="s">
        <v>49</v>
      </c>
      <c r="Q3" s="752" t="s">
        <v>104</v>
      </c>
      <c r="R3" s="752" t="s">
        <v>105</v>
      </c>
      <c r="S3" s="768" t="s">
        <v>109</v>
      </c>
      <c r="T3" s="767" t="s">
        <v>106</v>
      </c>
      <c r="U3" s="767" t="s">
        <v>219</v>
      </c>
      <c r="V3" s="752" t="s">
        <v>583</v>
      </c>
      <c r="W3" s="752"/>
      <c r="X3" s="752" t="s">
        <v>66</v>
      </c>
      <c r="Y3" s="752" t="s">
        <v>41</v>
      </c>
      <c r="Z3" s="752" t="s">
        <v>42</v>
      </c>
      <c r="AA3" s="752" t="s">
        <v>108</v>
      </c>
      <c r="AB3" s="752" t="s">
        <v>112</v>
      </c>
      <c r="AC3" s="752" t="s">
        <v>48</v>
      </c>
      <c r="AD3" s="752" t="s">
        <v>45</v>
      </c>
      <c r="AE3" s="752" t="s">
        <v>171</v>
      </c>
      <c r="AF3" s="752" t="s">
        <v>65</v>
      </c>
      <c r="AG3" s="752" t="s">
        <v>46</v>
      </c>
      <c r="AH3" s="752" t="s">
        <v>47</v>
      </c>
      <c r="AI3" s="752" t="s">
        <v>91</v>
      </c>
      <c r="AJ3" s="752" t="s">
        <v>92</v>
      </c>
      <c r="AK3" s="752" t="s">
        <v>90</v>
      </c>
      <c r="AL3" s="753" t="s">
        <v>93</v>
      </c>
      <c r="AM3" s="753" t="s">
        <v>218</v>
      </c>
      <c r="AN3" s="753" t="s">
        <v>256</v>
      </c>
      <c r="AO3" s="754" t="s">
        <v>143</v>
      </c>
      <c r="AP3" s="752" t="s">
        <v>49</v>
      </c>
      <c r="AQ3" s="756" t="s">
        <v>78</v>
      </c>
      <c r="AR3" s="756" t="s">
        <v>152</v>
      </c>
      <c r="AS3" s="756" t="s">
        <v>164</v>
      </c>
      <c r="AT3" s="756" t="s">
        <v>71</v>
      </c>
      <c r="AU3" s="756" t="s">
        <v>151</v>
      </c>
      <c r="AV3" s="756" t="s">
        <v>162</v>
      </c>
      <c r="AW3" s="756" t="s">
        <v>73</v>
      </c>
      <c r="AX3" s="756" t="s">
        <v>77</v>
      </c>
      <c r="AY3" s="752" t="s">
        <v>62</v>
      </c>
      <c r="AZ3" s="752" t="s">
        <v>40</v>
      </c>
      <c r="BA3" s="752"/>
      <c r="BB3" s="752" t="s">
        <v>66</v>
      </c>
      <c r="BC3" s="752" t="s">
        <v>79</v>
      </c>
      <c r="BD3" s="752" t="s">
        <v>86</v>
      </c>
      <c r="BE3" s="752" t="s">
        <v>42</v>
      </c>
      <c r="BF3" s="752" t="s">
        <v>185</v>
      </c>
      <c r="BG3" s="752" t="s">
        <v>48</v>
      </c>
      <c r="BH3" s="752" t="s">
        <v>45</v>
      </c>
      <c r="BI3" s="752" t="s">
        <v>65</v>
      </c>
      <c r="BJ3" s="752" t="s">
        <v>46</v>
      </c>
      <c r="BK3" s="752" t="s">
        <v>47</v>
      </c>
      <c r="BL3" s="752" t="s">
        <v>91</v>
      </c>
      <c r="BM3" s="752" t="s">
        <v>92</v>
      </c>
      <c r="BN3" s="752" t="s">
        <v>90</v>
      </c>
      <c r="BO3" s="752" t="s">
        <v>93</v>
      </c>
      <c r="BP3" s="752" t="s">
        <v>117</v>
      </c>
      <c r="BQ3" s="752" t="s">
        <v>118</v>
      </c>
      <c r="BR3" s="752" t="s">
        <v>119</v>
      </c>
      <c r="BS3" s="752" t="s">
        <v>120</v>
      </c>
      <c r="BT3" s="752" t="s">
        <v>121</v>
      </c>
      <c r="BU3" s="752" t="s">
        <v>122</v>
      </c>
      <c r="BW3" s="104" t="s">
        <v>103</v>
      </c>
      <c r="BX3" s="103"/>
      <c r="BY3" s="750" t="s">
        <v>39</v>
      </c>
      <c r="BZ3" s="750"/>
      <c r="CA3" s="750"/>
      <c r="CB3" s="750"/>
      <c r="CC3" s="750"/>
      <c r="CD3" s="750" t="s">
        <v>145</v>
      </c>
      <c r="CE3" s="750"/>
      <c r="CF3" s="750"/>
      <c r="CG3" s="750"/>
      <c r="CH3" s="750"/>
      <c r="CI3" s="750" t="s">
        <v>150</v>
      </c>
      <c r="CJ3" s="750"/>
      <c r="CK3" s="750"/>
      <c r="CL3" s="750"/>
      <c r="CM3" s="750"/>
      <c r="CN3" s="750"/>
      <c r="CO3" s="750" t="s">
        <v>553</v>
      </c>
      <c r="CP3" s="750"/>
      <c r="CQ3" s="750"/>
      <c r="CR3" s="750"/>
      <c r="CS3" s="750"/>
      <c r="CT3" s="750" t="s">
        <v>146</v>
      </c>
      <c r="CU3" s="750"/>
      <c r="CV3" s="750"/>
      <c r="CW3" s="750"/>
      <c r="CX3" s="750" t="s">
        <v>554</v>
      </c>
      <c r="CY3" s="750"/>
      <c r="CZ3" s="750"/>
      <c r="DA3" s="750"/>
      <c r="DB3" s="750" t="s">
        <v>70</v>
      </c>
      <c r="DC3" s="750"/>
      <c r="DD3" s="750"/>
      <c r="DE3" s="750"/>
    </row>
    <row r="4" spans="2:109" ht="21.75" customHeight="1" thickBot="1" x14ac:dyDescent="0.3">
      <c r="B4" s="759"/>
      <c r="C4" s="759"/>
      <c r="D4" s="752"/>
      <c r="E4" s="752"/>
      <c r="F4" s="752"/>
      <c r="G4" s="752"/>
      <c r="H4" s="752"/>
      <c r="I4" s="752"/>
      <c r="J4" s="752"/>
      <c r="K4" s="752"/>
      <c r="L4" s="752"/>
      <c r="M4" s="752"/>
      <c r="N4" s="752"/>
      <c r="O4" s="753"/>
      <c r="P4" s="758"/>
      <c r="Q4" s="752"/>
      <c r="R4" s="752"/>
      <c r="S4" s="768"/>
      <c r="T4" s="767"/>
      <c r="U4" s="767"/>
      <c r="V4" s="3" t="s">
        <v>43</v>
      </c>
      <c r="W4" s="3" t="s">
        <v>63</v>
      </c>
      <c r="X4" s="752"/>
      <c r="Y4" s="752"/>
      <c r="Z4" s="752"/>
      <c r="AA4" s="752"/>
      <c r="AB4" s="752"/>
      <c r="AC4" s="752"/>
      <c r="AD4" s="752"/>
      <c r="AE4" s="752"/>
      <c r="AF4" s="752"/>
      <c r="AG4" s="752"/>
      <c r="AH4" s="752"/>
      <c r="AI4" s="752"/>
      <c r="AJ4" s="752"/>
      <c r="AK4" s="752"/>
      <c r="AL4" s="753"/>
      <c r="AM4" s="753"/>
      <c r="AN4" s="753"/>
      <c r="AO4" s="755"/>
      <c r="AP4" s="752"/>
      <c r="AQ4" s="757"/>
      <c r="AR4" s="757"/>
      <c r="AS4" s="757"/>
      <c r="AT4" s="757"/>
      <c r="AU4" s="757"/>
      <c r="AV4" s="757"/>
      <c r="AW4" s="757"/>
      <c r="AX4" s="757"/>
      <c r="AY4" s="752"/>
      <c r="AZ4" s="3" t="s">
        <v>80</v>
      </c>
      <c r="BA4" s="3" t="s">
        <v>44</v>
      </c>
      <c r="BB4" s="752"/>
      <c r="BC4" s="752"/>
      <c r="BD4" s="752"/>
      <c r="BE4" s="752"/>
      <c r="BF4" s="752"/>
      <c r="BG4" s="752"/>
      <c r="BH4" s="752"/>
      <c r="BI4" s="752"/>
      <c r="BJ4" s="752"/>
      <c r="BK4" s="752"/>
      <c r="BL4" s="752"/>
      <c r="BM4" s="752"/>
      <c r="BN4" s="752"/>
      <c r="BO4" s="752"/>
      <c r="BP4" s="752"/>
      <c r="BQ4" s="752"/>
      <c r="BR4" s="752"/>
      <c r="BS4" s="752"/>
      <c r="BT4" s="752"/>
      <c r="BU4" s="752"/>
      <c r="BW4" s="104" t="s">
        <v>95</v>
      </c>
      <c r="BX4" s="103"/>
      <c r="BY4" s="104" t="s">
        <v>49</v>
      </c>
      <c r="BZ4" s="104" t="s">
        <v>50</v>
      </c>
      <c r="CA4" s="105" t="s">
        <v>220</v>
      </c>
      <c r="CB4" s="105" t="s">
        <v>221</v>
      </c>
      <c r="CC4" s="104" t="s">
        <v>64</v>
      </c>
      <c r="CD4" s="104" t="s">
        <v>49</v>
      </c>
      <c r="CE4" s="104" t="s">
        <v>50</v>
      </c>
      <c r="CF4" s="104" t="s">
        <v>61</v>
      </c>
      <c r="CG4" s="104" t="s">
        <v>64</v>
      </c>
      <c r="CH4" s="104" t="s">
        <v>72</v>
      </c>
      <c r="CI4" s="104" t="s">
        <v>49</v>
      </c>
      <c r="CJ4" s="104" t="s">
        <v>50</v>
      </c>
      <c r="CK4" s="104" t="s">
        <v>61</v>
      </c>
      <c r="CL4" s="104" t="s">
        <v>64</v>
      </c>
      <c r="CM4" s="104" t="s">
        <v>72</v>
      </c>
      <c r="CN4" s="104" t="s">
        <v>153</v>
      </c>
      <c r="CO4" s="104" t="s">
        <v>49</v>
      </c>
      <c r="CP4" s="104" t="s">
        <v>50</v>
      </c>
      <c r="CQ4" s="104" t="s">
        <v>61</v>
      </c>
      <c r="CR4" s="104" t="s">
        <v>64</v>
      </c>
      <c r="CS4" s="104" t="s">
        <v>72</v>
      </c>
      <c r="CT4" s="104" t="s">
        <v>49</v>
      </c>
      <c r="CU4" s="104" t="s">
        <v>50</v>
      </c>
      <c r="CV4" s="104" t="s">
        <v>61</v>
      </c>
      <c r="CW4" s="104" t="s">
        <v>72</v>
      </c>
      <c r="CX4" s="104" t="s">
        <v>49</v>
      </c>
      <c r="CY4" s="104" t="s">
        <v>50</v>
      </c>
      <c r="CZ4" s="104" t="s">
        <v>61</v>
      </c>
      <c r="DA4" s="104" t="s">
        <v>72</v>
      </c>
      <c r="DB4" s="104" t="s">
        <v>49</v>
      </c>
      <c r="DC4" s="104" t="s">
        <v>50</v>
      </c>
      <c r="DD4" s="104" t="s">
        <v>61</v>
      </c>
      <c r="DE4" s="104" t="s">
        <v>72</v>
      </c>
    </row>
    <row r="5" spans="2:109" ht="15.75" thickBot="1" x14ac:dyDescent="0.3">
      <c r="B5" s="7"/>
      <c r="C5" s="8"/>
      <c r="D5" s="9"/>
      <c r="E5" s="24"/>
      <c r="F5" s="10">
        <f>(D5/1000)*(E5/1000)*7850</f>
        <v>0</v>
      </c>
      <c r="G5" s="11"/>
      <c r="H5" s="11"/>
      <c r="I5" s="10">
        <f>F5*G5/1000</f>
        <v>0</v>
      </c>
      <c r="J5" s="10">
        <f>F5*G5/1000-H5</f>
        <v>0</v>
      </c>
      <c r="K5" s="14" t="e">
        <f>H5/J5*100</f>
        <v>#DIV/0!</v>
      </c>
      <c r="L5" s="9"/>
      <c r="M5" s="24" t="e">
        <f>(L5*1000)/J5</f>
        <v>#DIV/0!</v>
      </c>
      <c r="N5" s="24" t="e">
        <f>L5*1000/F5</f>
        <v>#DIV/0!</v>
      </c>
      <c r="O5" s="57">
        <v>25</v>
      </c>
      <c r="P5" s="59"/>
      <c r="Q5" s="11">
        <v>23</v>
      </c>
      <c r="R5" s="11"/>
      <c r="S5" s="11"/>
      <c r="T5" s="12" t="e">
        <f>VLOOKUP(R5,$BY$8:$CA$9,3)</f>
        <v>#N/A</v>
      </c>
      <c r="U5" s="14" t="e">
        <f>((Q5*(VLOOKUP(P5,$BY$5:$CA$6,3)))+60)/60</f>
        <v>#N/A</v>
      </c>
      <c r="V5" s="11"/>
      <c r="W5" s="26">
        <v>0</v>
      </c>
      <c r="X5" s="15" t="e">
        <f>(T5+U5+W5)</f>
        <v>#N/A</v>
      </c>
      <c r="Y5" s="11"/>
      <c r="Z5" s="12" t="e">
        <f>VLOOKUP(P5,$BY$5:$CC$6,5)</f>
        <v>#N/A</v>
      </c>
      <c r="AA5" s="14" t="e">
        <f>K5</f>
        <v>#DIV/0!</v>
      </c>
      <c r="AB5" s="14" t="e">
        <f>VLOOKUP(S5,$BY$12:$BZ$13,2)/G5*100</f>
        <v>#N/A</v>
      </c>
      <c r="AC5" s="11" t="e">
        <f>VLOOKUP(P5,$BY$5:$BZ$6,2)</f>
        <v>#N/A</v>
      </c>
      <c r="AD5" s="14">
        <f>F5*V5/O5/1000*100</f>
        <v>0</v>
      </c>
      <c r="AE5" s="14" t="e">
        <f>AF5-AA5</f>
        <v>#DIV/0!</v>
      </c>
      <c r="AF5" s="14" t="e">
        <f>AA5+AB5+AC5+AD5</f>
        <v>#DIV/0!</v>
      </c>
      <c r="AG5" s="14" t="e">
        <f>((Y5*F5/1000)^(-1))*((1+(100-Z5)/100))</f>
        <v>#DIV/0!</v>
      </c>
      <c r="AH5" s="14" t="e">
        <f>(X5*60)/O5</f>
        <v>#N/A</v>
      </c>
      <c r="AI5" s="11"/>
      <c r="AJ5" s="11"/>
      <c r="AK5" s="15" t="e">
        <f>AG5*O5/60</f>
        <v>#DIV/0!</v>
      </c>
      <c r="AL5" s="49" t="e">
        <f>AK5/(AI5*AJ5)</f>
        <v>#DIV/0!</v>
      </c>
      <c r="AM5" s="49" t="e">
        <f>(AK5+X5)/(AI5*AJ5)</f>
        <v>#DIV/0!</v>
      </c>
      <c r="AN5" s="49" t="e">
        <f>(AG5^-1)*AI5*60*AJ5</f>
        <v>#DIV/0!</v>
      </c>
      <c r="AO5" s="340" t="s">
        <v>145</v>
      </c>
      <c r="AP5" s="328"/>
      <c r="AQ5" s="328"/>
      <c r="AR5" s="330">
        <f>G5</f>
        <v>0</v>
      </c>
      <c r="AS5" s="342"/>
      <c r="AT5" s="330"/>
      <c r="AU5" s="342"/>
      <c r="AV5" s="342"/>
      <c r="AW5" s="332" t="e">
        <f>VLOOKUP(AP5,$CD$5:$CH$9,5)</f>
        <v>#N/A</v>
      </c>
      <c r="AX5" s="332" t="e">
        <f t="shared" ref="AX5:AX10" si="0">AT5*AR5+AW5</f>
        <v>#N/A</v>
      </c>
      <c r="AY5" s="332" t="e">
        <f>VLOOKUP(AP5,$CD$5:$CH$9,3)</f>
        <v>#N/A</v>
      </c>
      <c r="AZ5" s="330"/>
      <c r="BA5" s="328"/>
      <c r="BB5" s="331" t="e">
        <f t="shared" ref="BB5:BB10" si="1">AY5+BA5/60</f>
        <v>#N/A</v>
      </c>
      <c r="BC5" s="332" t="e">
        <f>VLOOKUP(AQ5,$CD$12:$CE$15,2)</f>
        <v>#N/A</v>
      </c>
      <c r="BD5" s="331" t="e">
        <f t="shared" ref="BD5:BD10" si="2">BC5/60</f>
        <v>#N/A</v>
      </c>
      <c r="BE5" s="332" t="e">
        <f>VLOOKUP(AP5,$CD$5:$CH$9,4)</f>
        <v>#N/A</v>
      </c>
      <c r="BF5" s="342"/>
      <c r="BG5" s="331" t="e">
        <f t="shared" ref="BG5:BG10" si="3">(AX5-AR5*AT5)/AX5*100</f>
        <v>#N/A</v>
      </c>
      <c r="BH5" s="333">
        <f>(F5*AR5*AZ5/1000)/1000/O5*100</f>
        <v>0</v>
      </c>
      <c r="BI5" s="333" t="e">
        <f t="shared" ref="BI5:BI10" si="4">BF5+BG5+BH5</f>
        <v>#N/A</v>
      </c>
      <c r="BJ5" s="329" t="e">
        <f>BC5/(F5*AR5/1000)/60*1000*((1+(100-BE5)/100))</f>
        <v>#N/A</v>
      </c>
      <c r="BK5" s="332" t="e">
        <f>BB5*60/O5</f>
        <v>#N/A</v>
      </c>
      <c r="BL5" s="330"/>
      <c r="BM5" s="330"/>
      <c r="BN5" s="329" t="e">
        <f>BJ5*L5/60+BB5</f>
        <v>#N/A</v>
      </c>
      <c r="BO5" s="329" t="e">
        <f t="shared" ref="BO5:BO10" si="5">BN5/(BL5*BM5)</f>
        <v>#N/A</v>
      </c>
      <c r="BP5" s="334"/>
      <c r="BQ5" s="334"/>
      <c r="BR5" s="331" t="e">
        <f>#REF!/100*BQ5</f>
        <v>#REF!</v>
      </c>
      <c r="BS5" s="331" t="e">
        <f t="shared" ref="BS5:BS10" si="6">BK5/60*BP5</f>
        <v>#N/A</v>
      </c>
      <c r="BT5" s="331" t="e">
        <f t="shared" ref="BT5:BT10" si="7">BJ5/60*BP5</f>
        <v>#N/A</v>
      </c>
      <c r="BU5" s="331" t="e">
        <f t="shared" ref="BU5:BU10" si="8">BR5+BS5+BT5</f>
        <v>#REF!</v>
      </c>
      <c r="BW5" s="106">
        <v>0.6</v>
      </c>
      <c r="BX5" s="103"/>
      <c r="BY5" s="107" t="s">
        <v>57</v>
      </c>
      <c r="BZ5" s="107">
        <v>10</v>
      </c>
      <c r="CA5" s="108">
        <v>4</v>
      </c>
      <c r="CB5" s="108">
        <v>30</v>
      </c>
      <c r="CC5" s="107">
        <v>50</v>
      </c>
      <c r="CD5" s="107" t="s">
        <v>418</v>
      </c>
      <c r="CE5" s="107">
        <v>1.5</v>
      </c>
      <c r="CF5" s="107">
        <f>15/60</f>
        <v>0.25</v>
      </c>
      <c r="CG5" s="107">
        <v>90</v>
      </c>
      <c r="CH5" s="107">
        <v>50</v>
      </c>
      <c r="CI5" s="107" t="s">
        <v>413</v>
      </c>
      <c r="CJ5" s="107">
        <v>1</v>
      </c>
      <c r="CK5" s="107">
        <f>15/60</f>
        <v>0.25</v>
      </c>
      <c r="CL5" s="107">
        <v>65</v>
      </c>
      <c r="CM5" s="107">
        <v>50</v>
      </c>
      <c r="CN5" s="107">
        <v>2.5</v>
      </c>
      <c r="CO5" s="4" t="s">
        <v>557</v>
      </c>
      <c r="CP5" s="4"/>
      <c r="CQ5" s="4">
        <v>0.75</v>
      </c>
      <c r="CR5" s="4">
        <v>80</v>
      </c>
      <c r="CS5" s="4">
        <v>400</v>
      </c>
      <c r="CT5" s="4" t="s">
        <v>556</v>
      </c>
      <c r="CU5" s="343"/>
      <c r="CV5" s="344">
        <v>0.35</v>
      </c>
      <c r="CW5" s="345">
        <v>120</v>
      </c>
      <c r="CX5" s="343" t="s">
        <v>408</v>
      </c>
      <c r="CY5" s="343">
        <v>3</v>
      </c>
      <c r="CZ5" s="343">
        <v>1</v>
      </c>
      <c r="DA5" s="343"/>
      <c r="DB5" s="107" t="s">
        <v>407</v>
      </c>
      <c r="DC5" s="107"/>
      <c r="DD5" s="107">
        <v>0.5</v>
      </c>
      <c r="DE5" s="107"/>
    </row>
    <row r="6" spans="2:109" ht="26.25" thickBot="1" x14ac:dyDescent="0.25">
      <c r="U6" s="63" t="s">
        <v>222</v>
      </c>
      <c r="V6" s="63" t="s">
        <v>223</v>
      </c>
      <c r="W6" s="63" t="s">
        <v>224</v>
      </c>
      <c r="AC6" s="25"/>
      <c r="AD6" s="25"/>
      <c r="AE6" s="21"/>
      <c r="AF6" s="56"/>
      <c r="AO6" s="340" t="s">
        <v>150</v>
      </c>
      <c r="AP6" s="328"/>
      <c r="AQ6" s="341"/>
      <c r="AR6" s="330">
        <f>G5</f>
        <v>0</v>
      </c>
      <c r="AS6" s="342"/>
      <c r="AT6" s="330"/>
      <c r="AU6" s="330"/>
      <c r="AV6" s="330"/>
      <c r="AW6" s="332" t="e">
        <f>VLOOKUP(AP6,$CI$5:$CN$5,5)</f>
        <v>#N/A</v>
      </c>
      <c r="AX6" s="332" t="e">
        <f t="shared" si="0"/>
        <v>#N/A</v>
      </c>
      <c r="AY6" s="332" t="e">
        <f>VLOOKUP(AP6,$CI$5:$CM$5,3)</f>
        <v>#N/A</v>
      </c>
      <c r="AZ6" s="330"/>
      <c r="BA6" s="328"/>
      <c r="BB6" s="331" t="e">
        <f t="shared" si="1"/>
        <v>#N/A</v>
      </c>
      <c r="BC6" s="329" t="e">
        <f>(VLOOKUP(AP6,$CI$5:$CN$5,6)*AV6*(AT6+1))/(AT6*AU6)</f>
        <v>#N/A</v>
      </c>
      <c r="BD6" s="331" t="e">
        <f t="shared" si="2"/>
        <v>#N/A</v>
      </c>
      <c r="BE6" s="332" t="e">
        <f>VLOOKUP(AP6,$CI$5:$CM$5,4)</f>
        <v>#N/A</v>
      </c>
      <c r="BF6" s="342"/>
      <c r="BG6" s="331" t="e">
        <f t="shared" si="3"/>
        <v>#N/A</v>
      </c>
      <c r="BH6" s="333">
        <f>(F5*AR6*AZ6/1000)/1000/O5*100</f>
        <v>0</v>
      </c>
      <c r="BI6" s="333" t="e">
        <f t="shared" si="4"/>
        <v>#N/A</v>
      </c>
      <c r="BJ6" s="329" t="e">
        <f>BC6/(F5*AR6/1000)/60*1000*((1+(100-BE6)/100))</f>
        <v>#N/A</v>
      </c>
      <c r="BK6" s="332" t="e">
        <f>BB6*60/O5</f>
        <v>#N/A</v>
      </c>
      <c r="BL6" s="330"/>
      <c r="BM6" s="330"/>
      <c r="BN6" s="329" t="e">
        <f>BJ6*L5/60+BB6</f>
        <v>#N/A</v>
      </c>
      <c r="BO6" s="329" t="e">
        <f t="shared" si="5"/>
        <v>#N/A</v>
      </c>
      <c r="BP6" s="334"/>
      <c r="BQ6" s="334"/>
      <c r="BR6" s="331" t="e">
        <f>#REF!/100*BQ6</f>
        <v>#REF!</v>
      </c>
      <c r="BS6" s="331" t="e">
        <f t="shared" si="6"/>
        <v>#N/A</v>
      </c>
      <c r="BT6" s="331" t="e">
        <f t="shared" si="7"/>
        <v>#N/A</v>
      </c>
      <c r="BU6" s="331" t="e">
        <f t="shared" si="8"/>
        <v>#REF!</v>
      </c>
      <c r="BW6" s="106">
        <v>0.75</v>
      </c>
      <c r="BX6" s="103"/>
      <c r="BY6" s="103"/>
      <c r="BZ6" s="112"/>
      <c r="CA6" s="103"/>
      <c r="CB6" s="103"/>
      <c r="CC6" s="103"/>
      <c r="CD6" s="103"/>
      <c r="CE6" s="103"/>
      <c r="CF6" s="103"/>
      <c r="CG6" s="103"/>
      <c r="CH6" s="103"/>
      <c r="CI6" s="107" t="s">
        <v>551</v>
      </c>
      <c r="CJ6" s="107">
        <v>1</v>
      </c>
      <c r="CK6" s="107">
        <f>15/60</f>
        <v>0.25</v>
      </c>
      <c r="CL6" s="107">
        <v>65</v>
      </c>
      <c r="CM6" s="107">
        <v>50</v>
      </c>
      <c r="CN6" s="107">
        <v>2.5</v>
      </c>
      <c r="CO6" s="4" t="s">
        <v>558</v>
      </c>
      <c r="CP6" s="4"/>
      <c r="CQ6" s="4">
        <v>0.75</v>
      </c>
      <c r="CR6" s="4">
        <v>80</v>
      </c>
      <c r="CS6" s="4">
        <v>400</v>
      </c>
      <c r="CT6" s="4" t="s">
        <v>555</v>
      </c>
      <c r="CU6" s="343"/>
      <c r="CV6" s="344">
        <v>0.35</v>
      </c>
      <c r="CW6" s="345">
        <v>120</v>
      </c>
      <c r="CX6" s="343" t="s">
        <v>409</v>
      </c>
      <c r="CY6" s="343">
        <v>3</v>
      </c>
      <c r="CZ6" s="343">
        <v>1</v>
      </c>
      <c r="DA6" s="343"/>
      <c r="DB6" s="103"/>
      <c r="DC6" s="103"/>
      <c r="DD6" s="103"/>
      <c r="DE6" s="103"/>
    </row>
    <row r="7" spans="2:109" ht="18.75" customHeight="1" thickBot="1" x14ac:dyDescent="0.3">
      <c r="U7" s="14">
        <f>Q5*$CB$5/60</f>
        <v>11.5</v>
      </c>
      <c r="V7" s="64">
        <v>82.38</v>
      </c>
      <c r="W7" s="439">
        <f>U7*V7/O5</f>
        <v>37.894799999999996</v>
      </c>
      <c r="AO7" s="340" t="s">
        <v>553</v>
      </c>
      <c r="AP7" s="328"/>
      <c r="AQ7" s="328"/>
      <c r="AR7" s="330">
        <f>G5</f>
        <v>0</v>
      </c>
      <c r="AS7" s="346">
        <f>H5</f>
        <v>0</v>
      </c>
      <c r="AT7" s="330"/>
      <c r="AU7" s="342"/>
      <c r="AV7" s="342"/>
      <c r="AW7" s="332" t="e">
        <f>VLOOKUP(AP7,$CO$5:$CS$6,5)</f>
        <v>#N/A</v>
      </c>
      <c r="AX7" s="332" t="e">
        <f t="shared" si="0"/>
        <v>#N/A</v>
      </c>
      <c r="AY7" s="332" t="e">
        <f>VLOOKUP(AP7,$CI$5:$CM$5,3)</f>
        <v>#N/A</v>
      </c>
      <c r="AZ7" s="330"/>
      <c r="BA7" s="328"/>
      <c r="BB7" s="331" t="e">
        <f t="shared" si="1"/>
        <v>#N/A</v>
      </c>
      <c r="BC7" s="330"/>
      <c r="BD7" s="331">
        <f t="shared" si="2"/>
        <v>0</v>
      </c>
      <c r="BE7" s="332" t="e">
        <f>VLOOKUP(AP7,$CO$5:$CS$5,4)</f>
        <v>#N/A</v>
      </c>
      <c r="BF7" s="332" t="e">
        <f>AS7/J5*100</f>
        <v>#DIV/0!</v>
      </c>
      <c r="BG7" s="331" t="e">
        <f t="shared" si="3"/>
        <v>#N/A</v>
      </c>
      <c r="BH7" s="333">
        <f>(F5*AR7*AZ7/1000)/1000/O5*100</f>
        <v>0</v>
      </c>
      <c r="BI7" s="333" t="e">
        <f t="shared" si="4"/>
        <v>#DIV/0!</v>
      </c>
      <c r="BJ7" s="329" t="e">
        <f>BC7/(F5*AR7/1000)/60*1000*((1+(100-BE7)/100))</f>
        <v>#DIV/0!</v>
      </c>
      <c r="BK7" s="332" t="e">
        <f>BB7*60/O5</f>
        <v>#N/A</v>
      </c>
      <c r="BL7" s="330"/>
      <c r="BM7" s="330"/>
      <c r="BN7" s="329" t="e">
        <f>BJ7*L5/60+BB7</f>
        <v>#DIV/0!</v>
      </c>
      <c r="BO7" s="329" t="e">
        <f t="shared" si="5"/>
        <v>#DIV/0!</v>
      </c>
      <c r="BP7" s="334"/>
      <c r="BQ7" s="334"/>
      <c r="BR7" s="331" t="e">
        <f>#REF!/100*BQ7</f>
        <v>#REF!</v>
      </c>
      <c r="BS7" s="331" t="e">
        <f t="shared" si="6"/>
        <v>#N/A</v>
      </c>
      <c r="BT7" s="331" t="e">
        <f t="shared" si="7"/>
        <v>#DIV/0!</v>
      </c>
      <c r="BU7" s="331" t="e">
        <f t="shared" si="8"/>
        <v>#REF!</v>
      </c>
      <c r="BW7" s="106">
        <v>0.9</v>
      </c>
      <c r="BX7" s="103"/>
      <c r="BY7" s="750" t="s">
        <v>105</v>
      </c>
      <c r="BZ7" s="750"/>
      <c r="CA7" s="750"/>
      <c r="CB7" s="750"/>
      <c r="CC7" s="750"/>
      <c r="CD7" s="103"/>
      <c r="CE7" s="103"/>
      <c r="CF7" s="103"/>
      <c r="CG7" s="103"/>
      <c r="CH7" s="103"/>
      <c r="CI7" s="103"/>
      <c r="CJ7" s="103"/>
      <c r="CK7" s="103"/>
      <c r="CL7" s="103"/>
      <c r="CM7" s="103"/>
      <c r="CN7" s="103"/>
      <c r="CR7" s="103"/>
      <c r="CS7" s="103"/>
      <c r="CT7" s="343" t="s">
        <v>552</v>
      </c>
      <c r="CU7" s="343"/>
      <c r="CV7" s="344">
        <v>1</v>
      </c>
      <c r="CW7" s="345">
        <v>50</v>
      </c>
      <c r="DD7" s="103"/>
      <c r="DE7" s="103"/>
    </row>
    <row r="8" spans="2:109" ht="13.5" thickBot="1" x14ac:dyDescent="0.25">
      <c r="AO8" s="340" t="s">
        <v>146</v>
      </c>
      <c r="AP8" s="328"/>
      <c r="AQ8" s="328"/>
      <c r="AR8" s="330">
        <f>G5</f>
        <v>0</v>
      </c>
      <c r="AS8" s="346">
        <f>H5</f>
        <v>0</v>
      </c>
      <c r="AT8" s="330"/>
      <c r="AU8" s="214"/>
      <c r="AV8" s="214"/>
      <c r="AW8" s="332" t="e">
        <f>VLOOKUP(AP8,$CT$5:$CW$7,4)</f>
        <v>#N/A</v>
      </c>
      <c r="AX8" s="332" t="e">
        <f t="shared" si="0"/>
        <v>#N/A</v>
      </c>
      <c r="AY8" s="332" t="e">
        <f>VLOOKUP(AP8,$CT$5:$CW$7,3)</f>
        <v>#N/A</v>
      </c>
      <c r="AZ8" s="330"/>
      <c r="BA8" s="328"/>
      <c r="BB8" s="331" t="e">
        <f t="shared" si="1"/>
        <v>#N/A</v>
      </c>
      <c r="BC8" s="330"/>
      <c r="BD8" s="331">
        <f t="shared" si="2"/>
        <v>0</v>
      </c>
      <c r="BE8" s="332" t="e">
        <f>VLOOKUP(AQ8,$CT$10:$CU$12,2)</f>
        <v>#N/A</v>
      </c>
      <c r="BF8" s="332" t="e">
        <f>AS8/J5*100</f>
        <v>#DIV/0!</v>
      </c>
      <c r="BG8" s="331" t="e">
        <f t="shared" si="3"/>
        <v>#N/A</v>
      </c>
      <c r="BH8" s="333">
        <f>(F5*AR8*AZ8/1000)/1000/O5*100</f>
        <v>0</v>
      </c>
      <c r="BI8" s="333" t="e">
        <f t="shared" si="4"/>
        <v>#DIV/0!</v>
      </c>
      <c r="BJ8" s="329" t="e">
        <f>BC8/(F5*AR8/1000)/60*1000*((1+(100-BE8)/100))</f>
        <v>#DIV/0!</v>
      </c>
      <c r="BK8" s="332" t="e">
        <f>BB8*60/O5</f>
        <v>#N/A</v>
      </c>
      <c r="BL8" s="330"/>
      <c r="BM8" s="330"/>
      <c r="BN8" s="329" t="e">
        <f>BJ8*L5/60+BB8</f>
        <v>#DIV/0!</v>
      </c>
      <c r="BO8" s="329" t="e">
        <f t="shared" si="5"/>
        <v>#DIV/0!</v>
      </c>
      <c r="BP8" s="334"/>
      <c r="BQ8" s="334"/>
      <c r="BR8" s="331" t="e">
        <f>#REF!/100*BQ8</f>
        <v>#REF!</v>
      </c>
      <c r="BS8" s="331" t="e">
        <f t="shared" si="6"/>
        <v>#N/A</v>
      </c>
      <c r="BT8" s="331" t="e">
        <f t="shared" si="7"/>
        <v>#DIV/0!</v>
      </c>
      <c r="BU8" s="331" t="e">
        <f t="shared" si="8"/>
        <v>#REF!</v>
      </c>
      <c r="BW8" s="106">
        <v>0.95</v>
      </c>
      <c r="BX8" s="103"/>
      <c r="BY8" s="107" t="s">
        <v>89</v>
      </c>
      <c r="BZ8" s="107">
        <v>0</v>
      </c>
      <c r="CA8" s="107">
        <v>0</v>
      </c>
      <c r="CB8" s="114"/>
      <c r="CC8" s="109"/>
      <c r="CD8" s="103"/>
      <c r="CE8" s="103"/>
      <c r="CF8" s="103"/>
      <c r="CG8" s="103"/>
      <c r="CH8" s="103"/>
      <c r="CI8" s="103"/>
      <c r="CJ8" s="103"/>
      <c r="CK8" s="103"/>
      <c r="CL8" s="103"/>
      <c r="CM8" s="103"/>
      <c r="CN8" s="103"/>
      <c r="CO8" s="750" t="s">
        <v>81</v>
      </c>
      <c r="CP8" s="750"/>
      <c r="CQ8" s="750"/>
      <c r="CR8" s="103"/>
      <c r="CS8" s="103"/>
      <c r="CT8" s="750" t="s">
        <v>81</v>
      </c>
      <c r="CU8" s="750"/>
      <c r="CV8" s="103"/>
      <c r="CW8" s="103"/>
      <c r="CX8" s="750" t="s">
        <v>81</v>
      </c>
      <c r="CY8" s="750"/>
      <c r="CZ8" s="103"/>
      <c r="DA8" s="103"/>
      <c r="DB8" s="750" t="s">
        <v>81</v>
      </c>
      <c r="DC8" s="750"/>
      <c r="DD8" s="103"/>
      <c r="DE8" s="103"/>
    </row>
    <row r="9" spans="2:109" ht="13.5" thickBot="1" x14ac:dyDescent="0.25">
      <c r="AO9" s="340" t="s">
        <v>554</v>
      </c>
      <c r="AP9" s="328"/>
      <c r="AQ9" s="328"/>
      <c r="AR9" s="330">
        <f>G5</f>
        <v>0</v>
      </c>
      <c r="AS9" s="346">
        <f>H5</f>
        <v>0</v>
      </c>
      <c r="AT9" s="330"/>
      <c r="AU9" s="214"/>
      <c r="AV9" s="214"/>
      <c r="AW9" s="332" t="e">
        <f>VLOOKUP(AP9,$CX$5:$DA$6,4)</f>
        <v>#N/A</v>
      </c>
      <c r="AX9" s="332" t="e">
        <f t="shared" si="0"/>
        <v>#N/A</v>
      </c>
      <c r="AY9" s="332" t="e">
        <f>VLOOKUP(AP9,$CX$5:$DA$6,3)</f>
        <v>#N/A</v>
      </c>
      <c r="AZ9" s="330"/>
      <c r="BA9" s="328"/>
      <c r="BB9" s="331" t="e">
        <f t="shared" si="1"/>
        <v>#N/A</v>
      </c>
      <c r="BC9" s="330"/>
      <c r="BD9" s="331">
        <f t="shared" si="2"/>
        <v>0</v>
      </c>
      <c r="BE9" s="332" t="e">
        <f>VLOOKUP(AQ9,$CX$10:$CY$12,2)</f>
        <v>#N/A</v>
      </c>
      <c r="BF9" s="332" t="e">
        <f>AS9/J5*100</f>
        <v>#DIV/0!</v>
      </c>
      <c r="BG9" s="331" t="e">
        <f t="shared" si="3"/>
        <v>#N/A</v>
      </c>
      <c r="BH9" s="333">
        <f>(F5*AR9*AZ9/1000)/1000/O5*100</f>
        <v>0</v>
      </c>
      <c r="BI9" s="333" t="e">
        <f t="shared" si="4"/>
        <v>#DIV/0!</v>
      </c>
      <c r="BJ9" s="329" t="e">
        <f>BC9/(F5*AR9/1000)/60*1000*((1+(100-BE9)/100))</f>
        <v>#DIV/0!</v>
      </c>
      <c r="BK9" s="332" t="e">
        <f>BB9*60/O5</f>
        <v>#N/A</v>
      </c>
      <c r="BL9" s="330"/>
      <c r="BM9" s="330"/>
      <c r="BN9" s="329" t="e">
        <f>BJ9*L5/60+BB9</f>
        <v>#DIV/0!</v>
      </c>
      <c r="BO9" s="329" t="e">
        <f t="shared" si="5"/>
        <v>#DIV/0!</v>
      </c>
      <c r="BP9" s="334"/>
      <c r="BQ9" s="334"/>
      <c r="BR9" s="331" t="e">
        <f>#REF!/100*BQ9</f>
        <v>#REF!</v>
      </c>
      <c r="BS9" s="331" t="e">
        <f t="shared" si="6"/>
        <v>#N/A</v>
      </c>
      <c r="BT9" s="331" t="e">
        <f t="shared" si="7"/>
        <v>#DIV/0!</v>
      </c>
      <c r="BU9" s="331" t="e">
        <f t="shared" si="8"/>
        <v>#REF!</v>
      </c>
      <c r="BW9" s="106">
        <v>1.06</v>
      </c>
      <c r="BX9" s="103"/>
      <c r="BY9" s="107" t="s">
        <v>88</v>
      </c>
      <c r="BZ9" s="106" t="s">
        <v>116</v>
      </c>
      <c r="CA9" s="106">
        <v>2</v>
      </c>
      <c r="CB9" s="115"/>
      <c r="CC9" s="109"/>
      <c r="CD9" s="103"/>
      <c r="CE9" s="103"/>
      <c r="CF9" s="103"/>
      <c r="CG9" s="103"/>
      <c r="CH9" s="103"/>
      <c r="CI9" s="103"/>
      <c r="CJ9" s="103"/>
      <c r="CK9" s="103"/>
      <c r="CL9" s="103"/>
      <c r="CM9" s="103"/>
      <c r="CN9" s="103"/>
      <c r="CO9" s="104" t="s">
        <v>85</v>
      </c>
      <c r="CP9" s="104" t="s">
        <v>163</v>
      </c>
      <c r="CQ9" s="104" t="s">
        <v>50</v>
      </c>
      <c r="CR9" s="103"/>
      <c r="CS9" s="103"/>
      <c r="CT9" s="104" t="s">
        <v>85</v>
      </c>
      <c r="CU9" s="104" t="s">
        <v>64</v>
      </c>
      <c r="CV9" s="103"/>
      <c r="CW9" s="103"/>
      <c r="CX9" s="104" t="s">
        <v>85</v>
      </c>
      <c r="CY9" s="104" t="s">
        <v>64</v>
      </c>
      <c r="CZ9" s="103"/>
      <c r="DA9" s="103"/>
      <c r="DB9" s="104" t="s">
        <v>85</v>
      </c>
      <c r="DC9" s="104" t="s">
        <v>64</v>
      </c>
      <c r="DD9" s="103"/>
      <c r="DE9" s="103"/>
    </row>
    <row r="10" spans="2:109" ht="13.5" thickBot="1" x14ac:dyDescent="0.25">
      <c r="AO10" s="340" t="s">
        <v>70</v>
      </c>
      <c r="AP10" s="328"/>
      <c r="AQ10" s="328"/>
      <c r="AR10" s="330">
        <f>G5</f>
        <v>0</v>
      </c>
      <c r="AS10" s="346">
        <f>H5</f>
        <v>0</v>
      </c>
      <c r="AT10" s="330"/>
      <c r="AU10" s="214"/>
      <c r="AV10" s="214"/>
      <c r="AW10" s="332" t="e">
        <f>VLOOKUP(AP10,$DB$5:$DE$5,4)</f>
        <v>#N/A</v>
      </c>
      <c r="AX10" s="332" t="e">
        <f t="shared" si="0"/>
        <v>#N/A</v>
      </c>
      <c r="AY10" s="332" t="e">
        <f>VLOOKUP(AP10,$DB$5:$DE$5,3)</f>
        <v>#N/A</v>
      </c>
      <c r="AZ10" s="330"/>
      <c r="BA10" s="328"/>
      <c r="BB10" s="331" t="e">
        <f t="shared" si="1"/>
        <v>#N/A</v>
      </c>
      <c r="BC10" s="330"/>
      <c r="BD10" s="331">
        <f t="shared" si="2"/>
        <v>0</v>
      </c>
      <c r="BE10" s="332" t="e">
        <f>VLOOKUP(AQ10,$DB$10:$DC$12,2)</f>
        <v>#N/A</v>
      </c>
      <c r="BF10" s="332" t="e">
        <f>AS10/J5*100</f>
        <v>#DIV/0!</v>
      </c>
      <c r="BG10" s="331" t="e">
        <f t="shared" si="3"/>
        <v>#N/A</v>
      </c>
      <c r="BH10" s="333">
        <f>(F5*AR10*AZ10/1000)/1000/O5*100</f>
        <v>0</v>
      </c>
      <c r="BI10" s="333" t="e">
        <f t="shared" si="4"/>
        <v>#DIV/0!</v>
      </c>
      <c r="BJ10" s="329" t="e">
        <f>BC10/(F5*AR10/1000)/60*1000*((1+(100-BE10)/100))</f>
        <v>#DIV/0!</v>
      </c>
      <c r="BK10" s="332" t="e">
        <f>BB10*60/O5</f>
        <v>#N/A</v>
      </c>
      <c r="BL10" s="330"/>
      <c r="BM10" s="330"/>
      <c r="BN10" s="329" t="e">
        <f>BJ10*L5/60+BB10</f>
        <v>#DIV/0!</v>
      </c>
      <c r="BO10" s="329" t="e">
        <f t="shared" si="5"/>
        <v>#DIV/0!</v>
      </c>
      <c r="BP10" s="334"/>
      <c r="BQ10" s="334"/>
      <c r="BR10" s="331" t="e">
        <f>#REF!/100*BQ10</f>
        <v>#REF!</v>
      </c>
      <c r="BS10" s="331" t="e">
        <f t="shared" si="6"/>
        <v>#N/A</v>
      </c>
      <c r="BT10" s="331" t="e">
        <f t="shared" si="7"/>
        <v>#DIV/0!</v>
      </c>
      <c r="BU10" s="331" t="e">
        <f t="shared" si="8"/>
        <v>#REF!</v>
      </c>
      <c r="BW10" s="106">
        <v>1.2</v>
      </c>
      <c r="BX10" s="103"/>
      <c r="BY10" s="750" t="s">
        <v>109</v>
      </c>
      <c r="BZ10" s="750"/>
      <c r="CA10" s="750"/>
      <c r="CB10" s="750"/>
      <c r="CC10" s="750"/>
      <c r="CD10" s="750" t="s">
        <v>81</v>
      </c>
      <c r="CE10" s="750"/>
      <c r="CF10" s="103"/>
      <c r="CG10" s="103"/>
      <c r="CH10" s="103"/>
      <c r="CI10" s="103"/>
      <c r="CJ10" s="103"/>
      <c r="CK10" s="103"/>
      <c r="CL10" s="103"/>
      <c r="CM10" s="103"/>
      <c r="CN10" s="103"/>
      <c r="CO10" s="107" t="s">
        <v>160</v>
      </c>
      <c r="CP10" s="107">
        <v>1</v>
      </c>
      <c r="CQ10" s="107">
        <v>0</v>
      </c>
      <c r="CR10" s="103"/>
      <c r="CS10" s="103"/>
      <c r="CT10" s="107" t="s">
        <v>82</v>
      </c>
      <c r="CU10" s="107">
        <v>90</v>
      </c>
      <c r="CV10" s="103"/>
      <c r="CW10" s="103"/>
      <c r="CX10" s="107" t="s">
        <v>82</v>
      </c>
      <c r="CY10" s="107">
        <v>70</v>
      </c>
      <c r="CZ10" s="103"/>
      <c r="DA10" s="103"/>
      <c r="DB10" s="107" t="s">
        <v>82</v>
      </c>
      <c r="DC10" s="107">
        <v>90</v>
      </c>
      <c r="DD10" s="103"/>
      <c r="DE10" s="103"/>
    </row>
    <row r="11" spans="2:109" x14ac:dyDescent="0.2">
      <c r="BW11" s="106">
        <v>1.25</v>
      </c>
      <c r="BX11" s="103"/>
      <c r="BY11" s="104" t="s">
        <v>154</v>
      </c>
      <c r="BZ11" s="104" t="s">
        <v>95</v>
      </c>
      <c r="CA11" s="103"/>
      <c r="CB11" s="103"/>
      <c r="CC11" s="109"/>
      <c r="CD11" s="104" t="s">
        <v>154</v>
      </c>
      <c r="CE11" s="104" t="s">
        <v>159</v>
      </c>
      <c r="CF11" s="103"/>
      <c r="CG11" s="103"/>
      <c r="CH11" s="103"/>
      <c r="CI11" s="103"/>
      <c r="CJ11" s="103"/>
      <c r="CK11" s="103"/>
      <c r="CL11" s="103"/>
      <c r="CM11" s="103"/>
      <c r="CN11" s="103"/>
      <c r="CO11" s="107" t="s">
        <v>161</v>
      </c>
      <c r="CP11" s="107">
        <v>2</v>
      </c>
      <c r="CQ11" s="107">
        <v>1</v>
      </c>
      <c r="CR11" s="103"/>
      <c r="CS11" s="103"/>
      <c r="CT11" s="107" t="s">
        <v>83</v>
      </c>
      <c r="CU11" s="107">
        <v>80</v>
      </c>
      <c r="CV11" s="103"/>
      <c r="CW11" s="103"/>
      <c r="CX11" s="107" t="s">
        <v>83</v>
      </c>
      <c r="CY11" s="107">
        <v>65</v>
      </c>
      <c r="CZ11" s="103"/>
      <c r="DA11" s="103"/>
      <c r="DB11" s="107" t="s">
        <v>83</v>
      </c>
      <c r="DC11" s="107">
        <v>80</v>
      </c>
      <c r="DD11" s="103"/>
      <c r="DE11" s="103"/>
    </row>
    <row r="12" spans="2:109" x14ac:dyDescent="0.2">
      <c r="BW12" s="106">
        <v>1.5</v>
      </c>
      <c r="BX12" s="103"/>
      <c r="BY12" s="107" t="s">
        <v>111</v>
      </c>
      <c r="BZ12" s="116">
        <v>8</v>
      </c>
      <c r="CA12" s="103"/>
      <c r="CB12" s="103"/>
      <c r="CC12" s="103"/>
      <c r="CD12" s="107" t="s">
        <v>155</v>
      </c>
      <c r="CE12" s="107">
        <v>5</v>
      </c>
      <c r="CF12" s="103"/>
      <c r="CG12" s="103"/>
      <c r="CH12" s="103"/>
      <c r="CI12" s="103"/>
      <c r="CJ12" s="103"/>
      <c r="CK12" s="103"/>
      <c r="CL12" s="103"/>
      <c r="CM12" s="103"/>
      <c r="CN12" s="103"/>
      <c r="CO12" s="103"/>
      <c r="CP12" s="103"/>
      <c r="CQ12" s="103"/>
      <c r="CR12" s="103"/>
      <c r="CS12" s="103"/>
      <c r="CT12" s="107" t="s">
        <v>84</v>
      </c>
      <c r="CU12" s="107">
        <v>70</v>
      </c>
      <c r="CV12" s="103"/>
      <c r="CW12" s="103"/>
      <c r="CX12" s="107" t="s">
        <v>84</v>
      </c>
      <c r="CY12" s="107">
        <v>60</v>
      </c>
      <c r="CZ12" s="103"/>
      <c r="DA12" s="103"/>
      <c r="DB12" s="107" t="s">
        <v>84</v>
      </c>
      <c r="DC12" s="107">
        <v>70</v>
      </c>
      <c r="DD12" s="103"/>
      <c r="DE12" s="103"/>
    </row>
    <row r="13" spans="2:109" x14ac:dyDescent="0.2">
      <c r="BW13" s="106">
        <v>1.55</v>
      </c>
      <c r="BX13" s="103"/>
      <c r="BY13" s="107" t="s">
        <v>188</v>
      </c>
      <c r="BZ13" s="116">
        <v>3</v>
      </c>
      <c r="CA13" s="103"/>
      <c r="CB13" s="103"/>
      <c r="CC13" s="103"/>
      <c r="CD13" s="107" t="s">
        <v>157</v>
      </c>
      <c r="CE13" s="107">
        <v>10</v>
      </c>
      <c r="CF13" s="103"/>
      <c r="CG13" s="103"/>
      <c r="CH13" s="103"/>
      <c r="CI13" s="103"/>
      <c r="CJ13" s="103"/>
      <c r="CK13" s="103"/>
      <c r="CL13" s="103"/>
      <c r="CM13" s="103"/>
      <c r="CN13" s="103"/>
      <c r="CO13" s="103"/>
      <c r="CP13" s="103"/>
      <c r="CQ13" s="103"/>
      <c r="CR13" s="103"/>
      <c r="CS13" s="103"/>
      <c r="CT13" s="103"/>
      <c r="CU13" s="103"/>
      <c r="CV13" s="103"/>
      <c r="CW13" s="103"/>
      <c r="CX13" s="103"/>
      <c r="CY13" s="103"/>
      <c r="CZ13" s="103"/>
      <c r="DA13" s="103"/>
      <c r="DB13" s="103"/>
      <c r="DC13" s="103"/>
      <c r="DD13" s="103"/>
      <c r="DE13" s="103"/>
    </row>
    <row r="14" spans="2:109" x14ac:dyDescent="0.2">
      <c r="BW14" s="106">
        <v>1.8</v>
      </c>
      <c r="BX14" s="103"/>
      <c r="BY14" s="103"/>
      <c r="BZ14" s="103"/>
      <c r="CA14" s="103"/>
      <c r="CB14" s="103"/>
      <c r="CC14" s="103"/>
      <c r="CD14" s="107" t="s">
        <v>158</v>
      </c>
      <c r="CE14" s="107">
        <v>15</v>
      </c>
      <c r="CF14" s="103"/>
      <c r="CG14" s="103"/>
      <c r="CH14" s="103"/>
      <c r="CI14" s="103"/>
      <c r="CJ14" s="103"/>
      <c r="CK14" s="103"/>
      <c r="CL14" s="103"/>
      <c r="CM14" s="103"/>
      <c r="CN14" s="103"/>
      <c r="CO14" s="103"/>
      <c r="CP14" s="103"/>
      <c r="CQ14" s="103"/>
      <c r="CR14" s="103"/>
      <c r="CS14" s="103"/>
      <c r="CT14" s="103"/>
      <c r="CU14" s="103"/>
      <c r="CV14" s="103"/>
      <c r="CW14" s="103"/>
      <c r="CX14" s="103"/>
      <c r="CY14" s="103"/>
      <c r="CZ14" s="103"/>
      <c r="DA14" s="103"/>
      <c r="DB14" s="103"/>
      <c r="DC14" s="103"/>
      <c r="DD14" s="103"/>
      <c r="DE14" s="103"/>
    </row>
    <row r="15" spans="2:109" x14ac:dyDescent="0.2">
      <c r="BW15" s="106">
        <v>1.9</v>
      </c>
      <c r="BX15" s="103"/>
      <c r="BY15" s="103"/>
      <c r="BZ15" s="103"/>
      <c r="CA15" s="103"/>
      <c r="CB15" s="103"/>
      <c r="CC15" s="103"/>
      <c r="CD15" s="107" t="s">
        <v>156</v>
      </c>
      <c r="CE15" s="107">
        <v>20</v>
      </c>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row>
    <row r="16" spans="2:109" x14ac:dyDescent="0.2">
      <c r="BW16" s="106">
        <v>1.95</v>
      </c>
      <c r="BX16" s="103"/>
      <c r="BY16" s="103"/>
      <c r="BZ16" s="103"/>
      <c r="CA16" s="103"/>
      <c r="CB16" s="103"/>
      <c r="CC16" s="103"/>
      <c r="CD16" s="103"/>
      <c r="CE16" s="103"/>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row>
    <row r="17" spans="75:109" x14ac:dyDescent="0.2">
      <c r="BW17" s="106">
        <v>2</v>
      </c>
      <c r="BX17" s="103"/>
      <c r="BY17" s="103"/>
      <c r="BZ17" s="103"/>
      <c r="CA17" s="103"/>
      <c r="CB17" s="103"/>
      <c r="CC17" s="103"/>
      <c r="CD17" s="103"/>
      <c r="CE17" s="103"/>
      <c r="CF17" s="103"/>
      <c r="CG17" s="103"/>
      <c r="CH17" s="103"/>
      <c r="CI17" s="103"/>
      <c r="CJ17" s="103"/>
      <c r="CK17" s="103"/>
      <c r="CL17" s="103"/>
      <c r="CM17" s="103"/>
      <c r="CN17" s="103"/>
      <c r="CO17" s="103"/>
      <c r="CP17" s="103"/>
      <c r="CQ17" s="103"/>
      <c r="CR17" s="103"/>
      <c r="CS17" s="103"/>
      <c r="CT17" s="103"/>
      <c r="CU17" s="103"/>
      <c r="CV17" s="103"/>
      <c r="CW17" s="103"/>
      <c r="CX17" s="103"/>
      <c r="CY17" s="103"/>
      <c r="CZ17" s="103"/>
      <c r="DA17" s="103"/>
      <c r="DB17" s="103"/>
      <c r="DC17" s="103"/>
      <c r="DD17" s="103"/>
      <c r="DE17" s="103"/>
    </row>
    <row r="18" spans="75:109" x14ac:dyDescent="0.2">
      <c r="BW18" s="106">
        <v>2.25</v>
      </c>
      <c r="BX18" s="103"/>
      <c r="BY18" s="103"/>
      <c r="BZ18" s="103"/>
      <c r="CA18" s="103"/>
      <c r="CB18" s="103"/>
      <c r="CC18" s="103"/>
      <c r="CD18" s="103"/>
      <c r="CE18" s="103"/>
      <c r="CF18" s="103"/>
      <c r="CG18" s="103"/>
      <c r="CH18" s="103"/>
      <c r="CI18" s="103"/>
      <c r="CJ18" s="103"/>
      <c r="CK18" s="103"/>
      <c r="CL18" s="103"/>
      <c r="CM18" s="103"/>
      <c r="CN18" s="103"/>
      <c r="CO18" s="103"/>
      <c r="CP18" s="103"/>
      <c r="CQ18" s="103"/>
      <c r="CR18" s="103"/>
      <c r="CS18" s="103"/>
      <c r="CT18" s="103"/>
      <c r="CU18" s="103"/>
      <c r="CV18" s="103"/>
      <c r="CW18" s="103"/>
      <c r="CX18" s="103"/>
      <c r="CY18" s="103"/>
      <c r="CZ18" s="103"/>
      <c r="DA18" s="103"/>
      <c r="DB18" s="103"/>
      <c r="DC18" s="103"/>
      <c r="DD18" s="103"/>
      <c r="DE18" s="103"/>
    </row>
    <row r="19" spans="75:109" x14ac:dyDescent="0.2">
      <c r="BW19" s="106">
        <v>2.2999999999999998</v>
      </c>
      <c r="BX19" s="103"/>
      <c r="BY19" s="103"/>
      <c r="BZ19" s="103"/>
      <c r="CA19" s="103"/>
      <c r="CB19" s="103"/>
      <c r="CC19" s="103"/>
      <c r="CD19" s="103"/>
      <c r="CE19" s="103"/>
      <c r="CF19" s="103"/>
      <c r="CG19" s="103"/>
      <c r="CH19" s="103"/>
      <c r="CI19" s="103"/>
      <c r="CJ19" s="103"/>
      <c r="CK19" s="103"/>
      <c r="CL19" s="103"/>
      <c r="CM19" s="103"/>
      <c r="CN19" s="103"/>
      <c r="CO19" s="103"/>
      <c r="CP19" s="103"/>
      <c r="CQ19" s="103"/>
      <c r="CR19" s="103"/>
      <c r="CS19" s="103"/>
      <c r="CT19" s="103"/>
      <c r="CU19" s="103"/>
      <c r="CV19" s="103"/>
      <c r="CW19" s="103"/>
      <c r="CX19" s="103"/>
      <c r="CY19" s="103"/>
      <c r="CZ19" s="103"/>
      <c r="DA19" s="103"/>
      <c r="DB19" s="103"/>
      <c r="DC19" s="103"/>
      <c r="DD19" s="103"/>
      <c r="DE19" s="103"/>
    </row>
    <row r="20" spans="75:109" x14ac:dyDescent="0.2">
      <c r="BW20" s="106">
        <v>2.65</v>
      </c>
      <c r="BX20" s="103"/>
      <c r="BY20" s="103"/>
      <c r="BZ20" s="103"/>
      <c r="CA20" s="103"/>
      <c r="CB20" s="103"/>
      <c r="CC20" s="103"/>
      <c r="CD20" s="103"/>
      <c r="CE20" s="103"/>
      <c r="CF20" s="103"/>
      <c r="CG20" s="103"/>
      <c r="CH20" s="103"/>
      <c r="CI20" s="103"/>
      <c r="CJ20" s="103"/>
      <c r="CK20" s="103"/>
      <c r="CL20" s="103"/>
      <c r="CM20" s="103"/>
      <c r="CN20" s="103"/>
      <c r="CO20" s="103"/>
      <c r="CP20" s="103"/>
      <c r="CQ20" s="103"/>
      <c r="CR20" s="103"/>
      <c r="CS20" s="103"/>
      <c r="CT20" s="103"/>
      <c r="CU20" s="103"/>
      <c r="CV20" s="103"/>
      <c r="CW20" s="103"/>
      <c r="CX20" s="103"/>
      <c r="CY20" s="103"/>
      <c r="CZ20" s="103"/>
      <c r="DA20" s="103"/>
      <c r="DB20" s="103"/>
      <c r="DC20" s="103"/>
      <c r="DD20" s="103"/>
      <c r="DE20" s="103"/>
    </row>
    <row r="21" spans="75:109" x14ac:dyDescent="0.2">
      <c r="BW21" s="106">
        <v>2.7</v>
      </c>
      <c r="BX21" s="103"/>
      <c r="BY21" s="103"/>
      <c r="BZ21" s="103"/>
      <c r="CA21" s="103"/>
      <c r="CB21" s="103"/>
      <c r="CC21" s="103"/>
      <c r="CD21" s="103"/>
      <c r="CE21" s="103"/>
      <c r="CF21" s="103"/>
      <c r="CG21" s="103"/>
      <c r="CH21" s="103"/>
      <c r="CI21" s="103"/>
      <c r="CJ21" s="103"/>
      <c r="CK21" s="103"/>
      <c r="CL21" s="103"/>
      <c r="CM21" s="103"/>
      <c r="CN21" s="103"/>
      <c r="CO21" s="103"/>
      <c r="CP21" s="103"/>
      <c r="CQ21" s="103"/>
      <c r="CR21" s="103"/>
      <c r="CS21" s="103"/>
      <c r="CT21" s="103"/>
      <c r="CU21" s="103"/>
      <c r="CV21" s="103"/>
      <c r="CW21" s="103"/>
      <c r="CX21" s="103"/>
      <c r="CY21" s="103"/>
      <c r="CZ21" s="103"/>
      <c r="DA21" s="103"/>
      <c r="DB21" s="103"/>
      <c r="DC21" s="103"/>
      <c r="DD21" s="103"/>
      <c r="DE21" s="103"/>
    </row>
    <row r="22" spans="75:109" x14ac:dyDescent="0.2">
      <c r="BW22" s="106">
        <v>3</v>
      </c>
      <c r="BX22" s="103"/>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row>
    <row r="23" spans="75:109" x14ac:dyDescent="0.2">
      <c r="BW23" s="106">
        <v>3.35</v>
      </c>
      <c r="BX23" s="103"/>
      <c r="BY23" s="103"/>
      <c r="BZ23" s="103"/>
      <c r="CA23" s="103"/>
      <c r="CB23" s="103"/>
      <c r="CC23" s="103"/>
      <c r="CD23" s="103"/>
      <c r="CE23" s="103"/>
      <c r="CF23" s="103"/>
      <c r="CG23" s="103"/>
      <c r="CH23" s="103"/>
      <c r="CI23" s="103"/>
      <c r="CJ23" s="103"/>
      <c r="CK23" s="103"/>
      <c r="CL23" s="103"/>
      <c r="CM23" s="103"/>
      <c r="CN23" s="103"/>
      <c r="CO23" s="103"/>
      <c r="CP23" s="103"/>
      <c r="CQ23" s="103"/>
      <c r="CR23" s="103"/>
      <c r="CS23" s="103"/>
      <c r="CT23" s="103"/>
      <c r="CU23" s="103"/>
      <c r="CV23" s="103"/>
      <c r="CW23" s="103"/>
      <c r="CX23" s="103"/>
      <c r="CY23" s="103"/>
      <c r="CZ23" s="103"/>
      <c r="DA23" s="103"/>
      <c r="DB23" s="103"/>
      <c r="DC23" s="103"/>
      <c r="DD23" s="103"/>
      <c r="DE23" s="103"/>
    </row>
    <row r="24" spans="75:109" x14ac:dyDescent="0.2">
      <c r="BW24" s="106">
        <v>3.75</v>
      </c>
      <c r="BX24" s="103"/>
      <c r="BY24" s="103"/>
      <c r="BZ24" s="103"/>
      <c r="CA24" s="103"/>
      <c r="CB24" s="103"/>
      <c r="CC24" s="103"/>
      <c r="CD24" s="103"/>
      <c r="CE24" s="103"/>
      <c r="CF24" s="103"/>
      <c r="CG24" s="103"/>
      <c r="CH24" s="103"/>
      <c r="CI24" s="103"/>
      <c r="CJ24" s="103"/>
      <c r="CK24" s="103"/>
      <c r="CL24" s="103"/>
      <c r="CM24" s="103"/>
      <c r="CN24" s="103"/>
      <c r="CO24" s="103"/>
      <c r="CP24" s="103"/>
      <c r="CQ24" s="103"/>
      <c r="CR24" s="103"/>
      <c r="CS24" s="103"/>
      <c r="CT24" s="103"/>
      <c r="CU24" s="103"/>
      <c r="CV24" s="103"/>
      <c r="CW24" s="103"/>
      <c r="CX24" s="103"/>
      <c r="CY24" s="103"/>
      <c r="CZ24" s="103"/>
      <c r="DA24" s="103"/>
      <c r="DB24" s="103"/>
      <c r="DC24" s="103"/>
      <c r="DD24" s="103"/>
      <c r="DE24" s="103"/>
    </row>
    <row r="25" spans="75:109" x14ac:dyDescent="0.2">
      <c r="BW25" s="106">
        <v>4.25</v>
      </c>
      <c r="BX25" s="103"/>
      <c r="BY25" s="103"/>
      <c r="BZ25" s="103"/>
      <c r="CA25" s="103"/>
      <c r="CB25" s="103"/>
      <c r="CC25" s="103"/>
      <c r="CD25" s="103"/>
      <c r="CE25" s="103"/>
      <c r="CF25" s="103"/>
      <c r="CG25" s="103"/>
      <c r="CH25" s="103"/>
      <c r="CI25" s="103"/>
      <c r="CJ25" s="103"/>
      <c r="CK25" s="103"/>
      <c r="CL25" s="103"/>
      <c r="CM25" s="103"/>
      <c r="CN25" s="103"/>
      <c r="CO25" s="103"/>
      <c r="CP25" s="103"/>
      <c r="CQ25" s="103"/>
      <c r="CR25" s="103"/>
      <c r="CS25" s="103"/>
      <c r="CT25" s="103"/>
      <c r="CU25" s="103"/>
      <c r="CV25" s="103"/>
      <c r="CW25" s="103"/>
      <c r="CX25" s="103"/>
      <c r="CY25" s="103"/>
      <c r="CZ25" s="103"/>
      <c r="DA25" s="103"/>
      <c r="DB25" s="103"/>
      <c r="DC25" s="103"/>
      <c r="DD25" s="103"/>
      <c r="DE25" s="103"/>
    </row>
    <row r="26" spans="75:109" x14ac:dyDescent="0.2">
      <c r="BW26" s="106">
        <v>4.5</v>
      </c>
      <c r="BX26" s="103"/>
      <c r="BY26" s="103"/>
      <c r="BZ26" s="103"/>
      <c r="CA26" s="103"/>
      <c r="CB26" s="103"/>
      <c r="CC26" s="103"/>
      <c r="CD26" s="103"/>
      <c r="CE26" s="103"/>
      <c r="CF26" s="103"/>
      <c r="CG26" s="103"/>
      <c r="CH26" s="103"/>
      <c r="CI26" s="103"/>
      <c r="CJ26" s="103"/>
      <c r="CK26" s="103"/>
      <c r="CL26" s="103"/>
      <c r="CM26" s="103"/>
      <c r="CN26" s="103"/>
      <c r="CO26" s="103"/>
      <c r="CP26" s="103"/>
      <c r="CQ26" s="103"/>
      <c r="CR26" s="103"/>
      <c r="CS26" s="103"/>
      <c r="CT26" s="103"/>
      <c r="CU26" s="103"/>
      <c r="CV26" s="103"/>
      <c r="CW26" s="103"/>
      <c r="CX26" s="103"/>
      <c r="CY26" s="103"/>
      <c r="CZ26" s="103"/>
      <c r="DA26" s="103"/>
      <c r="DB26" s="103"/>
      <c r="DC26" s="103"/>
      <c r="DD26" s="103"/>
      <c r="DE26" s="103"/>
    </row>
    <row r="27" spans="75:109" x14ac:dyDescent="0.2">
      <c r="BW27" s="106">
        <v>4.75</v>
      </c>
      <c r="BX27" s="103"/>
      <c r="BY27" s="103"/>
      <c r="BZ27" s="103"/>
      <c r="CA27" s="103"/>
      <c r="CB27" s="103"/>
      <c r="CC27" s="103"/>
      <c r="CD27" s="103"/>
      <c r="CE27" s="103"/>
      <c r="CF27" s="103"/>
      <c r="CG27" s="103"/>
      <c r="CH27" s="103"/>
      <c r="CI27" s="103"/>
      <c r="CJ27" s="103"/>
      <c r="CK27" s="103"/>
      <c r="CL27" s="103"/>
      <c r="CM27" s="103"/>
      <c r="CN27" s="103"/>
      <c r="CO27" s="103"/>
      <c r="CP27" s="103"/>
      <c r="CQ27" s="103"/>
      <c r="CR27" s="103"/>
      <c r="CS27" s="103"/>
      <c r="CT27" s="103"/>
      <c r="CU27" s="103"/>
      <c r="CV27" s="103"/>
      <c r="CW27" s="103"/>
      <c r="CX27" s="103"/>
      <c r="CY27" s="103"/>
      <c r="CZ27" s="103"/>
      <c r="DA27" s="103"/>
      <c r="DB27" s="103"/>
      <c r="DC27" s="103"/>
      <c r="DD27" s="103"/>
      <c r="DE27" s="103"/>
    </row>
    <row r="28" spans="75:109" x14ac:dyDescent="0.2">
      <c r="BW28" s="106">
        <v>5</v>
      </c>
      <c r="BX28" s="103"/>
      <c r="BY28" s="103"/>
      <c r="BZ28" s="103"/>
      <c r="CA28" s="103"/>
      <c r="CB28" s="103"/>
      <c r="CC28" s="103"/>
      <c r="CD28" s="103"/>
      <c r="CE28" s="103"/>
      <c r="CF28" s="103"/>
      <c r="CG28" s="103"/>
      <c r="CH28" s="103"/>
      <c r="CI28" s="103"/>
      <c r="CJ28" s="103"/>
      <c r="CK28" s="103"/>
      <c r="CL28" s="103"/>
      <c r="CM28" s="103"/>
      <c r="CN28" s="103"/>
      <c r="CO28" s="103"/>
      <c r="CP28" s="103"/>
      <c r="CQ28" s="103"/>
      <c r="CR28" s="103"/>
      <c r="CS28" s="103"/>
      <c r="CT28" s="103"/>
      <c r="CU28" s="103"/>
      <c r="CV28" s="103"/>
      <c r="CW28" s="103"/>
      <c r="CX28" s="103"/>
      <c r="CY28" s="103"/>
      <c r="CZ28" s="103"/>
      <c r="DA28" s="103"/>
      <c r="DB28" s="103"/>
      <c r="DC28" s="103"/>
      <c r="DD28" s="103"/>
      <c r="DE28" s="103"/>
    </row>
    <row r="29" spans="75:109" x14ac:dyDescent="0.2">
      <c r="BW29" s="103"/>
      <c r="BX29" s="103"/>
      <c r="BY29" s="751"/>
      <c r="BZ29" s="751"/>
      <c r="CA29" s="751"/>
      <c r="CB29" s="751"/>
      <c r="CC29" s="751"/>
      <c r="CD29" s="103"/>
      <c r="CE29" s="11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row>
    <row r="30" spans="75:109" x14ac:dyDescent="0.2">
      <c r="BW30" s="103"/>
      <c r="BX30" s="103"/>
      <c r="BY30" s="112"/>
      <c r="BZ30" s="112"/>
      <c r="CA30" s="112"/>
      <c r="CB30" s="112"/>
      <c r="CC30" s="112"/>
      <c r="CD30" s="103"/>
      <c r="CE30" s="11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row>
    <row r="31" spans="75:109" x14ac:dyDescent="0.2">
      <c r="BW31" s="103"/>
      <c r="BX31" s="103"/>
      <c r="BY31" s="112"/>
      <c r="BZ31" s="112"/>
      <c r="CA31" s="112"/>
      <c r="CB31" s="112"/>
      <c r="CC31" s="112"/>
      <c r="CD31" s="103"/>
      <c r="CE31" s="113"/>
      <c r="CF31" s="103"/>
      <c r="CG31" s="103"/>
      <c r="CH31" s="103"/>
      <c r="CI31" s="103"/>
      <c r="CJ31" s="103"/>
      <c r="CK31" s="103"/>
      <c r="CL31" s="103"/>
      <c r="CM31" s="103"/>
      <c r="CN31" s="103"/>
      <c r="CO31" s="103"/>
      <c r="CP31" s="103"/>
      <c r="CQ31" s="103"/>
      <c r="CR31" s="103"/>
      <c r="CS31" s="103"/>
      <c r="CT31" s="103"/>
      <c r="CU31" s="103"/>
      <c r="CV31" s="103"/>
      <c r="CW31" s="103"/>
      <c r="CX31" s="103"/>
      <c r="CY31" s="103"/>
      <c r="CZ31" s="103"/>
      <c r="DA31" s="103"/>
      <c r="DB31" s="103"/>
      <c r="DC31" s="103"/>
      <c r="DD31" s="103"/>
      <c r="DE31" s="103"/>
    </row>
    <row r="32" spans="75:109" ht="13.5" thickBot="1" x14ac:dyDescent="0.25">
      <c r="CE32" s="101"/>
    </row>
    <row r="33" spans="83:83" ht="13.5" thickBot="1" x14ac:dyDescent="0.25">
      <c r="CE33" s="22"/>
    </row>
    <row r="34" spans="83:83" ht="13.5" thickBot="1" x14ac:dyDescent="0.25">
      <c r="CE34" s="22"/>
    </row>
  </sheetData>
  <mergeCells count="89">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 ref="B3:B4"/>
    <mergeCell ref="C3:C4"/>
    <mergeCell ref="D3:D4"/>
    <mergeCell ref="E3:E4"/>
    <mergeCell ref="H3:H4"/>
    <mergeCell ref="G3:G4"/>
    <mergeCell ref="F3:F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AV3:AV4"/>
    <mergeCell ref="AW3:AW4"/>
    <mergeCell ref="AS3:AS4"/>
    <mergeCell ref="AX3:AX4"/>
    <mergeCell ref="AT3:AT4"/>
    <mergeCell ref="AQ3:AQ4"/>
    <mergeCell ref="AR3:AR4"/>
    <mergeCell ref="AN3:AN4"/>
    <mergeCell ref="AM3:AM4"/>
    <mergeCell ref="AP3:AP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Y3:AY4"/>
    <mergeCell ref="AZ3:BA3"/>
    <mergeCell ref="BO3:BO4"/>
    <mergeCell ref="BP3:BP4"/>
    <mergeCell ref="BD3:BD4"/>
    <mergeCell ref="BB3:BB4"/>
    <mergeCell ref="BH3:BH4"/>
    <mergeCell ref="BG3:BG4"/>
    <mergeCell ref="BE3:BE4"/>
    <mergeCell ref="BF3:BF4"/>
    <mergeCell ref="BY29:CC29"/>
    <mergeCell ref="BY7:CC7"/>
    <mergeCell ref="BU3:BU4"/>
    <mergeCell ref="BY3:CC3"/>
    <mergeCell ref="CD3:CH3"/>
    <mergeCell ref="BY10:CC10"/>
    <mergeCell ref="CD10:CE10"/>
    <mergeCell ref="DB3:DE3"/>
    <mergeCell ref="CO8:CQ8"/>
    <mergeCell ref="CT8:CU8"/>
    <mergeCell ref="DB8:DC8"/>
    <mergeCell ref="CT3:CW3"/>
    <mergeCell ref="CX3:DA3"/>
    <mergeCell ref="CX8:CY8"/>
  </mergeCells>
  <conditionalFormatting sqref="BR5:BU10 F5 BD5:BD10 BN5:BN10 BI5:BI10 I5:J5">
    <cfRule type="cellIs" dxfId="127" priority="19" operator="equal">
      <formula>0</formula>
    </cfRule>
  </conditionalFormatting>
  <conditionalFormatting sqref="BR5:BU10 K5 T5:U5 X5 Z5:AH5 BL5:BM5 BP5:BQ5 AO6:AO10 BB6:BB10 BC6:BD6 BN5:BO10 BE5:BK10 AK5:BD5 U7:W7 AW6:AY10">
    <cfRule type="containsErrors" dxfId="126" priority="18">
      <formula>ISERROR(K5)</formula>
    </cfRule>
  </conditionalFormatting>
  <conditionalFormatting sqref="U5 U7:W7">
    <cfRule type="cellIs" dxfId="125" priority="17" operator="lessThanOrEqual">
      <formula>0.67</formula>
    </cfRule>
  </conditionalFormatting>
  <conditionalFormatting sqref="AR5:AR10">
    <cfRule type="cellIs" dxfId="124" priority="15" operator="equal">
      <formula>0</formula>
    </cfRule>
    <cfRule type="cellIs" dxfId="123" priority="16" operator="lessThan">
      <formula>$I$5</formula>
    </cfRule>
  </conditionalFormatting>
  <conditionalFormatting sqref="AS7:AS10">
    <cfRule type="cellIs" dxfId="122" priority="14" operator="equal">
      <formula>0</formula>
    </cfRule>
  </conditionalFormatting>
  <conditionalFormatting sqref="AR8">
    <cfRule type="cellIs" dxfId="121" priority="13" operator="greaterThan">
      <formula>6500</formula>
    </cfRule>
  </conditionalFormatting>
  <conditionalFormatting sqref="L5:N5">
    <cfRule type="cellIs" dxfId="120" priority="11" operator="equal">
      <formula>0</formula>
    </cfRule>
    <cfRule type="containsErrors" dxfId="119" priority="12">
      <formula>ISERROR(L5)</formula>
    </cfRule>
  </conditionalFormatting>
  <conditionalFormatting sqref="F5">
    <cfRule type="cellIs" dxfId="118" priority="2" operator="greaterThan">
      <formula>18</formula>
    </cfRule>
  </conditionalFormatting>
  <conditionalFormatting sqref="I5">
    <cfRule type="cellIs" dxfId="117"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769"/>
      <c r="C3" s="770"/>
      <c r="D3" s="770"/>
      <c r="E3" s="770"/>
      <c r="F3" s="770"/>
      <c r="G3" s="770"/>
      <c r="H3" s="770"/>
      <c r="I3" s="770"/>
      <c r="J3" s="770"/>
      <c r="K3" s="770"/>
      <c r="L3" s="770"/>
      <c r="M3" s="770"/>
      <c r="N3" s="770"/>
      <c r="O3" s="770"/>
      <c r="P3" s="770"/>
      <c r="Q3" s="771"/>
      <c r="R3" s="770"/>
      <c r="S3" s="770"/>
      <c r="T3" s="770"/>
      <c r="U3" s="770"/>
      <c r="V3" s="770"/>
      <c r="W3" s="770"/>
      <c r="X3" s="770"/>
      <c r="Y3" s="770"/>
      <c r="Z3" s="770"/>
      <c r="AA3" s="770"/>
      <c r="AB3" s="770"/>
      <c r="AC3" s="770"/>
      <c r="AD3" s="770"/>
      <c r="AE3" s="770"/>
      <c r="AF3" s="770"/>
      <c r="AG3" s="770"/>
      <c r="AH3" s="770"/>
      <c r="AI3" s="770"/>
      <c r="AJ3" s="770"/>
      <c r="AK3" s="770"/>
      <c r="AL3" s="770"/>
      <c r="AM3" s="770"/>
      <c r="AN3" s="98"/>
      <c r="AO3" s="61"/>
      <c r="AP3" s="772"/>
      <c r="AQ3" s="773"/>
      <c r="AR3" s="773"/>
      <c r="AS3" s="773"/>
      <c r="AT3" s="773"/>
      <c r="AU3" s="773"/>
      <c r="AV3" s="773"/>
      <c r="AW3" s="773"/>
      <c r="AX3" s="773"/>
      <c r="AY3" s="773"/>
      <c r="AZ3" s="773"/>
      <c r="BA3" s="773"/>
      <c r="BB3" s="773"/>
      <c r="BC3" s="773"/>
      <c r="BD3" s="773"/>
      <c r="BE3" s="773"/>
      <c r="BF3" s="773"/>
      <c r="BG3" s="773"/>
      <c r="BH3" s="773"/>
      <c r="BI3" s="773"/>
      <c r="BJ3" s="773"/>
      <c r="BK3" s="773"/>
      <c r="BL3" s="773"/>
      <c r="BM3" s="773"/>
      <c r="BN3" s="773"/>
      <c r="BO3" s="773"/>
      <c r="BP3" s="773"/>
      <c r="BQ3" s="773"/>
      <c r="BR3" s="773"/>
      <c r="BS3" s="773"/>
      <c r="BT3" s="773"/>
      <c r="BU3" s="773"/>
      <c r="BV3" s="773"/>
      <c r="BX3" s="102"/>
      <c r="BY3" s="103"/>
      <c r="BZ3" s="766"/>
      <c r="CA3" s="766"/>
      <c r="CB3" s="766"/>
      <c r="CC3" s="766"/>
      <c r="CD3" s="766"/>
      <c r="CE3" s="766"/>
      <c r="CF3" s="766"/>
      <c r="CG3" s="766"/>
      <c r="CH3" s="766"/>
      <c r="CI3" s="766"/>
      <c r="CJ3" s="766"/>
      <c r="CK3" s="766"/>
      <c r="CL3" s="766"/>
      <c r="CM3" s="766"/>
      <c r="CN3" s="766"/>
      <c r="CO3" s="766"/>
      <c r="CP3" s="766"/>
      <c r="CQ3" s="766"/>
      <c r="CR3" s="766"/>
      <c r="CS3" s="766"/>
      <c r="CT3" s="766"/>
      <c r="CU3" s="766"/>
      <c r="CV3" s="766"/>
      <c r="CW3" s="766"/>
      <c r="CX3" s="766"/>
      <c r="CY3" s="766"/>
      <c r="CZ3" s="766"/>
      <c r="DA3" s="766"/>
      <c r="DB3" s="766"/>
      <c r="DC3" s="766"/>
      <c r="DD3" s="766"/>
      <c r="DE3" s="766"/>
    </row>
    <row r="4" spans="2:109" ht="13.5" thickBot="1" x14ac:dyDescent="0.25">
      <c r="B4" s="760" t="s">
        <v>0</v>
      </c>
      <c r="C4" s="760"/>
      <c r="D4" s="760"/>
      <c r="E4" s="760"/>
      <c r="F4" s="760"/>
      <c r="G4" s="760"/>
      <c r="H4" s="760"/>
      <c r="I4" s="760"/>
      <c r="J4" s="760"/>
      <c r="K4" s="760"/>
      <c r="L4" s="760"/>
      <c r="M4" s="760"/>
      <c r="N4" s="760"/>
      <c r="O4" s="761"/>
      <c r="P4" s="761"/>
      <c r="Q4" s="762" t="s">
        <v>58</v>
      </c>
      <c r="R4" s="760"/>
      <c r="S4" s="760"/>
      <c r="T4" s="760"/>
      <c r="U4" s="760"/>
      <c r="V4" s="760"/>
      <c r="W4" s="760"/>
      <c r="X4" s="760"/>
      <c r="Y4" s="760"/>
      <c r="Z4" s="760"/>
      <c r="AA4" s="760"/>
      <c r="AB4" s="760"/>
      <c r="AC4" s="760"/>
      <c r="AD4" s="760"/>
      <c r="AE4" s="760"/>
      <c r="AF4" s="760"/>
      <c r="AG4" s="760"/>
      <c r="AH4" s="760"/>
      <c r="AI4" s="760"/>
      <c r="AJ4" s="760"/>
      <c r="AK4" s="760"/>
      <c r="AL4" s="760"/>
      <c r="AM4" s="761"/>
      <c r="AN4" s="97"/>
      <c r="AO4" s="62"/>
      <c r="AP4" s="763" t="s">
        <v>68</v>
      </c>
      <c r="AQ4" s="764"/>
      <c r="AR4" s="764"/>
      <c r="AS4" s="764"/>
      <c r="AT4" s="764"/>
      <c r="AU4" s="764"/>
      <c r="AV4" s="764"/>
      <c r="AW4" s="764"/>
      <c r="AX4" s="764"/>
      <c r="AY4" s="764"/>
      <c r="AZ4" s="764"/>
      <c r="BA4" s="764"/>
      <c r="BB4" s="764"/>
      <c r="BC4" s="764"/>
      <c r="BD4" s="764"/>
      <c r="BE4" s="764"/>
      <c r="BF4" s="764"/>
      <c r="BG4" s="764"/>
      <c r="BH4" s="764"/>
      <c r="BI4" s="764"/>
      <c r="BJ4" s="764"/>
      <c r="BK4" s="764"/>
      <c r="BL4" s="764"/>
      <c r="BM4" s="764"/>
      <c r="BN4" s="764"/>
      <c r="BO4" s="764"/>
      <c r="BP4" s="764"/>
      <c r="BQ4" s="764"/>
      <c r="BR4" s="764"/>
      <c r="BS4" s="764"/>
      <c r="BT4" s="764"/>
      <c r="BU4" s="764"/>
      <c r="BV4" s="765"/>
      <c r="BX4" s="102" t="s">
        <v>94</v>
      </c>
      <c r="BY4" s="103"/>
      <c r="BZ4" s="766" t="s">
        <v>67</v>
      </c>
      <c r="CA4" s="766"/>
      <c r="CB4" s="766"/>
      <c r="CC4" s="766"/>
      <c r="CD4" s="766"/>
      <c r="CE4" s="766"/>
      <c r="CF4" s="766"/>
      <c r="CG4" s="766"/>
      <c r="CH4" s="766"/>
      <c r="CI4" s="766"/>
      <c r="CJ4" s="766"/>
      <c r="CK4" s="766"/>
      <c r="CL4" s="766"/>
      <c r="CM4" s="766"/>
      <c r="CN4" s="766"/>
      <c r="CO4" s="766"/>
      <c r="CP4" s="766"/>
      <c r="CQ4" s="766"/>
      <c r="CR4" s="766"/>
      <c r="CS4" s="766"/>
      <c r="CT4" s="766"/>
      <c r="CU4" s="766"/>
      <c r="CV4" s="766"/>
      <c r="CW4" s="766"/>
      <c r="CX4" s="766"/>
      <c r="CY4" s="766"/>
      <c r="CZ4" s="766"/>
      <c r="DA4" s="766"/>
      <c r="DB4" s="766"/>
      <c r="DC4" s="766"/>
      <c r="DD4" s="766"/>
      <c r="DE4" s="766"/>
    </row>
    <row r="5" spans="2:109" ht="18" customHeight="1" thickBot="1" x14ac:dyDescent="0.25">
      <c r="B5" s="759" t="s">
        <v>1</v>
      </c>
      <c r="C5" s="759" t="s">
        <v>2</v>
      </c>
      <c r="D5" s="752" t="s">
        <v>4</v>
      </c>
      <c r="E5" s="752" t="s">
        <v>170</v>
      </c>
      <c r="F5" s="752" t="s">
        <v>259</v>
      </c>
      <c r="G5" s="752" t="s">
        <v>257</v>
      </c>
      <c r="H5" s="752" t="s">
        <v>258</v>
      </c>
      <c r="I5" s="752" t="s">
        <v>74</v>
      </c>
      <c r="J5" s="756" t="s">
        <v>76</v>
      </c>
      <c r="K5" s="752" t="s">
        <v>6</v>
      </c>
      <c r="L5" s="752" t="s">
        <v>169</v>
      </c>
      <c r="M5" s="752" t="s">
        <v>7</v>
      </c>
      <c r="N5" s="752" t="s">
        <v>87</v>
      </c>
      <c r="O5" s="752" t="s">
        <v>260</v>
      </c>
      <c r="P5" s="753" t="s">
        <v>8</v>
      </c>
      <c r="Q5" s="758" t="s">
        <v>49</v>
      </c>
      <c r="R5" s="752" t="s">
        <v>104</v>
      </c>
      <c r="S5" s="752" t="s">
        <v>105</v>
      </c>
      <c r="T5" s="768" t="s">
        <v>109</v>
      </c>
      <c r="U5" s="767" t="s">
        <v>106</v>
      </c>
      <c r="V5" s="767" t="s">
        <v>107</v>
      </c>
      <c r="W5" s="752" t="s">
        <v>40</v>
      </c>
      <c r="X5" s="752"/>
      <c r="Y5" s="752" t="s">
        <v>66</v>
      </c>
      <c r="Z5" s="752" t="s">
        <v>301</v>
      </c>
      <c r="AA5" s="752" t="s">
        <v>42</v>
      </c>
      <c r="AB5" s="752" t="s">
        <v>108</v>
      </c>
      <c r="AC5" s="752" t="s">
        <v>112</v>
      </c>
      <c r="AD5" s="752" t="s">
        <v>48</v>
      </c>
      <c r="AE5" s="752" t="s">
        <v>45</v>
      </c>
      <c r="AF5" s="752" t="s">
        <v>171</v>
      </c>
      <c r="AG5" s="752" t="s">
        <v>65</v>
      </c>
      <c r="AH5" s="752" t="s">
        <v>46</v>
      </c>
      <c r="AI5" s="752" t="s">
        <v>47</v>
      </c>
      <c r="AJ5" s="752" t="s">
        <v>91</v>
      </c>
      <c r="AK5" s="752" t="s">
        <v>92</v>
      </c>
      <c r="AL5" s="752" t="s">
        <v>90</v>
      </c>
      <c r="AM5" s="753" t="s">
        <v>93</v>
      </c>
      <c r="AN5" s="753" t="s">
        <v>218</v>
      </c>
      <c r="AO5" s="753" t="s">
        <v>256</v>
      </c>
      <c r="AP5" s="754" t="s">
        <v>143</v>
      </c>
      <c r="AQ5" s="752" t="s">
        <v>49</v>
      </c>
      <c r="AR5" s="756" t="s">
        <v>78</v>
      </c>
      <c r="AS5" s="756" t="s">
        <v>152</v>
      </c>
      <c r="AT5" s="756" t="s">
        <v>164</v>
      </c>
      <c r="AU5" s="756" t="s">
        <v>71</v>
      </c>
      <c r="AV5" s="756" t="s">
        <v>151</v>
      </c>
      <c r="AW5" s="756" t="s">
        <v>162</v>
      </c>
      <c r="AX5" s="756" t="s">
        <v>73</v>
      </c>
      <c r="AY5" s="756" t="s">
        <v>77</v>
      </c>
      <c r="AZ5" s="752" t="s">
        <v>62</v>
      </c>
      <c r="BA5" s="752" t="s">
        <v>40</v>
      </c>
      <c r="BB5" s="752"/>
      <c r="BC5" s="752" t="s">
        <v>66</v>
      </c>
      <c r="BD5" s="752" t="s">
        <v>79</v>
      </c>
      <c r="BE5" s="752" t="s">
        <v>86</v>
      </c>
      <c r="BF5" s="752" t="s">
        <v>42</v>
      </c>
      <c r="BG5" s="752" t="s">
        <v>185</v>
      </c>
      <c r="BH5" s="752" t="s">
        <v>48</v>
      </c>
      <c r="BI5" s="752" t="s">
        <v>45</v>
      </c>
      <c r="BJ5" s="752" t="s">
        <v>65</v>
      </c>
      <c r="BK5" s="752" t="s">
        <v>46</v>
      </c>
      <c r="BL5" s="752" t="s">
        <v>47</v>
      </c>
      <c r="BM5" s="752" t="s">
        <v>91</v>
      </c>
      <c r="BN5" s="752" t="s">
        <v>92</v>
      </c>
      <c r="BO5" s="752" t="s">
        <v>90</v>
      </c>
      <c r="BP5" s="752" t="s">
        <v>93</v>
      </c>
      <c r="BQ5" s="752" t="s">
        <v>117</v>
      </c>
      <c r="BR5" s="752" t="s">
        <v>118</v>
      </c>
      <c r="BS5" s="752" t="s">
        <v>119</v>
      </c>
      <c r="BT5" s="752" t="s">
        <v>120</v>
      </c>
      <c r="BU5" s="752" t="s">
        <v>121</v>
      </c>
      <c r="BV5" s="752" t="s">
        <v>122</v>
      </c>
      <c r="BX5" s="104" t="s">
        <v>103</v>
      </c>
      <c r="BY5" s="103"/>
      <c r="BZ5" s="750" t="s">
        <v>58</v>
      </c>
      <c r="CA5" s="750"/>
      <c r="CB5" s="750"/>
      <c r="CC5" s="750"/>
      <c r="CD5" s="750" t="s">
        <v>145</v>
      </c>
      <c r="CE5" s="750"/>
      <c r="CF5" s="750"/>
      <c r="CG5" s="750"/>
      <c r="CH5" s="750"/>
      <c r="CI5" s="750" t="s">
        <v>150</v>
      </c>
      <c r="CJ5" s="750"/>
      <c r="CK5" s="750"/>
      <c r="CL5" s="750"/>
      <c r="CM5" s="750"/>
      <c r="CN5" s="750"/>
      <c r="CO5" s="750" t="s">
        <v>144</v>
      </c>
      <c r="CP5" s="750"/>
      <c r="CQ5" s="750"/>
      <c r="CR5" s="750"/>
      <c r="CS5" s="750"/>
      <c r="CT5" s="750" t="s">
        <v>146</v>
      </c>
      <c r="CU5" s="750"/>
      <c r="CV5" s="750"/>
      <c r="CW5" s="750"/>
      <c r="CX5" s="750" t="s">
        <v>148</v>
      </c>
      <c r="CY5" s="750"/>
      <c r="CZ5" s="750"/>
      <c r="DA5" s="750"/>
      <c r="DB5" s="750" t="s">
        <v>70</v>
      </c>
      <c r="DC5" s="750"/>
      <c r="DD5" s="750"/>
      <c r="DE5" s="750"/>
    </row>
    <row r="6" spans="2:109" ht="21.75" customHeight="1" thickBot="1" x14ac:dyDescent="0.3">
      <c r="B6" s="759"/>
      <c r="C6" s="759"/>
      <c r="D6" s="752"/>
      <c r="E6" s="752"/>
      <c r="F6" s="752"/>
      <c r="G6" s="752"/>
      <c r="H6" s="752"/>
      <c r="I6" s="752"/>
      <c r="J6" s="757"/>
      <c r="K6" s="752"/>
      <c r="L6" s="752"/>
      <c r="M6" s="752"/>
      <c r="N6" s="752"/>
      <c r="O6" s="752"/>
      <c r="P6" s="753"/>
      <c r="Q6" s="758"/>
      <c r="R6" s="752"/>
      <c r="S6" s="752"/>
      <c r="T6" s="768"/>
      <c r="U6" s="767"/>
      <c r="V6" s="767"/>
      <c r="W6" s="3" t="s">
        <v>43</v>
      </c>
      <c r="X6" s="3" t="s">
        <v>63</v>
      </c>
      <c r="Y6" s="752"/>
      <c r="Z6" s="752"/>
      <c r="AA6" s="752"/>
      <c r="AB6" s="752"/>
      <c r="AC6" s="752"/>
      <c r="AD6" s="752"/>
      <c r="AE6" s="752"/>
      <c r="AF6" s="752"/>
      <c r="AG6" s="752"/>
      <c r="AH6" s="752"/>
      <c r="AI6" s="752"/>
      <c r="AJ6" s="752"/>
      <c r="AK6" s="752"/>
      <c r="AL6" s="752"/>
      <c r="AM6" s="753"/>
      <c r="AN6" s="753"/>
      <c r="AO6" s="753"/>
      <c r="AP6" s="755"/>
      <c r="AQ6" s="752"/>
      <c r="AR6" s="757"/>
      <c r="AS6" s="757"/>
      <c r="AT6" s="757"/>
      <c r="AU6" s="757"/>
      <c r="AV6" s="757"/>
      <c r="AW6" s="757"/>
      <c r="AX6" s="757"/>
      <c r="AY6" s="757"/>
      <c r="AZ6" s="752"/>
      <c r="BA6" s="3" t="s">
        <v>80</v>
      </c>
      <c r="BB6" s="3" t="s">
        <v>44</v>
      </c>
      <c r="BC6" s="752"/>
      <c r="BD6" s="752"/>
      <c r="BE6" s="752"/>
      <c r="BF6" s="752"/>
      <c r="BG6" s="752"/>
      <c r="BH6" s="752"/>
      <c r="BI6" s="752"/>
      <c r="BJ6" s="752"/>
      <c r="BK6" s="752"/>
      <c r="BL6" s="752"/>
      <c r="BM6" s="752"/>
      <c r="BN6" s="752"/>
      <c r="BO6" s="752"/>
      <c r="BP6" s="752"/>
      <c r="BQ6" s="752"/>
      <c r="BR6" s="752"/>
      <c r="BS6" s="752"/>
      <c r="BT6" s="752"/>
      <c r="BU6" s="752"/>
      <c r="BV6" s="752"/>
      <c r="BX6" s="104" t="s">
        <v>95</v>
      </c>
      <c r="BY6" s="103"/>
      <c r="BZ6" s="104" t="s">
        <v>49</v>
      </c>
      <c r="CA6" s="104" t="s">
        <v>50</v>
      </c>
      <c r="CB6" s="105" t="s">
        <v>130</v>
      </c>
      <c r="CC6" s="104" t="s">
        <v>64</v>
      </c>
      <c r="CD6" s="104" t="s">
        <v>49</v>
      </c>
      <c r="CE6" s="104" t="s">
        <v>50</v>
      </c>
      <c r="CF6" s="104" t="s">
        <v>61</v>
      </c>
      <c r="CG6" s="104" t="s">
        <v>64</v>
      </c>
      <c r="CH6" s="104" t="s">
        <v>72</v>
      </c>
      <c r="CI6" s="104" t="s">
        <v>49</v>
      </c>
      <c r="CJ6" s="104" t="s">
        <v>50</v>
      </c>
      <c r="CK6" s="104" t="s">
        <v>61</v>
      </c>
      <c r="CL6" s="104" t="s">
        <v>64</v>
      </c>
      <c r="CM6" s="104" t="s">
        <v>72</v>
      </c>
      <c r="CN6" s="104" t="s">
        <v>153</v>
      </c>
      <c r="CO6" s="104" t="s">
        <v>49</v>
      </c>
      <c r="CP6" s="104" t="s">
        <v>50</v>
      </c>
      <c r="CQ6" s="104" t="s">
        <v>61</v>
      </c>
      <c r="CR6" s="104" t="s">
        <v>64</v>
      </c>
      <c r="CS6" s="104" t="s">
        <v>72</v>
      </c>
      <c r="CT6" s="104" t="s">
        <v>49</v>
      </c>
      <c r="CU6" s="104" t="s">
        <v>50</v>
      </c>
      <c r="CV6" s="104" t="s">
        <v>61</v>
      </c>
      <c r="CW6" s="104" t="s">
        <v>72</v>
      </c>
      <c r="CX6" s="104" t="s">
        <v>49</v>
      </c>
      <c r="CY6" s="104" t="s">
        <v>50</v>
      </c>
      <c r="CZ6" s="104" t="s">
        <v>61</v>
      </c>
      <c r="DA6" s="104" t="s">
        <v>72</v>
      </c>
      <c r="DB6" s="104" t="s">
        <v>49</v>
      </c>
      <c r="DC6" s="104" t="s">
        <v>50</v>
      </c>
      <c r="DD6" s="104" t="s">
        <v>61</v>
      </c>
      <c r="DE6" s="104" t="s">
        <v>72</v>
      </c>
    </row>
    <row r="7" spans="2:109" ht="15.75" thickBot="1" x14ac:dyDescent="0.3">
      <c r="B7" s="7"/>
      <c r="C7" s="8"/>
      <c r="D7" s="9"/>
      <c r="E7" s="24"/>
      <c r="F7" s="173"/>
      <c r="G7" s="10">
        <f>(D7/1000)*(E7/1000)*7850</f>
        <v>0</v>
      </c>
      <c r="H7" s="10">
        <f>G7*(1-F7)</f>
        <v>0</v>
      </c>
      <c r="I7" s="11"/>
      <c r="J7" s="10">
        <f>G7*I7/1000</f>
        <v>0</v>
      </c>
      <c r="K7" s="10">
        <f>G7*I7/1000-L7</f>
        <v>0</v>
      </c>
      <c r="L7" s="10">
        <f>G7*I7/1000-H7*I7/1000</f>
        <v>0</v>
      </c>
      <c r="M7" s="54"/>
      <c r="N7" s="100" t="e">
        <f>(M7*1000)/K7</f>
        <v>#DIV/0!</v>
      </c>
      <c r="O7" s="100" t="e">
        <f>M7*1000/H7</f>
        <v>#DIV/0!</v>
      </c>
      <c r="P7" s="57"/>
      <c r="Q7" s="59"/>
      <c r="R7" s="11"/>
      <c r="S7" s="11" t="s">
        <v>88</v>
      </c>
      <c r="T7" s="11" t="s">
        <v>111</v>
      </c>
      <c r="U7" s="12">
        <f>VLOOKUP(S7,$BZ$10:$CB$11,3)</f>
        <v>2</v>
      </c>
      <c r="V7" s="14" t="e">
        <f>((R7*(VLOOKUP(Q7,$BZ$7:$CB$8,3)))+(30+30))/60</f>
        <v>#N/A</v>
      </c>
      <c r="W7" s="11"/>
      <c r="X7" s="26"/>
      <c r="Y7" s="15" t="e">
        <f>(U7+V7+X7)</f>
        <v>#N/A</v>
      </c>
      <c r="Z7" s="11"/>
      <c r="AA7" s="12" t="e">
        <f>VLOOKUP(Q7,$BZ$7:$CC$8,4)</f>
        <v>#N/A</v>
      </c>
      <c r="AB7" s="15">
        <f>F7*100</f>
        <v>0</v>
      </c>
      <c r="AC7" s="14" t="e">
        <f>8/I7*100*(VLOOKUP(T7,$BZ$13:$CA$14,2))</f>
        <v>#DIV/0!</v>
      </c>
      <c r="AD7" s="11" t="e">
        <f>VLOOKUP(Q7,$BZ$7:$CA$8,2)</f>
        <v>#N/A</v>
      </c>
      <c r="AE7" s="14" t="e">
        <f>H7*W7/P7/1000*100</f>
        <v>#DIV/0!</v>
      </c>
      <c r="AF7" s="14" t="e">
        <f>AG7-AB7</f>
        <v>#DIV/0!</v>
      </c>
      <c r="AG7" s="14" t="e">
        <f>AB7+AC7+AD7+AE7</f>
        <v>#DIV/0!</v>
      </c>
      <c r="AH7" s="14" t="e">
        <f>((Z7*H7/1000)^(-1))*((1+(100-AA7)/100))</f>
        <v>#DIV/0!</v>
      </c>
      <c r="AI7" s="14" t="e">
        <f>(Y7*60)/P7</f>
        <v>#N/A</v>
      </c>
      <c r="AJ7" s="11"/>
      <c r="AK7" s="11"/>
      <c r="AL7" s="15" t="e">
        <f>AH7*P7/60</f>
        <v>#DIV/0!</v>
      </c>
      <c r="AM7" s="49" t="e">
        <f>AL7/(AJ7*AK7)</f>
        <v>#DIV/0!</v>
      </c>
      <c r="AN7" s="49" t="e">
        <f>(AL7+Y7)/(AJ7*AK7)</f>
        <v>#DIV/0!</v>
      </c>
      <c r="AO7" s="49" t="e">
        <f>(AH7^-1)*AJ7*60*AK7</f>
        <v>#DIV/0!</v>
      </c>
      <c r="AP7" s="58" t="s">
        <v>145</v>
      </c>
      <c r="AQ7" s="13"/>
      <c r="AR7" s="13"/>
      <c r="AS7" s="11">
        <f>I7</f>
        <v>0</v>
      </c>
      <c r="AT7" s="41"/>
      <c r="AU7" s="11"/>
      <c r="AV7" s="41"/>
      <c r="AW7" s="41"/>
      <c r="AX7" s="12" t="e">
        <f>VLOOKUP(AQ7,$CD$7:$CH$11,5)</f>
        <v>#N/A</v>
      </c>
      <c r="AY7" s="12" t="e">
        <f t="shared" ref="AY7:AY12" si="0">AU7*AS7+AX7</f>
        <v>#N/A</v>
      </c>
      <c r="AZ7" s="12" t="e">
        <f>VLOOKUP(AQ7,$CD$7:$CH$11,3)</f>
        <v>#N/A</v>
      </c>
      <c r="BA7" s="11"/>
      <c r="BB7" s="13"/>
      <c r="BC7" s="14" t="e">
        <f t="shared" ref="BC7:BC12" si="1">AZ7+BB7/60</f>
        <v>#N/A</v>
      </c>
      <c r="BD7" s="12" t="e">
        <f>VLOOKUP(AR7,$CD$14:$CE$17,2)</f>
        <v>#N/A</v>
      </c>
      <c r="BE7" s="14" t="e">
        <f t="shared" ref="BE7:BE12" si="2">BD7/60</f>
        <v>#N/A</v>
      </c>
      <c r="BF7" s="12" t="e">
        <f>VLOOKUP(AQ7,$CD$7:$CH$11,4)</f>
        <v>#N/A</v>
      </c>
      <c r="BG7" s="41"/>
      <c r="BH7" s="14" t="e">
        <f t="shared" ref="BH7:BH12" si="3">(AY7-AS7*AU7)/AY7*100</f>
        <v>#N/A</v>
      </c>
      <c r="BI7" s="5" t="e">
        <f>(G7*AS7*BA7/1000)/1000/M7*100</f>
        <v>#DIV/0!</v>
      </c>
      <c r="BJ7" s="5" t="e">
        <f t="shared" ref="BJ7:BJ12" si="4">BG7+BH7+BI7</f>
        <v>#N/A</v>
      </c>
      <c r="BK7" s="15" t="e">
        <f>BD7/(G7*AS7/1000)/60*1000*((1+(100-BF7)/100))</f>
        <v>#N/A</v>
      </c>
      <c r="BL7" s="12" t="e">
        <f>BC7*60/M7</f>
        <v>#N/A</v>
      </c>
      <c r="BM7" s="11"/>
      <c r="BN7" s="11"/>
      <c r="BO7" s="15" t="e">
        <f>BK7*M7/60+BC7</f>
        <v>#N/A</v>
      </c>
      <c r="BP7" s="15" t="e">
        <f t="shared" ref="BP7:BP12" si="5">BO7/(BM7*BN7)</f>
        <v>#N/A</v>
      </c>
      <c r="BQ7" s="9"/>
      <c r="BR7" s="9"/>
      <c r="BS7" s="14" t="e">
        <f>#REF!/100*BR7</f>
        <v>#REF!</v>
      </c>
      <c r="BT7" s="14" t="e">
        <f t="shared" ref="BT7:BT12" si="6">BL7/60*BQ7</f>
        <v>#N/A</v>
      </c>
      <c r="BU7" s="14" t="e">
        <f t="shared" ref="BU7:BU12" si="7">BK7/60*BQ7</f>
        <v>#N/A</v>
      </c>
      <c r="BV7" s="14" t="e">
        <f t="shared" ref="BV7:BV12" si="8">BS7+BT7+BU7</f>
        <v>#REF!</v>
      </c>
      <c r="BX7" s="106">
        <v>0.6</v>
      </c>
      <c r="BY7" s="103"/>
      <c r="BZ7" s="107" t="s">
        <v>59</v>
      </c>
      <c r="CA7" s="107">
        <v>1.8</v>
      </c>
      <c r="CB7" s="108">
        <v>30</v>
      </c>
      <c r="CC7" s="107">
        <v>50</v>
      </c>
      <c r="CD7" s="107" t="s">
        <v>414</v>
      </c>
      <c r="CE7" s="107">
        <v>1.5</v>
      </c>
      <c r="CF7" s="107">
        <f>15/60</f>
        <v>0.25</v>
      </c>
      <c r="CG7" s="107">
        <v>90</v>
      </c>
      <c r="CH7" s="107">
        <v>50</v>
      </c>
      <c r="CI7" s="107" t="s">
        <v>413</v>
      </c>
      <c r="CJ7" s="107">
        <v>1</v>
      </c>
      <c r="CK7" s="107">
        <f>15/60</f>
        <v>0.25</v>
      </c>
      <c r="CL7" s="107">
        <v>65</v>
      </c>
      <c r="CM7" s="107">
        <v>50</v>
      </c>
      <c r="CN7" s="107">
        <v>2.5</v>
      </c>
      <c r="CO7" s="107" t="s">
        <v>412</v>
      </c>
      <c r="CP7" s="107"/>
      <c r="CQ7" s="107">
        <v>0.25</v>
      </c>
      <c r="CR7" s="107">
        <v>70</v>
      </c>
      <c r="CS7" s="107">
        <v>50</v>
      </c>
      <c r="CT7" s="107" t="s">
        <v>411</v>
      </c>
      <c r="CU7" s="107"/>
      <c r="CV7" s="106">
        <v>0.35</v>
      </c>
      <c r="CW7" s="108">
        <v>100</v>
      </c>
      <c r="CX7" s="107" t="s">
        <v>408</v>
      </c>
      <c r="CY7" s="107">
        <v>3</v>
      </c>
      <c r="CZ7" s="107">
        <v>1</v>
      </c>
      <c r="DA7" s="107"/>
      <c r="DB7" s="107" t="s">
        <v>407</v>
      </c>
      <c r="DC7" s="107"/>
      <c r="DD7" s="107">
        <v>0.5</v>
      </c>
      <c r="DE7" s="107"/>
    </row>
    <row r="8" spans="2:109" ht="13.5" thickBot="1" x14ac:dyDescent="0.25">
      <c r="V8" s="42"/>
      <c r="AD8" s="25"/>
      <c r="AE8" s="25"/>
      <c r="AF8" s="21"/>
      <c r="AG8" s="6"/>
      <c r="AP8" s="58" t="s">
        <v>149</v>
      </c>
      <c r="AQ8" s="13"/>
      <c r="AR8" s="55"/>
      <c r="AS8" s="11">
        <f>I7</f>
        <v>0</v>
      </c>
      <c r="AT8" s="41"/>
      <c r="AU8" s="11"/>
      <c r="AV8" s="11"/>
      <c r="AW8" s="11"/>
      <c r="AX8" s="12" t="e">
        <f>VLOOKUP(AQ8,$CI$7:$CN$7,5)</f>
        <v>#N/A</v>
      </c>
      <c r="AY8" s="12" t="e">
        <f t="shared" si="0"/>
        <v>#N/A</v>
      </c>
      <c r="AZ8" s="12" t="e">
        <f>VLOOKUP(AQ8,$CI$7:$CM$7,3)</f>
        <v>#N/A</v>
      </c>
      <c r="BA8" s="11"/>
      <c r="BB8" s="13"/>
      <c r="BC8" s="14" t="e">
        <f t="shared" si="1"/>
        <v>#N/A</v>
      </c>
      <c r="BD8" s="15" t="e">
        <f>(VLOOKUP(AQ8,$CI$7:$CN$7,6)*AW8*(AU8+1))/(AU8*AV8)</f>
        <v>#N/A</v>
      </c>
      <c r="BE8" s="14" t="e">
        <f t="shared" si="2"/>
        <v>#N/A</v>
      </c>
      <c r="BF8" s="12" t="e">
        <f>VLOOKUP(AQ8,$CI$7:$CM$7,4)</f>
        <v>#N/A</v>
      </c>
      <c r="BG8" s="41"/>
      <c r="BH8" s="14" t="e">
        <f t="shared" si="3"/>
        <v>#N/A</v>
      </c>
      <c r="BI8" s="5" t="e">
        <f>(G7*AS8*BA8/1000)/1000/M7*100</f>
        <v>#DIV/0!</v>
      </c>
      <c r="BJ8" s="5" t="e">
        <f t="shared" si="4"/>
        <v>#N/A</v>
      </c>
      <c r="BK8" s="15" t="e">
        <f>BD8/(G7*AS8/1000)/60*1000*((1+(100-BF8)/100))</f>
        <v>#N/A</v>
      </c>
      <c r="BL8" s="12" t="e">
        <f>BC8*60/M7</f>
        <v>#N/A</v>
      </c>
      <c r="BM8" s="11"/>
      <c r="BN8" s="11"/>
      <c r="BO8" s="15" t="e">
        <f>BK8*M7/60+BC8</f>
        <v>#N/A</v>
      </c>
      <c r="BP8" s="15" t="e">
        <f t="shared" si="5"/>
        <v>#N/A</v>
      </c>
      <c r="BQ8" s="9"/>
      <c r="BR8" s="9"/>
      <c r="BS8" s="14" t="e">
        <f>#REF!/100*BR8</f>
        <v>#REF!</v>
      </c>
      <c r="BT8" s="14" t="e">
        <f t="shared" si="6"/>
        <v>#N/A</v>
      </c>
      <c r="BU8" s="14" t="e">
        <f t="shared" si="7"/>
        <v>#N/A</v>
      </c>
      <c r="BV8" s="14" t="e">
        <f t="shared" si="8"/>
        <v>#REF!</v>
      </c>
      <c r="BX8" s="106">
        <v>0.75</v>
      </c>
      <c r="BY8" s="103"/>
      <c r="BZ8" s="107" t="s">
        <v>60</v>
      </c>
      <c r="CA8" s="107">
        <v>1.8</v>
      </c>
      <c r="CB8" s="108">
        <v>30</v>
      </c>
      <c r="CC8" s="107">
        <v>50</v>
      </c>
      <c r="CD8" s="107" t="s">
        <v>415</v>
      </c>
      <c r="CE8" s="107">
        <v>1.5</v>
      </c>
      <c r="CF8" s="107">
        <f>15/60</f>
        <v>0.25</v>
      </c>
      <c r="CG8" s="107">
        <v>90</v>
      </c>
      <c r="CH8" s="107">
        <v>50</v>
      </c>
      <c r="CI8" s="103"/>
      <c r="CJ8" s="103"/>
      <c r="CK8" s="103"/>
      <c r="CL8" s="103"/>
      <c r="CM8" s="103"/>
      <c r="CN8" s="103"/>
      <c r="CO8" s="103"/>
      <c r="CP8" s="103"/>
      <c r="CQ8" s="103"/>
      <c r="CR8" s="103"/>
      <c r="CS8" s="103"/>
      <c r="CT8" s="107" t="s">
        <v>410</v>
      </c>
      <c r="CU8" s="107"/>
      <c r="CV8" s="106">
        <v>1</v>
      </c>
      <c r="CW8" s="108">
        <v>50</v>
      </c>
      <c r="CX8" s="107" t="s">
        <v>409</v>
      </c>
      <c r="CY8" s="107">
        <v>3</v>
      </c>
      <c r="CZ8" s="107">
        <v>0.5</v>
      </c>
      <c r="DA8" s="107">
        <v>400</v>
      </c>
      <c r="DB8" s="103"/>
      <c r="DC8" s="103"/>
      <c r="DD8" s="103"/>
      <c r="DE8" s="103"/>
    </row>
    <row r="9" spans="2:109" ht="13.5" thickBot="1" x14ac:dyDescent="0.25">
      <c r="AP9" s="58" t="s">
        <v>147</v>
      </c>
      <c r="AQ9" s="13"/>
      <c r="AR9" s="13"/>
      <c r="AS9" s="11">
        <f>I7</f>
        <v>0</v>
      </c>
      <c r="AT9" s="51"/>
      <c r="AU9" s="11"/>
      <c r="AV9" s="41"/>
      <c r="AW9" s="41"/>
      <c r="AX9" s="12" t="e">
        <f>VLOOKUP(AQ9,$CO$7:$CS$7,5)+(3*(AU9+1)*VLOOKUP(AR9,$CO$12:$CP$13,2))</f>
        <v>#N/A</v>
      </c>
      <c r="AY9" s="12" t="e">
        <f t="shared" si="0"/>
        <v>#N/A</v>
      </c>
      <c r="AZ9" s="12" t="e">
        <f>VLOOKUP(AQ9,$CI$7:$CM$7,3)</f>
        <v>#N/A</v>
      </c>
      <c r="BA9" s="11"/>
      <c r="BB9" s="13"/>
      <c r="BC9" s="14" t="e">
        <f t="shared" si="1"/>
        <v>#N/A</v>
      </c>
      <c r="BD9" s="11"/>
      <c r="BE9" s="14">
        <f t="shared" si="2"/>
        <v>0</v>
      </c>
      <c r="BF9" s="12" t="e">
        <f>VLOOKUP(AQ9,$CO$7:$CS$7,4)</f>
        <v>#N/A</v>
      </c>
      <c r="BG9" s="12" t="e">
        <f>AT9/K7*100</f>
        <v>#DIV/0!</v>
      </c>
      <c r="BH9" s="14" t="e">
        <f t="shared" si="3"/>
        <v>#N/A</v>
      </c>
      <c r="BI9" s="5" t="e">
        <f>(G7*AS9*BA9/1000)/1000/M7*100</f>
        <v>#DIV/0!</v>
      </c>
      <c r="BJ9" s="5" t="e">
        <f t="shared" si="4"/>
        <v>#DIV/0!</v>
      </c>
      <c r="BK9" s="15" t="e">
        <f>BD9/(G7*AS9/1000)/60*1000*((1+(100-BF9)/100))</f>
        <v>#DIV/0!</v>
      </c>
      <c r="BL9" s="12" t="e">
        <f>BC9*60/M7</f>
        <v>#N/A</v>
      </c>
      <c r="BM9" s="11"/>
      <c r="BN9" s="11"/>
      <c r="BO9" s="15" t="e">
        <f>BK9*M7/60+BC9</f>
        <v>#DIV/0!</v>
      </c>
      <c r="BP9" s="15" t="e">
        <f t="shared" si="5"/>
        <v>#DIV/0!</v>
      </c>
      <c r="BQ9" s="9"/>
      <c r="BR9" s="9"/>
      <c r="BS9" s="14" t="e">
        <f>#REF!/100*BR9</f>
        <v>#REF!</v>
      </c>
      <c r="BT9" s="14" t="e">
        <f t="shared" si="6"/>
        <v>#N/A</v>
      </c>
      <c r="BU9" s="14" t="e">
        <f t="shared" si="7"/>
        <v>#DIV/0!</v>
      </c>
      <c r="BV9" s="14" t="e">
        <f t="shared" si="8"/>
        <v>#REF!</v>
      </c>
      <c r="BX9" s="106">
        <v>0.9</v>
      </c>
      <c r="BY9" s="103"/>
      <c r="BZ9" s="750" t="s">
        <v>105</v>
      </c>
      <c r="CA9" s="750"/>
      <c r="CB9" s="750"/>
      <c r="CC9" s="750"/>
      <c r="CD9" s="107" t="s">
        <v>416</v>
      </c>
      <c r="CE9" s="107">
        <v>1.5</v>
      </c>
      <c r="CF9" s="107">
        <f>15/60</f>
        <v>0.25</v>
      </c>
      <c r="CG9" s="107">
        <v>90</v>
      </c>
      <c r="CH9" s="107">
        <v>50</v>
      </c>
      <c r="CI9" s="103"/>
      <c r="CJ9" s="103"/>
      <c r="CK9" s="103"/>
      <c r="CL9" s="103"/>
      <c r="CM9" s="103"/>
      <c r="CN9" s="103"/>
      <c r="CR9" s="103"/>
      <c r="CS9" s="103"/>
      <c r="CV9" s="103"/>
      <c r="CW9" s="103"/>
      <c r="CX9" s="103"/>
      <c r="CY9" s="103"/>
      <c r="CZ9" s="103"/>
      <c r="DA9" s="103"/>
      <c r="DD9" s="103"/>
      <c r="DE9" s="103"/>
    </row>
    <row r="10" spans="2:109" ht="13.5" thickBot="1" x14ac:dyDescent="0.25">
      <c r="AP10" s="58" t="s">
        <v>146</v>
      </c>
      <c r="AQ10" s="13"/>
      <c r="AR10" s="13"/>
      <c r="AS10" s="11">
        <f>I7</f>
        <v>0</v>
      </c>
      <c r="AT10" s="51"/>
      <c r="AU10" s="11"/>
      <c r="AV10" s="50"/>
      <c r="AW10" s="50"/>
      <c r="AX10" s="12" t="e">
        <f>VLOOKUP(AQ10,$CT$7:$CW$8,4)</f>
        <v>#N/A</v>
      </c>
      <c r="AY10" s="12" t="e">
        <f t="shared" si="0"/>
        <v>#N/A</v>
      </c>
      <c r="AZ10" s="12" t="e">
        <f>VLOOKUP(AQ10,$CT$7:$CW$8,3)</f>
        <v>#N/A</v>
      </c>
      <c r="BA10" s="11"/>
      <c r="BB10" s="13"/>
      <c r="BC10" s="14" t="e">
        <f t="shared" si="1"/>
        <v>#N/A</v>
      </c>
      <c r="BD10" s="11"/>
      <c r="BE10" s="14">
        <f t="shared" si="2"/>
        <v>0</v>
      </c>
      <c r="BF10" s="12" t="e">
        <f>VLOOKUP(AR10,$CT$12:$CU$14,2)</f>
        <v>#N/A</v>
      </c>
      <c r="BG10" s="12" t="e">
        <f>AT10/K7*100</f>
        <v>#DIV/0!</v>
      </c>
      <c r="BH10" s="14" t="e">
        <f t="shared" si="3"/>
        <v>#N/A</v>
      </c>
      <c r="BI10" s="5" t="e">
        <f>(G7*AS10*BA10/1000)/1000/M7*100</f>
        <v>#DIV/0!</v>
      </c>
      <c r="BJ10" s="5" t="e">
        <f t="shared" si="4"/>
        <v>#DIV/0!</v>
      </c>
      <c r="BK10" s="15" t="e">
        <f>BD10/(G7*AS10/1000)/60*1000*((1+(100-BF10)/100))</f>
        <v>#DIV/0!</v>
      </c>
      <c r="BL10" s="12" t="e">
        <f>BC10*60/M7</f>
        <v>#N/A</v>
      </c>
      <c r="BM10" s="11"/>
      <c r="BN10" s="11"/>
      <c r="BO10" s="15" t="e">
        <f>BK10*M7/60+BC10</f>
        <v>#DIV/0!</v>
      </c>
      <c r="BP10" s="15" t="e">
        <f t="shared" si="5"/>
        <v>#DIV/0!</v>
      </c>
      <c r="BQ10" s="9"/>
      <c r="BR10" s="9"/>
      <c r="BS10" s="14" t="e">
        <f>#REF!/100*BR10</f>
        <v>#REF!</v>
      </c>
      <c r="BT10" s="14" t="e">
        <f t="shared" si="6"/>
        <v>#N/A</v>
      </c>
      <c r="BU10" s="14" t="e">
        <f t="shared" si="7"/>
        <v>#DIV/0!</v>
      </c>
      <c r="BV10" s="14" t="e">
        <f t="shared" si="8"/>
        <v>#REF!</v>
      </c>
      <c r="BX10" s="106">
        <v>0.95</v>
      </c>
      <c r="BY10" s="103"/>
      <c r="BZ10" s="107" t="s">
        <v>89</v>
      </c>
      <c r="CA10" s="107">
        <v>0</v>
      </c>
      <c r="CB10" s="107">
        <v>0</v>
      </c>
      <c r="CC10" s="109"/>
      <c r="CD10" s="107" t="s">
        <v>417</v>
      </c>
      <c r="CE10" s="107">
        <v>1.5</v>
      </c>
      <c r="CF10" s="107">
        <f>15/60</f>
        <v>0.25</v>
      </c>
      <c r="CG10" s="107">
        <v>90</v>
      </c>
      <c r="CH10" s="107">
        <v>50</v>
      </c>
      <c r="CI10" s="103"/>
      <c r="CJ10" s="103"/>
      <c r="CK10" s="103"/>
      <c r="CL10" s="103"/>
      <c r="CM10" s="103"/>
      <c r="CN10" s="103"/>
      <c r="CO10" s="750" t="s">
        <v>81</v>
      </c>
      <c r="CP10" s="750"/>
      <c r="CQ10" s="750"/>
      <c r="CR10" s="103"/>
      <c r="CS10" s="103"/>
      <c r="CT10" s="750" t="s">
        <v>81</v>
      </c>
      <c r="CU10" s="750"/>
      <c r="CV10" s="103"/>
      <c r="CW10" s="103"/>
      <c r="CX10" s="750" t="s">
        <v>81</v>
      </c>
      <c r="CY10" s="750"/>
      <c r="CZ10" s="103"/>
      <c r="DA10" s="103"/>
      <c r="DB10" s="750" t="s">
        <v>81</v>
      </c>
      <c r="DC10" s="750"/>
      <c r="DD10" s="103"/>
      <c r="DE10" s="103"/>
    </row>
    <row r="11" spans="2:109" ht="13.5" thickBot="1" x14ac:dyDescent="0.25">
      <c r="AP11" s="58" t="s">
        <v>165</v>
      </c>
      <c r="AQ11" s="13"/>
      <c r="AR11" s="13"/>
      <c r="AS11" s="11">
        <f>I7</f>
        <v>0</v>
      </c>
      <c r="AT11" s="51"/>
      <c r="AU11" s="11"/>
      <c r="AV11" s="50"/>
      <c r="AW11" s="50"/>
      <c r="AX11" s="12" t="e">
        <f>VLOOKUP(AQ11,$CX$7:$DA$8,4)</f>
        <v>#N/A</v>
      </c>
      <c r="AY11" s="12" t="e">
        <f t="shared" si="0"/>
        <v>#N/A</v>
      </c>
      <c r="AZ11" s="12" t="e">
        <f>VLOOKUP(AQ11,$CX$7:$DA$8,3)</f>
        <v>#N/A</v>
      </c>
      <c r="BA11" s="11"/>
      <c r="BB11" s="13"/>
      <c r="BC11" s="14" t="e">
        <f t="shared" si="1"/>
        <v>#N/A</v>
      </c>
      <c r="BD11" s="11"/>
      <c r="BE11" s="14">
        <f t="shared" si="2"/>
        <v>0</v>
      </c>
      <c r="BF11" s="12" t="e">
        <f>VLOOKUP(AR11,$CX$12:$CY$14,2)</f>
        <v>#N/A</v>
      </c>
      <c r="BG11" s="12" t="e">
        <f>AT11/K9*100</f>
        <v>#DIV/0!</v>
      </c>
      <c r="BH11" s="14" t="e">
        <f t="shared" si="3"/>
        <v>#N/A</v>
      </c>
      <c r="BI11" s="5" t="e">
        <f>(G7*AS11*BA11/1000)/1000/M7*100</f>
        <v>#DIV/0!</v>
      </c>
      <c r="BJ11" s="5" t="e">
        <f t="shared" si="4"/>
        <v>#DIV/0!</v>
      </c>
      <c r="BK11" s="15" t="e">
        <f>BD11/(G7*AS11/1000)/60*1000*((1+(100-BF11)/100))</f>
        <v>#DIV/0!</v>
      </c>
      <c r="BL11" s="12" t="e">
        <f>BC11*60/M7</f>
        <v>#N/A</v>
      </c>
      <c r="BM11" s="11"/>
      <c r="BN11" s="11"/>
      <c r="BO11" s="15" t="e">
        <f>BK11*M7/60+BC11</f>
        <v>#DIV/0!</v>
      </c>
      <c r="BP11" s="15" t="e">
        <f t="shared" si="5"/>
        <v>#DIV/0!</v>
      </c>
      <c r="BQ11" s="9"/>
      <c r="BR11" s="9"/>
      <c r="BS11" s="14" t="e">
        <f>#REF!/100*BR11</f>
        <v>#REF!</v>
      </c>
      <c r="BT11" s="14" t="e">
        <f t="shared" si="6"/>
        <v>#N/A</v>
      </c>
      <c r="BU11" s="14" t="e">
        <f t="shared" si="7"/>
        <v>#DIV/0!</v>
      </c>
      <c r="BV11" s="14" t="e">
        <f t="shared" si="8"/>
        <v>#REF!</v>
      </c>
      <c r="BX11" s="106">
        <v>1.06</v>
      </c>
      <c r="BY11" s="103"/>
      <c r="BZ11" s="107" t="s">
        <v>88</v>
      </c>
      <c r="CA11" s="106" t="s">
        <v>116</v>
      </c>
      <c r="CB11" s="106">
        <v>2</v>
      </c>
      <c r="CC11" s="109"/>
      <c r="CD11" s="107" t="s">
        <v>418</v>
      </c>
      <c r="CE11" s="107">
        <v>1.5</v>
      </c>
      <c r="CF11" s="107">
        <f>15/60</f>
        <v>0.25</v>
      </c>
      <c r="CG11" s="107">
        <v>90</v>
      </c>
      <c r="CH11" s="107">
        <v>50</v>
      </c>
      <c r="CI11" s="103"/>
      <c r="CJ11" s="103"/>
      <c r="CK11" s="103"/>
      <c r="CL11" s="103"/>
      <c r="CM11" s="103"/>
      <c r="CN11" s="103"/>
      <c r="CO11" s="104" t="s">
        <v>85</v>
      </c>
      <c r="CP11" s="104" t="s">
        <v>163</v>
      </c>
      <c r="CQ11" s="104" t="s">
        <v>50</v>
      </c>
      <c r="CR11" s="103"/>
      <c r="CS11" s="103"/>
      <c r="CT11" s="104" t="s">
        <v>85</v>
      </c>
      <c r="CU11" s="104" t="s">
        <v>64</v>
      </c>
      <c r="CV11" s="103"/>
      <c r="CW11" s="103"/>
      <c r="CX11" s="104" t="s">
        <v>85</v>
      </c>
      <c r="CY11" s="104" t="s">
        <v>64</v>
      </c>
      <c r="CZ11" s="103"/>
      <c r="DA11" s="103"/>
      <c r="DB11" s="104" t="s">
        <v>85</v>
      </c>
      <c r="DC11" s="104" t="s">
        <v>64</v>
      </c>
      <c r="DD11" s="103"/>
      <c r="DE11" s="103"/>
    </row>
    <row r="12" spans="2:109" ht="13.5" thickBot="1" x14ac:dyDescent="0.25">
      <c r="B12" s="99"/>
      <c r="C12" s="99"/>
      <c r="D12" s="99"/>
      <c r="E12" s="99"/>
      <c r="F12" s="99"/>
      <c r="G12" s="99"/>
      <c r="H12" s="99"/>
      <c r="I12" s="99"/>
      <c r="J12" s="99"/>
      <c r="K12" s="99"/>
      <c r="L12" s="99"/>
      <c r="M12" s="99"/>
      <c r="N12" s="99"/>
      <c r="S12" s="99"/>
      <c r="T12" s="99"/>
      <c r="U12" s="99"/>
      <c r="V12" s="99"/>
      <c r="W12" s="99"/>
      <c r="X12" s="99"/>
      <c r="Y12" s="99"/>
      <c r="Z12" s="99"/>
      <c r="AA12" s="99"/>
      <c r="AB12" s="99"/>
      <c r="AC12" s="99"/>
      <c r="AD12" s="99"/>
      <c r="AE12" s="99"/>
      <c r="AF12" s="99"/>
      <c r="AG12" s="99"/>
      <c r="AH12" s="99"/>
      <c r="AI12" s="99"/>
      <c r="AJ12" s="99"/>
      <c r="AK12" s="99"/>
      <c r="AL12" s="99"/>
      <c r="AM12" s="99"/>
      <c r="AN12" s="99"/>
      <c r="AO12" s="99"/>
      <c r="AP12" s="58" t="s">
        <v>70</v>
      </c>
      <c r="AQ12" s="13"/>
      <c r="AR12" s="13"/>
      <c r="AS12" s="11">
        <f>I7</f>
        <v>0</v>
      </c>
      <c r="AT12" s="51"/>
      <c r="AU12" s="11"/>
      <c r="AV12" s="50"/>
      <c r="AW12" s="50"/>
      <c r="AX12" s="12" t="e">
        <f>VLOOKUP(AQ12,$DB$7:$DE$7,4)</f>
        <v>#N/A</v>
      </c>
      <c r="AY12" s="12" t="e">
        <f t="shared" si="0"/>
        <v>#N/A</v>
      </c>
      <c r="AZ12" s="12" t="e">
        <f>VLOOKUP(AQ12,$DB$7:$DE$7,3)</f>
        <v>#N/A</v>
      </c>
      <c r="BA12" s="11"/>
      <c r="BB12" s="13"/>
      <c r="BC12" s="14" t="e">
        <f t="shared" si="1"/>
        <v>#N/A</v>
      </c>
      <c r="BD12" s="11"/>
      <c r="BE12" s="14">
        <f t="shared" si="2"/>
        <v>0</v>
      </c>
      <c r="BF12" s="12" t="e">
        <f>VLOOKUP(AR12,$DB$12:$DC$14,2)</f>
        <v>#N/A</v>
      </c>
      <c r="BG12" s="12" t="e">
        <f>AT12/K10*100</f>
        <v>#DIV/0!</v>
      </c>
      <c r="BH12" s="14" t="e">
        <f t="shared" si="3"/>
        <v>#N/A</v>
      </c>
      <c r="BI12" s="5" t="e">
        <f>(G7*AS12*BA12/1000)/1000/M7*100</f>
        <v>#DIV/0!</v>
      </c>
      <c r="BJ12" s="5" t="e">
        <f t="shared" si="4"/>
        <v>#DIV/0!</v>
      </c>
      <c r="BK12" s="15" t="e">
        <f>BD12/(G7*AS12/1000)/60*1000*((1+(100-BF12)/100))</f>
        <v>#DIV/0!</v>
      </c>
      <c r="BL12" s="12" t="e">
        <f>BC12*60/M7</f>
        <v>#N/A</v>
      </c>
      <c r="BM12" s="11"/>
      <c r="BN12" s="11"/>
      <c r="BO12" s="15" t="e">
        <f>BK12*M7/60+BC12</f>
        <v>#DIV/0!</v>
      </c>
      <c r="BP12" s="15" t="e">
        <f t="shared" si="5"/>
        <v>#DIV/0!</v>
      </c>
      <c r="BQ12" s="9"/>
      <c r="BR12" s="9"/>
      <c r="BS12" s="14" t="e">
        <f>#REF!/100*BR12</f>
        <v>#REF!</v>
      </c>
      <c r="BT12" s="14" t="e">
        <f t="shared" si="6"/>
        <v>#N/A</v>
      </c>
      <c r="BU12" s="14" t="e">
        <f t="shared" si="7"/>
        <v>#DIV/0!</v>
      </c>
      <c r="BV12" s="14" t="e">
        <f t="shared" si="8"/>
        <v>#REF!</v>
      </c>
      <c r="BX12" s="106">
        <v>1.2</v>
      </c>
      <c r="BY12" s="103"/>
      <c r="BZ12" s="750" t="s">
        <v>109</v>
      </c>
      <c r="CA12" s="750"/>
      <c r="CB12" s="750"/>
      <c r="CC12" s="750"/>
      <c r="CD12" s="750" t="s">
        <v>81</v>
      </c>
      <c r="CE12" s="750"/>
      <c r="CF12" s="103"/>
      <c r="CG12" s="103"/>
      <c r="CH12" s="103"/>
      <c r="CI12" s="103"/>
      <c r="CJ12" s="103"/>
      <c r="CK12" s="103"/>
      <c r="CL12" s="103"/>
      <c r="CM12" s="103"/>
      <c r="CN12" s="103"/>
      <c r="CO12" s="107" t="s">
        <v>160</v>
      </c>
      <c r="CP12" s="107">
        <v>1</v>
      </c>
      <c r="CQ12" s="107">
        <v>0</v>
      </c>
      <c r="CR12" s="103"/>
      <c r="CS12" s="103"/>
      <c r="CT12" s="107" t="s">
        <v>82</v>
      </c>
      <c r="CU12" s="107">
        <v>90</v>
      </c>
      <c r="CV12" s="103"/>
      <c r="CW12" s="103"/>
      <c r="CX12" s="107" t="s">
        <v>82</v>
      </c>
      <c r="CY12" s="107">
        <v>70</v>
      </c>
      <c r="CZ12" s="103"/>
      <c r="DA12" s="103"/>
      <c r="DB12" s="107" t="s">
        <v>82</v>
      </c>
      <c r="DC12" s="107">
        <v>90</v>
      </c>
      <c r="DD12" s="103"/>
      <c r="DE12" s="103"/>
    </row>
    <row r="13" spans="2:109" ht="15.75" thickBot="1" x14ac:dyDescent="0.3">
      <c r="B13" s="177"/>
      <c r="C13" s="178"/>
      <c r="D13" s="179"/>
      <c r="E13" s="180"/>
      <c r="F13" s="181"/>
      <c r="G13" s="182"/>
      <c r="H13" s="182"/>
      <c r="I13" s="41"/>
      <c r="J13" s="182"/>
      <c r="K13" s="182"/>
      <c r="L13" s="182"/>
      <c r="M13" s="183"/>
      <c r="N13" s="184"/>
      <c r="S13" s="41"/>
      <c r="T13" s="41"/>
      <c r="U13" s="41"/>
      <c r="V13" s="179"/>
      <c r="W13" s="41"/>
      <c r="X13" s="185"/>
      <c r="Y13" s="183"/>
      <c r="Z13" s="41"/>
      <c r="AA13" s="41"/>
      <c r="AB13" s="183"/>
      <c r="AC13" s="179"/>
      <c r="AD13" s="41"/>
      <c r="AE13" s="179"/>
      <c r="AF13" s="179"/>
      <c r="AG13" s="179"/>
      <c r="AH13" s="179"/>
      <c r="AI13" s="179"/>
      <c r="AJ13" s="41"/>
      <c r="AK13" s="41"/>
      <c r="AL13" s="183"/>
      <c r="AM13" s="186"/>
      <c r="AN13" s="186"/>
      <c r="AS13" s="41"/>
      <c r="AT13" s="41"/>
      <c r="AU13" s="41"/>
      <c r="AV13" s="41"/>
      <c r="AW13" s="41"/>
      <c r="AX13" s="41"/>
      <c r="AY13" s="41"/>
      <c r="AZ13" s="41"/>
      <c r="BA13" s="41"/>
      <c r="BB13" s="176"/>
      <c r="BC13" s="179"/>
      <c r="BD13" s="41"/>
      <c r="BE13" s="179"/>
      <c r="BF13" s="41"/>
      <c r="BG13" s="41"/>
      <c r="BH13" s="179"/>
      <c r="BI13" s="22"/>
      <c r="BJ13" s="22"/>
      <c r="BK13" s="183"/>
      <c r="BL13" s="41"/>
      <c r="BM13" s="41"/>
      <c r="BN13" s="41"/>
      <c r="BO13" s="183"/>
      <c r="BP13" s="183"/>
      <c r="BQ13" s="179"/>
      <c r="BR13" s="179"/>
      <c r="BS13" s="179"/>
      <c r="BT13" s="179"/>
      <c r="BU13" s="179"/>
      <c r="BV13" s="179"/>
      <c r="BX13" s="106">
        <v>1.25</v>
      </c>
      <c r="BY13" s="103"/>
      <c r="BZ13" s="110" t="s">
        <v>110</v>
      </c>
      <c r="CA13" s="107">
        <v>0</v>
      </c>
      <c r="CB13" s="111"/>
      <c r="CC13" s="109"/>
      <c r="CD13" s="104" t="s">
        <v>154</v>
      </c>
      <c r="CE13" s="104" t="s">
        <v>159</v>
      </c>
      <c r="CF13" s="103"/>
      <c r="CG13" s="103"/>
      <c r="CH13" s="103"/>
      <c r="CI13" s="103"/>
      <c r="CJ13" s="103"/>
      <c r="CK13" s="103"/>
      <c r="CL13" s="103"/>
      <c r="CM13" s="103"/>
      <c r="CN13" s="103"/>
      <c r="CO13" s="107" t="s">
        <v>161</v>
      </c>
      <c r="CP13" s="107">
        <v>2</v>
      </c>
      <c r="CQ13" s="107">
        <v>1</v>
      </c>
      <c r="CR13" s="103"/>
      <c r="CS13" s="103"/>
      <c r="CT13" s="107" t="s">
        <v>83</v>
      </c>
      <c r="CU13" s="107">
        <v>80</v>
      </c>
      <c r="CV13" s="103"/>
      <c r="CW13" s="103"/>
      <c r="CX13" s="107" t="s">
        <v>83</v>
      </c>
      <c r="CY13" s="107">
        <v>65</v>
      </c>
      <c r="CZ13" s="103"/>
      <c r="DA13" s="103"/>
      <c r="DB13" s="107" t="s">
        <v>83</v>
      </c>
      <c r="DC13" s="107">
        <v>80</v>
      </c>
      <c r="DD13" s="103"/>
      <c r="DE13" s="103"/>
    </row>
    <row r="14" spans="2:109" ht="13.5" thickBot="1" x14ac:dyDescent="0.25">
      <c r="V14" s="42"/>
      <c r="AD14" s="25"/>
      <c r="AE14" s="25"/>
      <c r="AF14" s="21"/>
      <c r="AG14" s="175"/>
      <c r="AS14" s="41"/>
      <c r="AT14" s="41"/>
      <c r="AU14" s="41"/>
      <c r="AV14" s="41"/>
      <c r="AW14" s="41"/>
      <c r="AX14" s="41"/>
      <c r="AY14" s="41"/>
      <c r="AZ14" s="41"/>
      <c r="BA14" s="41"/>
      <c r="BB14" s="176"/>
      <c r="BC14" s="179"/>
      <c r="BD14" s="183"/>
      <c r="BE14" s="179"/>
      <c r="BF14" s="41"/>
      <c r="BG14" s="41"/>
      <c r="BH14" s="179"/>
      <c r="BI14" s="22"/>
      <c r="BJ14" s="22"/>
      <c r="BK14" s="183"/>
      <c r="BL14" s="41"/>
      <c r="BM14" s="41"/>
      <c r="BN14" s="41"/>
      <c r="BO14" s="183"/>
      <c r="BP14" s="183"/>
      <c r="BQ14" s="179"/>
      <c r="BR14" s="179"/>
      <c r="BS14" s="179"/>
      <c r="BT14" s="179"/>
      <c r="BU14" s="179"/>
      <c r="BV14" s="179"/>
      <c r="BX14" s="106">
        <v>1.5</v>
      </c>
      <c r="BY14" s="103"/>
      <c r="BZ14" s="107" t="s">
        <v>111</v>
      </c>
      <c r="CA14" s="108">
        <v>1</v>
      </c>
      <c r="CB14" s="103"/>
      <c r="CC14" s="103"/>
      <c r="CD14" s="107" t="s">
        <v>155</v>
      </c>
      <c r="CE14" s="107">
        <v>5</v>
      </c>
      <c r="CF14" s="103"/>
      <c r="CG14" s="103"/>
      <c r="CH14" s="103"/>
      <c r="CI14" s="103"/>
      <c r="CJ14" s="103"/>
      <c r="CK14" s="103"/>
      <c r="CL14" s="103"/>
      <c r="CM14" s="103"/>
      <c r="CN14" s="103"/>
      <c r="CO14" s="103"/>
      <c r="CP14" s="103"/>
      <c r="CQ14" s="103"/>
      <c r="CR14" s="103"/>
      <c r="CS14" s="103"/>
      <c r="CT14" s="107" t="s">
        <v>84</v>
      </c>
      <c r="CU14" s="107">
        <v>70</v>
      </c>
      <c r="CV14" s="103"/>
      <c r="CW14" s="103"/>
      <c r="CX14" s="107" t="s">
        <v>84</v>
      </c>
      <c r="CY14" s="107">
        <v>60</v>
      </c>
      <c r="CZ14" s="103"/>
      <c r="DA14" s="103"/>
      <c r="DB14" s="107" t="s">
        <v>84</v>
      </c>
      <c r="DC14" s="107">
        <v>70</v>
      </c>
      <c r="DD14" s="103"/>
      <c r="DE14" s="103"/>
    </row>
    <row r="15" spans="2:109" ht="13.5" thickBot="1" x14ac:dyDescent="0.25">
      <c r="AS15" s="41"/>
      <c r="AT15" s="182"/>
      <c r="AU15" s="41"/>
      <c r="AV15" s="41"/>
      <c r="AW15" s="41"/>
      <c r="AX15" s="41"/>
      <c r="AY15" s="41"/>
      <c r="AZ15" s="41"/>
      <c r="BA15" s="41"/>
      <c r="BB15" s="176"/>
      <c r="BC15" s="179"/>
      <c r="BD15" s="41"/>
      <c r="BE15" s="179"/>
      <c r="BF15" s="41"/>
      <c r="BG15" s="41"/>
      <c r="BH15" s="179"/>
      <c r="BI15" s="22"/>
      <c r="BJ15" s="22"/>
      <c r="BK15" s="183"/>
      <c r="BL15" s="41"/>
      <c r="BM15" s="41"/>
      <c r="BN15" s="41"/>
      <c r="BO15" s="183"/>
      <c r="BP15" s="183"/>
      <c r="BQ15" s="179"/>
      <c r="BR15" s="179"/>
      <c r="BS15" s="179"/>
      <c r="BT15" s="179"/>
      <c r="BU15" s="179"/>
      <c r="BV15" s="179"/>
      <c r="BX15" s="106">
        <v>1.55</v>
      </c>
      <c r="BY15" s="103"/>
      <c r="BZ15" s="103"/>
      <c r="CA15" s="112"/>
      <c r="CB15" s="103"/>
      <c r="CC15" s="103"/>
      <c r="CD15" s="107" t="s">
        <v>157</v>
      </c>
      <c r="CE15" s="107">
        <v>10</v>
      </c>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row>
    <row r="16" spans="2:109" ht="13.5" thickBot="1" x14ac:dyDescent="0.25">
      <c r="AS16" s="41"/>
      <c r="AT16" s="182"/>
      <c r="AU16" s="41"/>
      <c r="AV16" s="50"/>
      <c r="AW16" s="50"/>
      <c r="AX16" s="41"/>
      <c r="AY16" s="41"/>
      <c r="AZ16" s="41"/>
      <c r="BA16" s="41"/>
      <c r="BB16" s="176"/>
      <c r="BC16" s="179"/>
      <c r="BD16" s="41"/>
      <c r="BE16" s="179"/>
      <c r="BF16" s="41"/>
      <c r="BG16" s="41"/>
      <c r="BH16" s="179"/>
      <c r="BI16" s="22"/>
      <c r="BJ16" s="22"/>
      <c r="BK16" s="183"/>
      <c r="BL16" s="41"/>
      <c r="BM16" s="41"/>
      <c r="BN16" s="41"/>
      <c r="BO16" s="183"/>
      <c r="BP16" s="183"/>
      <c r="BQ16" s="179"/>
      <c r="BR16" s="179"/>
      <c r="BS16" s="179"/>
      <c r="BT16" s="179"/>
      <c r="BU16" s="179"/>
      <c r="BV16" s="179"/>
      <c r="BX16" s="106">
        <v>1.8</v>
      </c>
      <c r="BY16" s="103"/>
      <c r="BZ16" s="103"/>
      <c r="CA16" s="103"/>
      <c r="CB16" s="103"/>
      <c r="CC16" s="103"/>
      <c r="CD16" s="107" t="s">
        <v>158</v>
      </c>
      <c r="CE16" s="107">
        <v>15</v>
      </c>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row>
    <row r="17" spans="2:109" ht="13.5" thickBot="1" x14ac:dyDescent="0.25">
      <c r="AS17" s="41"/>
      <c r="AT17" s="182"/>
      <c r="AU17" s="41"/>
      <c r="AV17" s="50"/>
      <c r="AW17" s="50"/>
      <c r="AX17" s="41"/>
      <c r="AY17" s="41"/>
      <c r="AZ17" s="41"/>
      <c r="BA17" s="41"/>
      <c r="BB17" s="176"/>
      <c r="BC17" s="179"/>
      <c r="BD17" s="41"/>
      <c r="BE17" s="179"/>
      <c r="BF17" s="41"/>
      <c r="BG17" s="41"/>
      <c r="BH17" s="179"/>
      <c r="BI17" s="22"/>
      <c r="BJ17" s="22"/>
      <c r="BK17" s="183"/>
      <c r="BL17" s="41"/>
      <c r="BM17" s="41"/>
      <c r="BN17" s="41"/>
      <c r="BO17" s="183"/>
      <c r="BP17" s="183"/>
      <c r="BQ17" s="179"/>
      <c r="BR17" s="179"/>
      <c r="BS17" s="179"/>
      <c r="BT17" s="179"/>
      <c r="BU17" s="179"/>
      <c r="BV17" s="179"/>
      <c r="BX17" s="106">
        <v>1.9</v>
      </c>
      <c r="BY17" s="103"/>
      <c r="BZ17" s="103"/>
      <c r="CA17" s="103"/>
      <c r="CB17" s="103"/>
      <c r="CC17" s="103"/>
      <c r="CD17" s="107" t="s">
        <v>156</v>
      </c>
      <c r="CE17" s="107">
        <v>20</v>
      </c>
      <c r="CF17" s="103"/>
      <c r="CG17" s="103"/>
      <c r="CH17" s="103"/>
      <c r="CI17" s="103"/>
      <c r="CJ17" s="103"/>
      <c r="CK17" s="103"/>
      <c r="CL17" s="103"/>
      <c r="CM17" s="103"/>
      <c r="CN17" s="103"/>
      <c r="CO17" s="103"/>
      <c r="CP17" s="103"/>
      <c r="CQ17" s="103"/>
      <c r="CR17" s="103"/>
      <c r="CS17" s="103"/>
      <c r="CT17" s="103"/>
      <c r="CU17" s="103"/>
      <c r="CV17" s="103"/>
      <c r="CW17" s="103"/>
      <c r="CX17" s="103"/>
      <c r="CY17" s="103"/>
      <c r="CZ17" s="103"/>
      <c r="DA17" s="103"/>
      <c r="DB17" s="103"/>
      <c r="DC17" s="103"/>
      <c r="DD17" s="103"/>
      <c r="DE17" s="103"/>
    </row>
    <row r="18" spans="2:109" ht="13.5" thickBot="1" x14ac:dyDescent="0.25">
      <c r="AS18" s="41"/>
      <c r="AT18" s="182"/>
      <c r="AU18" s="41"/>
      <c r="AV18" s="50"/>
      <c r="AW18" s="50"/>
      <c r="AX18" s="41"/>
      <c r="AY18" s="41"/>
      <c r="AZ18" s="41"/>
      <c r="BA18" s="41"/>
      <c r="BB18" s="176"/>
      <c r="BC18" s="179"/>
      <c r="BD18" s="41"/>
      <c r="BE18" s="179"/>
      <c r="BF18" s="41"/>
      <c r="BG18" s="41"/>
      <c r="BH18" s="179"/>
      <c r="BI18" s="22"/>
      <c r="BJ18" s="22"/>
      <c r="BK18" s="183"/>
      <c r="BL18" s="41"/>
      <c r="BM18" s="41"/>
      <c r="BN18" s="41"/>
      <c r="BO18" s="183"/>
      <c r="BP18" s="183"/>
      <c r="BQ18" s="179"/>
      <c r="BR18" s="179"/>
      <c r="BS18" s="179"/>
      <c r="BT18" s="179"/>
      <c r="BU18" s="179"/>
      <c r="BV18" s="179"/>
      <c r="BX18" s="106">
        <v>1.95</v>
      </c>
      <c r="BY18" s="103"/>
      <c r="BZ18" s="103"/>
      <c r="CA18" s="103"/>
      <c r="CB18" s="103"/>
      <c r="CC18" s="103"/>
      <c r="CD18" s="103"/>
      <c r="CE18" s="103"/>
      <c r="CF18" s="103"/>
      <c r="CG18" s="103"/>
      <c r="CH18" s="103"/>
      <c r="CI18" s="103"/>
      <c r="CJ18" s="103"/>
      <c r="CK18" s="103"/>
      <c r="CL18" s="103"/>
      <c r="CM18" s="103"/>
      <c r="CN18" s="103"/>
      <c r="CO18" s="103"/>
      <c r="CP18" s="103"/>
      <c r="CQ18" s="103"/>
      <c r="CR18" s="103"/>
      <c r="CS18" s="103"/>
      <c r="CT18" s="103"/>
      <c r="CU18" s="103"/>
      <c r="CV18" s="103"/>
      <c r="CW18" s="103"/>
      <c r="CX18" s="103"/>
      <c r="CY18" s="103"/>
      <c r="CZ18" s="103"/>
      <c r="DA18" s="103"/>
      <c r="DB18" s="103"/>
      <c r="DC18" s="103"/>
      <c r="DD18" s="103"/>
      <c r="DE18" s="103"/>
    </row>
    <row r="19" spans="2:109" ht="15.75" thickBot="1" x14ac:dyDescent="0.3">
      <c r="B19" s="177"/>
      <c r="C19" s="178"/>
      <c r="D19" s="179"/>
      <c r="E19" s="180"/>
      <c r="F19" s="181"/>
      <c r="G19" s="182"/>
      <c r="H19" s="182"/>
      <c r="I19" s="41"/>
      <c r="J19" s="182"/>
      <c r="K19" s="182"/>
      <c r="L19" s="182"/>
      <c r="M19" s="183"/>
      <c r="N19" s="184"/>
      <c r="S19" s="41"/>
      <c r="T19" s="41"/>
      <c r="U19" s="41"/>
      <c r="V19" s="179"/>
      <c r="W19" s="41"/>
      <c r="X19" s="185"/>
      <c r="Y19" s="183"/>
      <c r="Z19" s="41"/>
      <c r="AA19" s="41"/>
      <c r="AB19" s="183"/>
      <c r="AC19" s="179"/>
      <c r="AD19" s="41"/>
      <c r="AE19" s="179"/>
      <c r="AF19" s="179"/>
      <c r="AG19" s="179"/>
      <c r="AH19" s="179"/>
      <c r="AI19" s="179"/>
      <c r="AJ19" s="41"/>
      <c r="AK19" s="41"/>
      <c r="AL19" s="183"/>
      <c r="AM19" s="186"/>
      <c r="AN19" s="186"/>
      <c r="AS19" s="41"/>
      <c r="AT19" s="41"/>
      <c r="AU19" s="41"/>
      <c r="AV19" s="41"/>
      <c r="AW19" s="41"/>
      <c r="AX19" s="41"/>
      <c r="AY19" s="41"/>
      <c r="AZ19" s="41"/>
      <c r="BA19" s="41"/>
      <c r="BB19" s="176"/>
      <c r="BC19" s="179"/>
      <c r="BD19" s="41"/>
      <c r="BE19" s="179"/>
      <c r="BF19" s="41"/>
      <c r="BG19" s="41"/>
      <c r="BH19" s="179"/>
      <c r="BI19" s="22"/>
      <c r="BJ19" s="22"/>
      <c r="BK19" s="183"/>
      <c r="BL19" s="41"/>
      <c r="BM19" s="41"/>
      <c r="BN19" s="41"/>
      <c r="BO19" s="183"/>
      <c r="BP19" s="183"/>
      <c r="BQ19" s="179"/>
      <c r="BR19" s="179"/>
      <c r="BS19" s="179"/>
      <c r="BT19" s="179"/>
      <c r="BU19" s="179"/>
      <c r="BV19" s="179"/>
      <c r="BX19" s="106">
        <v>2</v>
      </c>
      <c r="BY19" s="103"/>
      <c r="BZ19" s="103"/>
      <c r="CA19" s="103"/>
      <c r="CB19" s="103"/>
      <c r="CC19" s="103"/>
      <c r="CD19" s="103"/>
      <c r="CE19" s="103"/>
      <c r="CF19" s="103"/>
      <c r="CG19" s="103"/>
      <c r="CH19" s="103"/>
      <c r="CI19" s="103"/>
      <c r="CJ19" s="103"/>
      <c r="CK19" s="103"/>
      <c r="CL19" s="103"/>
      <c r="CM19" s="103"/>
      <c r="CN19" s="103"/>
      <c r="CO19" s="103"/>
      <c r="CP19" s="103"/>
      <c r="CQ19" s="103"/>
      <c r="CR19" s="103"/>
      <c r="CS19" s="103"/>
      <c r="CT19" s="103"/>
      <c r="CU19" s="103"/>
      <c r="CV19" s="103"/>
      <c r="CW19" s="103"/>
      <c r="CX19" s="103"/>
      <c r="CY19" s="103"/>
      <c r="CZ19" s="103"/>
      <c r="DA19" s="103"/>
      <c r="DB19" s="103"/>
      <c r="DC19" s="103"/>
      <c r="DD19" s="103"/>
      <c r="DE19" s="103"/>
    </row>
    <row r="20" spans="2:109" ht="13.5" thickBot="1" x14ac:dyDescent="0.25">
      <c r="V20" s="42"/>
      <c r="AD20" s="25"/>
      <c r="AE20" s="25"/>
      <c r="AF20" s="21"/>
      <c r="AG20" s="175"/>
      <c r="AS20" s="41"/>
      <c r="AT20" s="41"/>
      <c r="AU20" s="41"/>
      <c r="AV20" s="41"/>
      <c r="AW20" s="41"/>
      <c r="AX20" s="41"/>
      <c r="AY20" s="41"/>
      <c r="AZ20" s="41"/>
      <c r="BA20" s="41"/>
      <c r="BB20" s="176"/>
      <c r="BC20" s="179"/>
      <c r="BD20" s="183"/>
      <c r="BE20" s="179"/>
      <c r="BF20" s="41"/>
      <c r="BG20" s="41"/>
      <c r="BH20" s="179"/>
      <c r="BI20" s="22"/>
      <c r="BJ20" s="22"/>
      <c r="BK20" s="183"/>
      <c r="BL20" s="41"/>
      <c r="BM20" s="41"/>
      <c r="BN20" s="41"/>
      <c r="BO20" s="183"/>
      <c r="BP20" s="183"/>
      <c r="BQ20" s="179"/>
      <c r="BR20" s="179"/>
      <c r="BS20" s="179"/>
      <c r="BT20" s="179"/>
      <c r="BU20" s="179"/>
      <c r="BV20" s="179"/>
      <c r="BX20" s="106">
        <v>2.25</v>
      </c>
      <c r="BY20" s="103"/>
      <c r="BZ20" s="103"/>
      <c r="CA20" s="103"/>
      <c r="CB20" s="103"/>
      <c r="CC20" s="103"/>
      <c r="CD20" s="103"/>
      <c r="CE20" s="103"/>
      <c r="CF20" s="103"/>
      <c r="CG20" s="103"/>
      <c r="CH20" s="103"/>
      <c r="CI20" s="103"/>
      <c r="CJ20" s="103"/>
      <c r="CK20" s="103"/>
      <c r="CL20" s="103"/>
      <c r="CM20" s="103"/>
      <c r="CN20" s="103"/>
      <c r="CO20" s="103"/>
      <c r="CP20" s="103"/>
      <c r="CQ20" s="103"/>
      <c r="CR20" s="103"/>
      <c r="CS20" s="103"/>
      <c r="CT20" s="103"/>
      <c r="CU20" s="103"/>
      <c r="CV20" s="103"/>
      <c r="CW20" s="103"/>
      <c r="CX20" s="103"/>
      <c r="CY20" s="103"/>
      <c r="CZ20" s="103"/>
      <c r="DA20" s="103"/>
      <c r="DB20" s="103"/>
      <c r="DC20" s="103"/>
      <c r="DD20" s="103"/>
      <c r="DE20" s="103"/>
    </row>
    <row r="21" spans="2:109" ht="13.5" thickBot="1" x14ac:dyDescent="0.25">
      <c r="AS21" s="41"/>
      <c r="AT21" s="182"/>
      <c r="AU21" s="41"/>
      <c r="AV21" s="41"/>
      <c r="AW21" s="41"/>
      <c r="AX21" s="41"/>
      <c r="AY21" s="41"/>
      <c r="AZ21" s="41"/>
      <c r="BA21" s="41"/>
      <c r="BB21" s="176"/>
      <c r="BC21" s="179"/>
      <c r="BD21" s="41"/>
      <c r="BE21" s="179"/>
      <c r="BF21" s="41"/>
      <c r="BG21" s="41"/>
      <c r="BH21" s="179"/>
      <c r="BI21" s="22"/>
      <c r="BJ21" s="22"/>
      <c r="BK21" s="183"/>
      <c r="BL21" s="41"/>
      <c r="BM21" s="41"/>
      <c r="BN21" s="41"/>
      <c r="BO21" s="183"/>
      <c r="BP21" s="183"/>
      <c r="BQ21" s="179"/>
      <c r="BR21" s="179"/>
      <c r="BS21" s="179"/>
      <c r="BT21" s="179"/>
      <c r="BU21" s="179"/>
      <c r="BV21" s="179"/>
      <c r="BX21" s="106">
        <v>2.2999999999999998</v>
      </c>
      <c r="BY21" s="103"/>
      <c r="BZ21" s="103"/>
      <c r="CA21" s="103"/>
      <c r="CB21" s="103"/>
      <c r="CC21" s="103"/>
      <c r="CD21" s="103"/>
      <c r="CE21" s="103"/>
      <c r="CF21" s="103"/>
      <c r="CG21" s="103"/>
      <c r="CH21" s="103"/>
      <c r="CI21" s="103"/>
      <c r="CJ21" s="103"/>
      <c r="CK21" s="103"/>
      <c r="CL21" s="103"/>
      <c r="CM21" s="103"/>
      <c r="CN21" s="103"/>
      <c r="CO21" s="103"/>
      <c r="CP21" s="103"/>
      <c r="CQ21" s="103"/>
      <c r="CR21" s="103"/>
      <c r="CS21" s="103"/>
      <c r="CT21" s="103"/>
      <c r="CU21" s="103"/>
      <c r="CV21" s="103"/>
      <c r="CW21" s="103"/>
      <c r="CX21" s="103"/>
      <c r="CY21" s="103"/>
      <c r="CZ21" s="103"/>
      <c r="DA21" s="103"/>
      <c r="DB21" s="103"/>
      <c r="DC21" s="103"/>
      <c r="DD21" s="103"/>
      <c r="DE21" s="103"/>
    </row>
    <row r="22" spans="2:109" ht="13.5" thickBot="1" x14ac:dyDescent="0.25">
      <c r="AS22" s="41"/>
      <c r="AT22" s="182"/>
      <c r="AU22" s="41"/>
      <c r="AV22" s="50"/>
      <c r="AW22" s="50"/>
      <c r="AX22" s="41"/>
      <c r="AY22" s="41"/>
      <c r="AZ22" s="41"/>
      <c r="BA22" s="41"/>
      <c r="BB22" s="176"/>
      <c r="BC22" s="179"/>
      <c r="BD22" s="41"/>
      <c r="BE22" s="179"/>
      <c r="BF22" s="41"/>
      <c r="BG22" s="41"/>
      <c r="BH22" s="179"/>
      <c r="BI22" s="22"/>
      <c r="BJ22" s="22"/>
      <c r="BK22" s="183"/>
      <c r="BL22" s="41"/>
      <c r="BM22" s="41"/>
      <c r="BN22" s="41"/>
      <c r="BO22" s="183"/>
      <c r="BP22" s="183"/>
      <c r="BQ22" s="179"/>
      <c r="BR22" s="179"/>
      <c r="BS22" s="179"/>
      <c r="BT22" s="179"/>
      <c r="BU22" s="179"/>
      <c r="BV22" s="179"/>
      <c r="BX22" s="106">
        <v>2.65</v>
      </c>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row>
    <row r="23" spans="2:109" ht="13.5" thickBot="1" x14ac:dyDescent="0.25">
      <c r="AS23" s="41"/>
      <c r="AT23" s="182"/>
      <c r="AU23" s="41"/>
      <c r="AV23" s="50"/>
      <c r="AW23" s="50"/>
      <c r="AX23" s="41"/>
      <c r="AY23" s="41"/>
      <c r="AZ23" s="41"/>
      <c r="BA23" s="41"/>
      <c r="BB23" s="176"/>
      <c r="BC23" s="179"/>
      <c r="BD23" s="41"/>
      <c r="BE23" s="179"/>
      <c r="BF23" s="41"/>
      <c r="BG23" s="41"/>
      <c r="BH23" s="179"/>
      <c r="BI23" s="22"/>
      <c r="BJ23" s="22"/>
      <c r="BK23" s="183"/>
      <c r="BL23" s="41"/>
      <c r="BM23" s="41"/>
      <c r="BN23" s="41"/>
      <c r="BO23" s="183"/>
      <c r="BP23" s="183"/>
      <c r="BQ23" s="179"/>
      <c r="BR23" s="179"/>
      <c r="BS23" s="179"/>
      <c r="BT23" s="179"/>
      <c r="BU23" s="179"/>
      <c r="BV23" s="179"/>
      <c r="BX23" s="106">
        <v>2.7</v>
      </c>
      <c r="BY23" s="103"/>
      <c r="BZ23" s="103"/>
      <c r="CA23" s="103"/>
      <c r="CB23" s="103"/>
      <c r="CC23" s="103"/>
      <c r="CD23" s="103"/>
      <c r="CE23" s="103"/>
      <c r="CF23" s="103"/>
      <c r="CG23" s="103"/>
      <c r="CH23" s="103"/>
      <c r="CI23" s="103"/>
      <c r="CJ23" s="103"/>
      <c r="CK23" s="103"/>
      <c r="CL23" s="103"/>
      <c r="CM23" s="103"/>
      <c r="CN23" s="103"/>
      <c r="CO23" s="103"/>
      <c r="CP23" s="103"/>
      <c r="CQ23" s="103"/>
      <c r="CR23" s="103"/>
      <c r="CS23" s="103"/>
      <c r="CT23" s="103"/>
      <c r="CU23" s="103"/>
      <c r="CV23" s="103"/>
      <c r="CW23" s="103"/>
      <c r="CX23" s="103"/>
      <c r="CY23" s="103"/>
      <c r="CZ23" s="103"/>
      <c r="DA23" s="103"/>
      <c r="DB23" s="103"/>
      <c r="DC23" s="103"/>
      <c r="DD23" s="103"/>
      <c r="DE23" s="103"/>
    </row>
    <row r="24" spans="2:109" ht="13.5" thickBot="1" x14ac:dyDescent="0.25">
      <c r="AS24" s="41"/>
      <c r="AT24" s="182"/>
      <c r="AU24" s="41"/>
      <c r="AV24" s="50"/>
      <c r="AW24" s="50"/>
      <c r="AX24" s="41"/>
      <c r="AY24" s="41"/>
      <c r="AZ24" s="41"/>
      <c r="BA24" s="41"/>
      <c r="BB24" s="176"/>
      <c r="BC24" s="179"/>
      <c r="BD24" s="41"/>
      <c r="BE24" s="179"/>
      <c r="BF24" s="41"/>
      <c r="BG24" s="41"/>
      <c r="BH24" s="179"/>
      <c r="BI24" s="22"/>
      <c r="BJ24" s="22"/>
      <c r="BK24" s="183"/>
      <c r="BL24" s="41"/>
      <c r="BM24" s="41"/>
      <c r="BN24" s="41"/>
      <c r="BO24" s="183"/>
      <c r="BP24" s="183"/>
      <c r="BQ24" s="179"/>
      <c r="BR24" s="179"/>
      <c r="BS24" s="179"/>
      <c r="BT24" s="179"/>
      <c r="BU24" s="179"/>
      <c r="BV24" s="179"/>
      <c r="BX24" s="106">
        <v>3</v>
      </c>
      <c r="BY24" s="103"/>
      <c r="BZ24" s="103"/>
      <c r="CA24" s="103"/>
      <c r="CB24" s="103"/>
      <c r="CC24" s="103"/>
      <c r="CD24" s="103"/>
      <c r="CE24" s="103"/>
      <c r="CF24" s="103"/>
      <c r="CG24" s="103"/>
      <c r="CH24" s="103"/>
      <c r="CI24" s="103"/>
      <c r="CJ24" s="103"/>
      <c r="CK24" s="103"/>
      <c r="CL24" s="103"/>
      <c r="CM24" s="103"/>
      <c r="CN24" s="103"/>
      <c r="CO24" s="103"/>
      <c r="CP24" s="103"/>
      <c r="CQ24" s="103"/>
      <c r="CR24" s="103"/>
      <c r="CS24" s="103"/>
      <c r="CT24" s="103"/>
      <c r="CU24" s="103"/>
      <c r="CV24" s="103"/>
      <c r="CW24" s="103"/>
      <c r="CX24" s="103"/>
      <c r="CY24" s="103"/>
      <c r="CZ24" s="103"/>
      <c r="DA24" s="103"/>
      <c r="DB24" s="103"/>
      <c r="DC24" s="103"/>
      <c r="DD24" s="103"/>
      <c r="DE24" s="103"/>
    </row>
    <row r="25" spans="2:109" ht="15.75" thickBot="1" x14ac:dyDescent="0.3">
      <c r="B25" s="177"/>
      <c r="C25" s="178"/>
      <c r="D25" s="179"/>
      <c r="E25" s="180"/>
      <c r="F25" s="181"/>
      <c r="G25" s="182"/>
      <c r="H25" s="182"/>
      <c r="I25" s="41"/>
      <c r="J25" s="182"/>
      <c r="K25" s="182"/>
      <c r="L25" s="182"/>
      <c r="M25" s="183"/>
      <c r="N25" s="184"/>
      <c r="S25" s="41"/>
      <c r="T25" s="41"/>
      <c r="U25" s="41"/>
      <c r="V25" s="179"/>
      <c r="W25" s="41"/>
      <c r="X25" s="185"/>
      <c r="Y25" s="183"/>
      <c r="Z25" s="41"/>
      <c r="AA25" s="41"/>
      <c r="AB25" s="183"/>
      <c r="AC25" s="179"/>
      <c r="AD25" s="41"/>
      <c r="AE25" s="179"/>
      <c r="AF25" s="179"/>
      <c r="AG25" s="179"/>
      <c r="AH25" s="179"/>
      <c r="AI25" s="179"/>
      <c r="AJ25" s="41"/>
      <c r="AK25" s="41"/>
      <c r="AL25" s="183"/>
      <c r="AM25" s="186"/>
      <c r="AN25" s="186"/>
      <c r="AS25" s="41"/>
      <c r="AT25" s="41"/>
      <c r="AU25" s="41"/>
      <c r="AV25" s="41"/>
      <c r="AW25" s="41"/>
      <c r="AX25" s="41"/>
      <c r="AY25" s="41"/>
      <c r="AZ25" s="41"/>
      <c r="BA25" s="41"/>
      <c r="BB25" s="176"/>
      <c r="BC25" s="179"/>
      <c r="BD25" s="41"/>
      <c r="BE25" s="179"/>
      <c r="BF25" s="41"/>
      <c r="BG25" s="41"/>
      <c r="BH25" s="179"/>
      <c r="BI25" s="22"/>
      <c r="BJ25" s="22"/>
      <c r="BK25" s="183"/>
      <c r="BL25" s="41"/>
      <c r="BM25" s="41"/>
      <c r="BN25" s="41"/>
      <c r="BO25" s="183"/>
      <c r="BP25" s="183"/>
      <c r="BQ25" s="179"/>
      <c r="BR25" s="179"/>
      <c r="BS25" s="179"/>
      <c r="BT25" s="179"/>
      <c r="BU25" s="179"/>
      <c r="BV25" s="179"/>
      <c r="BX25" s="106">
        <v>3.35</v>
      </c>
      <c r="BY25" s="103"/>
      <c r="BZ25" s="103"/>
      <c r="CA25" s="103"/>
      <c r="CB25" s="103"/>
      <c r="CC25" s="103"/>
      <c r="CD25" s="103"/>
      <c r="CE25" s="103"/>
      <c r="CF25" s="103"/>
      <c r="CG25" s="103"/>
      <c r="CH25" s="103"/>
      <c r="CI25" s="103"/>
      <c r="CJ25" s="103"/>
      <c r="CK25" s="103"/>
      <c r="CL25" s="103"/>
      <c r="CM25" s="103"/>
      <c r="CN25" s="103"/>
      <c r="CO25" s="103"/>
      <c r="CP25" s="103"/>
      <c r="CQ25" s="103"/>
      <c r="CR25" s="103"/>
      <c r="CS25" s="103"/>
      <c r="CT25" s="103"/>
      <c r="CU25" s="103"/>
      <c r="CV25" s="103"/>
      <c r="CW25" s="103"/>
      <c r="CX25" s="103"/>
      <c r="CY25" s="103"/>
      <c r="CZ25" s="103"/>
      <c r="DA25" s="103"/>
      <c r="DB25" s="103"/>
      <c r="DC25" s="103"/>
      <c r="DD25" s="103"/>
      <c r="DE25" s="103"/>
    </row>
    <row r="26" spans="2:109" ht="13.5" thickBot="1" x14ac:dyDescent="0.25">
      <c r="V26" s="42"/>
      <c r="AD26" s="25"/>
      <c r="AE26" s="25"/>
      <c r="AF26" s="21"/>
      <c r="AG26" s="175"/>
      <c r="AS26" s="41"/>
      <c r="AT26" s="41"/>
      <c r="AU26" s="41"/>
      <c r="AV26" s="41"/>
      <c r="AW26" s="41"/>
      <c r="AX26" s="41"/>
      <c r="AY26" s="41"/>
      <c r="AZ26" s="41"/>
      <c r="BA26" s="41"/>
      <c r="BB26" s="176"/>
      <c r="BC26" s="179"/>
      <c r="BD26" s="183"/>
      <c r="BE26" s="179"/>
      <c r="BF26" s="41"/>
      <c r="BG26" s="41"/>
      <c r="BH26" s="179"/>
      <c r="BI26" s="22"/>
      <c r="BJ26" s="22"/>
      <c r="BK26" s="183"/>
      <c r="BL26" s="41"/>
      <c r="BM26" s="41"/>
      <c r="BN26" s="41"/>
      <c r="BO26" s="183"/>
      <c r="BP26" s="183"/>
      <c r="BQ26" s="179"/>
      <c r="BR26" s="179"/>
      <c r="BS26" s="179"/>
      <c r="BT26" s="179"/>
      <c r="BU26" s="179"/>
      <c r="BV26" s="179"/>
      <c r="BX26" s="106">
        <v>3.75</v>
      </c>
      <c r="BY26" s="103"/>
      <c r="BZ26" s="103"/>
      <c r="CA26" s="103"/>
      <c r="CB26" s="103"/>
      <c r="CC26" s="103"/>
      <c r="CD26" s="103"/>
      <c r="CE26" s="103"/>
      <c r="CF26" s="103"/>
      <c r="CG26" s="103"/>
      <c r="CH26" s="103"/>
      <c r="CI26" s="103"/>
      <c r="CJ26" s="103"/>
      <c r="CK26" s="103"/>
      <c r="CL26" s="103"/>
      <c r="CM26" s="103"/>
      <c r="CN26" s="103"/>
      <c r="CO26" s="103"/>
      <c r="CP26" s="103"/>
      <c r="CQ26" s="103"/>
      <c r="CR26" s="103"/>
      <c r="CS26" s="103"/>
      <c r="CT26" s="103"/>
      <c r="CU26" s="103"/>
      <c r="CV26" s="103"/>
      <c r="CW26" s="103"/>
      <c r="CX26" s="103"/>
      <c r="CY26" s="103"/>
      <c r="CZ26" s="103"/>
      <c r="DA26" s="103"/>
      <c r="DB26" s="103"/>
      <c r="DC26" s="103"/>
      <c r="DD26" s="103"/>
      <c r="DE26" s="103"/>
    </row>
    <row r="27" spans="2:109" ht="13.5" thickBot="1" x14ac:dyDescent="0.25">
      <c r="AS27" s="41"/>
      <c r="AT27" s="182"/>
      <c r="AU27" s="41"/>
      <c r="AV27" s="41"/>
      <c r="AW27" s="41"/>
      <c r="AX27" s="41"/>
      <c r="AY27" s="41"/>
      <c r="AZ27" s="41"/>
      <c r="BA27" s="41"/>
      <c r="BB27" s="176"/>
      <c r="BC27" s="179"/>
      <c r="BD27" s="41"/>
      <c r="BE27" s="179"/>
      <c r="BF27" s="41"/>
      <c r="BG27" s="41"/>
      <c r="BH27" s="179"/>
      <c r="BI27" s="22"/>
      <c r="BJ27" s="22"/>
      <c r="BK27" s="183"/>
      <c r="BL27" s="41"/>
      <c r="BM27" s="41"/>
      <c r="BN27" s="41"/>
      <c r="BO27" s="183"/>
      <c r="BP27" s="183"/>
      <c r="BQ27" s="179"/>
      <c r="BR27" s="179"/>
      <c r="BS27" s="179"/>
      <c r="BT27" s="179"/>
      <c r="BU27" s="179"/>
      <c r="BV27" s="179"/>
      <c r="BX27" s="106">
        <v>4.25</v>
      </c>
      <c r="BY27" s="103"/>
      <c r="BZ27" s="103"/>
      <c r="CA27" s="103"/>
      <c r="CB27" s="103"/>
      <c r="CC27" s="103"/>
      <c r="CD27" s="103"/>
      <c r="CE27" s="103"/>
      <c r="CF27" s="103"/>
      <c r="CG27" s="103"/>
      <c r="CH27" s="103"/>
      <c r="CI27" s="103"/>
      <c r="CJ27" s="103"/>
      <c r="CK27" s="103"/>
      <c r="CL27" s="103"/>
      <c r="CM27" s="103"/>
      <c r="CN27" s="103"/>
      <c r="CO27" s="103"/>
      <c r="CP27" s="103"/>
      <c r="CQ27" s="103"/>
      <c r="CR27" s="103"/>
      <c r="CS27" s="103"/>
      <c r="CT27" s="103"/>
      <c r="CU27" s="103"/>
      <c r="CV27" s="103"/>
      <c r="CW27" s="103"/>
      <c r="CX27" s="103"/>
      <c r="CY27" s="103"/>
      <c r="CZ27" s="103"/>
      <c r="DA27" s="103"/>
      <c r="DB27" s="103"/>
      <c r="DC27" s="103"/>
      <c r="DD27" s="103"/>
      <c r="DE27" s="103"/>
    </row>
    <row r="28" spans="2:109" ht="13.5" thickBot="1" x14ac:dyDescent="0.25">
      <c r="AS28" s="41"/>
      <c r="AT28" s="182"/>
      <c r="AU28" s="41"/>
      <c r="AV28" s="50"/>
      <c r="AW28" s="50"/>
      <c r="AX28" s="41"/>
      <c r="AY28" s="41"/>
      <c r="AZ28" s="41"/>
      <c r="BA28" s="41"/>
      <c r="BB28" s="176"/>
      <c r="BC28" s="179"/>
      <c r="BD28" s="41"/>
      <c r="BE28" s="179"/>
      <c r="BF28" s="41"/>
      <c r="BG28" s="41"/>
      <c r="BH28" s="179"/>
      <c r="BI28" s="22"/>
      <c r="BJ28" s="22"/>
      <c r="BK28" s="183"/>
      <c r="BL28" s="41"/>
      <c r="BM28" s="41"/>
      <c r="BN28" s="41"/>
      <c r="BO28" s="183"/>
      <c r="BP28" s="183"/>
      <c r="BQ28" s="179"/>
      <c r="BR28" s="179"/>
      <c r="BS28" s="179"/>
      <c r="BT28" s="179"/>
      <c r="BU28" s="179"/>
      <c r="BV28" s="179"/>
      <c r="BX28" s="106">
        <v>4.5</v>
      </c>
      <c r="BY28" s="103"/>
      <c r="BZ28" s="103"/>
      <c r="CA28" s="103"/>
      <c r="CB28" s="103"/>
      <c r="CC28" s="103"/>
      <c r="CD28" s="103"/>
      <c r="CE28" s="103"/>
      <c r="CF28" s="103"/>
      <c r="CG28" s="103"/>
      <c r="CH28" s="103"/>
      <c r="CI28" s="103"/>
      <c r="CJ28" s="103"/>
      <c r="CK28" s="103"/>
      <c r="CL28" s="103"/>
      <c r="CM28" s="103"/>
      <c r="CN28" s="103"/>
      <c r="CO28" s="103"/>
      <c r="CP28" s="103"/>
      <c r="CQ28" s="103"/>
      <c r="CR28" s="103"/>
      <c r="CS28" s="103"/>
      <c r="CT28" s="103"/>
      <c r="CU28" s="103"/>
      <c r="CV28" s="103"/>
      <c r="CW28" s="103"/>
      <c r="CX28" s="103"/>
      <c r="CY28" s="103"/>
      <c r="CZ28" s="103"/>
      <c r="DA28" s="103"/>
      <c r="DB28" s="103"/>
      <c r="DC28" s="103"/>
      <c r="DD28" s="103"/>
      <c r="DE28" s="103"/>
    </row>
    <row r="29" spans="2:109" ht="13.5" thickBot="1" x14ac:dyDescent="0.25">
      <c r="AS29" s="41"/>
      <c r="AT29" s="182"/>
      <c r="AU29" s="41"/>
      <c r="AV29" s="50"/>
      <c r="AW29" s="50"/>
      <c r="AX29" s="41"/>
      <c r="AY29" s="41"/>
      <c r="AZ29" s="41"/>
      <c r="BA29" s="41"/>
      <c r="BB29" s="176"/>
      <c r="BC29" s="179"/>
      <c r="BD29" s="41"/>
      <c r="BE29" s="179"/>
      <c r="BF29" s="41"/>
      <c r="BG29" s="41"/>
      <c r="BH29" s="179"/>
      <c r="BI29" s="22"/>
      <c r="BJ29" s="22"/>
      <c r="BK29" s="183"/>
      <c r="BL29" s="41"/>
      <c r="BM29" s="41"/>
      <c r="BN29" s="41"/>
      <c r="BO29" s="183"/>
      <c r="BP29" s="183"/>
      <c r="BQ29" s="179"/>
      <c r="BR29" s="179"/>
      <c r="BS29" s="179"/>
      <c r="BT29" s="179"/>
      <c r="BU29" s="179"/>
      <c r="BV29" s="179"/>
      <c r="BX29" s="106">
        <v>4.75</v>
      </c>
      <c r="BY29" s="103"/>
      <c r="BZ29" s="103"/>
      <c r="CA29" s="103"/>
      <c r="CB29" s="103"/>
      <c r="CC29" s="103"/>
      <c r="CD29" s="103"/>
      <c r="CE29" s="10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row>
    <row r="30" spans="2:109" ht="13.5" thickBot="1" x14ac:dyDescent="0.25">
      <c r="AS30" s="41"/>
      <c r="AT30" s="182"/>
      <c r="AU30" s="41"/>
      <c r="AV30" s="50"/>
      <c r="AW30" s="50"/>
      <c r="AX30" s="41"/>
      <c r="AY30" s="41"/>
      <c r="AZ30" s="41"/>
      <c r="BA30" s="41"/>
      <c r="BB30" s="176"/>
      <c r="BC30" s="179"/>
      <c r="BD30" s="41"/>
      <c r="BE30" s="179"/>
      <c r="BF30" s="41"/>
      <c r="BG30" s="41"/>
      <c r="BH30" s="179"/>
      <c r="BI30" s="22"/>
      <c r="BJ30" s="22"/>
      <c r="BK30" s="183"/>
      <c r="BL30" s="41"/>
      <c r="BM30" s="41"/>
      <c r="BN30" s="41"/>
      <c r="BO30" s="183"/>
      <c r="BP30" s="183"/>
      <c r="BQ30" s="179"/>
      <c r="BR30" s="179"/>
      <c r="BS30" s="179"/>
      <c r="BT30" s="179"/>
      <c r="BU30" s="179"/>
      <c r="BV30" s="179"/>
      <c r="BX30" s="106">
        <v>5</v>
      </c>
      <c r="BY30" s="103"/>
      <c r="BZ30" s="103"/>
      <c r="CA30" s="103"/>
      <c r="CB30" s="103"/>
      <c r="CC30" s="103"/>
      <c r="CD30" s="103"/>
      <c r="CE30" s="10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row>
    <row r="31" spans="2:109" x14ac:dyDescent="0.2">
      <c r="BX31" s="103"/>
      <c r="BY31" s="103"/>
      <c r="BZ31" s="751"/>
      <c r="CA31" s="751"/>
      <c r="CB31" s="751"/>
      <c r="CC31" s="751"/>
      <c r="CD31" s="103"/>
      <c r="CE31" s="113"/>
      <c r="CF31" s="103"/>
      <c r="CG31" s="103"/>
      <c r="CH31" s="103"/>
      <c r="CI31" s="103"/>
      <c r="CJ31" s="103"/>
      <c r="CK31" s="103"/>
      <c r="CL31" s="103"/>
      <c r="CM31" s="103"/>
      <c r="CN31" s="103"/>
      <c r="CO31" s="103"/>
      <c r="CP31" s="103"/>
      <c r="CQ31" s="103"/>
      <c r="CR31" s="103"/>
      <c r="CS31" s="103"/>
      <c r="CT31" s="103"/>
      <c r="CU31" s="103"/>
      <c r="CV31" s="103"/>
      <c r="CW31" s="103"/>
      <c r="CX31" s="103"/>
      <c r="CY31" s="103"/>
      <c r="CZ31" s="103"/>
      <c r="DA31" s="103"/>
      <c r="DB31" s="103"/>
      <c r="DC31" s="103"/>
      <c r="DD31" s="103"/>
      <c r="DE31" s="103"/>
    </row>
    <row r="32" spans="2:109" x14ac:dyDescent="0.2">
      <c r="BX32" s="103"/>
      <c r="BY32" s="103"/>
      <c r="BZ32" s="112"/>
      <c r="CA32" s="112"/>
      <c r="CB32" s="112"/>
      <c r="CC32" s="112"/>
      <c r="CD32" s="103"/>
      <c r="CE32" s="113"/>
      <c r="CF32" s="103"/>
      <c r="CG32" s="103"/>
      <c r="CH32" s="103"/>
      <c r="CI32" s="103"/>
      <c r="CJ32" s="103"/>
      <c r="CK32" s="103"/>
      <c r="CL32" s="103"/>
      <c r="CM32" s="103"/>
      <c r="CN32" s="103"/>
      <c r="CO32" s="103"/>
      <c r="CP32" s="103"/>
      <c r="CQ32" s="103"/>
      <c r="CR32" s="103"/>
      <c r="CS32" s="103"/>
      <c r="CT32" s="103"/>
      <c r="CU32" s="103"/>
      <c r="CV32" s="103"/>
      <c r="CW32" s="103"/>
      <c r="CX32" s="103"/>
      <c r="CY32" s="103"/>
      <c r="CZ32" s="103"/>
      <c r="DA32" s="103"/>
      <c r="DB32" s="103"/>
      <c r="DC32" s="103"/>
      <c r="DD32" s="103"/>
      <c r="DE32" s="103"/>
    </row>
    <row r="33" spans="76:109" x14ac:dyDescent="0.2">
      <c r="BX33" s="103"/>
      <c r="BY33" s="103"/>
      <c r="BZ33" s="112"/>
      <c r="CA33" s="112"/>
      <c r="CB33" s="112"/>
      <c r="CC33" s="112"/>
      <c r="CD33" s="103"/>
      <c r="CE33" s="113"/>
      <c r="CF33" s="103"/>
      <c r="CG33" s="103"/>
      <c r="CH33" s="103"/>
      <c r="CI33" s="103"/>
      <c r="CJ33" s="103"/>
      <c r="CK33" s="103"/>
      <c r="CL33" s="103"/>
      <c r="CM33" s="103"/>
      <c r="CN33" s="103"/>
      <c r="CO33" s="103"/>
      <c r="CP33" s="103"/>
      <c r="CQ33" s="103"/>
      <c r="CR33" s="103"/>
      <c r="CS33" s="103"/>
      <c r="CT33" s="103"/>
      <c r="CU33" s="103"/>
      <c r="CV33" s="103"/>
      <c r="CW33" s="103"/>
      <c r="CX33" s="103"/>
      <c r="CY33" s="103"/>
      <c r="CZ33" s="103"/>
      <c r="DA33" s="103"/>
      <c r="DB33" s="103"/>
      <c r="DC33" s="103"/>
      <c r="DD33" s="103"/>
      <c r="DE33" s="103"/>
    </row>
    <row r="34" spans="76:109" ht="13.5" thickBot="1" x14ac:dyDescent="0.25">
      <c r="CE34" s="101"/>
    </row>
    <row r="35" spans="76:109" ht="13.5" thickBot="1" x14ac:dyDescent="0.25">
      <c r="CE35" s="22"/>
    </row>
    <row r="36" spans="76:109" ht="13.5" thickBot="1" x14ac:dyDescent="0.25">
      <c r="CE36" s="22"/>
    </row>
  </sheetData>
  <mergeCells count="94">
    <mergeCell ref="BZ31:CC31"/>
    <mergeCell ref="BZ12:CC12"/>
    <mergeCell ref="BZ9:CC9"/>
    <mergeCell ref="BZ5:CC5"/>
    <mergeCell ref="BQ5:BQ6"/>
    <mergeCell ref="BT5:BT6"/>
    <mergeCell ref="BU5:BU6"/>
    <mergeCell ref="BV5:BV6"/>
    <mergeCell ref="BS5:BS6"/>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CI5:CN5"/>
    <mergeCell ref="CX5:DA5"/>
    <mergeCell ref="DB5:DE5"/>
    <mergeCell ref="CO10:CQ10"/>
    <mergeCell ref="CT10:CU10"/>
    <mergeCell ref="CX10:CY10"/>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s>
  <conditionalFormatting sqref="BS7:BV12 BE7:BE12 BO7:BO12 BJ7:BJ12 G7:H7 J7:L7">
    <cfRule type="cellIs" dxfId="116" priority="85" operator="equal">
      <formula>0</formula>
    </cfRule>
  </conditionalFormatting>
  <conditionalFormatting sqref="BO7:BP12 BS7:BV12 U7:V7 Y7 AA7:AI7 AP7:AP12 BC7:BC12 AX7:AZ12 BD7:BE8 BF7:BL12 AL7:BV7">
    <cfRule type="containsErrors" dxfId="115" priority="83">
      <formula>ISERROR(U7)</formula>
    </cfRule>
  </conditionalFormatting>
  <conditionalFormatting sqref="V7">
    <cfRule type="cellIs" dxfId="114" priority="72" operator="lessThanOrEqual">
      <formula>0.67</formula>
    </cfRule>
  </conditionalFormatting>
  <conditionalFormatting sqref="AS7:AS12">
    <cfRule type="cellIs" dxfId="113" priority="68" operator="equal">
      <formula>0</formula>
    </cfRule>
    <cfRule type="cellIs" dxfId="112" priority="69" operator="lessThan">
      <formula>$J$7</formula>
    </cfRule>
  </conditionalFormatting>
  <conditionalFormatting sqref="AT9:AT12">
    <cfRule type="cellIs" dxfId="111" priority="60" operator="equal">
      <formula>0</formula>
    </cfRule>
  </conditionalFormatting>
  <conditionalFormatting sqref="AS10">
    <cfRule type="cellIs" dxfId="110" priority="57" operator="greaterThan">
      <formula>6500</formula>
    </cfRule>
  </conditionalFormatting>
  <conditionalFormatting sqref="M7:O7">
    <cfRule type="cellIs" dxfId="109" priority="55" operator="equal">
      <formula>0</formula>
    </cfRule>
    <cfRule type="containsErrors" dxfId="108" priority="56">
      <formula>ISERROR(M7)</formula>
    </cfRule>
  </conditionalFormatting>
  <conditionalFormatting sqref="G7">
    <cfRule type="cellIs" dxfId="107" priority="51" operator="greaterThan">
      <formula>18</formula>
    </cfRule>
  </conditionalFormatting>
  <conditionalFormatting sqref="H7">
    <cfRule type="cellIs" dxfId="106" priority="50" operator="greaterThan">
      <formula>18</formula>
    </cfRule>
  </conditionalFormatting>
  <conditionalFormatting sqref="J7">
    <cfRule type="cellIs" dxfId="105" priority="49" operator="greaterThan">
      <formula>100</formula>
    </cfRule>
  </conditionalFormatting>
  <conditionalFormatting sqref="G7:H7 J7:L7">
    <cfRule type="cellIs" dxfId="104" priority="48" operator="equal">
      <formula>0</formula>
    </cfRule>
  </conditionalFormatting>
  <conditionalFormatting sqref="M7:O7">
    <cfRule type="cellIs" dxfId="103" priority="46" operator="equal">
      <formula>0</formula>
    </cfRule>
    <cfRule type="containsErrors" dxfId="102" priority="47">
      <formula>ISERROR(M7)</formula>
    </cfRule>
  </conditionalFormatting>
  <conditionalFormatting sqref="BS13:BV18 BE13:BE18 BO13:BO18 BJ13:BJ18 G13:H13 J13:L13">
    <cfRule type="cellIs" dxfId="101" priority="45" operator="equal">
      <formula>0</formula>
    </cfRule>
  </conditionalFormatting>
  <conditionalFormatting sqref="BO13:BP18 BS13:BV18 U13:V13 Y13 AA13:AI13 AL13:AN13 BC13:BC18 AX13:AZ18 BD13:BE14 BF13:BL18 AS13:AW13 BQ13:BR13 BA13:BB13 BM13:BN13">
    <cfRule type="containsErrors" dxfId="100" priority="44">
      <formula>ISERROR(U13)</formula>
    </cfRule>
  </conditionalFormatting>
  <conditionalFormatting sqref="V13">
    <cfRule type="cellIs" dxfId="99" priority="43" operator="lessThanOrEqual">
      <formula>0.67</formula>
    </cfRule>
  </conditionalFormatting>
  <conditionalFormatting sqref="AS13:AS18">
    <cfRule type="cellIs" dxfId="98" priority="41" operator="equal">
      <formula>0</formula>
    </cfRule>
    <cfRule type="cellIs" dxfId="97" priority="42" operator="lessThan">
      <formula>$J$7</formula>
    </cfRule>
  </conditionalFormatting>
  <conditionalFormatting sqref="AT15:AT18">
    <cfRule type="cellIs" dxfId="96" priority="40" operator="equal">
      <formula>0</formula>
    </cfRule>
  </conditionalFormatting>
  <conditionalFormatting sqref="AS16">
    <cfRule type="cellIs" dxfId="95" priority="39" operator="greaterThan">
      <formula>6500</formula>
    </cfRule>
  </conditionalFormatting>
  <conditionalFormatting sqref="M13:O13">
    <cfRule type="cellIs" dxfId="94" priority="37" operator="equal">
      <formula>0</formula>
    </cfRule>
    <cfRule type="containsErrors" dxfId="93" priority="38">
      <formula>ISERROR(M13)</formula>
    </cfRule>
  </conditionalFormatting>
  <conditionalFormatting sqref="G13">
    <cfRule type="cellIs" dxfId="92" priority="36" operator="greaterThan">
      <formula>18</formula>
    </cfRule>
  </conditionalFormatting>
  <conditionalFormatting sqref="H13">
    <cfRule type="cellIs" dxfId="91" priority="35" operator="greaterThan">
      <formula>18</formula>
    </cfRule>
  </conditionalFormatting>
  <conditionalFormatting sqref="J13">
    <cfRule type="cellIs" dxfId="90" priority="34" operator="greaterThan">
      <formula>100</formula>
    </cfRule>
  </conditionalFormatting>
  <conditionalFormatting sqref="G13:H13 J13:L13">
    <cfRule type="cellIs" dxfId="89" priority="33" operator="equal">
      <formula>0</formula>
    </cfRule>
  </conditionalFormatting>
  <conditionalFormatting sqref="M13:O13">
    <cfRule type="cellIs" dxfId="88" priority="31" operator="equal">
      <formula>0</formula>
    </cfRule>
    <cfRule type="containsErrors" dxfId="87" priority="32">
      <formula>ISERROR(M13)</formula>
    </cfRule>
  </conditionalFormatting>
  <conditionalFormatting sqref="BS19:BV24 BE19:BE24 BO19:BO24 BJ19:BJ24 G19:H19 J19:L19">
    <cfRule type="cellIs" dxfId="86" priority="30" operator="equal">
      <formula>0</formula>
    </cfRule>
  </conditionalFormatting>
  <conditionalFormatting sqref="BO19:BP24 BS19:BV24 U19:V19 Y19 AA19:AI19 AL19:AN19 BC19:BC24 AX19:AZ24 BD19:BE20 BF19:BL24 AS19:AW19 BQ19:BR19 BA19:BB19 BM19:BN19">
    <cfRule type="containsErrors" dxfId="85" priority="29">
      <formula>ISERROR(U19)</formula>
    </cfRule>
  </conditionalFormatting>
  <conditionalFormatting sqref="V19">
    <cfRule type="cellIs" dxfId="84" priority="28" operator="lessThanOrEqual">
      <formula>0.67</formula>
    </cfRule>
  </conditionalFormatting>
  <conditionalFormatting sqref="AS19:AS24">
    <cfRule type="cellIs" dxfId="83" priority="26" operator="equal">
      <formula>0</formula>
    </cfRule>
    <cfRule type="cellIs" dxfId="82" priority="27" operator="lessThan">
      <formula>$J$7</formula>
    </cfRule>
  </conditionalFormatting>
  <conditionalFormatting sqref="AT21:AT24">
    <cfRule type="cellIs" dxfId="81" priority="25" operator="equal">
      <formula>0</formula>
    </cfRule>
  </conditionalFormatting>
  <conditionalFormatting sqref="AS22">
    <cfRule type="cellIs" dxfId="80" priority="24" operator="greaterThan">
      <formula>6500</formula>
    </cfRule>
  </conditionalFormatting>
  <conditionalFormatting sqref="M19:O19">
    <cfRule type="cellIs" dxfId="79" priority="22" operator="equal">
      <formula>0</formula>
    </cfRule>
    <cfRule type="containsErrors" dxfId="78" priority="23">
      <formula>ISERROR(M19)</formula>
    </cfRule>
  </conditionalFormatting>
  <conditionalFormatting sqref="G19">
    <cfRule type="cellIs" dxfId="77" priority="21" operator="greaterThan">
      <formula>18</formula>
    </cfRule>
  </conditionalFormatting>
  <conditionalFormatting sqref="H19">
    <cfRule type="cellIs" dxfId="76" priority="20" operator="greaterThan">
      <formula>18</formula>
    </cfRule>
  </conditionalFormatting>
  <conditionalFormatting sqref="J19">
    <cfRule type="cellIs" dxfId="75" priority="19" operator="greaterThan">
      <formula>100</formula>
    </cfRule>
  </conditionalFormatting>
  <conditionalFormatting sqref="G19:H19 J19:L19">
    <cfRule type="cellIs" dxfId="74" priority="18" operator="equal">
      <formula>0</formula>
    </cfRule>
  </conditionalFormatting>
  <conditionalFormatting sqref="M19:O19">
    <cfRule type="cellIs" dxfId="73" priority="16" operator="equal">
      <formula>0</formula>
    </cfRule>
    <cfRule type="containsErrors" dxfId="72" priority="17">
      <formula>ISERROR(M19)</formula>
    </cfRule>
  </conditionalFormatting>
  <conditionalFormatting sqref="BS25:BV30 BE25:BE30 BO25:BO30 BJ25:BJ30 G25:H25 J25:L25">
    <cfRule type="cellIs" dxfId="71" priority="15" operator="equal">
      <formula>0</formula>
    </cfRule>
  </conditionalFormatting>
  <conditionalFormatting sqref="BO25:BP30 BS25:BV30 U25:V25 Y25 AA25:AI25 AL25:AN25 BC25:BC30 AX25:AZ30 BD25:BE26 BF25:BL30 AS25:AW25 BQ25:BR25 BA25:BB25 BM25:BN25">
    <cfRule type="containsErrors" dxfId="70" priority="14">
      <formula>ISERROR(U25)</formula>
    </cfRule>
  </conditionalFormatting>
  <conditionalFormatting sqref="V25">
    <cfRule type="cellIs" dxfId="69" priority="13" operator="lessThanOrEqual">
      <formula>0.67</formula>
    </cfRule>
  </conditionalFormatting>
  <conditionalFormatting sqref="AS25:AS30">
    <cfRule type="cellIs" dxfId="68" priority="11" operator="equal">
      <formula>0</formula>
    </cfRule>
    <cfRule type="cellIs" dxfId="67" priority="12" operator="lessThan">
      <formula>$J$7</formula>
    </cfRule>
  </conditionalFormatting>
  <conditionalFormatting sqref="AT27:AT30">
    <cfRule type="cellIs" dxfId="66" priority="10" operator="equal">
      <formula>0</formula>
    </cfRule>
  </conditionalFormatting>
  <conditionalFormatting sqref="AS28">
    <cfRule type="cellIs" dxfId="65" priority="9" operator="greaterThan">
      <formula>6500</formula>
    </cfRule>
  </conditionalFormatting>
  <conditionalFormatting sqref="M25:O25">
    <cfRule type="cellIs" dxfId="64" priority="7" operator="equal">
      <formula>0</formula>
    </cfRule>
    <cfRule type="containsErrors" dxfId="63" priority="8">
      <formula>ISERROR(M25)</formula>
    </cfRule>
  </conditionalFormatting>
  <conditionalFormatting sqref="G25">
    <cfRule type="cellIs" dxfId="62" priority="6" operator="greaterThan">
      <formula>18</formula>
    </cfRule>
  </conditionalFormatting>
  <conditionalFormatting sqref="H25">
    <cfRule type="cellIs" dxfId="61" priority="5" operator="greaterThan">
      <formula>18</formula>
    </cfRule>
  </conditionalFormatting>
  <conditionalFormatting sqref="J25">
    <cfRule type="cellIs" dxfId="60" priority="4" operator="greaterThan">
      <formula>100</formula>
    </cfRule>
  </conditionalFormatting>
  <conditionalFormatting sqref="G25:H25 J25:L25">
    <cfRule type="cellIs" dxfId="59" priority="3" operator="equal">
      <formula>0</formula>
    </cfRule>
  </conditionalFormatting>
  <conditionalFormatting sqref="M25:O25">
    <cfRule type="cellIs" dxfId="58" priority="1" operator="equal">
      <formula>0</formula>
    </cfRule>
    <cfRule type="containsErrors" dxfId="57"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E11" sqref="E11:J11"/>
    </sheetView>
  </sheetViews>
  <sheetFormatPr defaultColWidth="9.140625" defaultRowHeight="12.75" x14ac:dyDescent="0.2"/>
  <cols>
    <col min="1" max="1" width="8.85546875" style="384" customWidth="1"/>
    <col min="2" max="2" width="1" style="384" customWidth="1"/>
    <col min="3" max="16" width="9.7109375" style="384" customWidth="1"/>
    <col min="17" max="17" width="2.7109375" style="384" customWidth="1"/>
    <col min="18" max="18" width="3.42578125" style="384" customWidth="1"/>
    <col min="19" max="29" width="9.7109375" style="384" customWidth="1"/>
    <col min="30" max="16384" width="9.140625" style="384"/>
  </cols>
  <sheetData>
    <row r="1" spans="2:20" ht="13.5" thickBot="1" x14ac:dyDescent="0.25">
      <c r="B1" s="383"/>
      <c r="C1" s="383"/>
      <c r="D1" s="383"/>
      <c r="E1" s="383"/>
      <c r="F1" s="383"/>
      <c r="G1" s="383"/>
      <c r="H1" s="383"/>
      <c r="I1" s="383"/>
      <c r="J1" s="383"/>
      <c r="K1" s="383"/>
      <c r="L1" s="383"/>
      <c r="M1" s="383"/>
      <c r="N1" s="383"/>
      <c r="O1" s="383"/>
      <c r="P1" s="383"/>
      <c r="Q1" s="383"/>
    </row>
    <row r="2" spans="2:20" ht="13.5" customHeight="1" x14ac:dyDescent="0.2">
      <c r="B2" s="394"/>
      <c r="C2" s="395"/>
      <c r="D2" s="395"/>
      <c r="E2" s="395"/>
      <c r="F2" s="395"/>
      <c r="G2" s="395"/>
      <c r="H2" s="395"/>
      <c r="I2" s="395"/>
      <c r="J2" s="395"/>
      <c r="K2" s="395"/>
      <c r="L2" s="395"/>
      <c r="M2" s="395"/>
      <c r="N2" s="395"/>
      <c r="O2" s="779" t="s">
        <v>633</v>
      </c>
      <c r="P2" s="779"/>
      <c r="Q2" s="396"/>
    </row>
    <row r="3" spans="2:20" ht="15" customHeight="1" x14ac:dyDescent="0.2">
      <c r="B3" s="397"/>
      <c r="C3" s="695"/>
      <c r="D3" s="696"/>
      <c r="E3" s="696"/>
      <c r="F3" s="696"/>
      <c r="G3" s="701" t="s">
        <v>696</v>
      </c>
      <c r="H3" s="701"/>
      <c r="I3" s="701"/>
      <c r="J3" s="701"/>
      <c r="K3" s="701"/>
      <c r="L3" s="701"/>
      <c r="M3" s="701"/>
      <c r="N3" s="701"/>
      <c r="O3" s="701"/>
      <c r="P3" s="701"/>
      <c r="Q3" s="398"/>
    </row>
    <row r="4" spans="2:20" ht="15" customHeight="1" x14ac:dyDescent="0.2">
      <c r="B4" s="397"/>
      <c r="C4" s="697"/>
      <c r="D4" s="698"/>
      <c r="E4" s="698"/>
      <c r="F4" s="698"/>
      <c r="G4" s="701"/>
      <c r="H4" s="701"/>
      <c r="I4" s="701"/>
      <c r="J4" s="701"/>
      <c r="K4" s="701"/>
      <c r="L4" s="701"/>
      <c r="M4" s="701"/>
      <c r="N4" s="701"/>
      <c r="O4" s="701"/>
      <c r="P4" s="701"/>
      <c r="Q4" s="398"/>
    </row>
    <row r="5" spans="2:20" ht="15" customHeight="1" x14ac:dyDescent="0.2">
      <c r="B5" s="397"/>
      <c r="C5" s="699"/>
      <c r="D5" s="700"/>
      <c r="E5" s="700"/>
      <c r="F5" s="700"/>
      <c r="G5" s="701"/>
      <c r="H5" s="701"/>
      <c r="I5" s="701"/>
      <c r="J5" s="701"/>
      <c r="K5" s="701"/>
      <c r="L5" s="701"/>
      <c r="M5" s="701"/>
      <c r="N5" s="701"/>
      <c r="O5" s="701"/>
      <c r="P5" s="701"/>
      <c r="Q5" s="398"/>
    </row>
    <row r="6" spans="2:20" ht="5.0999999999999996" customHeight="1" x14ac:dyDescent="0.2">
      <c r="B6" s="397"/>
      <c r="C6" s="383"/>
      <c r="D6" s="383"/>
      <c r="E6" s="383"/>
      <c r="F6" s="383"/>
      <c r="G6" s="383"/>
      <c r="H6" s="383"/>
      <c r="I6" s="383"/>
      <c r="J6" s="383"/>
      <c r="K6" s="383"/>
      <c r="L6" s="383"/>
      <c r="M6" s="383"/>
      <c r="N6" s="383"/>
      <c r="O6" s="383"/>
      <c r="P6" s="383"/>
      <c r="Q6" s="398"/>
    </row>
    <row r="7" spans="2:20" ht="5.0999999999999996" customHeight="1" x14ac:dyDescent="0.2">
      <c r="B7" s="397"/>
      <c r="C7" s="383"/>
      <c r="D7" s="383"/>
      <c r="E7" s="383"/>
      <c r="F7" s="383"/>
      <c r="G7" s="383"/>
      <c r="H7" s="383"/>
      <c r="I7" s="383"/>
      <c r="J7" s="383"/>
      <c r="K7" s="383"/>
      <c r="L7" s="383"/>
      <c r="M7" s="383"/>
      <c r="N7" s="383"/>
      <c r="O7" s="383"/>
      <c r="P7" s="383"/>
      <c r="Q7" s="398"/>
    </row>
    <row r="8" spans="2:20" ht="15" customHeight="1" x14ac:dyDescent="0.2">
      <c r="B8" s="397"/>
      <c r="C8" s="780" t="s">
        <v>692</v>
      </c>
      <c r="D8" s="780"/>
      <c r="E8" s="705" t="str">
        <f ca="1">IFERROR(MID(CELL("nome.arquivo",A1),FIND("C.S.",CELL("nome.arquivo",A1))+5,LEN(CELL("nome.arquivo",A1) )),"{Salvar Este Arquivo}")</f>
        <v>PJT XXXX</v>
      </c>
      <c r="F8" s="705"/>
      <c r="G8" s="532"/>
      <c r="H8" s="687" t="s">
        <v>695</v>
      </c>
      <c r="I8" s="687"/>
      <c r="J8" s="706"/>
      <c r="K8" s="706"/>
      <c r="L8" s="706"/>
      <c r="M8" s="383"/>
      <c r="N8" s="781" t="s">
        <v>613</v>
      </c>
      <c r="O8" s="782"/>
      <c r="P8" s="783"/>
      <c r="Q8" s="398"/>
    </row>
    <row r="9" spans="2:20" ht="15" customHeight="1" x14ac:dyDescent="0.2">
      <c r="B9" s="397"/>
      <c r="C9" s="383"/>
      <c r="D9" s="383"/>
      <c r="E9" s="705"/>
      <c r="F9" s="705"/>
      <c r="G9" s="532"/>
      <c r="H9" s="383"/>
      <c r="I9" s="383"/>
      <c r="J9" s="706"/>
      <c r="K9" s="706"/>
      <c r="L9" s="706"/>
      <c r="M9" s="383"/>
      <c r="N9" s="410"/>
      <c r="O9" s="419" t="s">
        <v>615</v>
      </c>
      <c r="P9" s="420"/>
      <c r="Q9" s="398"/>
    </row>
    <row r="10" spans="2:20" ht="15" customHeight="1" x14ac:dyDescent="0.2">
      <c r="B10" s="397"/>
      <c r="C10" s="383"/>
      <c r="D10" s="383"/>
      <c r="E10" s="383"/>
      <c r="F10" s="383"/>
      <c r="G10" s="383"/>
      <c r="H10" s="383"/>
      <c r="I10" s="383"/>
      <c r="J10" s="383"/>
      <c r="K10" s="383"/>
      <c r="L10" s="383"/>
      <c r="M10" s="383"/>
      <c r="N10" s="449"/>
      <c r="O10" s="419" t="s">
        <v>693</v>
      </c>
      <c r="P10" s="420"/>
      <c r="Q10" s="398"/>
    </row>
    <row r="11" spans="2:20" ht="15" customHeight="1" x14ac:dyDescent="0.2">
      <c r="B11" s="397"/>
      <c r="C11" s="687" t="s">
        <v>612</v>
      </c>
      <c r="D11" s="687"/>
      <c r="E11" s="688"/>
      <c r="F11" s="688"/>
      <c r="G11" s="688"/>
      <c r="H11" s="688"/>
      <c r="I11" s="688"/>
      <c r="J11" s="688"/>
      <c r="K11" s="383"/>
      <c r="L11" s="534" t="s">
        <v>790</v>
      </c>
      <c r="M11" s="383"/>
      <c r="N11" s="411"/>
      <c r="O11" s="419" t="s">
        <v>694</v>
      </c>
      <c r="P11" s="420"/>
      <c r="Q11" s="398"/>
    </row>
    <row r="12" spans="2:20" ht="15" customHeight="1" x14ac:dyDescent="0.2">
      <c r="B12" s="397"/>
      <c r="C12" s="687" t="s">
        <v>614</v>
      </c>
      <c r="D12" s="687"/>
      <c r="E12" s="688"/>
      <c r="F12" s="688"/>
      <c r="G12" s="688"/>
      <c r="H12" s="688"/>
      <c r="I12" s="688"/>
      <c r="J12" s="688"/>
      <c r="K12" s="383"/>
      <c r="L12" s="430">
        <v>0</v>
      </c>
      <c r="M12" s="383"/>
      <c r="N12" s="412"/>
      <c r="O12" s="383" t="s">
        <v>631</v>
      </c>
      <c r="P12" s="413"/>
      <c r="Q12" s="398"/>
    </row>
    <row r="13" spans="2:20" ht="15" customHeight="1" x14ac:dyDescent="0.2">
      <c r="B13" s="397"/>
      <c r="C13" s="687" t="s">
        <v>616</v>
      </c>
      <c r="D13" s="687"/>
      <c r="E13" s="785"/>
      <c r="F13" s="785"/>
      <c r="G13" s="785"/>
      <c r="H13" s="785"/>
      <c r="I13" s="785"/>
      <c r="J13" s="785"/>
      <c r="K13" s="383"/>
      <c r="L13" s="383"/>
      <c r="M13" s="383"/>
      <c r="N13" s="414"/>
      <c r="O13" s="415" t="s">
        <v>632</v>
      </c>
      <c r="P13" s="408"/>
      <c r="Q13" s="398"/>
    </row>
    <row r="14" spans="2:20" ht="15" customHeight="1" x14ac:dyDescent="0.2">
      <c r="B14" s="397"/>
      <c r="C14" s="383"/>
      <c r="D14" s="383"/>
      <c r="E14" s="383"/>
      <c r="F14" s="383"/>
      <c r="G14" s="383"/>
      <c r="H14" s="383"/>
      <c r="I14" s="383"/>
      <c r="J14" s="383"/>
      <c r="K14" s="383"/>
      <c r="L14" s="383"/>
      <c r="M14" s="383"/>
      <c r="N14" s="383"/>
      <c r="O14" s="383"/>
      <c r="P14" s="383"/>
      <c r="Q14" s="398"/>
    </row>
    <row r="15" spans="2:20" ht="20.100000000000001" customHeight="1" x14ac:dyDescent="0.2">
      <c r="B15" s="397"/>
      <c r="C15" s="691" t="s">
        <v>648</v>
      </c>
      <c r="D15" s="691"/>
      <c r="E15" s="691"/>
      <c r="F15" s="691"/>
      <c r="G15" s="691"/>
      <c r="H15" s="691"/>
      <c r="I15" s="691"/>
      <c r="J15" s="691"/>
      <c r="K15" s="691"/>
      <c r="L15" s="691"/>
      <c r="M15" s="691"/>
      <c r="N15" s="691"/>
      <c r="O15" s="691"/>
      <c r="P15" s="691"/>
      <c r="Q15" s="398"/>
      <c r="R15" s="407"/>
      <c r="S15" s="407"/>
      <c r="T15" s="407"/>
    </row>
    <row r="16" spans="2:20" ht="5.0999999999999996" customHeight="1" x14ac:dyDescent="0.2">
      <c r="B16" s="397"/>
      <c r="C16" s="383"/>
      <c r="D16" s="383"/>
      <c r="E16" s="379"/>
      <c r="F16" s="383"/>
      <c r="G16" s="379"/>
      <c r="H16" s="379"/>
      <c r="I16" s="379"/>
      <c r="J16" s="379"/>
      <c r="K16" s="383"/>
      <c r="L16" s="383"/>
      <c r="M16" s="383"/>
      <c r="N16" s="383"/>
      <c r="O16" s="383"/>
      <c r="P16" s="383"/>
      <c r="Q16" s="398"/>
    </row>
    <row r="17" spans="2:21" ht="15" customHeight="1" x14ac:dyDescent="0.2">
      <c r="B17" s="397"/>
      <c r="C17" s="665" t="s">
        <v>767</v>
      </c>
      <c r="D17" s="666"/>
      <c r="E17" s="666"/>
      <c r="F17" s="450">
        <v>1</v>
      </c>
      <c r="G17" s="451"/>
      <c r="K17" s="679" t="s">
        <v>773</v>
      </c>
      <c r="L17" s="679"/>
      <c r="N17" s="652" t="s">
        <v>865</v>
      </c>
      <c r="O17" s="399"/>
      <c r="P17" s="400" t="s">
        <v>717</v>
      </c>
      <c r="Q17" s="398"/>
      <c r="R17" s="407"/>
      <c r="U17" s="407"/>
    </row>
    <row r="18" spans="2:21" ht="15" customHeight="1" x14ac:dyDescent="0.2">
      <c r="B18" s="397"/>
      <c r="C18"/>
      <c r="D18"/>
      <c r="E18"/>
      <c r="F18"/>
      <c r="G18" s="451"/>
      <c r="K18" s="390">
        <f t="array" ref="K18">SUM(F25:F49*E25:E49)</f>
        <v>0</v>
      </c>
      <c r="L18" s="391" t="s">
        <v>731</v>
      </c>
      <c r="M18" s="383"/>
      <c r="N18" s="383"/>
      <c r="O18" s="401" t="str">
        <f>IFERROR(ROUNDUP((O17*1000)/K18,0),"")</f>
        <v/>
      </c>
      <c r="P18" s="400" t="s">
        <v>619</v>
      </c>
      <c r="Q18" s="398"/>
      <c r="R18" s="407"/>
    </row>
    <row r="19" spans="2:21" ht="15" customHeight="1" x14ac:dyDescent="0.2">
      <c r="B19" s="397"/>
      <c r="C19" s="788" t="s">
        <v>864</v>
      </c>
      <c r="D19" s="789"/>
      <c r="E19" s="790"/>
      <c r="G19" s="651" t="s">
        <v>863</v>
      </c>
      <c r="H19" s="657">
        <v>0</v>
      </c>
      <c r="I19" s="655" t="s">
        <v>774</v>
      </c>
      <c r="J19" s="383"/>
      <c r="K19" s="383"/>
      <c r="L19" s="383"/>
      <c r="M19" s="383"/>
      <c r="N19" s="383"/>
      <c r="Q19" s="398"/>
      <c r="R19" s="407"/>
    </row>
    <row r="20" spans="2:21" ht="15" customHeight="1" x14ac:dyDescent="0.2">
      <c r="B20" s="397"/>
      <c r="C20" s="692" t="s">
        <v>768</v>
      </c>
      <c r="D20" s="692"/>
      <c r="E20" s="654" t="b">
        <v>0</v>
      </c>
      <c r="H20" s="658" t="e">
        <f>IF(I19="R$/PC",ROUNDUP(1000/K18,0)*H19,ROUND((H19/1000)*K18,2))</f>
        <v>#DIV/0!</v>
      </c>
      <c r="I20" s="653" t="str">
        <f>IF(I19="R$/PC","R$/Ton","R$/PC")</f>
        <v>R$/Ton</v>
      </c>
      <c r="K20" s="679" t="s">
        <v>777</v>
      </c>
      <c r="L20" s="679"/>
      <c r="M20" s="383"/>
      <c r="N20" s="530" t="s">
        <v>636</v>
      </c>
      <c r="O20" s="529"/>
      <c r="P20" s="453" t="s">
        <v>716</v>
      </c>
      <c r="Q20" s="398"/>
    </row>
    <row r="21" spans="2:21" ht="15" customHeight="1" x14ac:dyDescent="0.2">
      <c r="B21" s="397"/>
      <c r="C21" s="692" t="s">
        <v>769</v>
      </c>
      <c r="D21" s="692"/>
      <c r="E21" s="654" t="b">
        <v>0</v>
      </c>
      <c r="H21" s="656"/>
      <c r="K21" s="390">
        <f>SUM(M25:M49)</f>
        <v>0</v>
      </c>
      <c r="L21" s="391" t="s">
        <v>781</v>
      </c>
      <c r="M21" s="383"/>
      <c r="O21" s="564">
        <f>IF(P21="Ton/mês",ROUND(O20*K18/1000,3),ROUNDUP(O20*1000/K18,0))</f>
        <v>0</v>
      </c>
      <c r="P21" s="540" t="str">
        <f>IF(P20="Peça/mês","Ton/mês","Peça/mês")</f>
        <v>Ton/mês</v>
      </c>
      <c r="Q21" s="398"/>
    </row>
    <row r="22" spans="2:21" ht="15" customHeight="1" x14ac:dyDescent="0.2">
      <c r="B22" s="397"/>
      <c r="C22"/>
      <c r="D22"/>
      <c r="E22"/>
      <c r="G22"/>
      <c r="H22"/>
      <c r="I22"/>
      <c r="J22"/>
      <c r="K22" s="383"/>
      <c r="L22" s="383"/>
      <c r="M22" s="383"/>
      <c r="N22" s="383"/>
      <c r="O22" s="383"/>
      <c r="P22" s="383"/>
      <c r="Q22" s="398"/>
    </row>
    <row r="23" spans="2:21" ht="15" customHeight="1" x14ac:dyDescent="0.2">
      <c r="B23" s="397"/>
      <c r="C23" s="786" t="s">
        <v>770</v>
      </c>
      <c r="D23" s="787"/>
      <c r="E23" s="787"/>
      <c r="F23" s="787"/>
      <c r="G23" s="787"/>
      <c r="H23" s="787"/>
      <c r="I23" s="787"/>
      <c r="J23" s="787"/>
      <c r="K23" s="787"/>
      <c r="L23" s="787"/>
      <c r="M23" s="787"/>
      <c r="N23" s="787"/>
      <c r="O23" s="787"/>
      <c r="P23" s="787"/>
      <c r="Q23" s="398"/>
    </row>
    <row r="24" spans="2:21" ht="15" customHeight="1" x14ac:dyDescent="0.2">
      <c r="B24" s="397"/>
      <c r="C24" s="683" t="s">
        <v>534</v>
      </c>
      <c r="D24" s="683"/>
      <c r="E24" s="533" t="s">
        <v>535</v>
      </c>
      <c r="F24" s="542" t="s">
        <v>772</v>
      </c>
      <c r="G24" s="683" t="s">
        <v>771</v>
      </c>
      <c r="H24" s="683"/>
      <c r="I24" s="793" t="s">
        <v>775</v>
      </c>
      <c r="J24" s="793"/>
      <c r="K24" s="793" t="s">
        <v>776</v>
      </c>
      <c r="L24" s="793"/>
      <c r="M24" s="793" t="s">
        <v>777</v>
      </c>
      <c r="N24" s="793"/>
      <c r="O24" s="683" t="s">
        <v>778</v>
      </c>
      <c r="P24" s="683"/>
      <c r="Q24" s="398"/>
      <c r="R24" s="407"/>
    </row>
    <row r="25" spans="2:21" ht="15" customHeight="1" x14ac:dyDescent="0.2">
      <c r="B25" s="397"/>
      <c r="C25" s="774"/>
      <c r="D25" s="775"/>
      <c r="E25" s="431"/>
      <c r="F25" s="562"/>
      <c r="G25" s="563"/>
      <c r="H25" s="392" t="s">
        <v>774</v>
      </c>
      <c r="I25" s="435">
        <f t="shared" ref="I25:I49" si="0">IFERROR(G25*(1000/E25),0)</f>
        <v>0</v>
      </c>
      <c r="J25" s="392" t="s">
        <v>781</v>
      </c>
      <c r="K25" s="543"/>
      <c r="L25" s="392" t="s">
        <v>781</v>
      </c>
      <c r="M25" s="390">
        <f>IF(I25&gt;0,PRODUCT(I25,O25),PRODUCT(K25,O25))</f>
        <v>0</v>
      </c>
      <c r="N25" s="392" t="s">
        <v>781</v>
      </c>
      <c r="O25" s="784">
        <f t="shared" ref="O25:O49" si="1">IFERROR(ROUND(F25*E25/$K$18,4),0)</f>
        <v>0</v>
      </c>
      <c r="P25" s="784"/>
      <c r="Q25" s="398"/>
    </row>
    <row r="26" spans="2:21" ht="15" customHeight="1" x14ac:dyDescent="0.2">
      <c r="B26" s="397"/>
      <c r="C26" s="774"/>
      <c r="D26" s="775"/>
      <c r="E26" s="431"/>
      <c r="F26" s="562"/>
      <c r="G26" s="563"/>
      <c r="H26" s="392" t="s">
        <v>774</v>
      </c>
      <c r="I26" s="435">
        <f t="shared" si="0"/>
        <v>0</v>
      </c>
      <c r="J26" s="392" t="s">
        <v>781</v>
      </c>
      <c r="K26" s="543"/>
      <c r="L26" s="392" t="s">
        <v>781</v>
      </c>
      <c r="M26" s="390">
        <f t="shared" ref="M26:M49" si="2">IF(I26&gt;0,PRODUCT(I26,O26),PRODUCT(K26,O26))</f>
        <v>0</v>
      </c>
      <c r="N26" s="392" t="s">
        <v>781</v>
      </c>
      <c r="O26" s="784">
        <f t="shared" si="1"/>
        <v>0</v>
      </c>
      <c r="P26" s="784"/>
      <c r="Q26" s="398"/>
      <c r="R26" s="407"/>
    </row>
    <row r="27" spans="2:21" ht="15" customHeight="1" x14ac:dyDescent="0.2">
      <c r="B27" s="397"/>
      <c r="C27" s="774"/>
      <c r="D27" s="775"/>
      <c r="E27" s="431"/>
      <c r="F27" s="562"/>
      <c r="G27" s="563"/>
      <c r="H27" s="392" t="s">
        <v>774</v>
      </c>
      <c r="I27" s="435">
        <f t="shared" si="0"/>
        <v>0</v>
      </c>
      <c r="J27" s="392" t="s">
        <v>781</v>
      </c>
      <c r="K27" s="543"/>
      <c r="L27" s="392" t="s">
        <v>781</v>
      </c>
      <c r="M27" s="390">
        <f t="shared" si="2"/>
        <v>0</v>
      </c>
      <c r="N27" s="392" t="s">
        <v>781</v>
      </c>
      <c r="O27" s="784">
        <f t="shared" si="1"/>
        <v>0</v>
      </c>
      <c r="P27" s="784"/>
      <c r="Q27" s="398"/>
      <c r="R27" s="407"/>
    </row>
    <row r="28" spans="2:21" ht="15" customHeight="1" x14ac:dyDescent="0.2">
      <c r="B28" s="397"/>
      <c r="C28" s="774"/>
      <c r="D28" s="775"/>
      <c r="E28" s="431"/>
      <c r="F28" s="562"/>
      <c r="G28" s="563"/>
      <c r="H28" s="392" t="s">
        <v>774</v>
      </c>
      <c r="I28" s="435">
        <f t="shared" si="0"/>
        <v>0</v>
      </c>
      <c r="J28" s="392" t="s">
        <v>781</v>
      </c>
      <c r="K28" s="543"/>
      <c r="L28" s="392" t="s">
        <v>781</v>
      </c>
      <c r="M28" s="390">
        <f t="shared" si="2"/>
        <v>0</v>
      </c>
      <c r="N28" s="392" t="s">
        <v>781</v>
      </c>
      <c r="O28" s="784">
        <f t="shared" si="1"/>
        <v>0</v>
      </c>
      <c r="P28" s="784"/>
      <c r="Q28" s="398"/>
      <c r="R28" s="407"/>
    </row>
    <row r="29" spans="2:21" ht="15" customHeight="1" x14ac:dyDescent="0.2">
      <c r="B29" s="397"/>
      <c r="C29" s="774"/>
      <c r="D29" s="775"/>
      <c r="E29" s="431"/>
      <c r="F29" s="562"/>
      <c r="G29" s="563"/>
      <c r="H29" s="392" t="s">
        <v>774</v>
      </c>
      <c r="I29" s="435">
        <f t="shared" si="0"/>
        <v>0</v>
      </c>
      <c r="J29" s="392" t="s">
        <v>781</v>
      </c>
      <c r="K29" s="543"/>
      <c r="L29" s="392" t="s">
        <v>781</v>
      </c>
      <c r="M29" s="390">
        <f t="shared" si="2"/>
        <v>0</v>
      </c>
      <c r="N29" s="392" t="s">
        <v>781</v>
      </c>
      <c r="O29" s="784">
        <f t="shared" si="1"/>
        <v>0</v>
      </c>
      <c r="P29" s="784"/>
      <c r="Q29" s="398"/>
      <c r="R29" s="407"/>
    </row>
    <row r="30" spans="2:21" ht="15" customHeight="1" x14ac:dyDescent="0.2">
      <c r="B30" s="397"/>
      <c r="C30" s="774"/>
      <c r="D30" s="775"/>
      <c r="E30" s="431"/>
      <c r="F30" s="562"/>
      <c r="G30" s="563"/>
      <c r="H30" s="392" t="s">
        <v>774</v>
      </c>
      <c r="I30" s="435">
        <f t="shared" si="0"/>
        <v>0</v>
      </c>
      <c r="J30" s="392" t="s">
        <v>781</v>
      </c>
      <c r="K30" s="543"/>
      <c r="L30" s="392" t="s">
        <v>781</v>
      </c>
      <c r="M30" s="390">
        <f t="shared" si="2"/>
        <v>0</v>
      </c>
      <c r="N30" s="392" t="s">
        <v>781</v>
      </c>
      <c r="O30" s="784">
        <f t="shared" si="1"/>
        <v>0</v>
      </c>
      <c r="P30" s="784"/>
      <c r="Q30" s="398"/>
      <c r="R30" s="407"/>
    </row>
    <row r="31" spans="2:21" ht="15" customHeight="1" x14ac:dyDescent="0.2">
      <c r="B31" s="397"/>
      <c r="C31" s="774"/>
      <c r="D31" s="775"/>
      <c r="E31" s="431"/>
      <c r="F31" s="562"/>
      <c r="G31" s="563"/>
      <c r="H31" s="392" t="s">
        <v>774</v>
      </c>
      <c r="I31" s="435">
        <f t="shared" si="0"/>
        <v>0</v>
      </c>
      <c r="J31" s="392" t="s">
        <v>781</v>
      </c>
      <c r="K31" s="543"/>
      <c r="L31" s="392" t="s">
        <v>781</v>
      </c>
      <c r="M31" s="390">
        <f t="shared" si="2"/>
        <v>0</v>
      </c>
      <c r="N31" s="392" t="s">
        <v>781</v>
      </c>
      <c r="O31" s="784">
        <f t="shared" si="1"/>
        <v>0</v>
      </c>
      <c r="P31" s="784"/>
      <c r="Q31" s="398"/>
      <c r="R31" s="407"/>
    </row>
    <row r="32" spans="2:21" ht="15" customHeight="1" x14ac:dyDescent="0.2">
      <c r="B32" s="397"/>
      <c r="C32" s="774"/>
      <c r="D32" s="775"/>
      <c r="E32" s="431"/>
      <c r="F32" s="562"/>
      <c r="G32" s="563"/>
      <c r="H32" s="392" t="s">
        <v>774</v>
      </c>
      <c r="I32" s="435">
        <f t="shared" si="0"/>
        <v>0</v>
      </c>
      <c r="J32" s="392" t="s">
        <v>781</v>
      </c>
      <c r="K32" s="543"/>
      <c r="L32" s="392" t="s">
        <v>781</v>
      </c>
      <c r="M32" s="390">
        <f t="shared" si="2"/>
        <v>0</v>
      </c>
      <c r="N32" s="392" t="s">
        <v>781</v>
      </c>
      <c r="O32" s="784">
        <f t="shared" si="1"/>
        <v>0</v>
      </c>
      <c r="P32" s="784"/>
      <c r="Q32" s="398"/>
      <c r="R32" s="407"/>
    </row>
    <row r="33" spans="2:18" ht="15" customHeight="1" x14ac:dyDescent="0.2">
      <c r="B33" s="397"/>
      <c r="C33" s="774"/>
      <c r="D33" s="775"/>
      <c r="E33" s="431"/>
      <c r="F33" s="562"/>
      <c r="G33" s="563"/>
      <c r="H33" s="392" t="s">
        <v>774</v>
      </c>
      <c r="I33" s="435">
        <f t="shared" si="0"/>
        <v>0</v>
      </c>
      <c r="J33" s="392" t="s">
        <v>781</v>
      </c>
      <c r="K33" s="543"/>
      <c r="L33" s="392" t="s">
        <v>781</v>
      </c>
      <c r="M33" s="390">
        <f t="shared" si="2"/>
        <v>0</v>
      </c>
      <c r="N33" s="392" t="s">
        <v>781</v>
      </c>
      <c r="O33" s="784">
        <f t="shared" si="1"/>
        <v>0</v>
      </c>
      <c r="P33" s="784"/>
      <c r="Q33" s="398"/>
      <c r="R33" s="407"/>
    </row>
    <row r="34" spans="2:18" ht="15" customHeight="1" x14ac:dyDescent="0.2">
      <c r="B34" s="397"/>
      <c r="C34" s="774"/>
      <c r="D34" s="775"/>
      <c r="E34" s="431"/>
      <c r="F34" s="562"/>
      <c r="G34" s="563"/>
      <c r="H34" s="392" t="s">
        <v>774</v>
      </c>
      <c r="I34" s="435">
        <f t="shared" si="0"/>
        <v>0</v>
      </c>
      <c r="J34" s="392" t="s">
        <v>781</v>
      </c>
      <c r="K34" s="543"/>
      <c r="L34" s="392" t="s">
        <v>781</v>
      </c>
      <c r="M34" s="390">
        <f t="shared" si="2"/>
        <v>0</v>
      </c>
      <c r="N34" s="392" t="s">
        <v>781</v>
      </c>
      <c r="O34" s="784">
        <f t="shared" si="1"/>
        <v>0</v>
      </c>
      <c r="P34" s="784"/>
      <c r="Q34" s="398"/>
      <c r="R34" s="407"/>
    </row>
    <row r="35" spans="2:18" ht="15" customHeight="1" x14ac:dyDescent="0.2">
      <c r="B35" s="397"/>
      <c r="C35" s="774"/>
      <c r="D35" s="775"/>
      <c r="E35" s="431"/>
      <c r="F35" s="562"/>
      <c r="G35" s="563"/>
      <c r="H35" s="392" t="s">
        <v>774</v>
      </c>
      <c r="I35" s="435">
        <f t="shared" si="0"/>
        <v>0</v>
      </c>
      <c r="J35" s="392" t="s">
        <v>781</v>
      </c>
      <c r="K35" s="543"/>
      <c r="L35" s="392" t="s">
        <v>781</v>
      </c>
      <c r="M35" s="390">
        <f t="shared" si="2"/>
        <v>0</v>
      </c>
      <c r="N35" s="392" t="s">
        <v>781</v>
      </c>
      <c r="O35" s="784">
        <f t="shared" si="1"/>
        <v>0</v>
      </c>
      <c r="P35" s="784"/>
      <c r="Q35" s="398"/>
      <c r="R35" s="407"/>
    </row>
    <row r="36" spans="2:18" ht="15" customHeight="1" x14ac:dyDescent="0.2">
      <c r="B36" s="397"/>
      <c r="C36" s="774"/>
      <c r="D36" s="775"/>
      <c r="E36" s="431"/>
      <c r="F36" s="562"/>
      <c r="G36" s="563"/>
      <c r="H36" s="392" t="s">
        <v>774</v>
      </c>
      <c r="I36" s="435">
        <f t="shared" si="0"/>
        <v>0</v>
      </c>
      <c r="J36" s="392" t="s">
        <v>781</v>
      </c>
      <c r="K36" s="543"/>
      <c r="L36" s="392" t="s">
        <v>781</v>
      </c>
      <c r="M36" s="390">
        <f t="shared" si="2"/>
        <v>0</v>
      </c>
      <c r="N36" s="392" t="s">
        <v>781</v>
      </c>
      <c r="O36" s="784">
        <f t="shared" si="1"/>
        <v>0</v>
      </c>
      <c r="P36" s="784"/>
      <c r="Q36" s="398"/>
      <c r="R36" s="407"/>
    </row>
    <row r="37" spans="2:18" ht="15" customHeight="1" x14ac:dyDescent="0.2">
      <c r="B37" s="397"/>
      <c r="C37" s="774"/>
      <c r="D37" s="775"/>
      <c r="E37" s="431"/>
      <c r="F37" s="562"/>
      <c r="G37" s="563"/>
      <c r="H37" s="392" t="s">
        <v>774</v>
      </c>
      <c r="I37" s="435">
        <f t="shared" si="0"/>
        <v>0</v>
      </c>
      <c r="J37" s="392" t="s">
        <v>781</v>
      </c>
      <c r="K37" s="543"/>
      <c r="L37" s="392" t="s">
        <v>781</v>
      </c>
      <c r="M37" s="390">
        <f t="shared" si="2"/>
        <v>0</v>
      </c>
      <c r="N37" s="392" t="s">
        <v>781</v>
      </c>
      <c r="O37" s="784">
        <f t="shared" si="1"/>
        <v>0</v>
      </c>
      <c r="P37" s="784"/>
      <c r="Q37" s="398"/>
      <c r="R37" s="407"/>
    </row>
    <row r="38" spans="2:18" ht="15" customHeight="1" x14ac:dyDescent="0.2">
      <c r="B38" s="397"/>
      <c r="C38" s="774"/>
      <c r="D38" s="775"/>
      <c r="E38" s="431"/>
      <c r="F38" s="562"/>
      <c r="G38" s="563"/>
      <c r="H38" s="392" t="s">
        <v>774</v>
      </c>
      <c r="I38" s="435">
        <f t="shared" si="0"/>
        <v>0</v>
      </c>
      <c r="J38" s="392" t="s">
        <v>781</v>
      </c>
      <c r="K38" s="543"/>
      <c r="L38" s="392" t="s">
        <v>781</v>
      </c>
      <c r="M38" s="390">
        <f t="shared" si="2"/>
        <v>0</v>
      </c>
      <c r="N38" s="392" t="s">
        <v>781</v>
      </c>
      <c r="O38" s="784">
        <f t="shared" si="1"/>
        <v>0</v>
      </c>
      <c r="P38" s="784"/>
      <c r="Q38" s="398"/>
      <c r="R38" s="407"/>
    </row>
    <row r="39" spans="2:18" ht="15" customHeight="1" x14ac:dyDescent="0.2">
      <c r="B39" s="397"/>
      <c r="C39" s="774"/>
      <c r="D39" s="775"/>
      <c r="E39" s="431"/>
      <c r="F39" s="562"/>
      <c r="G39" s="563"/>
      <c r="H39" s="392" t="s">
        <v>774</v>
      </c>
      <c r="I39" s="435">
        <f t="shared" si="0"/>
        <v>0</v>
      </c>
      <c r="J39" s="392" t="s">
        <v>781</v>
      </c>
      <c r="K39" s="543"/>
      <c r="L39" s="392" t="s">
        <v>781</v>
      </c>
      <c r="M39" s="390">
        <f t="shared" si="2"/>
        <v>0</v>
      </c>
      <c r="N39" s="392" t="s">
        <v>781</v>
      </c>
      <c r="O39" s="784">
        <f t="shared" si="1"/>
        <v>0</v>
      </c>
      <c r="P39" s="784"/>
      <c r="Q39" s="398"/>
      <c r="R39" s="407"/>
    </row>
    <row r="40" spans="2:18" ht="15" customHeight="1" x14ac:dyDescent="0.2">
      <c r="B40" s="397"/>
      <c r="C40" s="774"/>
      <c r="D40" s="775"/>
      <c r="E40" s="431"/>
      <c r="F40" s="562"/>
      <c r="G40" s="563"/>
      <c r="H40" s="392" t="s">
        <v>774</v>
      </c>
      <c r="I40" s="435">
        <f t="shared" si="0"/>
        <v>0</v>
      </c>
      <c r="J40" s="392" t="s">
        <v>781</v>
      </c>
      <c r="K40" s="543"/>
      <c r="L40" s="392" t="s">
        <v>781</v>
      </c>
      <c r="M40" s="390">
        <f t="shared" si="2"/>
        <v>0</v>
      </c>
      <c r="N40" s="392" t="s">
        <v>781</v>
      </c>
      <c r="O40" s="784">
        <f t="shared" si="1"/>
        <v>0</v>
      </c>
      <c r="P40" s="784"/>
      <c r="Q40" s="398"/>
      <c r="R40" s="407"/>
    </row>
    <row r="41" spans="2:18" ht="15" customHeight="1" x14ac:dyDescent="0.2">
      <c r="B41" s="397"/>
      <c r="C41" s="774"/>
      <c r="D41" s="775"/>
      <c r="E41" s="431"/>
      <c r="F41" s="562"/>
      <c r="G41" s="563"/>
      <c r="H41" s="392" t="s">
        <v>774</v>
      </c>
      <c r="I41" s="435">
        <f t="shared" si="0"/>
        <v>0</v>
      </c>
      <c r="J41" s="392" t="s">
        <v>781</v>
      </c>
      <c r="K41" s="543"/>
      <c r="L41" s="392" t="s">
        <v>781</v>
      </c>
      <c r="M41" s="390">
        <f t="shared" si="2"/>
        <v>0</v>
      </c>
      <c r="N41" s="392" t="s">
        <v>781</v>
      </c>
      <c r="O41" s="784">
        <f t="shared" si="1"/>
        <v>0</v>
      </c>
      <c r="P41" s="784"/>
      <c r="Q41" s="398"/>
      <c r="R41" s="407"/>
    </row>
    <row r="42" spans="2:18" ht="15" customHeight="1" x14ac:dyDescent="0.2">
      <c r="B42" s="397"/>
      <c r="C42" s="774"/>
      <c r="D42" s="775"/>
      <c r="E42" s="431"/>
      <c r="F42" s="562"/>
      <c r="G42" s="563"/>
      <c r="H42" s="392" t="s">
        <v>774</v>
      </c>
      <c r="I42" s="435">
        <f t="shared" si="0"/>
        <v>0</v>
      </c>
      <c r="J42" s="392" t="s">
        <v>781</v>
      </c>
      <c r="K42" s="543"/>
      <c r="L42" s="392" t="s">
        <v>781</v>
      </c>
      <c r="M42" s="390">
        <f t="shared" si="2"/>
        <v>0</v>
      </c>
      <c r="N42" s="392" t="s">
        <v>781</v>
      </c>
      <c r="O42" s="784">
        <f t="shared" si="1"/>
        <v>0</v>
      </c>
      <c r="P42" s="784"/>
      <c r="Q42" s="398"/>
      <c r="R42" s="407"/>
    </row>
    <row r="43" spans="2:18" ht="15" customHeight="1" x14ac:dyDescent="0.2">
      <c r="B43" s="397"/>
      <c r="C43" s="774"/>
      <c r="D43" s="775"/>
      <c r="E43" s="431"/>
      <c r="F43" s="562"/>
      <c r="G43" s="563"/>
      <c r="H43" s="392" t="s">
        <v>774</v>
      </c>
      <c r="I43" s="435">
        <f t="shared" si="0"/>
        <v>0</v>
      </c>
      <c r="J43" s="392" t="s">
        <v>781</v>
      </c>
      <c r="K43" s="543"/>
      <c r="L43" s="392" t="s">
        <v>781</v>
      </c>
      <c r="M43" s="390">
        <f t="shared" si="2"/>
        <v>0</v>
      </c>
      <c r="N43" s="392" t="s">
        <v>781</v>
      </c>
      <c r="O43" s="784">
        <f t="shared" si="1"/>
        <v>0</v>
      </c>
      <c r="P43" s="784"/>
      <c r="Q43" s="398"/>
      <c r="R43" s="407"/>
    </row>
    <row r="44" spans="2:18" ht="15" customHeight="1" x14ac:dyDescent="0.2">
      <c r="B44" s="397"/>
      <c r="C44" s="774"/>
      <c r="D44" s="775"/>
      <c r="E44" s="431"/>
      <c r="F44" s="562"/>
      <c r="G44" s="563"/>
      <c r="H44" s="392" t="s">
        <v>774</v>
      </c>
      <c r="I44" s="435">
        <f t="shared" si="0"/>
        <v>0</v>
      </c>
      <c r="J44" s="392" t="s">
        <v>781</v>
      </c>
      <c r="K44" s="543"/>
      <c r="L44" s="392" t="s">
        <v>781</v>
      </c>
      <c r="M44" s="390">
        <f t="shared" si="2"/>
        <v>0</v>
      </c>
      <c r="N44" s="392" t="s">
        <v>781</v>
      </c>
      <c r="O44" s="784">
        <f t="shared" si="1"/>
        <v>0</v>
      </c>
      <c r="P44" s="784"/>
      <c r="Q44" s="398"/>
      <c r="R44" s="407"/>
    </row>
    <row r="45" spans="2:18" ht="15" customHeight="1" x14ac:dyDescent="0.2">
      <c r="B45" s="397"/>
      <c r="C45" s="774"/>
      <c r="D45" s="775"/>
      <c r="E45" s="431"/>
      <c r="F45" s="562"/>
      <c r="G45" s="563"/>
      <c r="H45" s="392" t="s">
        <v>774</v>
      </c>
      <c r="I45" s="435">
        <f t="shared" si="0"/>
        <v>0</v>
      </c>
      <c r="J45" s="392" t="s">
        <v>781</v>
      </c>
      <c r="K45" s="543"/>
      <c r="L45" s="392" t="s">
        <v>781</v>
      </c>
      <c r="M45" s="390">
        <f t="shared" si="2"/>
        <v>0</v>
      </c>
      <c r="N45" s="392" t="s">
        <v>781</v>
      </c>
      <c r="O45" s="784">
        <f t="shared" si="1"/>
        <v>0</v>
      </c>
      <c r="P45" s="784"/>
      <c r="Q45" s="398"/>
      <c r="R45" s="407"/>
    </row>
    <row r="46" spans="2:18" ht="15" customHeight="1" x14ac:dyDescent="0.2">
      <c r="B46" s="397"/>
      <c r="C46" s="774"/>
      <c r="D46" s="775"/>
      <c r="E46" s="431"/>
      <c r="F46" s="562"/>
      <c r="G46" s="563"/>
      <c r="H46" s="392" t="s">
        <v>774</v>
      </c>
      <c r="I46" s="435">
        <f t="shared" si="0"/>
        <v>0</v>
      </c>
      <c r="J46" s="392" t="s">
        <v>781</v>
      </c>
      <c r="K46" s="543"/>
      <c r="L46" s="392" t="s">
        <v>781</v>
      </c>
      <c r="M46" s="390">
        <f t="shared" si="2"/>
        <v>0</v>
      </c>
      <c r="N46" s="392" t="s">
        <v>781</v>
      </c>
      <c r="O46" s="784">
        <f t="shared" si="1"/>
        <v>0</v>
      </c>
      <c r="P46" s="784"/>
      <c r="Q46" s="398"/>
      <c r="R46" s="407"/>
    </row>
    <row r="47" spans="2:18" ht="15" customHeight="1" x14ac:dyDescent="0.2">
      <c r="B47" s="397"/>
      <c r="C47" s="774"/>
      <c r="D47" s="775"/>
      <c r="E47" s="431"/>
      <c r="F47" s="562"/>
      <c r="G47" s="563"/>
      <c r="H47" s="392" t="s">
        <v>774</v>
      </c>
      <c r="I47" s="435">
        <f t="shared" si="0"/>
        <v>0</v>
      </c>
      <c r="J47" s="392" t="s">
        <v>781</v>
      </c>
      <c r="K47" s="543"/>
      <c r="L47" s="392" t="s">
        <v>781</v>
      </c>
      <c r="M47" s="390">
        <f t="shared" si="2"/>
        <v>0</v>
      </c>
      <c r="N47" s="392" t="s">
        <v>781</v>
      </c>
      <c r="O47" s="784">
        <f t="shared" si="1"/>
        <v>0</v>
      </c>
      <c r="P47" s="784"/>
      <c r="Q47" s="398"/>
      <c r="R47" s="407"/>
    </row>
    <row r="48" spans="2:18" ht="15" customHeight="1" x14ac:dyDescent="0.2">
      <c r="B48" s="397"/>
      <c r="C48" s="774"/>
      <c r="D48" s="775"/>
      <c r="E48" s="431"/>
      <c r="F48" s="562"/>
      <c r="G48" s="563"/>
      <c r="H48" s="392" t="s">
        <v>774</v>
      </c>
      <c r="I48" s="435">
        <f t="shared" si="0"/>
        <v>0</v>
      </c>
      <c r="J48" s="392" t="s">
        <v>781</v>
      </c>
      <c r="K48" s="543"/>
      <c r="L48" s="392" t="s">
        <v>781</v>
      </c>
      <c r="M48" s="390">
        <f t="shared" si="2"/>
        <v>0</v>
      </c>
      <c r="N48" s="392" t="s">
        <v>781</v>
      </c>
      <c r="O48" s="784">
        <f t="shared" si="1"/>
        <v>0</v>
      </c>
      <c r="P48" s="784"/>
      <c r="Q48" s="398"/>
      <c r="R48" s="407"/>
    </row>
    <row r="49" spans="2:25" ht="15" customHeight="1" x14ac:dyDescent="0.2">
      <c r="B49" s="397"/>
      <c r="C49" s="774"/>
      <c r="D49" s="775"/>
      <c r="E49" s="431"/>
      <c r="F49" s="562"/>
      <c r="G49" s="563"/>
      <c r="H49" s="392" t="s">
        <v>774</v>
      </c>
      <c r="I49" s="435">
        <f t="shared" si="0"/>
        <v>0</v>
      </c>
      <c r="J49" s="392" t="s">
        <v>781</v>
      </c>
      <c r="K49" s="543"/>
      <c r="L49" s="392" t="s">
        <v>781</v>
      </c>
      <c r="M49" s="390">
        <f t="shared" si="2"/>
        <v>0</v>
      </c>
      <c r="N49" s="392" t="s">
        <v>781</v>
      </c>
      <c r="O49" s="784">
        <f t="shared" si="1"/>
        <v>0</v>
      </c>
      <c r="P49" s="784"/>
      <c r="Q49" s="398"/>
      <c r="R49" s="407"/>
    </row>
    <row r="50" spans="2:25" ht="15" customHeight="1" x14ac:dyDescent="0.2">
      <c r="B50" s="397"/>
      <c r="C50" s="532"/>
      <c r="D50" s="532"/>
      <c r="E50" s="532"/>
      <c r="F50" s="532"/>
      <c r="G50" s="379"/>
      <c r="H50" s="379"/>
      <c r="I50" s="379"/>
      <c r="J50" s="379"/>
      <c r="K50" s="383"/>
      <c r="L50" s="383"/>
      <c r="M50" s="383"/>
      <c r="N50" s="383"/>
      <c r="O50" s="383"/>
      <c r="P50" s="383"/>
      <c r="Q50" s="398"/>
      <c r="R50" s="407"/>
    </row>
    <row r="51" spans="2:25" ht="20.100000000000001" customHeight="1" x14ac:dyDescent="0.2">
      <c r="B51" s="397"/>
      <c r="C51" s="691" t="s">
        <v>791</v>
      </c>
      <c r="D51" s="691"/>
      <c r="E51" s="691"/>
      <c r="F51" s="691"/>
      <c r="G51" s="691"/>
      <c r="H51" s="691"/>
      <c r="I51" s="691"/>
      <c r="J51" s="691"/>
      <c r="K51" s="691"/>
      <c r="L51" s="691"/>
      <c r="M51" s="691"/>
      <c r="N51" s="691"/>
      <c r="O51" s="691"/>
      <c r="P51" s="691"/>
      <c r="Q51" s="398"/>
    </row>
    <row r="52" spans="2:25" ht="5.0999999999999996" customHeight="1" x14ac:dyDescent="0.2">
      <c r="B52" s="397"/>
      <c r="C52" s="383"/>
      <c r="D52" s="383"/>
      <c r="E52" s="379"/>
      <c r="F52" s="383"/>
      <c r="G52" s="379"/>
      <c r="H52" s="379"/>
      <c r="I52" s="379"/>
      <c r="J52" s="379"/>
      <c r="K52" s="383"/>
      <c r="L52" s="383"/>
      <c r="M52" s="383"/>
      <c r="N52" s="383"/>
      <c r="O52" s="383"/>
      <c r="P52" s="383"/>
      <c r="Q52" s="398"/>
    </row>
    <row r="53" spans="2:25" ht="15" customHeight="1" x14ac:dyDescent="0.2">
      <c r="B53" s="397"/>
      <c r="C53" s="715" t="s">
        <v>49</v>
      </c>
      <c r="D53" s="716"/>
      <c r="E53" s="383"/>
      <c r="F53" s="383"/>
      <c r="I53" s="679" t="s">
        <v>784</v>
      </c>
      <c r="J53" s="679"/>
      <c r="K53" s="715" t="s">
        <v>786</v>
      </c>
      <c r="L53" s="716"/>
      <c r="M53" s="716"/>
      <c r="N53" s="682" t="s">
        <v>782</v>
      </c>
      <c r="O53" s="683"/>
      <c r="P53" s="683"/>
      <c r="Q53" s="398"/>
    </row>
    <row r="54" spans="2:25" s="385" customFormat="1" ht="15" customHeight="1" x14ac:dyDescent="0.2">
      <c r="B54" s="402"/>
      <c r="C54" s="712"/>
      <c r="D54" s="713"/>
      <c r="E54" s="714"/>
      <c r="F54" s="531"/>
      <c r="I54" s="409"/>
      <c r="J54" s="392" t="s">
        <v>785</v>
      </c>
      <c r="K54" s="776"/>
      <c r="L54" s="777"/>
      <c r="M54" s="556" t="s">
        <v>785</v>
      </c>
      <c r="N54" s="565"/>
      <c r="O54" s="791" t="s">
        <v>783</v>
      </c>
      <c r="P54" s="792"/>
      <c r="Q54" s="403"/>
    </row>
    <row r="55" spans="2:25" s="385" customFormat="1" ht="15" customHeight="1" x14ac:dyDescent="0.2">
      <c r="B55" s="402"/>
      <c r="C55" s="531"/>
      <c r="D55" s="531"/>
      <c r="E55" s="531"/>
      <c r="F55" s="532"/>
      <c r="K55" s="532"/>
      <c r="L55" s="532"/>
      <c r="M55" s="532"/>
      <c r="N55" s="532"/>
      <c r="O55" s="531"/>
      <c r="P55" s="531"/>
      <c r="Q55" s="403"/>
    </row>
    <row r="56" spans="2:25" ht="15" customHeight="1" x14ac:dyDescent="0.2">
      <c r="B56" s="397"/>
      <c r="C56" s="715" t="s">
        <v>698</v>
      </c>
      <c r="D56" s="716"/>
      <c r="E56"/>
      <c r="F56" s="532"/>
      <c r="G56" s="532"/>
      <c r="H56" s="383"/>
      <c r="I56" s="383"/>
      <c r="K56" s="778" t="s">
        <v>64</v>
      </c>
      <c r="L56" s="778"/>
      <c r="M56" s="778" t="s">
        <v>789</v>
      </c>
      <c r="N56" s="778"/>
      <c r="O56" s="683" t="s">
        <v>583</v>
      </c>
      <c r="P56" s="683"/>
      <c r="Q56" s="398"/>
      <c r="W56"/>
      <c r="X56"/>
      <c r="Y56"/>
    </row>
    <row r="57" spans="2:25" ht="15" customHeight="1" x14ac:dyDescent="0.2">
      <c r="B57" s="397"/>
      <c r="E57" s="383"/>
      <c r="F57" s="532"/>
      <c r="G57" s="383"/>
      <c r="H57" s="383"/>
      <c r="I57" s="383"/>
      <c r="K57" s="409"/>
      <c r="L57" s="556" t="s">
        <v>292</v>
      </c>
      <c r="M57" s="409"/>
      <c r="N57" s="556" t="s">
        <v>653</v>
      </c>
      <c r="O57" s="409"/>
      <c r="P57" s="392" t="s">
        <v>728</v>
      </c>
      <c r="Q57" s="398"/>
      <c r="W57"/>
      <c r="X57"/>
      <c r="Y57"/>
    </row>
    <row r="58" spans="2:25" ht="15" customHeight="1" x14ac:dyDescent="0.2">
      <c r="B58" s="397"/>
      <c r="E58" s="532"/>
      <c r="F58" s="532"/>
      <c r="G58" s="383"/>
      <c r="H58" s="383"/>
      <c r="I58" s="383"/>
      <c r="J58" s="552"/>
      <c r="K58" s="552"/>
      <c r="L58" s="552"/>
      <c r="M58" s="552"/>
      <c r="N58" s="552"/>
      <c r="O58" s="409"/>
      <c r="P58" s="392" t="s">
        <v>664</v>
      </c>
      <c r="Q58" s="398"/>
      <c r="S58"/>
      <c r="T58"/>
      <c r="U58"/>
      <c r="V58"/>
      <c r="W58"/>
      <c r="X58"/>
      <c r="Y58"/>
    </row>
    <row r="59" spans="2:25" ht="15" customHeight="1" x14ac:dyDescent="0.2">
      <c r="B59" s="397"/>
      <c r="C59" s="456"/>
      <c r="D59" s="456"/>
      <c r="E59" s="456"/>
      <c r="F59" s="417"/>
      <c r="G59" s="418"/>
      <c r="H59" s="418"/>
      <c r="I59" s="418"/>
      <c r="J59" s="553"/>
      <c r="K59" s="679" t="s">
        <v>814</v>
      </c>
      <c r="L59" s="679"/>
      <c r="M59" s="679" t="s">
        <v>804</v>
      </c>
      <c r="N59" s="679"/>
      <c r="Q59" s="398"/>
      <c r="W59"/>
      <c r="X59"/>
      <c r="Y59"/>
    </row>
    <row r="60" spans="2:25" ht="15" customHeight="1" x14ac:dyDescent="0.2">
      <c r="B60" s="397"/>
      <c r="C60" s="383"/>
      <c r="D60" s="383"/>
      <c r="E60" s="383"/>
      <c r="F60" s="383"/>
      <c r="G60" s="383"/>
      <c r="H60" s="383"/>
      <c r="I60" s="383"/>
      <c r="J60" s="552"/>
      <c r="K60" s="614">
        <v>8.48</v>
      </c>
      <c r="L60" s="556" t="s">
        <v>653</v>
      </c>
      <c r="M60" s="681">
        <v>1</v>
      </c>
      <c r="N60" s="681"/>
      <c r="Q60" s="398"/>
      <c r="W60"/>
      <c r="X60"/>
      <c r="Y60"/>
    </row>
    <row r="61" spans="2:25" ht="15" customHeight="1" x14ac:dyDescent="0.2">
      <c r="B61" s="397"/>
      <c r="C61" s="383"/>
      <c r="D61" s="383"/>
      <c r="E61" s="383"/>
      <c r="F61" s="383"/>
      <c r="G61" s="383"/>
      <c r="H61" s="383"/>
      <c r="I61" s="383"/>
      <c r="J61" s="552"/>
      <c r="K61" s="554"/>
      <c r="L61" s="554"/>
      <c r="M61" s="554"/>
      <c r="N61" s="554"/>
      <c r="O61" s="554"/>
      <c r="P61" s="554"/>
      <c r="Q61" s="398"/>
      <c r="S61"/>
      <c r="T61"/>
      <c r="U61"/>
      <c r="V61"/>
      <c r="W61"/>
      <c r="X61"/>
      <c r="Y61"/>
    </row>
    <row r="62" spans="2:25" ht="15" customHeight="1" x14ac:dyDescent="0.2">
      <c r="B62" s="397"/>
      <c r="C62" s="383"/>
      <c r="D62" s="383"/>
      <c r="E62" s="383"/>
      <c r="F62" s="383"/>
      <c r="G62" s="383"/>
      <c r="H62" s="383"/>
      <c r="I62" s="418"/>
      <c r="J62" s="553"/>
      <c r="K62" s="778" t="s">
        <v>787</v>
      </c>
      <c r="L62" s="778"/>
      <c r="M62" s="778" t="s">
        <v>721</v>
      </c>
      <c r="N62" s="778"/>
      <c r="O62" s="778" t="s">
        <v>721</v>
      </c>
      <c r="P62" s="778"/>
      <c r="Q62" s="398"/>
      <c r="S62"/>
      <c r="T62"/>
      <c r="U62"/>
      <c r="V62"/>
      <c r="W62"/>
      <c r="X62"/>
      <c r="Y62"/>
    </row>
    <row r="63" spans="2:25" ht="15" customHeight="1" x14ac:dyDescent="0.2">
      <c r="B63" s="397"/>
      <c r="C63" s="383"/>
      <c r="D63" s="383"/>
      <c r="E63" s="383"/>
      <c r="F63" s="383"/>
      <c r="G63" s="383"/>
      <c r="H63" s="383"/>
      <c r="I63" s="383"/>
      <c r="J63" s="552"/>
      <c r="K63" s="558">
        <f>(60*N54)/200</f>
        <v>0</v>
      </c>
      <c r="L63" s="556" t="s">
        <v>785</v>
      </c>
      <c r="M63" s="558">
        <f>SUM(K63,K54,I54)</f>
        <v>0</v>
      </c>
      <c r="N63" s="556" t="s">
        <v>785</v>
      </c>
      <c r="O63" s="558">
        <f>M63/60</f>
        <v>0</v>
      </c>
      <c r="P63" s="556" t="s">
        <v>788</v>
      </c>
      <c r="Q63" s="398"/>
      <c r="S63"/>
      <c r="T63"/>
      <c r="U63"/>
      <c r="V63"/>
      <c r="W63"/>
      <c r="X63"/>
      <c r="Y63"/>
    </row>
    <row r="64" spans="2:25" ht="15" customHeight="1" x14ac:dyDescent="0.2">
      <c r="B64" s="397"/>
      <c r="C64" s="383"/>
      <c r="D64" s="383"/>
      <c r="E64" s="383"/>
      <c r="F64" s="383"/>
      <c r="G64" s="383"/>
      <c r="H64" s="383"/>
      <c r="I64" s="383"/>
      <c r="J64" s="552"/>
      <c r="K64" s="554"/>
      <c r="L64" s="554"/>
      <c r="M64" s="554"/>
      <c r="N64" s="554"/>
      <c r="O64" s="553"/>
      <c r="P64" s="553"/>
      <c r="Q64" s="398"/>
      <c r="S64"/>
      <c r="T64"/>
      <c r="U64"/>
      <c r="V64"/>
      <c r="W64"/>
      <c r="X64"/>
      <c r="Y64"/>
    </row>
    <row r="65" spans="2:25" ht="15" customHeight="1" x14ac:dyDescent="0.2">
      <c r="B65" s="397"/>
      <c r="C65" s="383"/>
      <c r="D65" s="383"/>
      <c r="E65" s="383"/>
      <c r="F65" s="383"/>
      <c r="G65" s="383"/>
      <c r="H65" s="383"/>
      <c r="I65" s="379"/>
      <c r="J65" s="555"/>
      <c r="K65" s="778" t="s">
        <v>697</v>
      </c>
      <c r="L65" s="778"/>
      <c r="Q65" s="398"/>
      <c r="S65"/>
      <c r="T65"/>
      <c r="U65"/>
      <c r="V65"/>
      <c r="W65"/>
      <c r="X65"/>
      <c r="Y65"/>
    </row>
    <row r="66" spans="2:25" ht="15" customHeight="1" x14ac:dyDescent="0.2">
      <c r="B66" s="397"/>
      <c r="C66" s="383"/>
      <c r="D66" s="383"/>
      <c r="E66" s="383"/>
      <c r="F66" s="383"/>
      <c r="G66" s="383"/>
      <c r="H66" s="383"/>
      <c r="I66" s="379"/>
      <c r="J66" s="555"/>
      <c r="K66" s="558">
        <f>M57+O58/60</f>
        <v>0</v>
      </c>
      <c r="L66" s="556" t="s">
        <v>653</v>
      </c>
      <c r="Q66" s="398"/>
      <c r="S66"/>
      <c r="T66"/>
      <c r="U66"/>
      <c r="V66"/>
      <c r="W66"/>
      <c r="X66"/>
      <c r="Y66"/>
    </row>
    <row r="67" spans="2:25" ht="15" customHeight="1" x14ac:dyDescent="0.2">
      <c r="B67" s="397"/>
      <c r="C67" s="383"/>
      <c r="D67" s="383"/>
      <c r="E67" s="383"/>
      <c r="F67" s="383"/>
      <c r="G67" s="383"/>
      <c r="H67" s="383"/>
      <c r="I67" s="379"/>
      <c r="J67" s="555"/>
      <c r="K67" s="552"/>
      <c r="L67" s="552"/>
      <c r="M67" s="552"/>
      <c r="N67" s="552"/>
      <c r="O67" s="552"/>
      <c r="P67" s="552"/>
      <c r="Q67" s="398"/>
      <c r="S67"/>
      <c r="T67"/>
      <c r="U67"/>
      <c r="V67"/>
      <c r="W67"/>
      <c r="X67"/>
      <c r="Y67"/>
    </row>
    <row r="68" spans="2:25" ht="15" customHeight="1" x14ac:dyDescent="0.2">
      <c r="B68" s="397"/>
      <c r="C68" s="383"/>
      <c r="D68" s="383"/>
      <c r="E68" s="383"/>
      <c r="F68" s="383"/>
      <c r="G68" s="383"/>
      <c r="H68" s="383"/>
      <c r="I68" s="379"/>
      <c r="J68" s="555"/>
      <c r="K68" s="778" t="s">
        <v>649</v>
      </c>
      <c r="L68" s="778"/>
      <c r="M68" s="778" t="s">
        <v>651</v>
      </c>
      <c r="N68" s="778"/>
      <c r="O68" s="778" t="s">
        <v>686</v>
      </c>
      <c r="P68" s="778"/>
      <c r="Q68" s="398"/>
      <c r="S68"/>
      <c r="T68"/>
      <c r="U68"/>
      <c r="V68"/>
      <c r="W68"/>
      <c r="X68"/>
      <c r="Y68"/>
    </row>
    <row r="69" spans="2:25" ht="15" customHeight="1" x14ac:dyDescent="0.2">
      <c r="B69" s="397"/>
      <c r="C69" s="383"/>
      <c r="D69" s="383"/>
      <c r="E69" s="383"/>
      <c r="F69" s="383"/>
      <c r="G69" s="383"/>
      <c r="H69" s="383"/>
      <c r="I69" s="379"/>
      <c r="J69" s="555"/>
      <c r="K69" s="557">
        <f>IFERROR(VLOOKUP(C54,'Listas de Dados'!I:T,2,0),0)</f>
        <v>0</v>
      </c>
      <c r="L69" s="556" t="s">
        <v>292</v>
      </c>
      <c r="M69" s="557">
        <f>IFERROR(ROUND(K18*O57/O17/1000*100,2),0)</f>
        <v>0</v>
      </c>
      <c r="N69" s="556" t="s">
        <v>292</v>
      </c>
      <c r="O69" s="558">
        <f>SUM(K69,M69)</f>
        <v>0</v>
      </c>
      <c r="P69" s="556" t="s">
        <v>292</v>
      </c>
      <c r="Q69" s="398"/>
      <c r="S69"/>
      <c r="T69"/>
      <c r="U69"/>
      <c r="V69"/>
      <c r="W69"/>
      <c r="X69"/>
      <c r="Y69"/>
    </row>
    <row r="70" spans="2:25" ht="15" customHeight="1" x14ac:dyDescent="0.2">
      <c r="B70" s="397"/>
      <c r="C70" s="383"/>
      <c r="D70" s="383"/>
      <c r="E70" s="383"/>
      <c r="F70" s="383"/>
      <c r="G70" s="383"/>
      <c r="H70" s="383"/>
      <c r="I70" s="379"/>
      <c r="J70" s="555"/>
      <c r="K70" s="552"/>
      <c r="L70" s="552"/>
      <c r="M70" s="555"/>
      <c r="N70" s="552"/>
      <c r="O70" s="555"/>
      <c r="P70" s="555"/>
      <c r="Q70" s="398"/>
    </row>
    <row r="71" spans="2:25" ht="15" customHeight="1" x14ac:dyDescent="0.2">
      <c r="B71" s="397"/>
      <c r="C71" s="383"/>
      <c r="D71" s="383"/>
      <c r="E71" s="383"/>
      <c r="F71" s="383"/>
      <c r="G71" s="383"/>
      <c r="H71" s="383"/>
      <c r="I71" s="379"/>
      <c r="J71" s="555"/>
      <c r="K71" s="778" t="s">
        <v>655</v>
      </c>
      <c r="L71" s="778"/>
      <c r="M71" s="778" t="s">
        <v>652</v>
      </c>
      <c r="N71" s="778"/>
      <c r="Q71" s="398"/>
    </row>
    <row r="72" spans="2:25" ht="15" customHeight="1" x14ac:dyDescent="0.2">
      <c r="B72" s="397"/>
      <c r="C72" s="383"/>
      <c r="D72" s="383"/>
      <c r="E72" s="383"/>
      <c r="F72" s="383"/>
      <c r="G72" s="383"/>
      <c r="H72" s="383"/>
      <c r="I72" s="379"/>
      <c r="J72" s="555"/>
      <c r="K72" s="558">
        <f>IFERROR(K66*60/O17,0)</f>
        <v>0</v>
      </c>
      <c r="L72" s="556" t="s">
        <v>654</v>
      </c>
      <c r="M72" s="558">
        <f>IFERROR(M63/(K18)/60*1000*((1+(100-K57)/100)),0)</f>
        <v>0</v>
      </c>
      <c r="N72" s="556" t="s">
        <v>654</v>
      </c>
      <c r="Q72" s="398"/>
    </row>
    <row r="73" spans="2:25" ht="15" customHeight="1" x14ac:dyDescent="0.2">
      <c r="B73" s="397"/>
      <c r="C73" s="383"/>
      <c r="D73" s="383"/>
      <c r="E73" s="383"/>
      <c r="F73" s="383"/>
      <c r="G73" s="383"/>
      <c r="H73" s="383"/>
      <c r="I73" s="379"/>
      <c r="J73" s="555"/>
      <c r="K73" s="552"/>
      <c r="L73" s="552"/>
      <c r="M73" s="555"/>
      <c r="N73" s="552"/>
      <c r="O73" s="555"/>
      <c r="P73" s="555"/>
      <c r="Q73" s="398"/>
    </row>
    <row r="74" spans="2:25" ht="15" customHeight="1" x14ac:dyDescent="0.2">
      <c r="B74" s="397"/>
      <c r="C74" s="383"/>
      <c r="D74" s="383"/>
      <c r="E74" s="379"/>
      <c r="F74" s="383"/>
      <c r="G74" s="379"/>
      <c r="H74" s="379"/>
      <c r="I74" s="379"/>
      <c r="J74" s="555"/>
      <c r="K74" s="778" t="s">
        <v>656</v>
      </c>
      <c r="L74" s="778"/>
      <c r="M74" s="778" t="s">
        <v>656</v>
      </c>
      <c r="N74" s="778"/>
      <c r="O74" s="778" t="s">
        <v>658</v>
      </c>
      <c r="P74" s="778"/>
      <c r="Q74" s="398"/>
    </row>
    <row r="75" spans="2:25" ht="15" customHeight="1" x14ac:dyDescent="0.2">
      <c r="B75" s="397"/>
      <c r="C75" s="383"/>
      <c r="D75" s="383"/>
      <c r="E75" s="379"/>
      <c r="F75" s="383"/>
      <c r="G75" s="379"/>
      <c r="H75" s="379"/>
      <c r="I75" s="379"/>
      <c r="J75" s="555"/>
      <c r="K75" s="558">
        <f>IFERROR(M72*O17/60,0)</f>
        <v>0</v>
      </c>
      <c r="L75" s="556" t="s">
        <v>653</v>
      </c>
      <c r="M75" s="558">
        <f>IFERROR(K75/(K60*M60),0)</f>
        <v>0</v>
      </c>
      <c r="N75" s="556" t="s">
        <v>657</v>
      </c>
      <c r="O75" s="558">
        <f>IFERROR(((M72*O17/60)+K66)/(K60*M60),0)</f>
        <v>0</v>
      </c>
      <c r="P75" s="556" t="s">
        <v>657</v>
      </c>
      <c r="Q75" s="398"/>
    </row>
    <row r="76" spans="2:25" ht="15" customHeight="1" x14ac:dyDescent="0.2">
      <c r="B76" s="397"/>
      <c r="C76" s="383"/>
      <c r="D76" s="383"/>
      <c r="E76" s="379"/>
      <c r="F76" s="383"/>
      <c r="G76" s="379"/>
      <c r="H76" s="379"/>
      <c r="I76" s="379"/>
      <c r="J76" s="555"/>
      <c r="Q76" s="398"/>
    </row>
    <row r="77" spans="2:25" ht="15" customHeight="1" x14ac:dyDescent="0.2">
      <c r="B77" s="397"/>
      <c r="C77" s="383"/>
      <c r="D77" s="383"/>
      <c r="E77" s="379"/>
      <c r="F77" s="383"/>
      <c r="G77" s="379"/>
      <c r="H77" s="379"/>
      <c r="I77" s="379"/>
      <c r="J77" s="555"/>
      <c r="K77" s="707"/>
      <c r="L77" s="707"/>
      <c r="M77" s="707"/>
      <c r="N77" s="707"/>
      <c r="O77" s="707"/>
      <c r="P77" s="707"/>
      <c r="Q77" s="398"/>
    </row>
    <row r="78" spans="2:25" ht="15" customHeight="1" x14ac:dyDescent="0.2">
      <c r="B78" s="397"/>
      <c r="C78" s="383"/>
      <c r="D78" s="383"/>
      <c r="E78" s="379"/>
      <c r="F78" s="383"/>
      <c r="G78" s="379"/>
      <c r="H78" s="379"/>
      <c r="I78" s="379"/>
      <c r="J78" s="555"/>
      <c r="K78" s="707"/>
      <c r="L78" s="707"/>
      <c r="M78" s="707"/>
      <c r="N78" s="707"/>
      <c r="O78" s="707"/>
      <c r="P78" s="707"/>
      <c r="Q78" s="398"/>
    </row>
    <row r="79" spans="2:25" ht="15" customHeight="1" x14ac:dyDescent="0.2">
      <c r="B79" s="397"/>
      <c r="C79" s="538"/>
      <c r="D79" s="538"/>
      <c r="E79" s="538"/>
      <c r="F79" s="538"/>
      <c r="G79" s="538"/>
      <c r="H79" s="538"/>
      <c r="I79" s="538"/>
      <c r="J79" s="538"/>
      <c r="K79" s="538"/>
      <c r="L79" s="538"/>
      <c r="M79" s="538"/>
      <c r="N79" s="538"/>
      <c r="O79" s="538"/>
      <c r="P79" s="538"/>
      <c r="Q79" s="398"/>
    </row>
    <row r="80" spans="2:25" ht="15" customHeight="1" x14ac:dyDescent="0.2">
      <c r="B80" s="397"/>
      <c r="C80" s="532"/>
      <c r="D80" s="532"/>
      <c r="E80" s="532"/>
      <c r="F80" s="532"/>
      <c r="G80" s="532"/>
      <c r="H80" s="532"/>
      <c r="I80" s="532"/>
      <c r="J80" s="532"/>
      <c r="K80" s="532"/>
      <c r="L80" s="532"/>
      <c r="M80" s="532"/>
      <c r="N80" s="532"/>
      <c r="O80" s="532"/>
      <c r="P80" s="532"/>
      <c r="Q80" s="398"/>
    </row>
    <row r="81" spans="2:17" ht="15" customHeight="1" thickBot="1" x14ac:dyDescent="0.25">
      <c r="B81" s="404"/>
      <c r="C81" s="457"/>
      <c r="D81" s="457"/>
      <c r="E81" s="457"/>
      <c r="F81" s="457"/>
      <c r="G81" s="457"/>
      <c r="H81" s="457"/>
      <c r="I81" s="457"/>
      <c r="J81" s="457"/>
      <c r="K81" s="457"/>
      <c r="L81" s="457"/>
      <c r="M81" s="457"/>
      <c r="N81" s="457"/>
      <c r="O81" s="457"/>
      <c r="P81" s="457"/>
      <c r="Q81" s="406"/>
    </row>
    <row r="85" spans="2:17" x14ac:dyDescent="0.2">
      <c r="B85" s="669" t="s">
        <v>628</v>
      </c>
      <c r="C85" s="670"/>
      <c r="D85" s="672" t="s">
        <v>2</v>
      </c>
      <c r="E85" s="672"/>
      <c r="F85" s="672"/>
      <c r="G85" s="672"/>
      <c r="H85" s="672"/>
      <c r="I85" s="672"/>
      <c r="J85" s="672"/>
      <c r="K85" s="672"/>
      <c r="L85" s="672"/>
      <c r="M85" s="672" t="s">
        <v>629</v>
      </c>
      <c r="N85" s="672"/>
      <c r="O85" s="672"/>
      <c r="P85" s="669" t="s">
        <v>630</v>
      </c>
      <c r="Q85" s="670"/>
    </row>
    <row r="86" spans="2:17" x14ac:dyDescent="0.2">
      <c r="B86" s="669" t="s">
        <v>634</v>
      </c>
      <c r="C86" s="670"/>
      <c r="D86" s="671" t="s">
        <v>747</v>
      </c>
      <c r="E86" s="671"/>
      <c r="F86" s="671"/>
      <c r="G86" s="671"/>
      <c r="H86" s="671"/>
      <c r="I86" s="671"/>
      <c r="J86" s="671"/>
      <c r="K86" s="671"/>
      <c r="L86" s="671"/>
      <c r="M86" s="672" t="s">
        <v>635</v>
      </c>
      <c r="N86" s="672"/>
      <c r="O86" s="672"/>
      <c r="P86" s="673">
        <v>44469</v>
      </c>
      <c r="Q86" s="674"/>
    </row>
    <row r="87" spans="2:17" x14ac:dyDescent="0.2">
      <c r="B87" s="407"/>
      <c r="C87" s="407"/>
      <c r="D87" s="407"/>
      <c r="E87" s="407"/>
      <c r="F87" s="407"/>
      <c r="G87" s="407"/>
      <c r="H87" s="407"/>
      <c r="I87" s="407"/>
      <c r="J87" s="407"/>
      <c r="K87" s="407"/>
      <c r="L87" s="407"/>
      <c r="M87" s="407"/>
      <c r="N87" s="407"/>
      <c r="O87" s="407"/>
      <c r="P87" s="407"/>
      <c r="Q87" s="407"/>
    </row>
    <row r="88" spans="2:17" x14ac:dyDescent="0.2">
      <c r="B88" s="407"/>
      <c r="C88" s="407"/>
      <c r="D88" s="407"/>
      <c r="E88" s="407"/>
      <c r="F88" s="407"/>
      <c r="G88" s="407"/>
      <c r="H88" s="407"/>
      <c r="I88" s="407"/>
      <c r="J88" s="407"/>
      <c r="K88" s="407"/>
      <c r="L88" s="407"/>
      <c r="M88" s="407"/>
      <c r="N88" s="407"/>
      <c r="O88" s="407"/>
      <c r="P88" s="407"/>
      <c r="Q88" s="407"/>
    </row>
    <row r="89" spans="2:17" x14ac:dyDescent="0.2">
      <c r="B89" s="407"/>
      <c r="C89" s="407"/>
      <c r="D89" s="407"/>
      <c r="E89" s="407"/>
      <c r="F89" s="407"/>
      <c r="G89" s="407"/>
      <c r="H89" s="407"/>
      <c r="I89" s="407"/>
      <c r="J89" s="407"/>
      <c r="K89" s="407"/>
      <c r="L89" s="407"/>
      <c r="M89" s="407"/>
      <c r="N89" s="407"/>
      <c r="O89" s="407"/>
      <c r="P89" s="407"/>
      <c r="Q89" s="407"/>
    </row>
    <row r="90" spans="2:17" x14ac:dyDescent="0.2">
      <c r="B90" s="407"/>
      <c r="C90" s="407"/>
      <c r="D90" s="407"/>
      <c r="E90" s="407"/>
      <c r="F90" s="407"/>
      <c r="G90" s="407"/>
      <c r="H90" s="407"/>
      <c r="I90" s="407"/>
      <c r="J90" s="407"/>
      <c r="K90" s="407"/>
      <c r="L90" s="407"/>
      <c r="M90" s="407"/>
      <c r="N90" s="407"/>
      <c r="O90" s="407"/>
      <c r="P90" s="407"/>
      <c r="Q90" s="407"/>
    </row>
    <row r="91" spans="2:17" x14ac:dyDescent="0.2">
      <c r="B91" s="407"/>
      <c r="C91" s="407"/>
      <c r="D91" s="407"/>
      <c r="E91" s="407"/>
      <c r="F91" s="407"/>
      <c r="G91" s="407"/>
      <c r="H91" s="407"/>
      <c r="I91" s="407"/>
      <c r="J91" s="407"/>
      <c r="K91" s="407"/>
      <c r="L91" s="407"/>
      <c r="P91" s="407"/>
      <c r="Q91" s="407"/>
    </row>
    <row r="92" spans="2:17" x14ac:dyDescent="0.2">
      <c r="B92" s="407"/>
      <c r="C92" s="407"/>
      <c r="D92" s="407"/>
      <c r="E92" s="407"/>
      <c r="F92" s="407"/>
      <c r="G92" s="407"/>
      <c r="H92" s="407"/>
      <c r="I92" s="407"/>
      <c r="J92" s="407"/>
      <c r="K92" s="407"/>
      <c r="L92" s="407"/>
      <c r="P92" s="407"/>
      <c r="Q92" s="407"/>
    </row>
    <row r="93" spans="2:17" x14ac:dyDescent="0.2">
      <c r="B93" s="407"/>
      <c r="C93" s="407"/>
      <c r="D93" s="407"/>
      <c r="E93" s="407"/>
      <c r="F93" s="407"/>
      <c r="G93" s="407"/>
      <c r="H93" s="407"/>
      <c r="I93" s="407"/>
      <c r="J93" s="407"/>
      <c r="K93" s="407"/>
      <c r="L93" s="407"/>
      <c r="M93" s="407"/>
      <c r="N93" s="407"/>
      <c r="O93" s="407"/>
      <c r="P93" s="407"/>
      <c r="Q93" s="407"/>
    </row>
    <row r="94" spans="2:17" x14ac:dyDescent="0.2">
      <c r="B94" s="407"/>
      <c r="C94" s="407"/>
      <c r="D94" s="407"/>
      <c r="E94" s="407"/>
      <c r="F94" s="407"/>
      <c r="G94" s="407"/>
      <c r="H94" s="407"/>
      <c r="I94" s="407"/>
      <c r="J94" s="407"/>
      <c r="K94" s="407"/>
      <c r="L94" s="407"/>
      <c r="M94" s="407"/>
      <c r="N94" s="407"/>
      <c r="O94" s="407"/>
      <c r="P94" s="407"/>
      <c r="Q94" s="407"/>
    </row>
    <row r="95" spans="2:17" x14ac:dyDescent="0.2">
      <c r="B95" s="407"/>
      <c r="C95" s="407"/>
      <c r="D95" s="407"/>
      <c r="E95" s="407"/>
      <c r="F95" s="407"/>
      <c r="G95" s="407"/>
      <c r="H95" s="407"/>
      <c r="I95" s="407"/>
      <c r="J95" s="407"/>
      <c r="K95" s="407"/>
      <c r="L95" s="407"/>
      <c r="M95" s="407"/>
      <c r="N95" s="407"/>
      <c r="O95" s="407"/>
      <c r="P95" s="407"/>
      <c r="Q95" s="407"/>
    </row>
    <row r="96" spans="2:17" x14ac:dyDescent="0.2">
      <c r="B96" s="407"/>
      <c r="C96" s="407"/>
      <c r="D96" s="407"/>
      <c r="E96" s="407"/>
      <c r="F96" s="407"/>
      <c r="G96" s="407"/>
      <c r="H96" s="407"/>
      <c r="I96" s="407"/>
      <c r="J96" s="407"/>
      <c r="K96" s="407"/>
      <c r="L96" s="407"/>
      <c r="M96" s="407"/>
      <c r="N96" s="407"/>
      <c r="O96" s="407"/>
      <c r="P96" s="407"/>
      <c r="Q96" s="407"/>
    </row>
  </sheetData>
  <mergeCells count="114">
    <mergeCell ref="C19:E19"/>
    <mergeCell ref="M62:N62"/>
    <mergeCell ref="O62:P62"/>
    <mergeCell ref="M56:N56"/>
    <mergeCell ref="K68:L68"/>
    <mergeCell ref="K77:P78"/>
    <mergeCell ref="O44:P44"/>
    <mergeCell ref="O45:P45"/>
    <mergeCell ref="O46:P46"/>
    <mergeCell ref="O47:P47"/>
    <mergeCell ref="O48:P48"/>
    <mergeCell ref="O49:P49"/>
    <mergeCell ref="K62:L62"/>
    <mergeCell ref="K59:L59"/>
    <mergeCell ref="M59:N59"/>
    <mergeCell ref="M60:N60"/>
    <mergeCell ref="O54:P54"/>
    <mergeCell ref="I53:J53"/>
    <mergeCell ref="C25:D25"/>
    <mergeCell ref="I24:J24"/>
    <mergeCell ref="K24:L24"/>
    <mergeCell ref="M24:N24"/>
    <mergeCell ref="C32:D32"/>
    <mergeCell ref="C33:D33"/>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C53:D53"/>
    <mergeCell ref="O56:P56"/>
    <mergeCell ref="N53:P53"/>
    <mergeCell ref="C54:E54"/>
    <mergeCell ref="K53:M53"/>
    <mergeCell ref="K54:L54"/>
    <mergeCell ref="B86:C86"/>
    <mergeCell ref="D86:L86"/>
    <mergeCell ref="M86:O86"/>
    <mergeCell ref="P86:Q86"/>
    <mergeCell ref="K74:L74"/>
    <mergeCell ref="M74:N74"/>
    <mergeCell ref="O68:P68"/>
    <mergeCell ref="O74:P74"/>
    <mergeCell ref="K56:L56"/>
    <mergeCell ref="M71:N71"/>
    <mergeCell ref="K71:L71"/>
    <mergeCell ref="B85:C85"/>
    <mergeCell ref="D85:L85"/>
    <mergeCell ref="M85:O85"/>
    <mergeCell ref="P85:Q85"/>
    <mergeCell ref="K65:L65"/>
    <mergeCell ref="M68:N68"/>
    <mergeCell ref="C56:D5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s>
  <conditionalFormatting sqref="O18:P18">
    <cfRule type="containsText" dxfId="56" priority="23" stopIfTrue="1" operator="containsText" text="FALSO">
      <formula>NOT(ISERROR(SEARCH("FALSO",O18)))</formula>
    </cfRule>
  </conditionalFormatting>
  <conditionalFormatting sqref="P20">
    <cfRule type="containsText" dxfId="55" priority="19" stopIfTrue="1" operator="containsText" text="FALSO">
      <formula>NOT(ISERROR(SEARCH("FALSO",P20)))</formula>
    </cfRule>
  </conditionalFormatting>
  <conditionalFormatting sqref="K18:L18">
    <cfRule type="containsText" dxfId="54" priority="17" stopIfTrue="1" operator="containsText" text="FALSO">
      <formula>NOT(ISERROR(SEARCH("FALSO",K18)))</formula>
    </cfRule>
  </conditionalFormatting>
  <conditionalFormatting sqref="P21">
    <cfRule type="containsText" dxfId="53" priority="5" stopIfTrue="1" operator="containsText" text="FALSO">
      <formula>NOT(ISERROR(SEARCH("FALSO",P21)))</formula>
    </cfRule>
  </conditionalFormatting>
  <conditionalFormatting sqref="K21:L21">
    <cfRule type="containsText" dxfId="52" priority="4" stopIfTrue="1" operator="containsText" text="FALSO">
      <formula>NOT(ISERROR(SEARCH("FALSO",K21)))</formula>
    </cfRule>
  </conditionalFormatting>
  <conditionalFormatting sqref="I19">
    <cfRule type="containsText" dxfId="51" priority="3" stopIfTrue="1" operator="containsText" text="FALSO">
      <formula>NOT(ISERROR(SEARCH("FALSO",I19)))</formula>
    </cfRule>
  </conditionalFormatting>
  <conditionalFormatting sqref="I20">
    <cfRule type="containsText" dxfId="50"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O56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25" customFormat="1" x14ac:dyDescent="0.2">
      <c r="E2" s="425" t="s">
        <v>766</v>
      </c>
      <c r="G2" s="425" t="s">
        <v>766</v>
      </c>
      <c r="H2" s="425" t="s">
        <v>766</v>
      </c>
      <c r="I2" s="425" t="s">
        <v>766</v>
      </c>
      <c r="J2" s="425" t="s">
        <v>766</v>
      </c>
      <c r="K2" s="425" t="s">
        <v>766</v>
      </c>
      <c r="L2" s="425" t="s">
        <v>766</v>
      </c>
      <c r="M2" s="425" t="s">
        <v>766</v>
      </c>
      <c r="N2" s="425" t="s">
        <v>766</v>
      </c>
      <c r="O2" s="425" t="s">
        <v>766</v>
      </c>
      <c r="Q2" s="425" t="s">
        <v>766</v>
      </c>
      <c r="R2" s="425" t="s">
        <v>766</v>
      </c>
      <c r="S2" s="546" t="s">
        <v>766</v>
      </c>
      <c r="T2" s="214" t="s">
        <v>766</v>
      </c>
      <c r="U2" s="214" t="s">
        <v>766</v>
      </c>
      <c r="V2" s="214" t="s">
        <v>766</v>
      </c>
      <c r="W2" s="214" t="s">
        <v>766</v>
      </c>
      <c r="X2" s="214" t="s">
        <v>766</v>
      </c>
      <c r="Y2" s="214" t="s">
        <v>766</v>
      </c>
      <c r="Z2" s="214" t="s">
        <v>766</v>
      </c>
      <c r="AA2" s="214" t="s">
        <v>766</v>
      </c>
      <c r="AB2" s="214" t="s">
        <v>766</v>
      </c>
      <c r="AC2" s="214" t="s">
        <v>766</v>
      </c>
      <c r="AD2" s="214" t="s">
        <v>766</v>
      </c>
      <c r="AE2" s="214" t="s">
        <v>766</v>
      </c>
      <c r="AF2" s="214"/>
      <c r="AG2" s="214"/>
      <c r="AH2" s="214" t="s">
        <v>766</v>
      </c>
      <c r="AI2" s="214" t="s">
        <v>766</v>
      </c>
      <c r="AJ2" s="214" t="s">
        <v>766</v>
      </c>
      <c r="AK2" s="214" t="s">
        <v>766</v>
      </c>
      <c r="AL2" s="214" t="s">
        <v>766</v>
      </c>
      <c r="AM2" s="214" t="s">
        <v>766</v>
      </c>
      <c r="AN2" s="214" t="s">
        <v>766</v>
      </c>
      <c r="AO2" s="214" t="s">
        <v>766</v>
      </c>
      <c r="AP2" s="214" t="s">
        <v>766</v>
      </c>
      <c r="AQ2" s="214" t="s">
        <v>766</v>
      </c>
      <c r="AR2" s="214" t="s">
        <v>766</v>
      </c>
      <c r="AS2" s="214" t="s">
        <v>766</v>
      </c>
      <c r="AT2" s="214" t="s">
        <v>766</v>
      </c>
      <c r="AU2" s="425" t="s">
        <v>766</v>
      </c>
      <c r="BC2" s="425" t="s">
        <v>766</v>
      </c>
      <c r="BD2" s="425" t="s">
        <v>766</v>
      </c>
      <c r="BE2" s="425" t="s">
        <v>766</v>
      </c>
      <c r="BF2" s="425" t="s">
        <v>766</v>
      </c>
      <c r="BG2" s="425" t="s">
        <v>766</v>
      </c>
      <c r="CE2" s="425" t="s">
        <v>766</v>
      </c>
      <c r="CF2" s="425" t="s">
        <v>766</v>
      </c>
    </row>
    <row r="3" spans="1:84" ht="19.5" thickBot="1" x14ac:dyDescent="0.25">
      <c r="B3" s="739" t="s">
        <v>0</v>
      </c>
      <c r="C3" s="739"/>
      <c r="D3" s="739"/>
      <c r="E3" s="739"/>
      <c r="F3" s="739"/>
      <c r="G3" s="739"/>
      <c r="H3" s="739"/>
      <c r="I3" s="739"/>
      <c r="J3" s="739"/>
      <c r="K3" s="739"/>
      <c r="L3" s="739"/>
      <c r="M3" s="739"/>
      <c r="N3" s="739"/>
      <c r="O3" s="739"/>
      <c r="P3" s="739"/>
      <c r="Q3" s="739"/>
      <c r="R3" s="794"/>
      <c r="S3" s="795" t="s">
        <v>68</v>
      </c>
      <c r="T3" s="796"/>
      <c r="U3" s="796"/>
      <c r="V3" s="796"/>
      <c r="W3" s="796"/>
      <c r="X3" s="796"/>
      <c r="Y3" s="796"/>
      <c r="Z3" s="796"/>
      <c r="AA3" s="796"/>
      <c r="AB3" s="796"/>
      <c r="AC3" s="796"/>
      <c r="AD3" s="796"/>
      <c r="AE3" s="796"/>
      <c r="AF3" s="796"/>
      <c r="AG3" s="796"/>
      <c r="AH3" s="796"/>
      <c r="AI3" s="796"/>
      <c r="AJ3" s="796"/>
      <c r="AK3" s="796"/>
      <c r="AL3" s="796"/>
      <c r="AM3" s="796"/>
      <c r="AN3" s="796"/>
      <c r="AO3" s="796"/>
      <c r="AP3" s="796"/>
      <c r="AQ3" s="796"/>
      <c r="AR3" s="796"/>
      <c r="AS3" s="796"/>
      <c r="AT3" s="796"/>
      <c r="AV3" s="324" t="s">
        <v>94</v>
      </c>
      <c r="AW3" s="103"/>
      <c r="AX3" s="739" t="s">
        <v>67</v>
      </c>
      <c r="AY3" s="739"/>
      <c r="AZ3" s="739"/>
      <c r="BA3" s="739"/>
      <c r="BB3" s="739"/>
      <c r="BC3" s="739"/>
      <c r="BD3" s="739"/>
      <c r="BE3" s="739"/>
      <c r="BF3" s="739"/>
      <c r="BG3" s="739"/>
      <c r="BH3" s="739"/>
      <c r="BI3" s="739"/>
      <c r="BJ3" s="739"/>
      <c r="BK3" s="739"/>
      <c r="BL3" s="739"/>
      <c r="BM3" s="739"/>
      <c r="BN3" s="739"/>
      <c r="BO3" s="739"/>
      <c r="BP3" s="739"/>
      <c r="BQ3" s="739"/>
      <c r="BR3" s="739"/>
      <c r="BS3" s="739"/>
      <c r="BT3" s="739"/>
      <c r="BU3" s="739"/>
      <c r="BV3" s="739"/>
      <c r="BW3" s="739"/>
      <c r="BX3" s="739"/>
      <c r="BY3" s="739"/>
      <c r="BZ3" s="739"/>
      <c r="CA3" s="739"/>
      <c r="CB3" s="739"/>
      <c r="CC3" s="739"/>
      <c r="CD3" s="739"/>
    </row>
    <row r="4" spans="1:84" ht="18" customHeight="1" thickBot="1" x14ac:dyDescent="0.25">
      <c r="B4" s="810" t="s">
        <v>1</v>
      </c>
      <c r="C4" s="810" t="s">
        <v>2</v>
      </c>
      <c r="D4" s="804" t="s">
        <v>756</v>
      </c>
      <c r="E4" s="797" t="s">
        <v>526</v>
      </c>
      <c r="F4" s="798"/>
      <c r="G4" s="798"/>
      <c r="H4" s="798"/>
      <c r="I4" s="798"/>
      <c r="J4" s="798"/>
      <c r="K4" s="798"/>
      <c r="L4" s="798"/>
      <c r="M4" s="798"/>
      <c r="N4" s="799"/>
      <c r="O4" s="802" t="s">
        <v>757</v>
      </c>
      <c r="P4" s="804" t="s">
        <v>758</v>
      </c>
      <c r="Q4" s="811" t="s">
        <v>550</v>
      </c>
      <c r="R4" s="805" t="s">
        <v>579</v>
      </c>
      <c r="S4" s="806" t="s">
        <v>143</v>
      </c>
      <c r="T4" s="804" t="s">
        <v>49</v>
      </c>
      <c r="U4" s="811" t="s">
        <v>527</v>
      </c>
      <c r="V4" s="811" t="s">
        <v>528</v>
      </c>
      <c r="W4" s="811" t="s">
        <v>529</v>
      </c>
      <c r="X4" s="811" t="s">
        <v>530</v>
      </c>
      <c r="Y4" s="811" t="s">
        <v>531</v>
      </c>
      <c r="Z4" s="808" t="s">
        <v>532</v>
      </c>
      <c r="AA4" s="809"/>
      <c r="AB4" s="804" t="s">
        <v>584</v>
      </c>
      <c r="AC4" s="804" t="s">
        <v>602</v>
      </c>
      <c r="AD4" s="804" t="s">
        <v>603</v>
      </c>
      <c r="AE4" s="804" t="s">
        <v>585</v>
      </c>
      <c r="AF4" s="804" t="s">
        <v>586</v>
      </c>
      <c r="AG4" s="804" t="s">
        <v>587</v>
      </c>
      <c r="AH4" s="804" t="s">
        <v>588</v>
      </c>
      <c r="AI4" s="804" t="s">
        <v>589</v>
      </c>
      <c r="AJ4" s="804" t="s">
        <v>590</v>
      </c>
      <c r="AK4" s="804" t="s">
        <v>591</v>
      </c>
      <c r="AL4" s="804" t="s">
        <v>92</v>
      </c>
      <c r="AM4" s="804" t="s">
        <v>592</v>
      </c>
      <c r="AN4" s="804" t="s">
        <v>593</v>
      </c>
      <c r="AO4" s="811" t="s">
        <v>605</v>
      </c>
      <c r="AP4" s="811" t="s">
        <v>606</v>
      </c>
      <c r="AQ4" s="811" t="s">
        <v>607</v>
      </c>
      <c r="AR4" s="811" t="s">
        <v>608</v>
      </c>
      <c r="AS4" s="811" t="s">
        <v>609</v>
      </c>
      <c r="AT4" s="811" t="s">
        <v>610</v>
      </c>
      <c r="AV4" s="325" t="s">
        <v>103</v>
      </c>
      <c r="AW4" s="103"/>
      <c r="AX4" s="750" t="s">
        <v>39</v>
      </c>
      <c r="AY4" s="750"/>
      <c r="AZ4" s="750"/>
      <c r="BA4" s="750"/>
      <c r="BB4" s="750"/>
      <c r="BC4" s="816" t="s">
        <v>145</v>
      </c>
      <c r="BD4" s="816"/>
      <c r="BE4" s="816"/>
      <c r="BF4" s="816"/>
      <c r="BG4" s="816"/>
      <c r="BH4" s="813" t="s">
        <v>150</v>
      </c>
      <c r="BI4" s="814"/>
      <c r="BJ4" s="814"/>
      <c r="BK4" s="814"/>
      <c r="BL4" s="814"/>
      <c r="BM4" s="815"/>
      <c r="BN4" s="813" t="s">
        <v>144</v>
      </c>
      <c r="BO4" s="814"/>
      <c r="BP4" s="814"/>
      <c r="BQ4" s="814"/>
      <c r="BR4" s="815"/>
      <c r="BS4" s="813" t="s">
        <v>146</v>
      </c>
      <c r="BT4" s="814"/>
      <c r="BU4" s="814"/>
      <c r="BV4" s="815"/>
      <c r="BW4" s="813" t="s">
        <v>148</v>
      </c>
      <c r="BX4" s="814"/>
      <c r="BY4" s="814"/>
      <c r="BZ4" s="815"/>
      <c r="CA4" s="813" t="s">
        <v>70</v>
      </c>
      <c r="CB4" s="814"/>
      <c r="CC4" s="814"/>
      <c r="CD4" s="815"/>
    </row>
    <row r="5" spans="1:84" ht="21.75" customHeight="1" thickBot="1" x14ac:dyDescent="0.3">
      <c r="B5" s="810"/>
      <c r="C5" s="810"/>
      <c r="D5" s="804"/>
      <c r="E5" s="800"/>
      <c r="F5" s="683"/>
      <c r="G5" s="683"/>
      <c r="H5" s="683"/>
      <c r="I5" s="683"/>
      <c r="J5" s="683"/>
      <c r="K5" s="683"/>
      <c r="L5" s="683"/>
      <c r="M5" s="683"/>
      <c r="N5" s="801"/>
      <c r="O5" s="803"/>
      <c r="P5" s="804"/>
      <c r="Q5" s="812"/>
      <c r="R5" s="805"/>
      <c r="S5" s="807"/>
      <c r="T5" s="804"/>
      <c r="U5" s="812"/>
      <c r="V5" s="812"/>
      <c r="W5" s="812"/>
      <c r="X5" s="812"/>
      <c r="Y5" s="812"/>
      <c r="Z5" s="539" t="s">
        <v>80</v>
      </c>
      <c r="AA5" s="539" t="s">
        <v>44</v>
      </c>
      <c r="AB5" s="804"/>
      <c r="AC5" s="804"/>
      <c r="AD5" s="804"/>
      <c r="AE5" s="804"/>
      <c r="AF5" s="804"/>
      <c r="AG5" s="804"/>
      <c r="AH5" s="804"/>
      <c r="AI5" s="804"/>
      <c r="AJ5" s="804"/>
      <c r="AK5" s="804"/>
      <c r="AL5" s="804"/>
      <c r="AM5" s="804"/>
      <c r="AN5" s="804"/>
      <c r="AO5" s="812"/>
      <c r="AP5" s="812"/>
      <c r="AQ5" s="812"/>
      <c r="AR5" s="812"/>
      <c r="AS5" s="812"/>
      <c r="AT5" s="812"/>
      <c r="AV5" s="325" t="s">
        <v>95</v>
      </c>
      <c r="AW5" s="103"/>
      <c r="AX5" s="325" t="s">
        <v>49</v>
      </c>
      <c r="AY5" s="325" t="s">
        <v>50</v>
      </c>
      <c r="AZ5" s="105" t="s">
        <v>220</v>
      </c>
      <c r="BA5" s="105" t="s">
        <v>221</v>
      </c>
      <c r="BB5" s="325" t="s">
        <v>64</v>
      </c>
      <c r="BC5" s="520" t="s">
        <v>49</v>
      </c>
      <c r="BD5" s="520" t="s">
        <v>50</v>
      </c>
      <c r="BE5" s="520" t="s">
        <v>61</v>
      </c>
      <c r="BF5" s="520" t="s">
        <v>64</v>
      </c>
      <c r="BG5" s="520" t="s">
        <v>533</v>
      </c>
      <c r="BH5" s="325" t="s">
        <v>49</v>
      </c>
      <c r="BI5" s="325" t="s">
        <v>50</v>
      </c>
      <c r="BJ5" s="325" t="s">
        <v>61</v>
      </c>
      <c r="BK5" s="325" t="s">
        <v>64</v>
      </c>
      <c r="BL5" s="325" t="s">
        <v>72</v>
      </c>
      <c r="BM5" s="325" t="s">
        <v>153</v>
      </c>
      <c r="BN5" s="325" t="s">
        <v>49</v>
      </c>
      <c r="BO5" s="325" t="s">
        <v>50</v>
      </c>
      <c r="BP5" s="325" t="s">
        <v>61</v>
      </c>
      <c r="BQ5" s="325" t="s">
        <v>64</v>
      </c>
      <c r="BR5" s="325" t="s">
        <v>72</v>
      </c>
      <c r="BS5" s="325" t="s">
        <v>49</v>
      </c>
      <c r="BT5" s="325" t="s">
        <v>50</v>
      </c>
      <c r="BU5" s="325" t="s">
        <v>61</v>
      </c>
      <c r="BV5" s="325" t="s">
        <v>72</v>
      </c>
      <c r="BW5" s="325" t="s">
        <v>49</v>
      </c>
      <c r="BX5" s="325" t="s">
        <v>50</v>
      </c>
      <c r="BY5" s="325" t="s">
        <v>61</v>
      </c>
      <c r="BZ5" s="325" t="s">
        <v>72</v>
      </c>
      <c r="CA5" s="325" t="s">
        <v>49</v>
      </c>
      <c r="CB5" s="325" t="s">
        <v>50</v>
      </c>
      <c r="CC5" s="325" t="s">
        <v>61</v>
      </c>
      <c r="CD5" s="325" t="s">
        <v>72</v>
      </c>
    </row>
    <row r="6" spans="1:84" s="425" customFormat="1" ht="37.5" customHeight="1" thickBot="1" x14ac:dyDescent="0.25">
      <c r="A6" s="518">
        <v>1000</v>
      </c>
      <c r="B6" s="377"/>
      <c r="C6" s="377"/>
      <c r="D6" s="541">
        <f>F11</f>
        <v>40</v>
      </c>
      <c r="E6" s="513" t="s">
        <v>534</v>
      </c>
      <c r="F6" s="513" t="s">
        <v>549</v>
      </c>
      <c r="G6" s="514" t="s">
        <v>535</v>
      </c>
      <c r="H6" s="515" t="s">
        <v>548</v>
      </c>
      <c r="I6" s="515" t="s">
        <v>546</v>
      </c>
      <c r="J6" s="515" t="s">
        <v>536</v>
      </c>
      <c r="K6" s="515" t="s">
        <v>537</v>
      </c>
      <c r="L6" s="515" t="s">
        <v>538</v>
      </c>
      <c r="M6" s="515" t="s">
        <v>539</v>
      </c>
      <c r="N6" s="515" t="s">
        <v>540</v>
      </c>
      <c r="O6" s="429">
        <f>IFERROR(ROUNDUP(P6,0),0)</f>
        <v>25</v>
      </c>
      <c r="P6" s="327">
        <f>1000/D6</f>
        <v>25</v>
      </c>
      <c r="Q6" s="429">
        <f>IFERROR(R6*1000/D6,0)</f>
        <v>0</v>
      </c>
      <c r="R6" s="537"/>
      <c r="S6" s="547" t="s">
        <v>547</v>
      </c>
      <c r="T6" s="548" t="s">
        <v>541</v>
      </c>
      <c r="U6" s="536"/>
      <c r="V6" s="535">
        <f>(60*U6)/200</f>
        <v>0</v>
      </c>
      <c r="W6" s="536"/>
      <c r="X6" s="536"/>
      <c r="Y6" s="536"/>
      <c r="Z6" s="536"/>
      <c r="AA6" s="536"/>
      <c r="AB6" s="535">
        <f>Y6+AA6/60</f>
        <v>0</v>
      </c>
      <c r="AC6" s="535">
        <f>SUM(V6:X6)</f>
        <v>0</v>
      </c>
      <c r="AD6" s="535">
        <f>AC6/60</f>
        <v>0</v>
      </c>
      <c r="AE6" s="536">
        <v>80</v>
      </c>
      <c r="AF6" s="331" t="e">
        <f>(W6-#REF!*#REF!)/W6*100</f>
        <v>#REF!</v>
      </c>
      <c r="AG6" s="333" t="e">
        <f>(D6*#REF!*Z6/1000)/1000/R6*100</f>
        <v>#REF!</v>
      </c>
      <c r="AH6" s="535" t="e">
        <f>(D6*Z6)/1000/R6*100</f>
        <v>#DIV/0!</v>
      </c>
      <c r="AI6" s="535">
        <f>AC6/(D6)/60*1000*((1+(100-AE6)/100))</f>
        <v>0</v>
      </c>
      <c r="AJ6" s="535" t="e">
        <f>AB6*60/R6</f>
        <v>#DIV/0!</v>
      </c>
      <c r="AK6" s="549"/>
      <c r="AL6" s="549"/>
      <c r="AM6" s="535">
        <f>(AI6*R6)/60+AB6</f>
        <v>0</v>
      </c>
      <c r="AN6" s="535" t="e">
        <f>AM6/(AK6*AL6)</f>
        <v>#DIV/0!</v>
      </c>
      <c r="AO6" s="550"/>
      <c r="AP6" s="550"/>
      <c r="AQ6" s="535" t="e">
        <f>#REF!/100*AP6</f>
        <v>#REF!</v>
      </c>
      <c r="AR6" s="535" t="e">
        <f>AJ6/60*AO6</f>
        <v>#DIV/0!</v>
      </c>
      <c r="AS6" s="535">
        <f>AI6/60*AO6</f>
        <v>0</v>
      </c>
      <c r="AT6" s="535" t="e">
        <f>AQ6+AR6+AS6</f>
        <v>#REF!</v>
      </c>
      <c r="AV6" s="344">
        <v>0.6</v>
      </c>
      <c r="AW6" s="519"/>
      <c r="AX6" s="343" t="s">
        <v>57</v>
      </c>
      <c r="AY6" s="343">
        <v>10</v>
      </c>
      <c r="AZ6" s="345">
        <v>4</v>
      </c>
      <c r="BA6" s="345">
        <v>30</v>
      </c>
      <c r="BB6" s="343">
        <v>50</v>
      </c>
      <c r="BC6" s="444" t="s">
        <v>541</v>
      </c>
      <c r="BD6" s="444">
        <v>1.5</v>
      </c>
      <c r="BE6" s="444">
        <f>15/60</f>
        <v>0.25</v>
      </c>
      <c r="BF6" s="444">
        <v>80</v>
      </c>
      <c r="BG6" s="444">
        <v>0.5</v>
      </c>
      <c r="BH6" s="343" t="s">
        <v>413</v>
      </c>
      <c r="BI6" s="343">
        <v>1</v>
      </c>
      <c r="BJ6" s="343">
        <f>15/60</f>
        <v>0.25</v>
      </c>
      <c r="BK6" s="343">
        <v>65</v>
      </c>
      <c r="BL6" s="343">
        <v>50</v>
      </c>
      <c r="BM6" s="343">
        <v>2.5</v>
      </c>
      <c r="BN6" s="343" t="s">
        <v>412</v>
      </c>
      <c r="BO6" s="343"/>
      <c r="BP6" s="343">
        <v>0.25</v>
      </c>
      <c r="BQ6" s="343">
        <v>70</v>
      </c>
      <c r="BR6" s="343">
        <v>50</v>
      </c>
      <c r="BS6" s="343" t="s">
        <v>411</v>
      </c>
      <c r="BT6" s="343"/>
      <c r="BU6" s="344">
        <v>0.35</v>
      </c>
      <c r="BV6" s="345">
        <v>100</v>
      </c>
      <c r="BW6" s="343" t="s">
        <v>69</v>
      </c>
      <c r="BX6" s="343">
        <v>3</v>
      </c>
      <c r="BY6" s="343">
        <v>1</v>
      </c>
      <c r="BZ6" s="343"/>
      <c r="CA6" s="343" t="s">
        <v>542</v>
      </c>
      <c r="CB6" s="343"/>
      <c r="CC6" s="343">
        <v>0.5</v>
      </c>
      <c r="CD6" s="343"/>
    </row>
    <row r="7" spans="1:84" ht="18" customHeight="1" thickTop="1" thickBot="1" x14ac:dyDescent="0.25">
      <c r="E7" s="516"/>
      <c r="F7" s="335">
        <f>G7*H7</f>
        <v>20</v>
      </c>
      <c r="G7" s="357">
        <v>10</v>
      </c>
      <c r="H7" s="357">
        <v>2</v>
      </c>
      <c r="I7" s="469">
        <f>IFERROR(1000/G7,0)</f>
        <v>100</v>
      </c>
      <c r="J7" s="460" t="s">
        <v>543</v>
      </c>
      <c r="K7" s="469">
        <f>IFERROR(J7*I7,0)</f>
        <v>0</v>
      </c>
      <c r="L7" s="461" t="s">
        <v>543</v>
      </c>
      <c r="M7" s="469">
        <f>IFERROR(H7*G7/$D6,0)</f>
        <v>0.5</v>
      </c>
      <c r="N7" s="469">
        <f>IF(K7&gt;0,PRODUCT(K7,M7),PRODUCT(L7,M7))</f>
        <v>0.5</v>
      </c>
      <c r="S7" s="551"/>
      <c r="T7" s="167"/>
      <c r="U7" s="167" t="s">
        <v>685</v>
      </c>
      <c r="V7" s="167"/>
      <c r="W7" s="167" t="s">
        <v>685</v>
      </c>
      <c r="X7" s="167"/>
      <c r="Y7" s="167"/>
      <c r="Z7" s="167" t="s">
        <v>685</v>
      </c>
      <c r="AA7" s="167" t="s">
        <v>685</v>
      </c>
      <c r="AB7" s="167" t="s">
        <v>685</v>
      </c>
      <c r="AC7" s="167" t="s">
        <v>685</v>
      </c>
      <c r="AD7" s="167" t="s">
        <v>685</v>
      </c>
      <c r="AE7" s="167" t="s">
        <v>685</v>
      </c>
      <c r="AF7" s="167" t="s">
        <v>685</v>
      </c>
      <c r="AG7" s="167" t="s">
        <v>685</v>
      </c>
      <c r="AH7" s="167" t="s">
        <v>685</v>
      </c>
      <c r="AI7" s="167" t="s">
        <v>685</v>
      </c>
      <c r="AJ7" s="167" t="s">
        <v>685</v>
      </c>
      <c r="AK7" s="167" t="s">
        <v>685</v>
      </c>
      <c r="AL7" s="167" t="s">
        <v>685</v>
      </c>
      <c r="AM7" s="167" t="s">
        <v>685</v>
      </c>
      <c r="AN7" s="167" t="s">
        <v>685</v>
      </c>
      <c r="AO7" s="167"/>
      <c r="AP7" s="167"/>
      <c r="AQ7" s="167"/>
      <c r="AR7" s="167"/>
      <c r="AS7" s="167"/>
      <c r="AT7" s="167"/>
      <c r="AV7" s="106">
        <v>0.75</v>
      </c>
      <c r="AW7" s="103"/>
      <c r="AX7" s="103"/>
      <c r="AY7" s="326"/>
      <c r="AZ7" s="103"/>
      <c r="BA7" s="103"/>
      <c r="BB7" s="103"/>
      <c r="BC7" s="444" t="s">
        <v>543</v>
      </c>
      <c r="BD7" s="444">
        <v>1.5</v>
      </c>
      <c r="BE7" s="444">
        <f>15/60</f>
        <v>0.25</v>
      </c>
      <c r="BF7" s="444">
        <v>80</v>
      </c>
      <c r="BG7" s="444">
        <v>50</v>
      </c>
      <c r="BH7" s="103"/>
      <c r="BI7" s="103"/>
      <c r="BJ7" s="103"/>
      <c r="BK7" s="103"/>
      <c r="BL7" s="103"/>
      <c r="BM7" s="103"/>
      <c r="BN7" s="103"/>
      <c r="BO7" s="103"/>
      <c r="BP7" s="103"/>
      <c r="BQ7" s="103"/>
      <c r="BR7" s="103"/>
      <c r="BS7" s="107" t="s">
        <v>410</v>
      </c>
      <c r="BT7" s="107"/>
      <c r="BU7" s="106">
        <v>1</v>
      </c>
      <c r="BV7" s="108">
        <v>50</v>
      </c>
      <c r="BW7" s="107" t="s">
        <v>186</v>
      </c>
      <c r="BX7" s="107">
        <v>3</v>
      </c>
      <c r="BY7" s="107">
        <v>0.5</v>
      </c>
      <c r="BZ7" s="107">
        <v>400</v>
      </c>
      <c r="CA7" s="103"/>
      <c r="CB7" s="103"/>
      <c r="CC7" s="103"/>
      <c r="CD7" s="103"/>
    </row>
    <row r="8" spans="1:84" ht="18" customHeight="1" thickTop="1" thickBot="1" x14ac:dyDescent="0.25">
      <c r="E8" s="516"/>
      <c r="F8" s="335">
        <f>G8*H8</f>
        <v>20</v>
      </c>
      <c r="G8" s="357">
        <v>20</v>
      </c>
      <c r="H8" s="357">
        <v>1</v>
      </c>
      <c r="I8" s="469">
        <f>IFERROR(1000/G8,0)</f>
        <v>50</v>
      </c>
      <c r="J8" s="460" t="s">
        <v>543</v>
      </c>
      <c r="K8" s="469">
        <f>IFERROR(J8*I8,0)</f>
        <v>0</v>
      </c>
      <c r="L8" s="357" t="s">
        <v>544</v>
      </c>
      <c r="M8" s="469">
        <f>IFERROR(H8*G8/$D6,0)</f>
        <v>0.5</v>
      </c>
      <c r="N8" s="469">
        <f>IF(K8&gt;0,PRODUCT(K8,M8),PRODUCT(L8,M8))</f>
        <v>0.5</v>
      </c>
      <c r="S8" s="551"/>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V8" s="106"/>
      <c r="AW8" s="103"/>
      <c r="AX8" s="103"/>
      <c r="AY8" s="326"/>
      <c r="AZ8" s="103"/>
      <c r="BA8" s="103"/>
      <c r="BB8" s="103"/>
      <c r="BC8" s="444"/>
      <c r="BD8" s="444"/>
      <c r="BE8" s="444"/>
      <c r="BF8" s="444"/>
      <c r="BG8" s="444"/>
      <c r="BH8" s="103"/>
      <c r="BI8" s="103"/>
      <c r="BJ8" s="103"/>
      <c r="BK8" s="103"/>
      <c r="BL8" s="103"/>
      <c r="BM8" s="103"/>
      <c r="BN8" s="103"/>
      <c r="BO8" s="103"/>
      <c r="BP8" s="103"/>
      <c r="BQ8" s="103"/>
      <c r="BR8" s="103"/>
      <c r="BS8" s="107"/>
      <c r="BT8" s="107"/>
      <c r="BU8" s="106"/>
      <c r="BV8" s="108"/>
      <c r="BW8" s="107"/>
      <c r="BX8" s="107"/>
      <c r="BY8" s="107"/>
      <c r="BZ8" s="107"/>
      <c r="CA8" s="103"/>
      <c r="CB8" s="103"/>
      <c r="CC8" s="103"/>
      <c r="CD8" s="103"/>
    </row>
    <row r="9" spans="1:84" ht="18" customHeight="1" thickTop="1" thickBot="1" x14ac:dyDescent="0.25">
      <c r="E9" s="516"/>
      <c r="F9" s="335">
        <f>G9*H9</f>
        <v>0</v>
      </c>
      <c r="G9" s="357">
        <v>0</v>
      </c>
      <c r="H9" s="357">
        <v>0</v>
      </c>
      <c r="I9" s="469">
        <f>IFERROR(1000/G9,0)</f>
        <v>0</v>
      </c>
      <c r="J9" s="460" t="s">
        <v>543</v>
      </c>
      <c r="K9" s="469">
        <f>IFERROR(J9*I9,0)</f>
        <v>0</v>
      </c>
      <c r="L9" s="357" t="s">
        <v>543</v>
      </c>
      <c r="M9" s="469">
        <f>IFERROR(H9*G9/$D6,0)</f>
        <v>0</v>
      </c>
      <c r="N9" s="469">
        <f>IF(K9&gt;0,PRODUCT(K9,M9),PRODUCT(L9,M9))</f>
        <v>0</v>
      </c>
      <c r="AV9" s="106"/>
      <c r="AW9" s="103"/>
      <c r="AX9" s="103"/>
      <c r="AY9" s="326"/>
      <c r="AZ9" s="103"/>
      <c r="BA9" s="103"/>
      <c r="BB9" s="103"/>
      <c r="BC9" s="444"/>
      <c r="BD9" s="444"/>
      <c r="BE9" s="444"/>
      <c r="BF9" s="444"/>
      <c r="BG9" s="444"/>
      <c r="BH9" s="103"/>
      <c r="BI9" s="103"/>
      <c r="BJ9" s="103"/>
      <c r="BK9" s="103"/>
      <c r="BL9" s="103"/>
      <c r="BM9" s="103"/>
      <c r="BN9" s="103"/>
      <c r="BO9" s="103"/>
      <c r="BP9" s="103"/>
      <c r="BQ9" s="103"/>
      <c r="BR9" s="103"/>
      <c r="BS9" s="107"/>
      <c r="BT9" s="107"/>
      <c r="BU9" s="106"/>
      <c r="BV9" s="108"/>
      <c r="BW9" s="107"/>
      <c r="BX9" s="107"/>
      <c r="BY9" s="107"/>
      <c r="BZ9" s="107"/>
      <c r="CA9" s="103"/>
      <c r="CB9" s="103"/>
      <c r="CC9" s="103"/>
      <c r="CD9" s="103"/>
    </row>
    <row r="10" spans="1:84" ht="14.25" thickTop="1" thickBot="1" x14ac:dyDescent="0.25">
      <c r="E10" s="516"/>
      <c r="F10" s="335">
        <f>G10*H10</f>
        <v>0</v>
      </c>
      <c r="G10" s="357">
        <v>0</v>
      </c>
      <c r="H10" s="357">
        <v>0</v>
      </c>
      <c r="I10" s="469">
        <f>IFERROR(1000/G10,0)</f>
        <v>0</v>
      </c>
      <c r="J10" s="460" t="s">
        <v>543</v>
      </c>
      <c r="K10" s="469">
        <f>IFERROR(J10*I10,0)</f>
        <v>0</v>
      </c>
      <c r="L10" s="357" t="s">
        <v>543</v>
      </c>
      <c r="M10" s="469">
        <f>IFERROR(H10*G10/$D6,0)</f>
        <v>0</v>
      </c>
      <c r="N10" s="469">
        <f>IF(K10&gt;0,PRODUCT(K10,M10),PRODUCT(L10,M10))</f>
        <v>0</v>
      </c>
      <c r="AU10" s="336"/>
      <c r="AV10" s="106">
        <v>0.95</v>
      </c>
      <c r="AW10" s="103"/>
      <c r="AX10" s="107" t="s">
        <v>89</v>
      </c>
      <c r="AY10" s="107">
        <v>0</v>
      </c>
      <c r="AZ10" s="107">
        <v>0</v>
      </c>
      <c r="BA10" s="114"/>
      <c r="BB10" s="109"/>
      <c r="BC10" s="444"/>
      <c r="BD10" s="444"/>
      <c r="BE10" s="444"/>
      <c r="BF10" s="444"/>
      <c r="BG10" s="444"/>
      <c r="BH10" s="103"/>
      <c r="BI10" s="103"/>
      <c r="BJ10" s="103"/>
      <c r="BK10" s="103"/>
      <c r="BL10" s="103"/>
      <c r="BM10" s="103"/>
      <c r="BN10" s="813" t="s">
        <v>81</v>
      </c>
      <c r="BO10" s="814"/>
      <c r="BP10" s="815"/>
      <c r="BQ10" s="103"/>
      <c r="BR10" s="103"/>
      <c r="BS10" s="813" t="s">
        <v>81</v>
      </c>
      <c r="BT10" s="815"/>
      <c r="BU10" s="103"/>
      <c r="BV10" s="103"/>
      <c r="BW10" s="813" t="s">
        <v>81</v>
      </c>
      <c r="BX10" s="815"/>
      <c r="BY10" s="103"/>
      <c r="BZ10" s="103"/>
      <c r="CA10" s="813" t="s">
        <v>81</v>
      </c>
      <c r="CB10" s="815"/>
      <c r="CC10" s="103"/>
      <c r="CD10" s="103"/>
    </row>
    <row r="11" spans="1:84" ht="18.75" x14ac:dyDescent="0.25">
      <c r="F11" s="544">
        <f>SUM(F7:F10)</f>
        <v>40</v>
      </c>
      <c r="L11" s="517"/>
      <c r="M11" s="517" t="s">
        <v>545</v>
      </c>
      <c r="N11" s="506">
        <f>SUM(N7:N10)</f>
        <v>1</v>
      </c>
      <c r="AU11" s="337"/>
      <c r="AV11" s="106">
        <v>1.2</v>
      </c>
      <c r="AW11" s="103"/>
      <c r="AX11" s="750" t="s">
        <v>109</v>
      </c>
      <c r="AY11" s="750"/>
      <c r="AZ11" s="750"/>
      <c r="BA11" s="750"/>
      <c r="BB11" s="750"/>
      <c r="BC11" s="739" t="s">
        <v>81</v>
      </c>
      <c r="BD11" s="739"/>
      <c r="BE11" s="103"/>
      <c r="BF11" s="103"/>
      <c r="BG11" s="103"/>
      <c r="BH11" s="103"/>
      <c r="BI11" s="103"/>
      <c r="BJ11" s="103"/>
      <c r="BK11" s="103"/>
      <c r="BL11" s="103"/>
      <c r="BM11" s="103"/>
      <c r="BN11" s="107" t="s">
        <v>160</v>
      </c>
      <c r="BO11" s="107">
        <v>1</v>
      </c>
      <c r="BP11" s="107">
        <v>0</v>
      </c>
      <c r="BQ11" s="103"/>
      <c r="BR11" s="103"/>
      <c r="BS11" s="107" t="s">
        <v>82</v>
      </c>
      <c r="BT11" s="107">
        <v>90</v>
      </c>
      <c r="BU11" s="103"/>
      <c r="BV11" s="103"/>
      <c r="BW11" s="107" t="s">
        <v>82</v>
      </c>
      <c r="BX11" s="107">
        <v>70</v>
      </c>
      <c r="BY11" s="103"/>
      <c r="BZ11" s="103"/>
      <c r="CA11" s="107" t="s">
        <v>82</v>
      </c>
      <c r="CB11" s="107">
        <v>85</v>
      </c>
      <c r="CC11" s="103"/>
      <c r="CD11" s="103"/>
    </row>
    <row r="12" spans="1:84" x14ac:dyDescent="0.2">
      <c r="E12" s="50"/>
      <c r="F12" s="50"/>
      <c r="G12" s="50"/>
      <c r="H12" s="50"/>
      <c r="I12" s="50"/>
      <c r="J12" s="50"/>
      <c r="K12" s="50"/>
      <c r="L12" s="50"/>
      <c r="M12" s="50"/>
      <c r="N12" s="50"/>
      <c r="O12" s="50"/>
      <c r="AV12" s="106"/>
      <c r="AW12" s="103"/>
      <c r="AX12" s="325"/>
      <c r="AY12" s="325"/>
      <c r="AZ12" s="325"/>
      <c r="BA12" s="325"/>
      <c r="BB12" s="325"/>
      <c r="BC12" s="444"/>
      <c r="BD12" s="444"/>
      <c r="BE12" s="103"/>
      <c r="BF12" s="103"/>
      <c r="BG12" s="103"/>
      <c r="BH12" s="103"/>
      <c r="BI12" s="103"/>
      <c r="BJ12" s="103"/>
      <c r="BK12" s="103"/>
      <c r="BL12" s="103"/>
      <c r="BM12" s="103"/>
      <c r="BN12" s="107"/>
      <c r="BO12" s="107"/>
      <c r="BP12" s="107"/>
      <c r="BQ12" s="103"/>
      <c r="BR12" s="103"/>
      <c r="BS12" s="107"/>
      <c r="BT12" s="107"/>
      <c r="BU12" s="103"/>
      <c r="BV12" s="103"/>
      <c r="BW12" s="107"/>
      <c r="BX12" s="107"/>
      <c r="BY12" s="103"/>
      <c r="BZ12" s="103"/>
      <c r="CA12" s="107"/>
      <c r="CB12" s="107"/>
      <c r="CC12" s="103"/>
      <c r="CD12" s="103"/>
    </row>
    <row r="13" spans="1:84" x14ac:dyDescent="0.2">
      <c r="D13" s="338"/>
    </row>
  </sheetData>
  <mergeCells count="51">
    <mergeCell ref="AX11:BB11"/>
    <mergeCell ref="BC11:BD11"/>
    <mergeCell ref="BH4:BM4"/>
    <mergeCell ref="BN4:BR4"/>
    <mergeCell ref="BS4:BV4"/>
    <mergeCell ref="BC4:BG4"/>
    <mergeCell ref="AQ4:AQ5"/>
    <mergeCell ref="AR4:AR5"/>
    <mergeCell ref="AS4:AS5"/>
    <mergeCell ref="AT4:AT5"/>
    <mergeCell ref="AX4:BB4"/>
    <mergeCell ref="BW4:BZ4"/>
    <mergeCell ref="CA4:CD4"/>
    <mergeCell ref="BN10:BP10"/>
    <mergeCell ref="BS10:BT10"/>
    <mergeCell ref="BW10:BX10"/>
    <mergeCell ref="CA10:CB10"/>
    <mergeCell ref="AK4:AK5"/>
    <mergeCell ref="AP4:AP5"/>
    <mergeCell ref="AE4:AE5"/>
    <mergeCell ref="AN4:AN5"/>
    <mergeCell ref="AO4:AO5"/>
    <mergeCell ref="AF4:AF5"/>
    <mergeCell ref="AL4:AL5"/>
    <mergeCell ref="AM4:AM5"/>
    <mergeCell ref="Q4:Q5"/>
    <mergeCell ref="AG4:AG5"/>
    <mergeCell ref="AH4:AH5"/>
    <mergeCell ref="AI4:AI5"/>
    <mergeCell ref="AJ4:AJ5"/>
    <mergeCell ref="U4:U5"/>
    <mergeCell ref="V4:V5"/>
    <mergeCell ref="W4:W5"/>
    <mergeCell ref="X4:X5"/>
    <mergeCell ref="Y4:Y5"/>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s>
  <conditionalFormatting sqref="AQ6:AT12 AM6:AM12 AH6:AH12 AD6:AD12">
    <cfRule type="cellIs" dxfId="49" priority="7" operator="equal">
      <formula>0</formula>
    </cfRule>
  </conditionalFormatting>
  <conditionalFormatting sqref="AO6:AP6 AC7:AD9 S7:S12 AB7:AB12 V7:Y12 AQ6:AT12 AM6:AN12 S6:T6 V6 Z6:AD6 AE6:AJ12 AK6:AL6">
    <cfRule type="containsErrors" dxfId="48" priority="6">
      <formula>ISERROR(S6)</formula>
    </cfRule>
  </conditionalFormatting>
  <conditionalFormatting sqref="U10:U12">
    <cfRule type="cellIs" dxfId="47" priority="5" operator="equal">
      <formula>0</formula>
    </cfRule>
  </conditionalFormatting>
  <conditionalFormatting sqref="O6:Q6">
    <cfRule type="cellIs" dxfId="46" priority="3" operator="equal">
      <formula>0</formula>
    </cfRule>
    <cfRule type="containsErrors" dxfId="45" priority="4">
      <formula>ISERROR(O6)</formula>
    </cfRule>
  </conditionalFormatting>
  <conditionalFormatting sqref="L7">
    <cfRule type="cellIs" dxfId="44" priority="1" operator="equal">
      <formula>0</formula>
    </cfRule>
    <cfRule type="containsErrors" dxfId="43"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48"/>
  <sheetViews>
    <sheetView showGridLines="0" showRowColHeaders="0" tabSelected="1" zoomScaleNormal="100" workbookViewId="0">
      <selection activeCell="D5" sqref="D5"/>
    </sheetView>
  </sheetViews>
  <sheetFormatPr defaultRowHeight="12.75" x14ac:dyDescent="0.2"/>
  <cols>
    <col min="1" max="3" width="13.85546875" style="379" customWidth="1"/>
    <col min="4" max="4" width="15.7109375" style="379" customWidth="1"/>
    <col min="5" max="5" width="3.7109375" style="379" customWidth="1"/>
    <col min="6" max="6" width="15.7109375" style="379" customWidth="1"/>
    <col min="7" max="8" width="3.7109375" style="379" customWidth="1"/>
    <col min="9" max="10" width="11.140625" style="379" customWidth="1"/>
    <col min="11" max="11" width="5.7109375" style="379" customWidth="1"/>
    <col min="12" max="13" width="11.140625" style="379" customWidth="1"/>
    <col min="14" max="14" width="3.7109375" style="379" customWidth="1"/>
    <col min="15" max="16384" width="9.140625" style="379"/>
  </cols>
  <sheetData>
    <row r="2" spans="4:14" ht="12.75" customHeight="1" x14ac:dyDescent="0.2">
      <c r="D2" s="817" t="s">
        <v>748</v>
      </c>
      <c r="E2" s="818"/>
      <c r="F2" s="818"/>
      <c r="G2" s="819"/>
      <c r="H2" s="817" t="s">
        <v>866</v>
      </c>
      <c r="I2" s="818"/>
      <c r="J2" s="818"/>
      <c r="K2" s="818"/>
      <c r="L2" s="818"/>
      <c r="M2" s="818"/>
      <c r="N2" s="819"/>
    </row>
    <row r="3" spans="4:14" ht="12.75" customHeight="1" x14ac:dyDescent="0.2">
      <c r="D3" s="817"/>
      <c r="E3" s="818"/>
      <c r="F3" s="818"/>
      <c r="G3" s="819"/>
      <c r="H3" s="817"/>
      <c r="I3" s="818"/>
      <c r="J3" s="818"/>
      <c r="K3" s="818"/>
      <c r="L3" s="818"/>
      <c r="M3" s="818"/>
      <c r="N3" s="819"/>
    </row>
    <row r="4" spans="4:14" x14ac:dyDescent="0.2">
      <c r="D4" s="648" t="s">
        <v>861</v>
      </c>
      <c r="E4" s="649"/>
      <c r="F4" s="650" t="s">
        <v>862</v>
      </c>
      <c r="G4" s="381"/>
      <c r="H4" s="380"/>
      <c r="I4" s="380"/>
      <c r="J4" s="380"/>
      <c r="K4" s="380"/>
      <c r="L4" s="380"/>
      <c r="M4" s="380"/>
      <c r="N4" s="381"/>
    </row>
    <row r="5" spans="4:14" x14ac:dyDescent="0.2">
      <c r="D5" s="645"/>
      <c r="E5" s="380"/>
      <c r="F5" s="647"/>
      <c r="G5" s="381"/>
      <c r="H5" s="380"/>
      <c r="I5" s="380"/>
      <c r="J5" s="380"/>
      <c r="K5" s="380"/>
      <c r="L5" s="380"/>
      <c r="M5" s="380"/>
      <c r="N5" s="381"/>
    </row>
    <row r="6" spans="4:14" x14ac:dyDescent="0.2">
      <c r="D6" s="645"/>
      <c r="E6" s="380"/>
      <c r="F6" s="646"/>
      <c r="G6" s="381"/>
      <c r="H6" s="380"/>
      <c r="I6" s="380"/>
      <c r="J6" s="380"/>
      <c r="K6" s="380"/>
      <c r="L6" s="380"/>
      <c r="M6" s="380"/>
      <c r="N6" s="381"/>
    </row>
    <row r="7" spans="4:14" x14ac:dyDescent="0.2">
      <c r="D7" s="382"/>
      <c r="E7" s="380"/>
      <c r="F7" s="646"/>
      <c r="G7" s="381"/>
      <c r="H7" s="380"/>
      <c r="I7" s="380"/>
      <c r="J7" s="380"/>
      <c r="K7" s="380"/>
      <c r="L7" s="380"/>
      <c r="M7" s="380"/>
      <c r="N7" s="381"/>
    </row>
    <row r="8" spans="4:14" x14ac:dyDescent="0.2">
      <c r="D8" s="382"/>
      <c r="E8" s="380"/>
      <c r="F8" s="646"/>
      <c r="G8" s="381"/>
      <c r="H8" s="380"/>
      <c r="I8" s="380"/>
      <c r="J8" s="380"/>
      <c r="K8" s="380"/>
      <c r="L8" s="380"/>
      <c r="M8" s="380"/>
      <c r="N8" s="381"/>
    </row>
    <row r="9" spans="4:14" x14ac:dyDescent="0.2">
      <c r="D9" s="382"/>
      <c r="E9" s="380"/>
      <c r="F9" s="646"/>
      <c r="G9" s="381"/>
      <c r="H9" s="380"/>
      <c r="I9" s="380"/>
      <c r="J9" s="380"/>
      <c r="K9" s="380"/>
      <c r="L9" s="380"/>
      <c r="M9" s="380"/>
      <c r="N9" s="381"/>
    </row>
    <row r="10" spans="4:14" x14ac:dyDescent="0.2">
      <c r="D10" s="382"/>
      <c r="E10" s="380"/>
      <c r="F10" s="646"/>
      <c r="G10" s="381"/>
      <c r="H10" s="380"/>
      <c r="I10" s="380"/>
      <c r="J10" s="380"/>
      <c r="K10" s="380"/>
      <c r="L10" s="380"/>
      <c r="M10" s="380"/>
      <c r="N10" s="381"/>
    </row>
    <row r="11" spans="4:14" x14ac:dyDescent="0.2">
      <c r="D11" s="382"/>
      <c r="E11" s="380"/>
      <c r="F11" s="646"/>
      <c r="G11" s="381"/>
      <c r="H11" s="380"/>
      <c r="I11" s="380"/>
      <c r="J11" s="380"/>
      <c r="K11" s="380"/>
      <c r="L11" s="380"/>
      <c r="M11" s="380"/>
      <c r="N11" s="381"/>
    </row>
    <row r="12" spans="4:14" x14ac:dyDescent="0.2">
      <c r="D12" s="382"/>
      <c r="E12" s="380"/>
      <c r="F12" s="646"/>
      <c r="G12" s="381"/>
      <c r="H12" s="380"/>
      <c r="I12" s="380"/>
      <c r="J12" s="380"/>
      <c r="K12" s="380"/>
      <c r="L12" s="380"/>
      <c r="M12" s="380"/>
      <c r="N12" s="381"/>
    </row>
    <row r="13" spans="4:14" x14ac:dyDescent="0.2">
      <c r="D13" s="382"/>
      <c r="E13" s="380"/>
      <c r="F13" s="646"/>
      <c r="G13" s="381"/>
      <c r="H13" s="380"/>
      <c r="I13" s="380"/>
      <c r="J13" s="380"/>
      <c r="K13" s="380"/>
      <c r="L13" s="380"/>
      <c r="M13" s="380"/>
      <c r="N13" s="381"/>
    </row>
    <row r="14" spans="4:14" x14ac:dyDescent="0.2">
      <c r="D14" s="382"/>
      <c r="E14" s="380"/>
      <c r="F14" s="646"/>
      <c r="G14" s="381"/>
      <c r="H14" s="380"/>
      <c r="I14" s="380"/>
      <c r="J14" s="380"/>
      <c r="K14" s="380"/>
      <c r="L14" s="380"/>
      <c r="M14" s="380"/>
      <c r="N14" s="381"/>
    </row>
    <row r="15" spans="4:14" x14ac:dyDescent="0.2">
      <c r="D15" s="382"/>
      <c r="E15" s="380"/>
      <c r="F15" s="646"/>
      <c r="G15" s="381"/>
      <c r="H15" s="380"/>
      <c r="I15" s="380"/>
      <c r="J15" s="380"/>
      <c r="K15" s="380"/>
      <c r="L15" s="380"/>
      <c r="M15" s="380"/>
      <c r="N15" s="381"/>
    </row>
    <row r="16" spans="4:14" x14ac:dyDescent="0.2">
      <c r="D16" s="382"/>
      <c r="E16" s="380"/>
      <c r="F16" s="646"/>
      <c r="G16" s="381"/>
      <c r="H16" s="380"/>
      <c r="I16" s="380"/>
      <c r="J16" s="380"/>
      <c r="K16" s="380"/>
      <c r="L16" s="380"/>
      <c r="M16" s="380"/>
      <c r="N16" s="381"/>
    </row>
    <row r="17" spans="4:14" x14ac:dyDescent="0.2">
      <c r="D17" s="382"/>
      <c r="E17" s="380"/>
      <c r="F17" s="646"/>
      <c r="G17" s="381"/>
      <c r="H17" s="380"/>
      <c r="I17" s="380"/>
      <c r="J17" s="380"/>
      <c r="K17" s="380"/>
      <c r="L17" s="380"/>
      <c r="M17" s="380"/>
      <c r="N17" s="381"/>
    </row>
    <row r="18" spans="4:14" x14ac:dyDescent="0.2">
      <c r="D18" s="382"/>
      <c r="E18" s="380"/>
      <c r="F18" s="646"/>
      <c r="G18" s="381"/>
      <c r="H18" s="380"/>
      <c r="I18" s="380"/>
      <c r="J18" s="380"/>
      <c r="K18" s="380"/>
      <c r="L18" s="380"/>
      <c r="M18" s="380"/>
      <c r="N18" s="381"/>
    </row>
    <row r="19" spans="4:14" x14ac:dyDescent="0.2">
      <c r="D19" s="382"/>
      <c r="E19" s="380"/>
      <c r="F19" s="646"/>
      <c r="G19" s="381"/>
      <c r="H19" s="380"/>
      <c r="I19" s="380"/>
      <c r="J19" s="380"/>
      <c r="K19" s="380"/>
      <c r="L19" s="380"/>
      <c r="M19" s="380"/>
      <c r="N19" s="381"/>
    </row>
    <row r="20" spans="4:14" x14ac:dyDescent="0.2">
      <c r="D20" s="382"/>
      <c r="E20" s="380"/>
      <c r="F20" s="646"/>
      <c r="G20" s="381"/>
      <c r="H20" s="380"/>
      <c r="I20" s="380"/>
      <c r="J20" s="380"/>
      <c r="K20" s="380"/>
      <c r="L20" s="380"/>
      <c r="M20" s="380"/>
      <c r="N20" s="381"/>
    </row>
    <row r="21" spans="4:14" x14ac:dyDescent="0.2">
      <c r="D21" s="382"/>
      <c r="E21" s="380"/>
      <c r="F21" s="646"/>
      <c r="G21" s="381"/>
      <c r="H21" s="380"/>
      <c r="I21" s="380"/>
      <c r="J21" s="380"/>
      <c r="K21" s="380"/>
      <c r="L21" s="380"/>
      <c r="M21" s="380"/>
      <c r="N21" s="381"/>
    </row>
    <row r="22" spans="4:14" x14ac:dyDescent="0.2">
      <c r="D22" s="382"/>
      <c r="E22" s="380"/>
      <c r="F22" s="646"/>
      <c r="G22" s="381"/>
      <c r="H22" s="380"/>
      <c r="I22" s="380"/>
      <c r="J22" s="380"/>
      <c r="K22" s="380"/>
      <c r="L22" s="380"/>
      <c r="M22" s="380"/>
      <c r="N22" s="381"/>
    </row>
    <row r="23" spans="4:14" x14ac:dyDescent="0.2">
      <c r="D23"/>
      <c r="E23"/>
      <c r="F23"/>
      <c r="G23"/>
      <c r="H23"/>
      <c r="I23"/>
      <c r="J23"/>
      <c r="K23"/>
      <c r="L23"/>
      <c r="M23"/>
      <c r="N23"/>
    </row>
    <row r="24" spans="4:14" x14ac:dyDescent="0.2">
      <c r="D24"/>
      <c r="E24"/>
      <c r="F24"/>
      <c r="G24"/>
      <c r="H24"/>
      <c r="I24"/>
      <c r="J24"/>
      <c r="K24"/>
      <c r="L24"/>
      <c r="M24"/>
      <c r="N24"/>
    </row>
    <row r="25" spans="4:14" x14ac:dyDescent="0.2">
      <c r="D25"/>
      <c r="E25"/>
      <c r="F25"/>
      <c r="G25"/>
      <c r="H25"/>
      <c r="I25"/>
      <c r="J25"/>
      <c r="K25"/>
      <c r="L25"/>
      <c r="M25"/>
      <c r="N25"/>
    </row>
    <row r="26" spans="4:14" x14ac:dyDescent="0.2">
      <c r="D26"/>
      <c r="E26"/>
      <c r="F26"/>
      <c r="G26"/>
      <c r="H26"/>
      <c r="I26"/>
      <c r="J26"/>
      <c r="K26"/>
      <c r="L26"/>
      <c r="M26"/>
      <c r="N26"/>
    </row>
    <row r="27" spans="4:14" x14ac:dyDescent="0.2">
      <c r="D27"/>
      <c r="E27"/>
      <c r="F27"/>
      <c r="G27"/>
      <c r="H27"/>
      <c r="I27"/>
      <c r="J27"/>
      <c r="K27"/>
      <c r="L27"/>
      <c r="M27"/>
      <c r="N27"/>
    </row>
    <row r="28" spans="4:14" x14ac:dyDescent="0.2">
      <c r="D28"/>
      <c r="E28"/>
      <c r="F28"/>
      <c r="G28"/>
      <c r="H28"/>
      <c r="I28"/>
      <c r="J28"/>
      <c r="K28"/>
      <c r="L28"/>
      <c r="M28"/>
      <c r="N28"/>
    </row>
    <row r="29" spans="4:14" x14ac:dyDescent="0.2">
      <c r="D29"/>
      <c r="E29"/>
      <c r="F29"/>
      <c r="G29"/>
      <c r="H29"/>
      <c r="I29"/>
      <c r="J29"/>
      <c r="K29"/>
      <c r="L29"/>
      <c r="M29"/>
      <c r="N29"/>
    </row>
    <row r="31" spans="4:14" x14ac:dyDescent="0.2">
      <c r="H31" s="663"/>
    </row>
    <row r="32" spans="4:14" x14ac:dyDescent="0.2">
      <c r="H32" s="663"/>
    </row>
    <row r="33" spans="8:8" x14ac:dyDescent="0.2">
      <c r="H33" s="663"/>
    </row>
    <row r="34" spans="8:8" x14ac:dyDescent="0.2">
      <c r="H34" s="663"/>
    </row>
    <row r="35" spans="8:8" x14ac:dyDescent="0.2">
      <c r="H35" s="663"/>
    </row>
    <row r="36" spans="8:8" x14ac:dyDescent="0.2">
      <c r="H36" s="663"/>
    </row>
    <row r="37" spans="8:8" x14ac:dyDescent="0.2">
      <c r="H37" s="663"/>
    </row>
    <row r="38" spans="8:8" x14ac:dyDescent="0.2">
      <c r="H38" s="663"/>
    </row>
    <row r="39" spans="8:8" x14ac:dyDescent="0.2">
      <c r="H39" s="663"/>
    </row>
    <row r="40" spans="8:8" x14ac:dyDescent="0.2">
      <c r="H40" s="663"/>
    </row>
    <row r="41" spans="8:8" x14ac:dyDescent="0.2">
      <c r="H41" s="663"/>
    </row>
    <row r="42" spans="8:8" x14ac:dyDescent="0.2">
      <c r="H42" s="663"/>
    </row>
    <row r="43" spans="8:8" x14ac:dyDescent="0.2">
      <c r="H43" s="663"/>
    </row>
    <row r="44" spans="8:8" x14ac:dyDescent="0.2">
      <c r="H44" s="663"/>
    </row>
    <row r="45" spans="8:8" x14ac:dyDescent="0.2">
      <c r="H45" s="663"/>
    </row>
    <row r="46" spans="8:8" x14ac:dyDescent="0.2">
      <c r="H46" s="663"/>
    </row>
    <row r="47" spans="8:8" x14ac:dyDescent="0.2">
      <c r="H47" s="663"/>
    </row>
    <row r="48" spans="8:8" x14ac:dyDescent="0.2">
      <c r="H48" s="663"/>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CN1976"/>
  <sheetViews>
    <sheetView showGridLines="0" topLeftCell="AT1" workbookViewId="0">
      <selection activeCell="BE6" sqref="BE6"/>
    </sheetView>
  </sheetViews>
  <sheetFormatPr defaultRowHeight="12.75" x14ac:dyDescent="0.2"/>
  <cols>
    <col min="1" max="1" width="14" style="167" customWidth="1"/>
    <col min="2" max="2" width="20.7109375" style="167" bestFit="1" customWidth="1"/>
    <col min="3" max="3" width="7.85546875" style="167" bestFit="1" customWidth="1"/>
    <col min="4" max="4" width="12.7109375" style="167" customWidth="1"/>
    <col min="5" max="5" width="13.28515625" style="167" bestFit="1" customWidth="1"/>
    <col min="6" max="8" width="12.140625" style="167" customWidth="1"/>
    <col min="9" max="9" width="33.5703125" style="167" bestFit="1" customWidth="1"/>
    <col min="10" max="10" width="6.7109375" style="167" bestFit="1" customWidth="1"/>
    <col min="11" max="11" width="6" style="167" bestFit="1" customWidth="1"/>
    <col min="12" max="12" width="9.28515625" style="167" bestFit="1" customWidth="1"/>
    <col min="13" max="13" width="9.140625" style="167" bestFit="1" customWidth="1"/>
    <col min="14" max="14" width="21" style="167" bestFit="1" customWidth="1"/>
    <col min="15" max="15" width="5.42578125" style="167" customWidth="1"/>
    <col min="16" max="16" width="33.5703125" style="167" bestFit="1" customWidth="1"/>
    <col min="17" max="17" width="17" style="167" bestFit="1" customWidth="1"/>
    <col min="18" max="18" width="19.5703125" style="167" bestFit="1" customWidth="1"/>
    <col min="19" max="19" width="19.28515625" style="167" bestFit="1" customWidth="1"/>
    <col min="20" max="20" width="20.42578125" style="167" bestFit="1" customWidth="1"/>
    <col min="21" max="21" width="9.140625" style="167" customWidth="1"/>
    <col min="22" max="22" width="9.85546875" style="167" bestFit="1" customWidth="1"/>
    <col min="23" max="23" width="11.5703125" style="167" bestFit="1" customWidth="1"/>
    <col min="24" max="24" width="10.85546875" style="167" bestFit="1" customWidth="1"/>
    <col min="25" max="25" width="9.140625" style="141"/>
    <col min="26" max="26" width="12.85546875" style="141" bestFit="1" customWidth="1"/>
    <col min="27" max="27" width="11.140625" style="141" bestFit="1" customWidth="1"/>
    <col min="28" max="28" width="16.85546875" style="141" bestFit="1" customWidth="1"/>
    <col min="29" max="29" width="9.140625" style="141"/>
    <col min="30" max="30" width="24.140625" style="141" bestFit="1" customWidth="1"/>
    <col min="31" max="31" width="19.7109375" style="141" bestFit="1" customWidth="1"/>
    <col min="32" max="32" width="12.42578125" style="141" bestFit="1" customWidth="1"/>
    <col min="33" max="33" width="9.140625" style="141"/>
    <col min="34" max="34" width="33.85546875" style="141" bestFit="1" customWidth="1"/>
    <col min="35" max="36" width="9.140625" style="141"/>
    <col min="37" max="37" width="12.85546875" style="141" bestFit="1" customWidth="1"/>
    <col min="38" max="38" width="5.85546875" style="141" bestFit="1" customWidth="1"/>
    <col min="39" max="39" width="9.140625" style="141"/>
    <col min="40" max="40" width="12.42578125" style="141" bestFit="1" customWidth="1"/>
    <col min="41" max="41" width="12.28515625" style="141" bestFit="1" customWidth="1"/>
    <col min="42" max="42" width="22.42578125" style="141" bestFit="1" customWidth="1"/>
    <col min="43" max="43" width="9.85546875" style="141" bestFit="1" customWidth="1"/>
    <col min="44" max="44" width="9.140625" style="141"/>
    <col min="45" max="45" width="9.28515625" style="141" bestFit="1" customWidth="1"/>
    <col min="46" max="46" width="9.85546875" style="141" bestFit="1" customWidth="1"/>
    <col min="47" max="47" width="11.140625" style="141" bestFit="1" customWidth="1"/>
    <col min="48" max="48" width="6.7109375" style="141" bestFit="1" customWidth="1"/>
    <col min="49" max="49" width="11.7109375" style="141" bestFit="1" customWidth="1"/>
    <col min="50" max="50" width="9.140625" style="141"/>
    <col min="51" max="51" width="20.140625" style="141" bestFit="1" customWidth="1"/>
    <col min="52" max="52" width="17.140625" style="141" customWidth="1"/>
    <col min="53" max="53" width="9.140625" style="141"/>
    <col min="54" max="54" width="43.140625" style="141" bestFit="1" customWidth="1"/>
    <col min="55" max="55" width="27.5703125" style="141" bestFit="1" customWidth="1"/>
    <col min="56" max="16384" width="9.140625" style="141"/>
  </cols>
  <sheetData>
    <row r="1" spans="1:92" s="644" customFormat="1" ht="12.75" customHeight="1" x14ac:dyDescent="0.2">
      <c r="A1" s="820" t="s">
        <v>737</v>
      </c>
      <c r="B1" s="820"/>
      <c r="C1" s="820"/>
      <c r="D1" s="820"/>
      <c r="E1" s="820"/>
      <c r="F1" s="820"/>
      <c r="I1" s="820" t="s">
        <v>736</v>
      </c>
      <c r="J1" s="820"/>
      <c r="K1" s="820"/>
      <c r="L1" s="820"/>
      <c r="M1" s="820"/>
      <c r="N1" s="820"/>
      <c r="O1" s="820"/>
      <c r="P1" s="820"/>
      <c r="Q1" s="820"/>
      <c r="R1" s="820"/>
      <c r="S1" s="820"/>
      <c r="T1" s="820"/>
      <c r="V1" s="820" t="s">
        <v>94</v>
      </c>
      <c r="W1" s="820"/>
      <c r="X1" s="820"/>
      <c r="Z1" s="820" t="s">
        <v>94</v>
      </c>
      <c r="AA1" s="820"/>
      <c r="AB1" s="820"/>
      <c r="AU1" s="644" t="s">
        <v>832</v>
      </c>
      <c r="AY1" s="821" t="s">
        <v>855</v>
      </c>
      <c r="AZ1" s="822"/>
    </row>
    <row r="2" spans="1:92" s="644" customFormat="1" ht="12.75" customHeight="1" x14ac:dyDescent="0.2">
      <c r="A2" s="820" t="s">
        <v>735</v>
      </c>
      <c r="B2" s="820"/>
      <c r="C2" s="820"/>
      <c r="D2" s="820"/>
      <c r="E2" s="820"/>
      <c r="F2" s="820"/>
      <c r="I2" s="820" t="s">
        <v>735</v>
      </c>
      <c r="J2" s="820"/>
      <c r="K2" s="820"/>
      <c r="L2" s="820"/>
      <c r="M2" s="820"/>
      <c r="N2" s="820"/>
      <c r="P2" s="820" t="s">
        <v>745</v>
      </c>
      <c r="Q2" s="820"/>
      <c r="R2" s="820"/>
      <c r="S2" s="820"/>
      <c r="T2" s="820"/>
      <c r="V2" s="820" t="s">
        <v>96</v>
      </c>
      <c r="W2" s="820"/>
      <c r="X2" s="820"/>
      <c r="Z2" s="820" t="s">
        <v>109</v>
      </c>
      <c r="AA2" s="820"/>
      <c r="AB2" s="820"/>
      <c r="AD2" s="820" t="s">
        <v>667</v>
      </c>
      <c r="AE2" s="820"/>
      <c r="AF2" s="820"/>
      <c r="AH2" s="820"/>
      <c r="AI2" s="820"/>
      <c r="AK2" s="820" t="s">
        <v>109</v>
      </c>
      <c r="AL2" s="820"/>
      <c r="AN2" s="820" t="s">
        <v>105</v>
      </c>
      <c r="AO2" s="820"/>
      <c r="AP2" s="820"/>
      <c r="AQ2" s="820"/>
      <c r="AS2" s="644" t="s">
        <v>95</v>
      </c>
      <c r="AT2" s="644" t="s">
        <v>822</v>
      </c>
      <c r="AU2" s="644" t="s">
        <v>823</v>
      </c>
      <c r="AV2" s="644" t="s">
        <v>50</v>
      </c>
      <c r="AW2" s="644" t="s">
        <v>509</v>
      </c>
    </row>
    <row r="3" spans="1:92" s="644" customFormat="1" x14ac:dyDescent="0.2">
      <c r="A3" s="644" t="s">
        <v>49</v>
      </c>
      <c r="B3" s="644" t="s">
        <v>689</v>
      </c>
      <c r="C3" s="644" t="s">
        <v>50</v>
      </c>
      <c r="D3" s="644" t="s">
        <v>690</v>
      </c>
      <c r="E3" s="644" t="s">
        <v>691</v>
      </c>
      <c r="F3" s="644" t="s">
        <v>725</v>
      </c>
      <c r="H3" s="644" t="s">
        <v>81</v>
      </c>
      <c r="I3" s="644" t="s">
        <v>49</v>
      </c>
      <c r="J3" s="644" t="s">
        <v>50</v>
      </c>
      <c r="K3" s="644" t="s">
        <v>61</v>
      </c>
      <c r="L3" s="644" t="s">
        <v>64</v>
      </c>
      <c r="M3" s="644" t="s">
        <v>72</v>
      </c>
      <c r="N3" s="644" t="s">
        <v>611</v>
      </c>
      <c r="P3" s="644" t="s">
        <v>49</v>
      </c>
      <c r="Q3" s="644" t="s">
        <v>742</v>
      </c>
      <c r="R3" s="644" t="s">
        <v>743</v>
      </c>
      <c r="S3" s="644" t="s">
        <v>744</v>
      </c>
      <c r="T3" s="644" t="s">
        <v>738</v>
      </c>
      <c r="V3" s="644" t="s">
        <v>95</v>
      </c>
      <c r="W3" s="644" t="s">
        <v>97</v>
      </c>
      <c r="X3" s="644" t="s">
        <v>98</v>
      </c>
      <c r="Z3" s="644" t="s">
        <v>154</v>
      </c>
      <c r="AA3" s="644" t="s">
        <v>95</v>
      </c>
      <c r="AB3" s="644" t="s">
        <v>699</v>
      </c>
      <c r="AD3" s="644" t="s">
        <v>637</v>
      </c>
      <c r="AE3" s="644" t="s">
        <v>665</v>
      </c>
      <c r="AF3" s="644" t="s">
        <v>666</v>
      </c>
      <c r="AH3" s="644" t="s">
        <v>684</v>
      </c>
      <c r="AK3" s="644" t="s">
        <v>154</v>
      </c>
      <c r="AL3" s="644" t="s">
        <v>687</v>
      </c>
      <c r="AN3" s="644" t="s">
        <v>49</v>
      </c>
      <c r="AO3" s="644" t="s">
        <v>81</v>
      </c>
      <c r="AP3" s="644" t="s">
        <v>705</v>
      </c>
      <c r="AQ3" s="644" t="s">
        <v>706</v>
      </c>
      <c r="AS3" s="644" t="s">
        <v>824</v>
      </c>
      <c r="AT3" s="644" t="s">
        <v>825</v>
      </c>
      <c r="AU3" s="644" t="s">
        <v>825</v>
      </c>
      <c r="AV3" s="644" t="s">
        <v>826</v>
      </c>
      <c r="AW3" s="644" t="s">
        <v>827</v>
      </c>
      <c r="AY3" s="644" t="s">
        <v>49</v>
      </c>
      <c r="AZ3" s="644" t="s">
        <v>856</v>
      </c>
      <c r="BB3" s="664" t="s">
        <v>2858</v>
      </c>
      <c r="BC3" s="664" t="s">
        <v>2859</v>
      </c>
      <c r="CN3" s="644">
        <v>1</v>
      </c>
    </row>
    <row r="4" spans="1:92" x14ac:dyDescent="0.2">
      <c r="A4" s="376" t="s">
        <v>638</v>
      </c>
      <c r="B4" s="376">
        <v>1</v>
      </c>
      <c r="C4" s="571">
        <v>2.9000000000000001E-2</v>
      </c>
      <c r="D4" s="355">
        <v>1.5</v>
      </c>
      <c r="E4" s="355"/>
      <c r="F4" s="378">
        <v>70</v>
      </c>
      <c r="G4" s="141"/>
      <c r="H4" s="141"/>
      <c r="I4" s="376" t="s">
        <v>669</v>
      </c>
      <c r="J4" s="376">
        <v>1.5</v>
      </c>
      <c r="K4" s="376">
        <v>0.25</v>
      </c>
      <c r="L4" s="559">
        <v>90</v>
      </c>
      <c r="M4" s="1">
        <v>50</v>
      </c>
      <c r="N4" s="376"/>
      <c r="P4" s="448" t="s">
        <v>675</v>
      </c>
      <c r="Q4" s="445">
        <v>90</v>
      </c>
      <c r="R4" s="445">
        <v>80</v>
      </c>
      <c r="S4" s="445">
        <v>80</v>
      </c>
      <c r="T4" s="376"/>
      <c r="V4" s="358">
        <v>0.6</v>
      </c>
      <c r="W4" s="358">
        <v>9.5299999999999994</v>
      </c>
      <c r="X4" s="358" t="s">
        <v>10</v>
      </c>
      <c r="Z4" s="358" t="s">
        <v>110</v>
      </c>
      <c r="AA4" s="358"/>
      <c r="AB4" s="358">
        <v>1</v>
      </c>
      <c r="AD4" s="376" t="s">
        <v>638</v>
      </c>
      <c r="AE4" s="376" t="s">
        <v>647</v>
      </c>
      <c r="AF4" s="376" t="s">
        <v>644</v>
      </c>
      <c r="AH4" s="376"/>
      <c r="AI4" s="376"/>
      <c r="AK4" s="376" t="s">
        <v>110</v>
      </c>
      <c r="AL4" s="445">
        <v>0</v>
      </c>
      <c r="AN4" s="376" t="s">
        <v>644</v>
      </c>
      <c r="AO4" s="376" t="s">
        <v>82</v>
      </c>
      <c r="AP4" s="356" t="str">
        <f t="shared" ref="AP4:AP9" si="0">AN4&amp;AO4</f>
        <v>Perfiladeira 1Leve</v>
      </c>
      <c r="AQ4" s="445">
        <v>2</v>
      </c>
      <c r="AS4" s="612">
        <v>0</v>
      </c>
      <c r="AT4" s="612">
        <v>0.95</v>
      </c>
      <c r="AU4" s="612">
        <v>3.85</v>
      </c>
      <c r="AV4" s="612">
        <v>1.5</v>
      </c>
      <c r="AW4" s="612">
        <v>0.08</v>
      </c>
      <c r="AY4" s="643" t="s">
        <v>644</v>
      </c>
      <c r="AZ4" s="643" t="s">
        <v>59</v>
      </c>
      <c r="BB4" s="1" t="s">
        <v>877</v>
      </c>
      <c r="BC4" s="1" t="s">
        <v>878</v>
      </c>
    </row>
    <row r="5" spans="1:92" x14ac:dyDescent="0.2">
      <c r="A5" s="376" t="s">
        <v>639</v>
      </c>
      <c r="B5" s="376">
        <v>2</v>
      </c>
      <c r="C5" s="571">
        <v>3.2000000000000001E-2</v>
      </c>
      <c r="D5" s="355">
        <v>2.5</v>
      </c>
      <c r="E5" s="355"/>
      <c r="F5" s="378">
        <v>70</v>
      </c>
      <c r="G5" s="141"/>
      <c r="H5" s="141"/>
      <c r="I5" s="376" t="s">
        <v>671</v>
      </c>
      <c r="J5" s="376">
        <v>1</v>
      </c>
      <c r="K5" s="376">
        <v>0.25</v>
      </c>
      <c r="L5" s="560">
        <v>65</v>
      </c>
      <c r="M5" s="376">
        <v>50</v>
      </c>
      <c r="N5" s="376">
        <v>0.9</v>
      </c>
      <c r="P5" s="448" t="s">
        <v>676</v>
      </c>
      <c r="Q5" s="445">
        <v>90</v>
      </c>
      <c r="R5" s="445">
        <v>80</v>
      </c>
      <c r="S5" s="445">
        <v>80</v>
      </c>
      <c r="T5" s="376"/>
      <c r="V5" s="358">
        <v>0.75</v>
      </c>
      <c r="W5" s="358">
        <v>10</v>
      </c>
      <c r="X5" s="358" t="s">
        <v>116</v>
      </c>
      <c r="Z5" s="358" t="s">
        <v>111</v>
      </c>
      <c r="AA5" s="358">
        <v>8</v>
      </c>
      <c r="AB5" s="358">
        <v>1</v>
      </c>
      <c r="AD5" s="376" t="s">
        <v>639</v>
      </c>
      <c r="AE5" s="376"/>
      <c r="AF5" s="376" t="s">
        <v>645</v>
      </c>
      <c r="AH5" s="376" t="s">
        <v>671</v>
      </c>
      <c r="AI5" s="376"/>
      <c r="AK5" s="376" t="s">
        <v>111</v>
      </c>
      <c r="AL5" s="445">
        <v>1</v>
      </c>
      <c r="AN5" s="376" t="s">
        <v>644</v>
      </c>
      <c r="AO5" s="376" t="s">
        <v>700</v>
      </c>
      <c r="AP5" s="356" t="str">
        <f t="shared" si="0"/>
        <v>Perfiladeira 1Média</v>
      </c>
      <c r="AQ5" s="445">
        <v>4</v>
      </c>
      <c r="AS5" s="612">
        <v>3.75</v>
      </c>
      <c r="AT5" s="612">
        <v>0.95</v>
      </c>
      <c r="AU5" s="612">
        <v>3.85</v>
      </c>
      <c r="AV5" s="612">
        <v>1.5</v>
      </c>
      <c r="AW5" s="612">
        <v>0.08</v>
      </c>
      <c r="AY5" s="643" t="s">
        <v>645</v>
      </c>
      <c r="AZ5" s="643" t="s">
        <v>60</v>
      </c>
      <c r="BB5" s="1" t="s">
        <v>879</v>
      </c>
      <c r="BC5" s="1" t="s">
        <v>878</v>
      </c>
    </row>
    <row r="6" spans="1:92" x14ac:dyDescent="0.2">
      <c r="A6" s="376" t="s">
        <v>640</v>
      </c>
      <c r="B6" s="376">
        <v>3</v>
      </c>
      <c r="C6" s="571">
        <v>4.4999999999999998E-2</v>
      </c>
      <c r="D6" s="355">
        <v>2.5</v>
      </c>
      <c r="E6" s="355"/>
      <c r="F6" s="378">
        <v>70</v>
      </c>
      <c r="G6" s="141"/>
      <c r="H6" s="141"/>
      <c r="I6" s="376" t="s">
        <v>670</v>
      </c>
      <c r="J6" s="376">
        <v>1</v>
      </c>
      <c r="K6" s="376">
        <v>0.25</v>
      </c>
      <c r="L6" s="560">
        <v>65</v>
      </c>
      <c r="M6" s="376">
        <v>50</v>
      </c>
      <c r="N6" s="376">
        <v>0.9</v>
      </c>
      <c r="P6" s="444" t="s">
        <v>672</v>
      </c>
      <c r="Q6" s="445">
        <v>90</v>
      </c>
      <c r="R6" s="445">
        <v>80</v>
      </c>
      <c r="S6" s="445">
        <v>80</v>
      </c>
      <c r="T6" s="444"/>
      <c r="V6" s="358">
        <v>0.9</v>
      </c>
      <c r="W6" s="358">
        <v>12</v>
      </c>
      <c r="X6" s="358" t="s">
        <v>116</v>
      </c>
      <c r="Z6" s="358" t="s">
        <v>188</v>
      </c>
      <c r="AA6" s="358">
        <v>3</v>
      </c>
      <c r="AB6" s="358">
        <v>1</v>
      </c>
      <c r="AD6" s="376" t="s">
        <v>640</v>
      </c>
      <c r="AE6" s="376"/>
      <c r="AF6" s="376" t="s">
        <v>646</v>
      </c>
      <c r="AH6" s="376" t="s">
        <v>669</v>
      </c>
      <c r="AI6" s="376"/>
      <c r="AN6" s="376" t="s">
        <v>644</v>
      </c>
      <c r="AO6" s="376" t="s">
        <v>84</v>
      </c>
      <c r="AP6" s="356" t="str">
        <f t="shared" si="0"/>
        <v>Perfiladeira 1Pesada</v>
      </c>
      <c r="AQ6" s="445">
        <v>6</v>
      </c>
      <c r="AS6" s="612">
        <v>3.8</v>
      </c>
      <c r="AT6" s="612">
        <v>0.35</v>
      </c>
      <c r="AU6" s="612">
        <v>2.95</v>
      </c>
      <c r="AV6" s="612">
        <v>2.5</v>
      </c>
      <c r="AW6" s="612">
        <v>5.5E-2</v>
      </c>
      <c r="AY6" s="643" t="s">
        <v>646</v>
      </c>
      <c r="AZ6" s="643" t="s">
        <v>857</v>
      </c>
      <c r="BB6" s="1" t="s">
        <v>880</v>
      </c>
      <c r="BC6" s="1" t="s">
        <v>881</v>
      </c>
    </row>
    <row r="7" spans="1:92" x14ac:dyDescent="0.2">
      <c r="A7" s="376" t="s">
        <v>641</v>
      </c>
      <c r="B7" s="376">
        <v>4</v>
      </c>
      <c r="C7" s="571">
        <v>3.6999999999999998E-2</v>
      </c>
      <c r="D7" s="355">
        <v>2.4</v>
      </c>
      <c r="E7" s="355"/>
      <c r="F7" s="378">
        <v>70</v>
      </c>
      <c r="G7" s="141"/>
      <c r="H7" s="141"/>
      <c r="I7" s="376" t="s">
        <v>675</v>
      </c>
      <c r="J7" s="376"/>
      <c r="K7" s="376">
        <v>0.75</v>
      </c>
      <c r="L7" s="560">
        <v>80</v>
      </c>
      <c r="M7" s="376">
        <v>400</v>
      </c>
      <c r="N7" s="444"/>
      <c r="P7" s="444" t="s">
        <v>673</v>
      </c>
      <c r="Q7" s="445">
        <v>90</v>
      </c>
      <c r="R7" s="445">
        <v>80</v>
      </c>
      <c r="S7" s="445">
        <v>80</v>
      </c>
      <c r="T7" s="444"/>
      <c r="V7" s="358">
        <v>0.95</v>
      </c>
      <c r="W7" s="358">
        <v>12.7</v>
      </c>
      <c r="X7" s="358" t="s">
        <v>11</v>
      </c>
      <c r="AD7" s="376" t="s">
        <v>641</v>
      </c>
      <c r="AE7" s="376"/>
      <c r="AF7" s="376"/>
      <c r="AH7" s="376" t="s">
        <v>670</v>
      </c>
      <c r="AI7" s="376"/>
      <c r="AN7" s="376" t="s">
        <v>645</v>
      </c>
      <c r="AO7" s="376" t="s">
        <v>704</v>
      </c>
      <c r="AP7" s="356" t="str">
        <f t="shared" si="0"/>
        <v>Perfiladeira 2Indiferente</v>
      </c>
      <c r="AQ7" s="445">
        <v>0.5</v>
      </c>
      <c r="AS7" s="612">
        <v>6.3</v>
      </c>
      <c r="AT7" s="612">
        <v>0.35</v>
      </c>
      <c r="AU7" s="612">
        <v>2.95</v>
      </c>
      <c r="AV7" s="612">
        <v>2.5</v>
      </c>
      <c r="AW7" s="612">
        <v>5.5E-2</v>
      </c>
      <c r="AY7" s="643" t="s">
        <v>638</v>
      </c>
      <c r="AZ7" s="643" t="s">
        <v>51</v>
      </c>
      <c r="BB7" s="1" t="s">
        <v>882</v>
      </c>
      <c r="BC7" s="1" t="s">
        <v>883</v>
      </c>
    </row>
    <row r="8" spans="1:92" x14ac:dyDescent="0.2">
      <c r="A8" s="376" t="s">
        <v>642</v>
      </c>
      <c r="B8" s="376">
        <v>5</v>
      </c>
      <c r="C8" s="571">
        <v>0.06</v>
      </c>
      <c r="D8" s="355">
        <v>6</v>
      </c>
      <c r="E8" s="355"/>
      <c r="F8" s="378">
        <v>65</v>
      </c>
      <c r="G8" s="141"/>
      <c r="H8" s="141"/>
      <c r="I8" s="376" t="s">
        <v>676</v>
      </c>
      <c r="J8" s="376"/>
      <c r="K8" s="376">
        <v>0.75</v>
      </c>
      <c r="L8" s="560">
        <v>80</v>
      </c>
      <c r="M8" s="376">
        <v>400</v>
      </c>
      <c r="N8" s="444"/>
      <c r="P8" s="444" t="s">
        <v>681</v>
      </c>
      <c r="Q8" s="445">
        <v>90</v>
      </c>
      <c r="R8" s="445">
        <v>80</v>
      </c>
      <c r="S8" s="445">
        <v>80</v>
      </c>
      <c r="T8" s="444"/>
      <c r="V8" s="358">
        <v>1.06</v>
      </c>
      <c r="W8" s="358">
        <v>15.88</v>
      </c>
      <c r="X8" s="358" t="s">
        <v>12</v>
      </c>
      <c r="AD8" s="376" t="s">
        <v>642</v>
      </c>
      <c r="AE8" s="376"/>
      <c r="AF8" s="376"/>
      <c r="AH8" s="376" t="s">
        <v>672</v>
      </c>
      <c r="AI8" s="376"/>
      <c r="AN8" s="376" t="s">
        <v>646</v>
      </c>
      <c r="AO8" s="376" t="s">
        <v>704</v>
      </c>
      <c r="AP8" s="356" t="str">
        <f t="shared" si="0"/>
        <v>Perfiladeira 3Indiferente</v>
      </c>
      <c r="AQ8" s="445">
        <v>2</v>
      </c>
      <c r="AY8" s="643" t="s">
        <v>639</v>
      </c>
      <c r="AZ8" s="643" t="s">
        <v>52</v>
      </c>
      <c r="BB8" s="1" t="s">
        <v>884</v>
      </c>
      <c r="BC8" s="1" t="s">
        <v>885</v>
      </c>
    </row>
    <row r="9" spans="1:92" x14ac:dyDescent="0.2">
      <c r="A9" s="376" t="s">
        <v>643</v>
      </c>
      <c r="B9" s="376">
        <v>6</v>
      </c>
      <c r="C9" s="571">
        <v>0.02</v>
      </c>
      <c r="D9" s="355">
        <v>2.5</v>
      </c>
      <c r="E9" s="355"/>
      <c r="F9" s="378">
        <v>70</v>
      </c>
      <c r="G9" s="141"/>
      <c r="H9" s="141"/>
      <c r="I9" s="376" t="s">
        <v>672</v>
      </c>
      <c r="J9" s="376"/>
      <c r="K9" s="358">
        <v>0.35</v>
      </c>
      <c r="L9" s="561">
        <v>80</v>
      </c>
      <c r="M9" s="378">
        <v>120</v>
      </c>
      <c r="N9" s="444"/>
      <c r="P9" s="444" t="s">
        <v>677</v>
      </c>
      <c r="Q9" s="445">
        <v>70</v>
      </c>
      <c r="R9" s="445">
        <v>65</v>
      </c>
      <c r="S9" s="445">
        <v>60</v>
      </c>
      <c r="T9" s="444"/>
      <c r="V9" s="358">
        <v>1.2</v>
      </c>
      <c r="W9" s="358">
        <v>19.05</v>
      </c>
      <c r="X9" s="358" t="s">
        <v>13</v>
      </c>
      <c r="AD9" s="376" t="s">
        <v>643</v>
      </c>
      <c r="AE9" s="376"/>
      <c r="AF9" s="376"/>
      <c r="AH9" s="376" t="s">
        <v>673</v>
      </c>
      <c r="AI9" s="376"/>
      <c r="AN9" s="376" t="s">
        <v>647</v>
      </c>
      <c r="AO9" s="376" t="s">
        <v>704</v>
      </c>
      <c r="AP9" s="356" t="str">
        <f t="shared" si="0"/>
        <v>Formadora 7Indiferente</v>
      </c>
      <c r="AQ9" s="445">
        <v>1</v>
      </c>
      <c r="AY9" s="643" t="s">
        <v>640</v>
      </c>
      <c r="AZ9" s="643" t="s">
        <v>53</v>
      </c>
      <c r="BB9" s="1" t="s">
        <v>886</v>
      </c>
      <c r="BC9" s="1" t="s">
        <v>887</v>
      </c>
    </row>
    <row r="10" spans="1:92" x14ac:dyDescent="0.2">
      <c r="A10" s="376" t="s">
        <v>647</v>
      </c>
      <c r="B10" s="376">
        <v>7</v>
      </c>
      <c r="C10" s="571">
        <v>0.1</v>
      </c>
      <c r="D10" s="355">
        <v>4</v>
      </c>
      <c r="E10" s="355">
        <v>30</v>
      </c>
      <c r="F10" s="378">
        <v>50</v>
      </c>
      <c r="G10" s="141"/>
      <c r="H10" s="141"/>
      <c r="I10" s="376" t="s">
        <v>673</v>
      </c>
      <c r="J10" s="376"/>
      <c r="K10" s="358">
        <v>1</v>
      </c>
      <c r="L10" s="561">
        <v>80</v>
      </c>
      <c r="M10" s="378">
        <v>120</v>
      </c>
      <c r="N10" s="444"/>
      <c r="P10" s="444" t="s">
        <v>678</v>
      </c>
      <c r="Q10" s="445">
        <v>70</v>
      </c>
      <c r="R10" s="445">
        <v>65</v>
      </c>
      <c r="S10" s="445">
        <v>60</v>
      </c>
      <c r="T10" s="444"/>
      <c r="V10" s="358">
        <v>1.25</v>
      </c>
      <c r="W10" s="358">
        <v>20.65</v>
      </c>
      <c r="X10" s="358" t="s">
        <v>116</v>
      </c>
      <c r="AD10" s="376"/>
      <c r="AE10" s="376"/>
      <c r="AF10" s="376"/>
      <c r="AH10" s="376" t="s">
        <v>681</v>
      </c>
      <c r="AI10" s="376"/>
      <c r="AN10" s="617"/>
      <c r="AO10" s="617"/>
      <c r="AP10" s="619" t="str">
        <f>AN10&amp;AO10</f>
        <v/>
      </c>
      <c r="AQ10" s="445"/>
      <c r="AY10" s="643" t="s">
        <v>641</v>
      </c>
      <c r="AZ10" s="643" t="s">
        <v>54</v>
      </c>
      <c r="BB10" s="1" t="s">
        <v>888</v>
      </c>
      <c r="BC10" s="1" t="s">
        <v>878</v>
      </c>
    </row>
    <row r="11" spans="1:92" x14ac:dyDescent="0.2">
      <c r="A11" s="376" t="s">
        <v>644</v>
      </c>
      <c r="B11" s="376">
        <v>8</v>
      </c>
      <c r="C11" s="571">
        <v>1.7999999999999999E-2</v>
      </c>
      <c r="D11" s="355">
        <v>30</v>
      </c>
      <c r="E11" s="355"/>
      <c r="F11" s="378">
        <v>70</v>
      </c>
      <c r="G11" s="141"/>
      <c r="H11" s="141"/>
      <c r="I11" s="376" t="s">
        <v>681</v>
      </c>
      <c r="J11" s="376"/>
      <c r="K11" s="358">
        <v>1</v>
      </c>
      <c r="L11" s="561">
        <v>80</v>
      </c>
      <c r="M11" s="378">
        <v>120</v>
      </c>
      <c r="N11" s="444"/>
      <c r="P11" s="444" t="s">
        <v>674</v>
      </c>
      <c r="Q11" s="445">
        <v>90</v>
      </c>
      <c r="R11" s="445">
        <v>80</v>
      </c>
      <c r="S11" s="445">
        <v>80</v>
      </c>
      <c r="T11" s="444"/>
      <c r="V11" s="358">
        <v>1.5</v>
      </c>
      <c r="W11" s="358">
        <v>22.22</v>
      </c>
      <c r="X11" s="358" t="s">
        <v>14</v>
      </c>
      <c r="AD11" s="376"/>
      <c r="AE11" s="376"/>
      <c r="AF11" s="376"/>
      <c r="AH11" s="376" t="s">
        <v>674</v>
      </c>
      <c r="AI11" s="376"/>
      <c r="AY11" s="643" t="s">
        <v>642</v>
      </c>
      <c r="AZ11" s="643" t="s">
        <v>55</v>
      </c>
      <c r="BB11" s="1" t="s">
        <v>889</v>
      </c>
      <c r="BC11" s="1" t="s">
        <v>878</v>
      </c>
    </row>
    <row r="12" spans="1:92" x14ac:dyDescent="0.2">
      <c r="A12" s="376" t="s">
        <v>645</v>
      </c>
      <c r="B12" s="376">
        <v>9</v>
      </c>
      <c r="C12" s="571">
        <v>1.7999999999999999E-2</v>
      </c>
      <c r="D12" s="355">
        <v>30</v>
      </c>
      <c r="E12" s="355"/>
      <c r="F12" s="378">
        <v>70</v>
      </c>
      <c r="G12" s="141"/>
      <c r="H12" s="141"/>
      <c r="I12" s="376" t="s">
        <v>679</v>
      </c>
      <c r="J12" s="376"/>
      <c r="K12" s="358">
        <v>1</v>
      </c>
      <c r="L12" s="561">
        <v>80</v>
      </c>
      <c r="M12" s="378">
        <v>50</v>
      </c>
      <c r="N12" s="444"/>
      <c r="P12" s="444" t="s">
        <v>669</v>
      </c>
      <c r="Q12" s="445">
        <v>65</v>
      </c>
      <c r="R12" s="445">
        <v>65</v>
      </c>
      <c r="S12" s="445">
        <v>65</v>
      </c>
      <c r="T12" s="444"/>
      <c r="V12" s="358">
        <v>1.45</v>
      </c>
      <c r="W12" s="358"/>
      <c r="X12" s="358"/>
      <c r="AD12"/>
      <c r="AE12"/>
      <c r="AF12"/>
      <c r="AH12" s="376" t="s">
        <v>675</v>
      </c>
      <c r="AI12" s="376"/>
      <c r="AY12" s="643" t="s">
        <v>643</v>
      </c>
      <c r="AZ12" s="643" t="s">
        <v>56</v>
      </c>
      <c r="BB12" s="1" t="s">
        <v>890</v>
      </c>
      <c r="BC12" s="1" t="s">
        <v>887</v>
      </c>
    </row>
    <row r="13" spans="1:92" x14ac:dyDescent="0.2">
      <c r="A13" s="376" t="s">
        <v>646</v>
      </c>
      <c r="B13" s="376">
        <v>10</v>
      </c>
      <c r="C13" s="571">
        <v>1.7999999999999999E-2</v>
      </c>
      <c r="D13" s="355">
        <v>30</v>
      </c>
      <c r="E13" s="355"/>
      <c r="F13" s="378">
        <v>70</v>
      </c>
      <c r="G13" s="141"/>
      <c r="H13" s="141"/>
      <c r="I13" s="376" t="s">
        <v>677</v>
      </c>
      <c r="J13" s="376">
        <v>3</v>
      </c>
      <c r="K13" s="358">
        <v>1</v>
      </c>
      <c r="L13" s="560"/>
      <c r="M13" s="444"/>
      <c r="N13" s="444"/>
      <c r="P13" s="444" t="s">
        <v>671</v>
      </c>
      <c r="Q13" s="445">
        <v>65</v>
      </c>
      <c r="R13" s="445">
        <v>65</v>
      </c>
      <c r="S13" s="445">
        <v>65</v>
      </c>
      <c r="T13" s="444"/>
      <c r="V13" s="358">
        <v>1.55</v>
      </c>
      <c r="W13" s="358">
        <v>25.4</v>
      </c>
      <c r="X13" s="358" t="s">
        <v>15</v>
      </c>
      <c r="AD13"/>
      <c r="AE13"/>
      <c r="AF13"/>
      <c r="AH13" s="376" t="s">
        <v>676</v>
      </c>
      <c r="AI13" s="376"/>
      <c r="AY13" s="643" t="s">
        <v>647</v>
      </c>
      <c r="AZ13" s="643" t="s">
        <v>57</v>
      </c>
      <c r="BB13" s="1" t="s">
        <v>891</v>
      </c>
      <c r="BC13" s="1" t="s">
        <v>878</v>
      </c>
    </row>
    <row r="14" spans="1:92" x14ac:dyDescent="0.2">
      <c r="A14" s="141"/>
      <c r="B14" s="141"/>
      <c r="C14" s="141"/>
      <c r="D14" s="141"/>
      <c r="E14" s="141"/>
      <c r="F14" s="141"/>
      <c r="G14" s="141"/>
      <c r="H14" s="141"/>
      <c r="I14" s="376" t="s">
        <v>678</v>
      </c>
      <c r="J14" s="376">
        <v>3</v>
      </c>
      <c r="K14" s="358">
        <v>1</v>
      </c>
      <c r="L14" s="560"/>
      <c r="M14" s="444"/>
      <c r="N14" s="444"/>
      <c r="P14" s="444" t="s">
        <v>670</v>
      </c>
      <c r="Q14" s="445">
        <v>65</v>
      </c>
      <c r="R14" s="445">
        <v>65</v>
      </c>
      <c r="S14" s="445">
        <v>65</v>
      </c>
      <c r="T14" s="444"/>
      <c r="V14" s="358">
        <v>1.8</v>
      </c>
      <c r="W14" s="358">
        <v>28.57</v>
      </c>
      <c r="X14" s="358" t="s">
        <v>16</v>
      </c>
      <c r="AH14" s="376" t="s">
        <v>677</v>
      </c>
      <c r="AI14" s="376"/>
      <c r="AY14" s="643" t="s">
        <v>680</v>
      </c>
      <c r="AZ14" s="662" t="s">
        <v>875</v>
      </c>
      <c r="BB14" s="1" t="s">
        <v>892</v>
      </c>
      <c r="BC14" s="1" t="s">
        <v>893</v>
      </c>
    </row>
    <row r="15" spans="1:92" x14ac:dyDescent="0.2">
      <c r="I15" s="376" t="s">
        <v>674</v>
      </c>
      <c r="J15" s="376"/>
      <c r="K15" s="376">
        <v>0.5</v>
      </c>
      <c r="L15" s="560"/>
      <c r="M15" s="444"/>
      <c r="N15" s="444"/>
      <c r="P15" s="444" t="s">
        <v>679</v>
      </c>
      <c r="Q15" s="445">
        <v>75</v>
      </c>
      <c r="R15" s="445">
        <v>70</v>
      </c>
      <c r="S15" s="445">
        <v>65</v>
      </c>
      <c r="T15" s="444"/>
      <c r="V15" s="358">
        <v>1.9</v>
      </c>
      <c r="W15" s="358">
        <v>31.75</v>
      </c>
      <c r="X15" s="358" t="s">
        <v>17</v>
      </c>
      <c r="AH15" s="376" t="s">
        <v>678</v>
      </c>
      <c r="AI15" s="376"/>
      <c r="AY15" s="643" t="s">
        <v>682</v>
      </c>
      <c r="AZ15" s="662" t="s">
        <v>876</v>
      </c>
      <c r="BB15" s="1" t="s">
        <v>894</v>
      </c>
      <c r="BC15" s="1" t="s">
        <v>895</v>
      </c>
    </row>
    <row r="16" spans="1:92" x14ac:dyDescent="0.2">
      <c r="I16" s="444" t="s">
        <v>680</v>
      </c>
      <c r="J16" s="444">
        <v>1</v>
      </c>
      <c r="K16" s="444"/>
      <c r="L16" s="560"/>
      <c r="M16" s="444"/>
      <c r="N16" s="444"/>
      <c r="P16" s="444"/>
      <c r="Q16" s="445"/>
      <c r="R16" s="445"/>
      <c r="S16" s="445"/>
      <c r="T16" s="445"/>
      <c r="V16" s="358">
        <v>1.95</v>
      </c>
      <c r="W16" s="358">
        <v>33.4</v>
      </c>
      <c r="X16" s="358" t="s">
        <v>116</v>
      </c>
      <c r="AH16" s="376" t="s">
        <v>679</v>
      </c>
      <c r="AI16" s="376"/>
      <c r="AY16" s="643" t="s">
        <v>683</v>
      </c>
      <c r="AZ16" s="662" t="s">
        <v>876</v>
      </c>
      <c r="BB16" s="1" t="s">
        <v>896</v>
      </c>
      <c r="BC16" s="1" t="s">
        <v>893</v>
      </c>
    </row>
    <row r="17" spans="1:55" x14ac:dyDescent="0.2">
      <c r="I17" s="444" t="s">
        <v>682</v>
      </c>
      <c r="J17" s="444">
        <v>1</v>
      </c>
      <c r="K17" s="444"/>
      <c r="L17" s="560"/>
      <c r="M17" s="444"/>
      <c r="N17" s="444"/>
      <c r="P17" s="444"/>
      <c r="Q17" s="445"/>
      <c r="R17" s="445"/>
      <c r="S17" s="445"/>
      <c r="T17" s="445"/>
      <c r="V17" s="358">
        <v>2</v>
      </c>
      <c r="W17" s="358">
        <v>33.700000000000003</v>
      </c>
      <c r="X17" s="358" t="s">
        <v>116</v>
      </c>
      <c r="AH17" s="376" t="s">
        <v>680</v>
      </c>
      <c r="AI17" s="376"/>
      <c r="AY17" s="643"/>
      <c r="AZ17" s="662"/>
      <c r="BB17" s="1" t="s">
        <v>897</v>
      </c>
      <c r="BC17" s="1" t="s">
        <v>887</v>
      </c>
    </row>
    <row r="18" spans="1:55" x14ac:dyDescent="0.2">
      <c r="I18" s="444" t="s">
        <v>683</v>
      </c>
      <c r="J18" s="444">
        <v>1</v>
      </c>
      <c r="K18" s="444"/>
      <c r="L18" s="560"/>
      <c r="M18" s="444"/>
      <c r="N18" s="444"/>
      <c r="P18" s="610"/>
      <c r="Q18" s="445"/>
      <c r="R18" s="445"/>
      <c r="S18" s="445"/>
      <c r="T18" s="445"/>
      <c r="V18" s="358">
        <v>2.25</v>
      </c>
      <c r="W18" s="358">
        <v>34.93</v>
      </c>
      <c r="X18" s="358" t="s">
        <v>18</v>
      </c>
      <c r="AH18" s="376" t="s">
        <v>682</v>
      </c>
      <c r="AI18" s="376"/>
      <c r="AY18" s="643"/>
      <c r="AZ18" s="643"/>
      <c r="BB18" s="1" t="s">
        <v>898</v>
      </c>
      <c r="BC18" s="1" t="s">
        <v>883</v>
      </c>
    </row>
    <row r="19" spans="1:55" x14ac:dyDescent="0.2">
      <c r="I19" s="437"/>
      <c r="J19" s="437"/>
      <c r="P19"/>
      <c r="V19" s="358">
        <v>2.2999999999999998</v>
      </c>
      <c r="W19" s="358">
        <v>38.1</v>
      </c>
      <c r="X19" s="358" t="s">
        <v>19</v>
      </c>
      <c r="AH19" s="376" t="s">
        <v>683</v>
      </c>
      <c r="AI19" s="376"/>
      <c r="AY19" s="643"/>
      <c r="AZ19" s="643"/>
      <c r="BB19" s="1" t="s">
        <v>899</v>
      </c>
      <c r="BC19" s="1" t="s">
        <v>878</v>
      </c>
    </row>
    <row r="20" spans="1:55" x14ac:dyDescent="0.2">
      <c r="I20" s="437"/>
      <c r="J20" s="437"/>
      <c r="P20"/>
      <c r="V20" s="358">
        <v>2.65</v>
      </c>
      <c r="W20" s="358">
        <v>41.27</v>
      </c>
      <c r="X20" s="358" t="s">
        <v>20</v>
      </c>
      <c r="AH20" s="376"/>
      <c r="AI20" s="376"/>
      <c r="AY20" s="643"/>
      <c r="AZ20" s="643"/>
      <c r="BB20" s="1" t="s">
        <v>900</v>
      </c>
      <c r="BC20" s="1" t="s">
        <v>878</v>
      </c>
    </row>
    <row r="21" spans="1:55" x14ac:dyDescent="0.2">
      <c r="E21"/>
      <c r="F21"/>
      <c r="P21"/>
      <c r="V21" s="358">
        <v>2.7</v>
      </c>
      <c r="W21" s="358">
        <v>42.2</v>
      </c>
      <c r="X21" s="358" t="s">
        <v>116</v>
      </c>
      <c r="AH21" s="376"/>
      <c r="AI21" s="376"/>
      <c r="AY21" s="643"/>
      <c r="AZ21" s="643"/>
      <c r="BB21" s="1" t="s">
        <v>901</v>
      </c>
      <c r="BC21" s="1" t="s">
        <v>878</v>
      </c>
    </row>
    <row r="22" spans="1:55" x14ac:dyDescent="0.2">
      <c r="E22"/>
      <c r="F22"/>
      <c r="P22"/>
      <c r="V22" s="358">
        <v>3</v>
      </c>
      <c r="W22" s="358">
        <v>42.4</v>
      </c>
      <c r="X22" s="358" t="s">
        <v>116</v>
      </c>
      <c r="AH22" s="376"/>
      <c r="AI22" s="376"/>
      <c r="AY22" s="643"/>
      <c r="AZ22" s="643"/>
      <c r="BB22" s="1" t="s">
        <v>902</v>
      </c>
      <c r="BC22" s="1" t="s">
        <v>887</v>
      </c>
    </row>
    <row r="23" spans="1:55" x14ac:dyDescent="0.2">
      <c r="E23"/>
      <c r="F23"/>
      <c r="P23"/>
      <c r="V23" s="358">
        <v>3.35</v>
      </c>
      <c r="W23" s="358">
        <v>44.45</v>
      </c>
      <c r="X23" s="358" t="s">
        <v>21</v>
      </c>
      <c r="AH23" s="376"/>
      <c r="AI23" s="376"/>
      <c r="AY23" s="643"/>
      <c r="AZ23" s="643"/>
      <c r="BB23" s="1" t="s">
        <v>903</v>
      </c>
      <c r="BC23" s="1" t="s">
        <v>887</v>
      </c>
    </row>
    <row r="24" spans="1:55" x14ac:dyDescent="0.2">
      <c r="E24"/>
      <c r="F24"/>
      <c r="P24"/>
      <c r="V24" s="358">
        <v>3.75</v>
      </c>
      <c r="W24" s="358">
        <v>47.62</v>
      </c>
      <c r="X24" s="358" t="s">
        <v>22</v>
      </c>
      <c r="AH24" s="376"/>
      <c r="AI24" s="376"/>
      <c r="BB24" s="1" t="s">
        <v>904</v>
      </c>
      <c r="BC24" s="1" t="s">
        <v>885</v>
      </c>
    </row>
    <row r="25" spans="1:55" x14ac:dyDescent="0.2">
      <c r="E25"/>
      <c r="F25"/>
      <c r="V25" s="358">
        <v>4.25</v>
      </c>
      <c r="W25" s="358">
        <v>48.3</v>
      </c>
      <c r="X25" s="358" t="s">
        <v>116</v>
      </c>
      <c r="AH25" s="376"/>
      <c r="AI25" s="376"/>
      <c r="BB25" s="1" t="s">
        <v>905</v>
      </c>
      <c r="BC25" s="1" t="s">
        <v>887</v>
      </c>
    </row>
    <row r="26" spans="1:55" x14ac:dyDescent="0.2">
      <c r="V26" s="358">
        <v>4.5</v>
      </c>
      <c r="W26" s="358">
        <v>50.8</v>
      </c>
      <c r="X26" s="358" t="s">
        <v>23</v>
      </c>
      <c r="AH26" s="376"/>
      <c r="AI26" s="376"/>
      <c r="BB26" s="1" t="s">
        <v>906</v>
      </c>
      <c r="BC26" s="1" t="s">
        <v>887</v>
      </c>
    </row>
    <row r="27" spans="1:55" x14ac:dyDescent="0.2">
      <c r="V27" s="358">
        <v>4.75</v>
      </c>
      <c r="W27" s="358">
        <v>53.97</v>
      </c>
      <c r="X27" s="358" t="s">
        <v>99</v>
      </c>
      <c r="AH27" s="376"/>
      <c r="AI27" s="376"/>
      <c r="BB27" s="1" t="s">
        <v>907</v>
      </c>
      <c r="BC27" s="1" t="s">
        <v>887</v>
      </c>
    </row>
    <row r="28" spans="1:55" x14ac:dyDescent="0.2">
      <c r="V28" s="358">
        <v>5</v>
      </c>
      <c r="W28" s="358">
        <v>57.15</v>
      </c>
      <c r="X28" s="358" t="s">
        <v>24</v>
      </c>
      <c r="AH28" s="376"/>
      <c r="AI28" s="376"/>
      <c r="BB28" s="1" t="s">
        <v>908</v>
      </c>
      <c r="BC28" s="1" t="s">
        <v>887</v>
      </c>
    </row>
    <row r="29" spans="1:55" x14ac:dyDescent="0.2">
      <c r="A29" s="21"/>
      <c r="B29" s="21"/>
      <c r="C29" s="21"/>
      <c r="D29" s="21"/>
      <c r="E29" s="21"/>
      <c r="F29" s="21"/>
      <c r="G29" s="21"/>
      <c r="H29" s="21"/>
      <c r="V29" s="358">
        <v>5.4</v>
      </c>
      <c r="W29" s="358">
        <v>60.3</v>
      </c>
      <c r="X29" s="358" t="s">
        <v>25</v>
      </c>
      <c r="AH29" s="376"/>
      <c r="AI29" s="376"/>
      <c r="BB29" s="1" t="s">
        <v>909</v>
      </c>
      <c r="BC29" s="1" t="s">
        <v>883</v>
      </c>
    </row>
    <row r="30" spans="1:55" x14ac:dyDescent="0.2">
      <c r="A30" s="437"/>
      <c r="B30" s="437"/>
      <c r="C30" s="437"/>
      <c r="D30" s="437"/>
      <c r="E30" s="437"/>
      <c r="F30" s="437"/>
      <c r="G30" s="437"/>
      <c r="H30" s="443"/>
      <c r="V30" s="358">
        <v>6.3</v>
      </c>
      <c r="W30" s="358">
        <v>63.5</v>
      </c>
      <c r="X30" s="358" t="s">
        <v>26</v>
      </c>
      <c r="AH30" s="376"/>
      <c r="AI30" s="376"/>
      <c r="BB30" s="1" t="s">
        <v>910</v>
      </c>
      <c r="BC30" s="1" t="s">
        <v>878</v>
      </c>
    </row>
    <row r="31" spans="1:55" x14ac:dyDescent="0.2">
      <c r="A31" s="437"/>
      <c r="B31" s="437"/>
      <c r="C31" s="437"/>
      <c r="D31" s="437"/>
      <c r="E31" s="437"/>
      <c r="F31" s="437"/>
      <c r="G31" s="437"/>
      <c r="H31" s="443"/>
      <c r="V31" s="358">
        <v>7.3</v>
      </c>
      <c r="W31" s="358">
        <v>70</v>
      </c>
      <c r="X31" s="358" t="s">
        <v>116</v>
      </c>
      <c r="BB31" s="1" t="s">
        <v>911</v>
      </c>
      <c r="BC31" s="1" t="s">
        <v>878</v>
      </c>
    </row>
    <row r="32" spans="1:55" x14ac:dyDescent="0.2">
      <c r="V32" s="358">
        <v>8</v>
      </c>
      <c r="W32" s="358">
        <v>73.03</v>
      </c>
      <c r="X32" s="358" t="s">
        <v>100</v>
      </c>
      <c r="BB32" s="1" t="s">
        <v>912</v>
      </c>
      <c r="BC32" s="1" t="s">
        <v>883</v>
      </c>
    </row>
    <row r="33" spans="22:55" x14ac:dyDescent="0.2">
      <c r="V33" s="358">
        <v>8.18</v>
      </c>
      <c r="W33" s="358">
        <v>76.099999999999994</v>
      </c>
      <c r="X33" s="358" t="s">
        <v>116</v>
      </c>
      <c r="BB33" s="1" t="s">
        <v>913</v>
      </c>
      <c r="BC33" s="1" t="s">
        <v>887</v>
      </c>
    </row>
    <row r="34" spans="22:55" x14ac:dyDescent="0.2">
      <c r="V34" s="358">
        <v>8.56</v>
      </c>
      <c r="W34" s="358">
        <v>76.2</v>
      </c>
      <c r="X34" s="358" t="s">
        <v>27</v>
      </c>
      <c r="BB34" s="1" t="s">
        <v>914</v>
      </c>
      <c r="BC34" s="1" t="s">
        <v>887</v>
      </c>
    </row>
    <row r="35" spans="22:55" x14ac:dyDescent="0.2">
      <c r="W35" s="358">
        <v>80</v>
      </c>
      <c r="X35" s="358" t="s">
        <v>116</v>
      </c>
      <c r="BB35" s="1" t="s">
        <v>915</v>
      </c>
      <c r="BC35" s="1" t="s">
        <v>887</v>
      </c>
    </row>
    <row r="36" spans="22:55" x14ac:dyDescent="0.2">
      <c r="W36" s="358">
        <v>82.55</v>
      </c>
      <c r="X36" s="358" t="s">
        <v>28</v>
      </c>
      <c r="BB36" s="1" t="s">
        <v>916</v>
      </c>
      <c r="BC36" s="1" t="s">
        <v>887</v>
      </c>
    </row>
    <row r="37" spans="22:55" x14ac:dyDescent="0.2">
      <c r="W37" s="358">
        <v>88.9</v>
      </c>
      <c r="X37" s="358" t="s">
        <v>29</v>
      </c>
      <c r="BB37" s="1" t="s">
        <v>917</v>
      </c>
      <c r="BC37" s="1" t="s">
        <v>887</v>
      </c>
    </row>
    <row r="38" spans="22:55" x14ac:dyDescent="0.2">
      <c r="W38" s="358">
        <v>95.25</v>
      </c>
      <c r="X38" s="358" t="s">
        <v>101</v>
      </c>
      <c r="BB38" s="1" t="s">
        <v>918</v>
      </c>
      <c r="BC38" s="1" t="s">
        <v>887</v>
      </c>
    </row>
    <row r="39" spans="22:55" x14ac:dyDescent="0.2">
      <c r="W39" s="358">
        <v>101.6</v>
      </c>
      <c r="X39" s="358" t="s">
        <v>30</v>
      </c>
      <c r="BB39" s="1" t="s">
        <v>919</v>
      </c>
      <c r="BC39" s="1" t="s">
        <v>887</v>
      </c>
    </row>
    <row r="40" spans="22:55" x14ac:dyDescent="0.2">
      <c r="W40" s="358">
        <v>111.13</v>
      </c>
      <c r="X40" s="358" t="s">
        <v>113</v>
      </c>
      <c r="BB40" s="1" t="s">
        <v>920</v>
      </c>
      <c r="BC40" s="1" t="s">
        <v>887</v>
      </c>
    </row>
    <row r="41" spans="22:55" x14ac:dyDescent="0.2">
      <c r="W41" s="358">
        <v>114.3</v>
      </c>
      <c r="X41" s="358" t="s">
        <v>31</v>
      </c>
      <c r="BB41" s="1" t="s">
        <v>921</v>
      </c>
      <c r="BC41" s="1" t="s">
        <v>887</v>
      </c>
    </row>
    <row r="42" spans="22:55" x14ac:dyDescent="0.2">
      <c r="W42" s="358">
        <v>122</v>
      </c>
      <c r="X42" s="358" t="s">
        <v>115</v>
      </c>
      <c r="BB42" s="1" t="s">
        <v>922</v>
      </c>
      <c r="BC42" s="1" t="s">
        <v>887</v>
      </c>
    </row>
    <row r="43" spans="22:55" x14ac:dyDescent="0.2">
      <c r="W43" s="358">
        <v>123.83</v>
      </c>
      <c r="X43" s="358" t="s">
        <v>114</v>
      </c>
      <c r="BB43" s="1" t="s">
        <v>923</v>
      </c>
      <c r="BC43" s="1" t="s">
        <v>887</v>
      </c>
    </row>
    <row r="44" spans="22:55" x14ac:dyDescent="0.2">
      <c r="W44" s="358">
        <v>127</v>
      </c>
      <c r="X44" s="358" t="s">
        <v>32</v>
      </c>
      <c r="BB44" s="1" t="s">
        <v>924</v>
      </c>
      <c r="BC44" s="1" t="s">
        <v>887</v>
      </c>
    </row>
    <row r="45" spans="22:55" x14ac:dyDescent="0.2">
      <c r="W45" s="358">
        <v>139.69999999999999</v>
      </c>
      <c r="X45" s="358" t="s">
        <v>33</v>
      </c>
      <c r="BB45" s="1" t="s">
        <v>925</v>
      </c>
      <c r="BC45" s="1" t="s">
        <v>887</v>
      </c>
    </row>
    <row r="46" spans="22:55" x14ac:dyDescent="0.2">
      <c r="W46" s="358">
        <v>152.4</v>
      </c>
      <c r="X46" s="358" t="s">
        <v>34</v>
      </c>
      <c r="BB46" s="1" t="s">
        <v>926</v>
      </c>
      <c r="BC46" s="1" t="s">
        <v>887</v>
      </c>
    </row>
    <row r="47" spans="22:55" x14ac:dyDescent="0.2">
      <c r="W47" s="358">
        <v>165.1</v>
      </c>
      <c r="X47" s="358" t="s">
        <v>116</v>
      </c>
      <c r="BB47" s="1" t="s">
        <v>927</v>
      </c>
      <c r="BC47" s="1" t="s">
        <v>887</v>
      </c>
    </row>
    <row r="48" spans="22:55" x14ac:dyDescent="0.2">
      <c r="W48" s="358">
        <v>168.3</v>
      </c>
      <c r="X48" s="358" t="s">
        <v>35</v>
      </c>
      <c r="BB48" s="1" t="s">
        <v>928</v>
      </c>
      <c r="BC48" s="1" t="s">
        <v>887</v>
      </c>
    </row>
    <row r="49" spans="23:55" x14ac:dyDescent="0.2">
      <c r="W49" s="358">
        <v>193.7</v>
      </c>
      <c r="X49" s="358" t="s">
        <v>36</v>
      </c>
      <c r="BB49" s="1" t="s">
        <v>929</v>
      </c>
      <c r="BC49" s="1" t="s">
        <v>887</v>
      </c>
    </row>
    <row r="50" spans="23:55" x14ac:dyDescent="0.2">
      <c r="W50" s="358">
        <v>219.1</v>
      </c>
      <c r="X50" s="358" t="s">
        <v>37</v>
      </c>
      <c r="BB50" s="1" t="s">
        <v>930</v>
      </c>
      <c r="BC50" s="1" t="s">
        <v>883</v>
      </c>
    </row>
    <row r="51" spans="23:55" x14ac:dyDescent="0.2">
      <c r="W51" s="358">
        <v>273.05</v>
      </c>
      <c r="X51" s="358" t="s">
        <v>38</v>
      </c>
      <c r="BB51" s="1" t="s">
        <v>931</v>
      </c>
      <c r="BC51" s="1" t="s">
        <v>878</v>
      </c>
    </row>
    <row r="52" spans="23:55" x14ac:dyDescent="0.2">
      <c r="BB52" s="1" t="s">
        <v>932</v>
      </c>
      <c r="BC52" s="1" t="s">
        <v>878</v>
      </c>
    </row>
    <row r="53" spans="23:55" x14ac:dyDescent="0.2">
      <c r="BB53" s="1" t="s">
        <v>933</v>
      </c>
      <c r="BC53" s="1" t="s">
        <v>878</v>
      </c>
    </row>
    <row r="54" spans="23:55" x14ac:dyDescent="0.2">
      <c r="BB54" s="1" t="s">
        <v>934</v>
      </c>
      <c r="BC54" s="1" t="s">
        <v>878</v>
      </c>
    </row>
    <row r="55" spans="23:55" x14ac:dyDescent="0.2">
      <c r="BB55" s="1" t="s">
        <v>935</v>
      </c>
      <c r="BC55" s="1" t="s">
        <v>878</v>
      </c>
    </row>
    <row r="56" spans="23:55" x14ac:dyDescent="0.2">
      <c r="BB56" s="1" t="s">
        <v>936</v>
      </c>
      <c r="BC56" s="1" t="s">
        <v>878</v>
      </c>
    </row>
    <row r="57" spans="23:55" x14ac:dyDescent="0.2">
      <c r="BB57" s="1" t="s">
        <v>937</v>
      </c>
      <c r="BC57" s="1" t="s">
        <v>878</v>
      </c>
    </row>
    <row r="58" spans="23:55" x14ac:dyDescent="0.2">
      <c r="BB58" s="1" t="s">
        <v>938</v>
      </c>
      <c r="BC58" s="1" t="s">
        <v>878</v>
      </c>
    </row>
    <row r="59" spans="23:55" x14ac:dyDescent="0.2">
      <c r="BB59" s="1" t="s">
        <v>939</v>
      </c>
      <c r="BC59" s="1" t="s">
        <v>878</v>
      </c>
    </row>
    <row r="60" spans="23:55" x14ac:dyDescent="0.2">
      <c r="BB60" s="1" t="s">
        <v>940</v>
      </c>
      <c r="BC60" s="1" t="s">
        <v>878</v>
      </c>
    </row>
    <row r="61" spans="23:55" x14ac:dyDescent="0.2">
      <c r="BB61" s="1" t="s">
        <v>941</v>
      </c>
      <c r="BC61" s="1" t="s">
        <v>878</v>
      </c>
    </row>
    <row r="62" spans="23:55" x14ac:dyDescent="0.2">
      <c r="BB62" s="1" t="s">
        <v>942</v>
      </c>
      <c r="BC62" s="1" t="s">
        <v>878</v>
      </c>
    </row>
    <row r="63" spans="23:55" x14ac:dyDescent="0.2">
      <c r="BB63" s="1" t="s">
        <v>943</v>
      </c>
      <c r="BC63" s="1" t="s">
        <v>887</v>
      </c>
    </row>
    <row r="64" spans="23:55" x14ac:dyDescent="0.2">
      <c r="BB64" s="1" t="s">
        <v>944</v>
      </c>
      <c r="BC64" s="1" t="s">
        <v>885</v>
      </c>
    </row>
    <row r="65" spans="54:55" x14ac:dyDescent="0.2">
      <c r="BB65" s="1" t="s">
        <v>945</v>
      </c>
      <c r="BC65" s="1" t="s">
        <v>878</v>
      </c>
    </row>
    <row r="66" spans="54:55" x14ac:dyDescent="0.2">
      <c r="BB66" s="1" t="s">
        <v>946</v>
      </c>
      <c r="BC66" s="1" t="s">
        <v>883</v>
      </c>
    </row>
    <row r="67" spans="54:55" x14ac:dyDescent="0.2">
      <c r="BB67" s="1" t="s">
        <v>947</v>
      </c>
      <c r="BC67" s="1" t="s">
        <v>878</v>
      </c>
    </row>
    <row r="68" spans="54:55" x14ac:dyDescent="0.2">
      <c r="BB68" s="1" t="s">
        <v>948</v>
      </c>
      <c r="BC68" s="1" t="s">
        <v>878</v>
      </c>
    </row>
    <row r="69" spans="54:55" x14ac:dyDescent="0.2">
      <c r="BB69" s="1" t="s">
        <v>949</v>
      </c>
      <c r="BC69" s="1" t="s">
        <v>878</v>
      </c>
    </row>
    <row r="70" spans="54:55" x14ac:dyDescent="0.2">
      <c r="BB70" s="1" t="s">
        <v>950</v>
      </c>
      <c r="BC70" s="1" t="s">
        <v>878</v>
      </c>
    </row>
    <row r="71" spans="54:55" x14ac:dyDescent="0.2">
      <c r="BB71" s="1" t="s">
        <v>951</v>
      </c>
      <c r="BC71" s="1" t="s">
        <v>883</v>
      </c>
    </row>
    <row r="72" spans="54:55" x14ac:dyDescent="0.2">
      <c r="BB72" s="1" t="s">
        <v>952</v>
      </c>
      <c r="BC72" s="1" t="s">
        <v>878</v>
      </c>
    </row>
    <row r="73" spans="54:55" x14ac:dyDescent="0.2">
      <c r="BB73" s="1" t="s">
        <v>953</v>
      </c>
      <c r="BC73" s="1" t="s">
        <v>878</v>
      </c>
    </row>
    <row r="74" spans="54:55" x14ac:dyDescent="0.2">
      <c r="BB74" s="1" t="s">
        <v>954</v>
      </c>
      <c r="BC74" s="1" t="s">
        <v>887</v>
      </c>
    </row>
    <row r="75" spans="54:55" x14ac:dyDescent="0.2">
      <c r="BB75" s="1" t="s">
        <v>955</v>
      </c>
      <c r="BC75" s="1" t="s">
        <v>893</v>
      </c>
    </row>
    <row r="76" spans="54:55" x14ac:dyDescent="0.2">
      <c r="BB76" s="1" t="s">
        <v>956</v>
      </c>
      <c r="BC76" s="1" t="s">
        <v>893</v>
      </c>
    </row>
    <row r="77" spans="54:55" x14ac:dyDescent="0.2">
      <c r="BB77" s="1" t="s">
        <v>957</v>
      </c>
      <c r="BC77" s="1" t="s">
        <v>883</v>
      </c>
    </row>
    <row r="78" spans="54:55" x14ac:dyDescent="0.2">
      <c r="BB78" s="1" t="s">
        <v>958</v>
      </c>
      <c r="BC78" s="1" t="s">
        <v>878</v>
      </c>
    </row>
    <row r="79" spans="54:55" x14ac:dyDescent="0.2">
      <c r="BB79" s="1" t="s">
        <v>959</v>
      </c>
      <c r="BC79" s="1" t="s">
        <v>893</v>
      </c>
    </row>
    <row r="80" spans="54:55" x14ac:dyDescent="0.2">
      <c r="BB80" s="1" t="s">
        <v>960</v>
      </c>
      <c r="BC80" s="1" t="s">
        <v>893</v>
      </c>
    </row>
    <row r="81" spans="54:55" x14ac:dyDescent="0.2">
      <c r="BB81" s="1" t="s">
        <v>961</v>
      </c>
      <c r="BC81" s="1" t="s">
        <v>878</v>
      </c>
    </row>
    <row r="82" spans="54:55" x14ac:dyDescent="0.2">
      <c r="BB82" s="1" t="s">
        <v>962</v>
      </c>
      <c r="BC82" s="1" t="s">
        <v>893</v>
      </c>
    </row>
    <row r="83" spans="54:55" x14ac:dyDescent="0.2">
      <c r="BB83" s="1" t="s">
        <v>963</v>
      </c>
      <c r="BC83" s="1" t="s">
        <v>878</v>
      </c>
    </row>
    <row r="84" spans="54:55" x14ac:dyDescent="0.2">
      <c r="BB84" s="1" t="s">
        <v>964</v>
      </c>
      <c r="BC84" s="1" t="s">
        <v>878</v>
      </c>
    </row>
    <row r="85" spans="54:55" x14ac:dyDescent="0.2">
      <c r="BB85" s="1" t="s">
        <v>965</v>
      </c>
      <c r="BC85" s="1" t="s">
        <v>878</v>
      </c>
    </row>
    <row r="86" spans="54:55" x14ac:dyDescent="0.2">
      <c r="BB86" s="1" t="s">
        <v>966</v>
      </c>
      <c r="BC86" s="1" t="s">
        <v>878</v>
      </c>
    </row>
    <row r="87" spans="54:55" x14ac:dyDescent="0.2">
      <c r="BB87" s="1" t="s">
        <v>967</v>
      </c>
      <c r="BC87" s="1" t="s">
        <v>893</v>
      </c>
    </row>
    <row r="88" spans="54:55" x14ac:dyDescent="0.2">
      <c r="BB88" s="1" t="s">
        <v>968</v>
      </c>
      <c r="BC88" s="1" t="s">
        <v>878</v>
      </c>
    </row>
    <row r="89" spans="54:55" x14ac:dyDescent="0.2">
      <c r="BB89" s="1" t="s">
        <v>969</v>
      </c>
      <c r="BC89" s="1" t="s">
        <v>878</v>
      </c>
    </row>
    <row r="90" spans="54:55" x14ac:dyDescent="0.2">
      <c r="BB90" s="1" t="s">
        <v>970</v>
      </c>
      <c r="BC90" s="1" t="s">
        <v>883</v>
      </c>
    </row>
    <row r="91" spans="54:55" x14ac:dyDescent="0.2">
      <c r="BB91" s="1" t="s">
        <v>971</v>
      </c>
      <c r="BC91" s="1" t="s">
        <v>887</v>
      </c>
    </row>
    <row r="92" spans="54:55" x14ac:dyDescent="0.2">
      <c r="BB92" s="1" t="s">
        <v>972</v>
      </c>
      <c r="BC92" s="1" t="s">
        <v>878</v>
      </c>
    </row>
    <row r="93" spans="54:55" x14ac:dyDescent="0.2">
      <c r="BB93" s="1" t="s">
        <v>973</v>
      </c>
      <c r="BC93" s="1" t="s">
        <v>878</v>
      </c>
    </row>
    <row r="94" spans="54:55" x14ac:dyDescent="0.2">
      <c r="BB94" s="1" t="s">
        <v>974</v>
      </c>
      <c r="BC94" s="1" t="s">
        <v>878</v>
      </c>
    </row>
    <row r="95" spans="54:55" x14ac:dyDescent="0.2">
      <c r="BB95" s="1" t="s">
        <v>975</v>
      </c>
      <c r="BC95" s="1" t="s">
        <v>881</v>
      </c>
    </row>
    <row r="96" spans="54:55" x14ac:dyDescent="0.2">
      <c r="BB96" s="1" t="s">
        <v>976</v>
      </c>
      <c r="BC96" s="1" t="s">
        <v>878</v>
      </c>
    </row>
    <row r="97" spans="54:55" x14ac:dyDescent="0.2">
      <c r="BB97" s="1" t="s">
        <v>977</v>
      </c>
      <c r="BC97" s="1" t="s">
        <v>883</v>
      </c>
    </row>
    <row r="98" spans="54:55" x14ac:dyDescent="0.2">
      <c r="BB98" s="1" t="s">
        <v>978</v>
      </c>
      <c r="BC98" s="1" t="s">
        <v>878</v>
      </c>
    </row>
    <row r="99" spans="54:55" x14ac:dyDescent="0.2">
      <c r="BB99" s="1" t="s">
        <v>979</v>
      </c>
      <c r="BC99" s="1" t="s">
        <v>885</v>
      </c>
    </row>
    <row r="100" spans="54:55" x14ac:dyDescent="0.2">
      <c r="BB100" s="1" t="s">
        <v>980</v>
      </c>
      <c r="BC100" s="1" t="s">
        <v>878</v>
      </c>
    </row>
    <row r="101" spans="54:55" x14ac:dyDescent="0.2">
      <c r="BB101" s="1" t="s">
        <v>981</v>
      </c>
      <c r="BC101" s="1" t="s">
        <v>878</v>
      </c>
    </row>
    <row r="102" spans="54:55" x14ac:dyDescent="0.2">
      <c r="BB102" s="1" t="s">
        <v>982</v>
      </c>
      <c r="BC102" s="1" t="s">
        <v>878</v>
      </c>
    </row>
    <row r="103" spans="54:55" x14ac:dyDescent="0.2">
      <c r="BB103" s="1" t="s">
        <v>983</v>
      </c>
      <c r="BC103" s="1" t="s">
        <v>887</v>
      </c>
    </row>
    <row r="104" spans="54:55" x14ac:dyDescent="0.2">
      <c r="BB104" s="1" t="s">
        <v>984</v>
      </c>
      <c r="BC104" s="1" t="s">
        <v>878</v>
      </c>
    </row>
    <row r="105" spans="54:55" x14ac:dyDescent="0.2">
      <c r="BB105" s="1" t="s">
        <v>985</v>
      </c>
      <c r="BC105" s="1" t="s">
        <v>878</v>
      </c>
    </row>
    <row r="106" spans="54:55" x14ac:dyDescent="0.2">
      <c r="BB106" s="1" t="s">
        <v>986</v>
      </c>
      <c r="BC106" s="1" t="s">
        <v>878</v>
      </c>
    </row>
    <row r="107" spans="54:55" x14ac:dyDescent="0.2">
      <c r="BB107" s="1" t="s">
        <v>987</v>
      </c>
      <c r="BC107" s="1" t="s">
        <v>878</v>
      </c>
    </row>
    <row r="108" spans="54:55" x14ac:dyDescent="0.2">
      <c r="BB108" s="1" t="s">
        <v>988</v>
      </c>
      <c r="BC108" s="1" t="s">
        <v>878</v>
      </c>
    </row>
    <row r="109" spans="54:55" x14ac:dyDescent="0.2">
      <c r="BB109" s="1" t="s">
        <v>989</v>
      </c>
      <c r="BC109" s="1" t="s">
        <v>878</v>
      </c>
    </row>
    <row r="110" spans="54:55" x14ac:dyDescent="0.2">
      <c r="BB110" s="1" t="s">
        <v>990</v>
      </c>
      <c r="BC110" s="1" t="s">
        <v>878</v>
      </c>
    </row>
    <row r="111" spans="54:55" x14ac:dyDescent="0.2">
      <c r="BB111" s="1" t="s">
        <v>991</v>
      </c>
      <c r="BC111" s="1" t="s">
        <v>878</v>
      </c>
    </row>
    <row r="112" spans="54:55" x14ac:dyDescent="0.2">
      <c r="BB112" s="1" t="s">
        <v>992</v>
      </c>
      <c r="BC112" s="1" t="s">
        <v>878</v>
      </c>
    </row>
    <row r="113" spans="54:55" x14ac:dyDescent="0.2">
      <c r="BB113" s="1" t="s">
        <v>993</v>
      </c>
      <c r="BC113" s="1" t="s">
        <v>878</v>
      </c>
    </row>
    <row r="114" spans="54:55" x14ac:dyDescent="0.2">
      <c r="BB114" s="1" t="s">
        <v>994</v>
      </c>
      <c r="BC114" s="1" t="s">
        <v>878</v>
      </c>
    </row>
    <row r="115" spans="54:55" x14ac:dyDescent="0.2">
      <c r="BB115" s="1" t="s">
        <v>995</v>
      </c>
      <c r="BC115" s="1" t="s">
        <v>885</v>
      </c>
    </row>
    <row r="116" spans="54:55" x14ac:dyDescent="0.2">
      <c r="BB116" s="1" t="s">
        <v>996</v>
      </c>
      <c r="BC116" s="1" t="s">
        <v>878</v>
      </c>
    </row>
    <row r="117" spans="54:55" x14ac:dyDescent="0.2">
      <c r="BB117" s="1" t="s">
        <v>997</v>
      </c>
      <c r="BC117" s="1" t="s">
        <v>878</v>
      </c>
    </row>
    <row r="118" spans="54:55" x14ac:dyDescent="0.2">
      <c r="BB118" s="1" t="s">
        <v>998</v>
      </c>
      <c r="BC118" s="1" t="s">
        <v>893</v>
      </c>
    </row>
    <row r="119" spans="54:55" x14ac:dyDescent="0.2">
      <c r="BB119" s="1" t="s">
        <v>999</v>
      </c>
      <c r="BC119" s="1" t="s">
        <v>887</v>
      </c>
    </row>
    <row r="120" spans="54:55" x14ac:dyDescent="0.2">
      <c r="BB120" s="1" t="s">
        <v>1000</v>
      </c>
      <c r="BC120" s="1" t="s">
        <v>878</v>
      </c>
    </row>
    <row r="121" spans="54:55" x14ac:dyDescent="0.2">
      <c r="BB121" s="1" t="s">
        <v>1001</v>
      </c>
      <c r="BC121" s="1" t="s">
        <v>893</v>
      </c>
    </row>
    <row r="122" spans="54:55" x14ac:dyDescent="0.2">
      <c r="BB122" s="1" t="s">
        <v>1002</v>
      </c>
      <c r="BC122" s="1" t="s">
        <v>878</v>
      </c>
    </row>
    <row r="123" spans="54:55" x14ac:dyDescent="0.2">
      <c r="BB123" s="1" t="s">
        <v>1003</v>
      </c>
      <c r="BC123" s="1" t="s">
        <v>883</v>
      </c>
    </row>
    <row r="124" spans="54:55" x14ac:dyDescent="0.2">
      <c r="BB124" s="1" t="s">
        <v>1004</v>
      </c>
      <c r="BC124" s="1" t="s">
        <v>887</v>
      </c>
    </row>
    <row r="125" spans="54:55" x14ac:dyDescent="0.2">
      <c r="BB125" s="1" t="s">
        <v>1005</v>
      </c>
      <c r="BC125" s="1" t="s">
        <v>878</v>
      </c>
    </row>
    <row r="126" spans="54:55" x14ac:dyDescent="0.2">
      <c r="BB126" s="1" t="s">
        <v>1006</v>
      </c>
      <c r="BC126" s="1" t="s">
        <v>1007</v>
      </c>
    </row>
    <row r="127" spans="54:55" x14ac:dyDescent="0.2">
      <c r="BB127" s="1" t="s">
        <v>1008</v>
      </c>
      <c r="BC127" s="1" t="s">
        <v>878</v>
      </c>
    </row>
    <row r="128" spans="54:55" x14ac:dyDescent="0.2">
      <c r="BB128" s="1" t="s">
        <v>1009</v>
      </c>
      <c r="BC128" s="1" t="s">
        <v>887</v>
      </c>
    </row>
    <row r="129" spans="54:55" x14ac:dyDescent="0.2">
      <c r="BB129" s="1" t="s">
        <v>1010</v>
      </c>
      <c r="BC129" s="1" t="s">
        <v>878</v>
      </c>
    </row>
    <row r="130" spans="54:55" x14ac:dyDescent="0.2">
      <c r="BB130" s="1" t="s">
        <v>1011</v>
      </c>
      <c r="BC130" s="1" t="s">
        <v>893</v>
      </c>
    </row>
    <row r="131" spans="54:55" x14ac:dyDescent="0.2">
      <c r="BB131" s="1" t="s">
        <v>1012</v>
      </c>
      <c r="BC131" s="1" t="s">
        <v>878</v>
      </c>
    </row>
    <row r="132" spans="54:55" x14ac:dyDescent="0.2">
      <c r="BB132" s="1" t="s">
        <v>1013</v>
      </c>
      <c r="BC132" s="1" t="s">
        <v>878</v>
      </c>
    </row>
    <row r="133" spans="54:55" x14ac:dyDescent="0.2">
      <c r="BB133" s="1" t="s">
        <v>1014</v>
      </c>
      <c r="BC133" s="1" t="s">
        <v>878</v>
      </c>
    </row>
    <row r="134" spans="54:55" x14ac:dyDescent="0.2">
      <c r="BB134" s="1" t="s">
        <v>1015</v>
      </c>
      <c r="BC134" s="1" t="s">
        <v>883</v>
      </c>
    </row>
    <row r="135" spans="54:55" x14ac:dyDescent="0.2">
      <c r="BB135" s="1" t="s">
        <v>1016</v>
      </c>
      <c r="BC135" s="1" t="s">
        <v>878</v>
      </c>
    </row>
    <row r="136" spans="54:55" x14ac:dyDescent="0.2">
      <c r="BB136" s="1" t="s">
        <v>1017</v>
      </c>
      <c r="BC136" s="1" t="s">
        <v>883</v>
      </c>
    </row>
    <row r="137" spans="54:55" x14ac:dyDescent="0.2">
      <c r="BB137" s="1" t="s">
        <v>1018</v>
      </c>
      <c r="BC137" s="1" t="s">
        <v>878</v>
      </c>
    </row>
    <row r="138" spans="54:55" x14ac:dyDescent="0.2">
      <c r="BB138" s="1" t="s">
        <v>1019</v>
      </c>
      <c r="BC138" s="1" t="s">
        <v>878</v>
      </c>
    </row>
    <row r="139" spans="54:55" x14ac:dyDescent="0.2">
      <c r="BB139" s="1" t="s">
        <v>1020</v>
      </c>
      <c r="BC139" s="1" t="s">
        <v>878</v>
      </c>
    </row>
    <row r="140" spans="54:55" x14ac:dyDescent="0.2">
      <c r="BB140" s="1" t="s">
        <v>1021</v>
      </c>
      <c r="BC140" s="1" t="s">
        <v>878</v>
      </c>
    </row>
    <row r="141" spans="54:55" x14ac:dyDescent="0.2">
      <c r="BB141" s="1" t="s">
        <v>1022</v>
      </c>
      <c r="BC141" s="1" t="s">
        <v>878</v>
      </c>
    </row>
    <row r="142" spans="54:55" x14ac:dyDescent="0.2">
      <c r="BB142" s="1" t="s">
        <v>1023</v>
      </c>
      <c r="BC142" s="1" t="s">
        <v>878</v>
      </c>
    </row>
    <row r="143" spans="54:55" x14ac:dyDescent="0.2">
      <c r="BB143" s="1" t="s">
        <v>1024</v>
      </c>
      <c r="BC143" s="1" t="s">
        <v>878</v>
      </c>
    </row>
    <row r="144" spans="54:55" x14ac:dyDescent="0.2">
      <c r="BB144" s="1" t="s">
        <v>1025</v>
      </c>
      <c r="BC144" s="1" t="s">
        <v>878</v>
      </c>
    </row>
    <row r="145" spans="54:55" x14ac:dyDescent="0.2">
      <c r="BB145" s="1" t="s">
        <v>1026</v>
      </c>
      <c r="BC145" s="1" t="s">
        <v>878</v>
      </c>
    </row>
    <row r="146" spans="54:55" x14ac:dyDescent="0.2">
      <c r="BB146" s="1" t="s">
        <v>1027</v>
      </c>
      <c r="BC146" s="1" t="s">
        <v>878</v>
      </c>
    </row>
    <row r="147" spans="54:55" x14ac:dyDescent="0.2">
      <c r="BB147" s="1" t="s">
        <v>1028</v>
      </c>
      <c r="BC147" s="1" t="s">
        <v>878</v>
      </c>
    </row>
    <row r="148" spans="54:55" x14ac:dyDescent="0.2">
      <c r="BB148" s="1" t="s">
        <v>1029</v>
      </c>
      <c r="BC148" s="1" t="s">
        <v>887</v>
      </c>
    </row>
    <row r="149" spans="54:55" x14ac:dyDescent="0.2">
      <c r="BB149" s="1" t="s">
        <v>1030</v>
      </c>
      <c r="BC149" s="1" t="s">
        <v>878</v>
      </c>
    </row>
    <row r="150" spans="54:55" x14ac:dyDescent="0.2">
      <c r="BB150" s="1" t="s">
        <v>1031</v>
      </c>
      <c r="BC150" s="1" t="s">
        <v>878</v>
      </c>
    </row>
    <row r="151" spans="54:55" x14ac:dyDescent="0.2">
      <c r="BB151" s="1" t="s">
        <v>1032</v>
      </c>
      <c r="BC151" s="1" t="s">
        <v>883</v>
      </c>
    </row>
    <row r="152" spans="54:55" x14ac:dyDescent="0.2">
      <c r="BB152" s="1" t="s">
        <v>1033</v>
      </c>
      <c r="BC152" s="1" t="s">
        <v>878</v>
      </c>
    </row>
    <row r="153" spans="54:55" x14ac:dyDescent="0.2">
      <c r="BB153" s="1" t="s">
        <v>1034</v>
      </c>
      <c r="BC153" s="1" t="s">
        <v>878</v>
      </c>
    </row>
    <row r="154" spans="54:55" x14ac:dyDescent="0.2">
      <c r="BB154" s="1" t="s">
        <v>1035</v>
      </c>
      <c r="BC154" s="1" t="s">
        <v>878</v>
      </c>
    </row>
    <row r="155" spans="54:55" x14ac:dyDescent="0.2">
      <c r="BB155" s="1" t="s">
        <v>1036</v>
      </c>
      <c r="BC155" s="1" t="s">
        <v>893</v>
      </c>
    </row>
    <row r="156" spans="54:55" x14ac:dyDescent="0.2">
      <c r="BB156" s="1" t="s">
        <v>1037</v>
      </c>
      <c r="BC156" s="1" t="s">
        <v>887</v>
      </c>
    </row>
    <row r="157" spans="54:55" x14ac:dyDescent="0.2">
      <c r="BB157" s="1" t="s">
        <v>1038</v>
      </c>
      <c r="BC157" s="1" t="s">
        <v>1039</v>
      </c>
    </row>
    <row r="158" spans="54:55" x14ac:dyDescent="0.2">
      <c r="BB158" s="1" t="s">
        <v>1040</v>
      </c>
      <c r="BC158" s="1" t="s">
        <v>885</v>
      </c>
    </row>
    <row r="159" spans="54:55" x14ac:dyDescent="0.2">
      <c r="BB159" s="1" t="s">
        <v>1041</v>
      </c>
      <c r="BC159" s="1" t="s">
        <v>885</v>
      </c>
    </row>
    <row r="160" spans="54:55" x14ac:dyDescent="0.2">
      <c r="BB160" s="1" t="s">
        <v>1042</v>
      </c>
      <c r="BC160" s="1" t="s">
        <v>883</v>
      </c>
    </row>
    <row r="161" spans="54:55" x14ac:dyDescent="0.2">
      <c r="BB161" s="1" t="s">
        <v>1043</v>
      </c>
      <c r="BC161" s="1" t="s">
        <v>878</v>
      </c>
    </row>
    <row r="162" spans="54:55" x14ac:dyDescent="0.2">
      <c r="BB162" s="1" t="s">
        <v>1044</v>
      </c>
      <c r="BC162" s="1" t="s">
        <v>887</v>
      </c>
    </row>
    <row r="163" spans="54:55" x14ac:dyDescent="0.2">
      <c r="BB163" s="1" t="s">
        <v>1045</v>
      </c>
      <c r="BC163" s="1" t="s">
        <v>887</v>
      </c>
    </row>
    <row r="164" spans="54:55" x14ac:dyDescent="0.2">
      <c r="BB164" s="1" t="s">
        <v>1046</v>
      </c>
      <c r="BC164" s="1" t="s">
        <v>878</v>
      </c>
    </row>
    <row r="165" spans="54:55" x14ac:dyDescent="0.2">
      <c r="BB165" s="1" t="s">
        <v>1047</v>
      </c>
      <c r="BC165" s="1" t="s">
        <v>878</v>
      </c>
    </row>
    <row r="166" spans="54:55" x14ac:dyDescent="0.2">
      <c r="BB166" s="1" t="s">
        <v>1048</v>
      </c>
      <c r="BC166" s="1" t="s">
        <v>878</v>
      </c>
    </row>
    <row r="167" spans="54:55" x14ac:dyDescent="0.2">
      <c r="BB167" s="1" t="s">
        <v>1049</v>
      </c>
      <c r="BC167" s="1" t="s">
        <v>878</v>
      </c>
    </row>
    <row r="168" spans="54:55" x14ac:dyDescent="0.2">
      <c r="BB168" s="1" t="s">
        <v>1050</v>
      </c>
      <c r="BC168" s="1" t="s">
        <v>878</v>
      </c>
    </row>
    <row r="169" spans="54:55" x14ac:dyDescent="0.2">
      <c r="BB169" s="1" t="s">
        <v>1051</v>
      </c>
      <c r="BC169" s="1" t="s">
        <v>878</v>
      </c>
    </row>
    <row r="170" spans="54:55" x14ac:dyDescent="0.2">
      <c r="BB170" s="1" t="s">
        <v>1052</v>
      </c>
      <c r="BC170" s="1" t="s">
        <v>878</v>
      </c>
    </row>
    <row r="171" spans="54:55" x14ac:dyDescent="0.2">
      <c r="BB171" s="1" t="s">
        <v>1053</v>
      </c>
      <c r="BC171" s="1" t="s">
        <v>878</v>
      </c>
    </row>
    <row r="172" spans="54:55" x14ac:dyDescent="0.2">
      <c r="BB172" s="1" t="s">
        <v>1054</v>
      </c>
      <c r="BC172" s="1" t="s">
        <v>878</v>
      </c>
    </row>
    <row r="173" spans="54:55" x14ac:dyDescent="0.2">
      <c r="BB173" s="1" t="s">
        <v>1055</v>
      </c>
      <c r="BC173" s="1" t="s">
        <v>883</v>
      </c>
    </row>
    <row r="174" spans="54:55" x14ac:dyDescent="0.2">
      <c r="BB174" s="1" t="s">
        <v>1056</v>
      </c>
      <c r="BC174" s="1" t="s">
        <v>887</v>
      </c>
    </row>
    <row r="175" spans="54:55" x14ac:dyDescent="0.2">
      <c r="BB175" s="1" t="s">
        <v>1057</v>
      </c>
      <c r="BC175" s="1" t="s">
        <v>881</v>
      </c>
    </row>
    <row r="176" spans="54:55" x14ac:dyDescent="0.2">
      <c r="BB176" s="1" t="s">
        <v>1058</v>
      </c>
      <c r="BC176" s="1" t="s">
        <v>1007</v>
      </c>
    </row>
    <row r="177" spans="54:55" x14ac:dyDescent="0.2">
      <c r="BB177" s="1" t="s">
        <v>1059</v>
      </c>
      <c r="BC177" s="1" t="s">
        <v>878</v>
      </c>
    </row>
    <row r="178" spans="54:55" x14ac:dyDescent="0.2">
      <c r="BB178" s="1" t="s">
        <v>1060</v>
      </c>
      <c r="BC178" s="1" t="s">
        <v>887</v>
      </c>
    </row>
    <row r="179" spans="54:55" x14ac:dyDescent="0.2">
      <c r="BB179" s="1" t="s">
        <v>1061</v>
      </c>
      <c r="BC179" s="1" t="s">
        <v>885</v>
      </c>
    </row>
    <row r="180" spans="54:55" x14ac:dyDescent="0.2">
      <c r="BB180" s="1" t="s">
        <v>1062</v>
      </c>
      <c r="BC180" s="1" t="s">
        <v>893</v>
      </c>
    </row>
    <row r="181" spans="54:55" x14ac:dyDescent="0.2">
      <c r="BB181" s="1" t="s">
        <v>1063</v>
      </c>
      <c r="BC181" s="1" t="s">
        <v>881</v>
      </c>
    </row>
    <row r="182" spans="54:55" x14ac:dyDescent="0.2">
      <c r="BB182" s="1" t="s">
        <v>1064</v>
      </c>
      <c r="BC182" s="1" t="s">
        <v>878</v>
      </c>
    </row>
    <row r="183" spans="54:55" x14ac:dyDescent="0.2">
      <c r="BB183" s="1" t="s">
        <v>1065</v>
      </c>
      <c r="BC183" s="1" t="s">
        <v>878</v>
      </c>
    </row>
    <row r="184" spans="54:55" x14ac:dyDescent="0.2">
      <c r="BB184" s="1" t="s">
        <v>1066</v>
      </c>
      <c r="BC184" s="1" t="s">
        <v>878</v>
      </c>
    </row>
    <row r="185" spans="54:55" x14ac:dyDescent="0.2">
      <c r="BB185" s="1" t="s">
        <v>1067</v>
      </c>
      <c r="BC185" s="1" t="s">
        <v>887</v>
      </c>
    </row>
    <row r="186" spans="54:55" x14ac:dyDescent="0.2">
      <c r="BB186" s="1" t="s">
        <v>1068</v>
      </c>
      <c r="BC186" s="1" t="s">
        <v>895</v>
      </c>
    </row>
    <row r="187" spans="54:55" x14ac:dyDescent="0.2">
      <c r="BB187" s="1" t="s">
        <v>1069</v>
      </c>
      <c r="BC187" s="1" t="s">
        <v>883</v>
      </c>
    </row>
    <row r="188" spans="54:55" x14ac:dyDescent="0.2">
      <c r="BB188" s="1" t="s">
        <v>1070</v>
      </c>
      <c r="BC188" s="1" t="s">
        <v>878</v>
      </c>
    </row>
    <row r="189" spans="54:55" x14ac:dyDescent="0.2">
      <c r="BB189" s="1" t="s">
        <v>1071</v>
      </c>
      <c r="BC189" s="1" t="s">
        <v>883</v>
      </c>
    </row>
    <row r="190" spans="54:55" x14ac:dyDescent="0.2">
      <c r="BB190" s="1" t="s">
        <v>1072</v>
      </c>
      <c r="BC190" s="1" t="s">
        <v>878</v>
      </c>
    </row>
    <row r="191" spans="54:55" x14ac:dyDescent="0.2">
      <c r="BB191" s="1" t="s">
        <v>1073</v>
      </c>
      <c r="BC191" s="1" t="s">
        <v>878</v>
      </c>
    </row>
    <row r="192" spans="54:55" x14ac:dyDescent="0.2">
      <c r="BB192" s="1" t="s">
        <v>1074</v>
      </c>
      <c r="BC192" s="1" t="s">
        <v>893</v>
      </c>
    </row>
    <row r="193" spans="54:55" x14ac:dyDescent="0.2">
      <c r="BB193" s="1" t="s">
        <v>1075</v>
      </c>
      <c r="BC193" s="1" t="s">
        <v>878</v>
      </c>
    </row>
    <row r="194" spans="54:55" x14ac:dyDescent="0.2">
      <c r="BB194" s="1" t="s">
        <v>1076</v>
      </c>
      <c r="BC194" s="1" t="s">
        <v>887</v>
      </c>
    </row>
    <row r="195" spans="54:55" x14ac:dyDescent="0.2">
      <c r="BB195" s="1" t="s">
        <v>1077</v>
      </c>
      <c r="BC195" s="1" t="s">
        <v>883</v>
      </c>
    </row>
    <row r="196" spans="54:55" x14ac:dyDescent="0.2">
      <c r="BB196" s="1" t="s">
        <v>1078</v>
      </c>
      <c r="BC196" s="1" t="s">
        <v>878</v>
      </c>
    </row>
    <row r="197" spans="54:55" x14ac:dyDescent="0.2">
      <c r="BB197" s="1" t="s">
        <v>1079</v>
      </c>
      <c r="BC197" s="1" t="s">
        <v>878</v>
      </c>
    </row>
    <row r="198" spans="54:55" x14ac:dyDescent="0.2">
      <c r="BB198" s="1" t="s">
        <v>1080</v>
      </c>
      <c r="BC198" s="1" t="s">
        <v>878</v>
      </c>
    </row>
    <row r="199" spans="54:55" x14ac:dyDescent="0.2">
      <c r="BB199" s="1" t="s">
        <v>1081</v>
      </c>
      <c r="BC199" s="1" t="s">
        <v>883</v>
      </c>
    </row>
    <row r="200" spans="54:55" x14ac:dyDescent="0.2">
      <c r="BB200" s="1" t="s">
        <v>1082</v>
      </c>
      <c r="BC200" s="1" t="s">
        <v>878</v>
      </c>
    </row>
    <row r="201" spans="54:55" x14ac:dyDescent="0.2">
      <c r="BB201" s="1" t="s">
        <v>1083</v>
      </c>
      <c r="BC201" s="1" t="s">
        <v>878</v>
      </c>
    </row>
    <row r="202" spans="54:55" x14ac:dyDescent="0.2">
      <c r="BB202" s="1" t="s">
        <v>1084</v>
      </c>
      <c r="BC202" s="1" t="s">
        <v>878</v>
      </c>
    </row>
    <row r="203" spans="54:55" x14ac:dyDescent="0.2">
      <c r="BB203" s="1" t="s">
        <v>1085</v>
      </c>
      <c r="BC203" s="1" t="s">
        <v>883</v>
      </c>
    </row>
    <row r="204" spans="54:55" x14ac:dyDescent="0.2">
      <c r="BB204" s="1" t="s">
        <v>1086</v>
      </c>
      <c r="BC204" s="1" t="s">
        <v>878</v>
      </c>
    </row>
    <row r="205" spans="54:55" x14ac:dyDescent="0.2">
      <c r="BB205" s="1" t="s">
        <v>1087</v>
      </c>
      <c r="BC205" s="1" t="s">
        <v>893</v>
      </c>
    </row>
    <row r="206" spans="54:55" x14ac:dyDescent="0.2">
      <c r="BB206" s="1" t="s">
        <v>1088</v>
      </c>
      <c r="BC206" s="1" t="s">
        <v>893</v>
      </c>
    </row>
    <row r="207" spans="54:55" x14ac:dyDescent="0.2">
      <c r="BB207" s="1" t="s">
        <v>1089</v>
      </c>
      <c r="BC207" s="1" t="s">
        <v>878</v>
      </c>
    </row>
    <row r="208" spans="54:55" x14ac:dyDescent="0.2">
      <c r="BB208" s="1" t="s">
        <v>1090</v>
      </c>
      <c r="BC208" s="1" t="s">
        <v>883</v>
      </c>
    </row>
    <row r="209" spans="54:55" x14ac:dyDescent="0.2">
      <c r="BB209" s="1" t="s">
        <v>1091</v>
      </c>
      <c r="BC209" s="1" t="s">
        <v>883</v>
      </c>
    </row>
    <row r="210" spans="54:55" x14ac:dyDescent="0.2">
      <c r="BB210" s="1" t="s">
        <v>1092</v>
      </c>
      <c r="BC210" s="1" t="s">
        <v>878</v>
      </c>
    </row>
    <row r="211" spans="54:55" x14ac:dyDescent="0.2">
      <c r="BB211" s="1" t="s">
        <v>1093</v>
      </c>
      <c r="BC211" s="1" t="s">
        <v>878</v>
      </c>
    </row>
    <row r="212" spans="54:55" x14ac:dyDescent="0.2">
      <c r="BB212" s="1" t="s">
        <v>1094</v>
      </c>
      <c r="BC212" s="1" t="s">
        <v>883</v>
      </c>
    </row>
    <row r="213" spans="54:55" x14ac:dyDescent="0.2">
      <c r="BB213" s="1" t="s">
        <v>1095</v>
      </c>
      <c r="BC213" s="1" t="s">
        <v>883</v>
      </c>
    </row>
    <row r="214" spans="54:55" x14ac:dyDescent="0.2">
      <c r="BB214" s="1" t="s">
        <v>1096</v>
      </c>
      <c r="BC214" s="1" t="s">
        <v>878</v>
      </c>
    </row>
    <row r="215" spans="54:55" x14ac:dyDescent="0.2">
      <c r="BB215" s="1" t="s">
        <v>1097</v>
      </c>
      <c r="BC215" s="1" t="s">
        <v>883</v>
      </c>
    </row>
    <row r="216" spans="54:55" x14ac:dyDescent="0.2">
      <c r="BB216" s="1" t="s">
        <v>1098</v>
      </c>
      <c r="BC216" s="1" t="s">
        <v>883</v>
      </c>
    </row>
    <row r="217" spans="54:55" x14ac:dyDescent="0.2">
      <c r="BB217" s="1" t="s">
        <v>1099</v>
      </c>
      <c r="BC217" s="1" t="s">
        <v>887</v>
      </c>
    </row>
    <row r="218" spans="54:55" x14ac:dyDescent="0.2">
      <c r="BB218" s="1" t="s">
        <v>1100</v>
      </c>
      <c r="BC218" s="1" t="s">
        <v>887</v>
      </c>
    </row>
    <row r="219" spans="54:55" x14ac:dyDescent="0.2">
      <c r="BB219" s="1" t="s">
        <v>1101</v>
      </c>
      <c r="BC219" s="1" t="s">
        <v>878</v>
      </c>
    </row>
    <row r="220" spans="54:55" x14ac:dyDescent="0.2">
      <c r="BB220" s="1" t="s">
        <v>1102</v>
      </c>
      <c r="BC220" s="1" t="s">
        <v>878</v>
      </c>
    </row>
    <row r="221" spans="54:55" x14ac:dyDescent="0.2">
      <c r="BB221" s="1" t="s">
        <v>1103</v>
      </c>
      <c r="BC221" s="1" t="s">
        <v>878</v>
      </c>
    </row>
    <row r="222" spans="54:55" x14ac:dyDescent="0.2">
      <c r="BB222" s="1" t="s">
        <v>1104</v>
      </c>
      <c r="BC222" s="1" t="s">
        <v>878</v>
      </c>
    </row>
    <row r="223" spans="54:55" x14ac:dyDescent="0.2">
      <c r="BB223" s="1" t="s">
        <v>1105</v>
      </c>
      <c r="BC223" s="1" t="s">
        <v>878</v>
      </c>
    </row>
    <row r="224" spans="54:55" x14ac:dyDescent="0.2">
      <c r="BB224" s="1" t="s">
        <v>1106</v>
      </c>
      <c r="BC224" s="1" t="s">
        <v>878</v>
      </c>
    </row>
    <row r="225" spans="54:55" x14ac:dyDescent="0.2">
      <c r="BB225" s="1" t="s">
        <v>1107</v>
      </c>
      <c r="BC225" s="1" t="s">
        <v>893</v>
      </c>
    </row>
    <row r="226" spans="54:55" x14ac:dyDescent="0.2">
      <c r="BB226" s="1" t="s">
        <v>1108</v>
      </c>
      <c r="BC226" s="1" t="s">
        <v>885</v>
      </c>
    </row>
    <row r="227" spans="54:55" x14ac:dyDescent="0.2">
      <c r="BB227" s="1" t="s">
        <v>1109</v>
      </c>
      <c r="BC227" s="1" t="s">
        <v>878</v>
      </c>
    </row>
    <row r="228" spans="54:55" x14ac:dyDescent="0.2">
      <c r="BB228" s="1" t="s">
        <v>1110</v>
      </c>
      <c r="BC228" s="1" t="s">
        <v>883</v>
      </c>
    </row>
    <row r="229" spans="54:55" x14ac:dyDescent="0.2">
      <c r="BB229" s="1" t="s">
        <v>1111</v>
      </c>
      <c r="BC229" s="1" t="s">
        <v>878</v>
      </c>
    </row>
    <row r="230" spans="54:55" x14ac:dyDescent="0.2">
      <c r="BB230" s="1" t="s">
        <v>1112</v>
      </c>
      <c r="BC230" s="1" t="s">
        <v>887</v>
      </c>
    </row>
    <row r="231" spans="54:55" x14ac:dyDescent="0.2">
      <c r="BB231" s="1" t="s">
        <v>1113</v>
      </c>
      <c r="BC231" s="1" t="s">
        <v>885</v>
      </c>
    </row>
    <row r="232" spans="54:55" x14ac:dyDescent="0.2">
      <c r="BB232" s="1" t="s">
        <v>1114</v>
      </c>
      <c r="BC232" s="1" t="s">
        <v>887</v>
      </c>
    </row>
    <row r="233" spans="54:55" x14ac:dyDescent="0.2">
      <c r="BB233" s="1" t="s">
        <v>1115</v>
      </c>
      <c r="BC233" s="1" t="s">
        <v>883</v>
      </c>
    </row>
    <row r="234" spans="54:55" x14ac:dyDescent="0.2">
      <c r="BB234" s="1" t="s">
        <v>1116</v>
      </c>
      <c r="BC234" s="1" t="s">
        <v>878</v>
      </c>
    </row>
    <row r="235" spans="54:55" x14ac:dyDescent="0.2">
      <c r="BB235" s="1" t="s">
        <v>1117</v>
      </c>
      <c r="BC235" s="1" t="s">
        <v>893</v>
      </c>
    </row>
    <row r="236" spans="54:55" x14ac:dyDescent="0.2">
      <c r="BB236" s="1" t="s">
        <v>1118</v>
      </c>
      <c r="BC236" s="1" t="s">
        <v>878</v>
      </c>
    </row>
    <row r="237" spans="54:55" x14ac:dyDescent="0.2">
      <c r="BB237" s="1" t="s">
        <v>1119</v>
      </c>
      <c r="BC237" s="1" t="s">
        <v>885</v>
      </c>
    </row>
    <row r="238" spans="54:55" x14ac:dyDescent="0.2">
      <c r="BB238" s="1" t="s">
        <v>1120</v>
      </c>
      <c r="BC238" s="1" t="s">
        <v>878</v>
      </c>
    </row>
    <row r="239" spans="54:55" x14ac:dyDescent="0.2">
      <c r="BB239" s="1" t="s">
        <v>1121</v>
      </c>
      <c r="BC239" s="1" t="s">
        <v>883</v>
      </c>
    </row>
    <row r="240" spans="54:55" x14ac:dyDescent="0.2">
      <c r="BB240" s="1" t="s">
        <v>1122</v>
      </c>
      <c r="BC240" s="1" t="s">
        <v>887</v>
      </c>
    </row>
    <row r="241" spans="54:55" x14ac:dyDescent="0.2">
      <c r="BB241" s="1" t="s">
        <v>1123</v>
      </c>
      <c r="BC241" s="1" t="s">
        <v>893</v>
      </c>
    </row>
    <row r="242" spans="54:55" x14ac:dyDescent="0.2">
      <c r="BB242" s="1" t="s">
        <v>1124</v>
      </c>
      <c r="BC242" s="1" t="s">
        <v>883</v>
      </c>
    </row>
    <row r="243" spans="54:55" x14ac:dyDescent="0.2">
      <c r="BB243" s="1" t="s">
        <v>1125</v>
      </c>
      <c r="BC243" s="1" t="s">
        <v>878</v>
      </c>
    </row>
    <row r="244" spans="54:55" x14ac:dyDescent="0.2">
      <c r="BB244" s="1" t="s">
        <v>1126</v>
      </c>
      <c r="BC244" s="1" t="s">
        <v>878</v>
      </c>
    </row>
    <row r="245" spans="54:55" x14ac:dyDescent="0.2">
      <c r="BB245" s="1" t="s">
        <v>1127</v>
      </c>
      <c r="BC245" s="1" t="s">
        <v>881</v>
      </c>
    </row>
    <row r="246" spans="54:55" x14ac:dyDescent="0.2">
      <c r="BB246" s="1" t="s">
        <v>1128</v>
      </c>
      <c r="BC246" s="1" t="s">
        <v>878</v>
      </c>
    </row>
    <row r="247" spans="54:55" x14ac:dyDescent="0.2">
      <c r="BB247" s="1" t="s">
        <v>1129</v>
      </c>
      <c r="BC247" s="1" t="s">
        <v>878</v>
      </c>
    </row>
    <row r="248" spans="54:55" x14ac:dyDescent="0.2">
      <c r="BB248" s="1" t="s">
        <v>1130</v>
      </c>
      <c r="BC248" s="1" t="s">
        <v>887</v>
      </c>
    </row>
    <row r="249" spans="54:55" x14ac:dyDescent="0.2">
      <c r="BB249" s="1" t="s">
        <v>1131</v>
      </c>
      <c r="BC249" s="1" t="s">
        <v>887</v>
      </c>
    </row>
    <row r="250" spans="54:55" x14ac:dyDescent="0.2">
      <c r="BB250" s="1" t="s">
        <v>1132</v>
      </c>
      <c r="BC250" s="1" t="s">
        <v>878</v>
      </c>
    </row>
    <row r="251" spans="54:55" x14ac:dyDescent="0.2">
      <c r="BB251" s="1" t="s">
        <v>1133</v>
      </c>
      <c r="BC251" s="1" t="s">
        <v>878</v>
      </c>
    </row>
    <row r="252" spans="54:55" x14ac:dyDescent="0.2">
      <c r="BB252" s="1" t="s">
        <v>1134</v>
      </c>
      <c r="BC252" s="1" t="s">
        <v>885</v>
      </c>
    </row>
    <row r="253" spans="54:55" x14ac:dyDescent="0.2">
      <c r="BB253" s="1" t="s">
        <v>1135</v>
      </c>
      <c r="BC253" s="1" t="s">
        <v>881</v>
      </c>
    </row>
    <row r="254" spans="54:55" x14ac:dyDescent="0.2">
      <c r="BB254" s="1" t="s">
        <v>1136</v>
      </c>
      <c r="BC254" s="1" t="s">
        <v>878</v>
      </c>
    </row>
    <row r="255" spans="54:55" x14ac:dyDescent="0.2">
      <c r="BB255" s="1" t="s">
        <v>1137</v>
      </c>
      <c r="BC255" s="1" t="s">
        <v>878</v>
      </c>
    </row>
    <row r="256" spans="54:55" x14ac:dyDescent="0.2">
      <c r="BB256" s="1" t="s">
        <v>1138</v>
      </c>
      <c r="BC256" s="1" t="s">
        <v>878</v>
      </c>
    </row>
    <row r="257" spans="54:55" x14ac:dyDescent="0.2">
      <c r="BB257" s="1" t="s">
        <v>1139</v>
      </c>
      <c r="BC257" s="1" t="s">
        <v>878</v>
      </c>
    </row>
    <row r="258" spans="54:55" x14ac:dyDescent="0.2">
      <c r="BB258" s="1" t="s">
        <v>1140</v>
      </c>
      <c r="BC258" s="1" t="s">
        <v>887</v>
      </c>
    </row>
    <row r="259" spans="54:55" x14ac:dyDescent="0.2">
      <c r="BB259" s="1" t="s">
        <v>1141</v>
      </c>
      <c r="BC259" s="1" t="s">
        <v>878</v>
      </c>
    </row>
    <row r="260" spans="54:55" x14ac:dyDescent="0.2">
      <c r="BB260" s="1" t="s">
        <v>1142</v>
      </c>
      <c r="BC260" s="1" t="s">
        <v>878</v>
      </c>
    </row>
    <row r="261" spans="54:55" x14ac:dyDescent="0.2">
      <c r="BB261" s="1" t="s">
        <v>1143</v>
      </c>
      <c r="BC261" s="1" t="s">
        <v>878</v>
      </c>
    </row>
    <row r="262" spans="54:55" x14ac:dyDescent="0.2">
      <c r="BB262" s="1" t="s">
        <v>1144</v>
      </c>
      <c r="BC262" s="1" t="s">
        <v>878</v>
      </c>
    </row>
    <row r="263" spans="54:55" x14ac:dyDescent="0.2">
      <c r="BB263" s="1" t="s">
        <v>1145</v>
      </c>
      <c r="BC263" s="1" t="s">
        <v>883</v>
      </c>
    </row>
    <row r="264" spans="54:55" x14ac:dyDescent="0.2">
      <c r="BB264" s="1" t="s">
        <v>1146</v>
      </c>
      <c r="BC264" s="1" t="s">
        <v>895</v>
      </c>
    </row>
    <row r="265" spans="54:55" x14ac:dyDescent="0.2">
      <c r="BB265" s="1" t="s">
        <v>1147</v>
      </c>
      <c r="BC265" s="1" t="s">
        <v>878</v>
      </c>
    </row>
    <row r="266" spans="54:55" x14ac:dyDescent="0.2">
      <c r="BB266" s="1" t="s">
        <v>1148</v>
      </c>
      <c r="BC266" s="1" t="s">
        <v>878</v>
      </c>
    </row>
    <row r="267" spans="54:55" x14ac:dyDescent="0.2">
      <c r="BB267" s="1" t="s">
        <v>1149</v>
      </c>
      <c r="BC267" s="1" t="s">
        <v>878</v>
      </c>
    </row>
    <row r="268" spans="54:55" x14ac:dyDescent="0.2">
      <c r="BB268" s="1" t="s">
        <v>1150</v>
      </c>
      <c r="BC268" s="1" t="s">
        <v>887</v>
      </c>
    </row>
    <row r="269" spans="54:55" x14ac:dyDescent="0.2">
      <c r="BB269" s="1" t="s">
        <v>1151</v>
      </c>
      <c r="BC269" s="1" t="s">
        <v>887</v>
      </c>
    </row>
    <row r="270" spans="54:55" x14ac:dyDescent="0.2">
      <c r="BB270" s="1" t="s">
        <v>1152</v>
      </c>
      <c r="BC270" s="1" t="s">
        <v>878</v>
      </c>
    </row>
    <row r="271" spans="54:55" x14ac:dyDescent="0.2">
      <c r="BB271" s="1" t="s">
        <v>1153</v>
      </c>
      <c r="BC271" s="1" t="s">
        <v>883</v>
      </c>
    </row>
    <row r="272" spans="54:55" x14ac:dyDescent="0.2">
      <c r="BB272" s="1" t="s">
        <v>1154</v>
      </c>
      <c r="BC272" s="1" t="s">
        <v>878</v>
      </c>
    </row>
    <row r="273" spans="54:55" x14ac:dyDescent="0.2">
      <c r="BB273" s="1" t="s">
        <v>1155</v>
      </c>
      <c r="BC273" s="1" t="s">
        <v>878</v>
      </c>
    </row>
    <row r="274" spans="54:55" x14ac:dyDescent="0.2">
      <c r="BB274" s="1" t="s">
        <v>1156</v>
      </c>
      <c r="BC274" s="1" t="s">
        <v>878</v>
      </c>
    </row>
    <row r="275" spans="54:55" x14ac:dyDescent="0.2">
      <c r="BB275" s="1" t="s">
        <v>1157</v>
      </c>
      <c r="BC275" s="1" t="s">
        <v>887</v>
      </c>
    </row>
    <row r="276" spans="54:55" x14ac:dyDescent="0.2">
      <c r="BB276" s="1" t="s">
        <v>1158</v>
      </c>
      <c r="BC276" s="1" t="s">
        <v>878</v>
      </c>
    </row>
    <row r="277" spans="54:55" x14ac:dyDescent="0.2">
      <c r="BB277" s="1" t="s">
        <v>1159</v>
      </c>
      <c r="BC277" s="1" t="s">
        <v>883</v>
      </c>
    </row>
    <row r="278" spans="54:55" x14ac:dyDescent="0.2">
      <c r="BB278" s="1" t="s">
        <v>1160</v>
      </c>
      <c r="BC278" s="1" t="s">
        <v>878</v>
      </c>
    </row>
    <row r="279" spans="54:55" x14ac:dyDescent="0.2">
      <c r="BB279" s="1" t="s">
        <v>1161</v>
      </c>
      <c r="BC279" s="1" t="s">
        <v>878</v>
      </c>
    </row>
    <row r="280" spans="54:55" x14ac:dyDescent="0.2">
      <c r="BB280" s="1" t="s">
        <v>1162</v>
      </c>
      <c r="BC280" s="1" t="s">
        <v>881</v>
      </c>
    </row>
    <row r="281" spans="54:55" x14ac:dyDescent="0.2">
      <c r="BB281" s="1" t="s">
        <v>1163</v>
      </c>
      <c r="BC281" s="1" t="s">
        <v>883</v>
      </c>
    </row>
    <row r="282" spans="54:55" x14ac:dyDescent="0.2">
      <c r="BB282" s="1" t="s">
        <v>1164</v>
      </c>
      <c r="BC282" s="1" t="s">
        <v>878</v>
      </c>
    </row>
    <row r="283" spans="54:55" x14ac:dyDescent="0.2">
      <c r="BB283" s="1" t="s">
        <v>1165</v>
      </c>
      <c r="BC283" s="1" t="s">
        <v>887</v>
      </c>
    </row>
    <row r="284" spans="54:55" x14ac:dyDescent="0.2">
      <c r="BB284" s="1" t="s">
        <v>1166</v>
      </c>
      <c r="BC284" s="1" t="s">
        <v>878</v>
      </c>
    </row>
    <row r="285" spans="54:55" x14ac:dyDescent="0.2">
      <c r="BB285" s="1" t="s">
        <v>1167</v>
      </c>
      <c r="BC285" s="1" t="s">
        <v>883</v>
      </c>
    </row>
    <row r="286" spans="54:55" x14ac:dyDescent="0.2">
      <c r="BB286" s="1" t="s">
        <v>1168</v>
      </c>
      <c r="BC286" s="1" t="s">
        <v>1007</v>
      </c>
    </row>
    <row r="287" spans="54:55" x14ac:dyDescent="0.2">
      <c r="BB287" s="1" t="s">
        <v>1169</v>
      </c>
      <c r="BC287" s="1" t="s">
        <v>878</v>
      </c>
    </row>
    <row r="288" spans="54:55" x14ac:dyDescent="0.2">
      <c r="BB288" s="1" t="s">
        <v>1170</v>
      </c>
      <c r="BC288" s="1" t="s">
        <v>885</v>
      </c>
    </row>
    <row r="289" spans="54:55" x14ac:dyDescent="0.2">
      <c r="BB289" s="1" t="s">
        <v>1171</v>
      </c>
      <c r="BC289" s="1" t="s">
        <v>881</v>
      </c>
    </row>
    <row r="290" spans="54:55" x14ac:dyDescent="0.2">
      <c r="BB290" s="1" t="s">
        <v>1172</v>
      </c>
      <c r="BC290" s="1" t="s">
        <v>883</v>
      </c>
    </row>
    <row r="291" spans="54:55" x14ac:dyDescent="0.2">
      <c r="BB291" s="1" t="s">
        <v>1173</v>
      </c>
      <c r="BC291" s="1" t="s">
        <v>883</v>
      </c>
    </row>
    <row r="292" spans="54:55" x14ac:dyDescent="0.2">
      <c r="BB292" s="1" t="s">
        <v>1174</v>
      </c>
      <c r="BC292" s="1" t="s">
        <v>878</v>
      </c>
    </row>
    <row r="293" spans="54:55" x14ac:dyDescent="0.2">
      <c r="BB293" s="1" t="s">
        <v>1175</v>
      </c>
      <c r="BC293" s="1" t="s">
        <v>887</v>
      </c>
    </row>
    <row r="294" spans="54:55" x14ac:dyDescent="0.2">
      <c r="BB294" s="1" t="s">
        <v>1176</v>
      </c>
      <c r="BC294" s="1" t="s">
        <v>878</v>
      </c>
    </row>
    <row r="295" spans="54:55" x14ac:dyDescent="0.2">
      <c r="BB295" s="1" t="s">
        <v>1177</v>
      </c>
      <c r="BC295" s="1" t="s">
        <v>893</v>
      </c>
    </row>
    <row r="296" spans="54:55" x14ac:dyDescent="0.2">
      <c r="BB296" s="1" t="s">
        <v>1178</v>
      </c>
      <c r="BC296" s="1" t="s">
        <v>883</v>
      </c>
    </row>
    <row r="297" spans="54:55" x14ac:dyDescent="0.2">
      <c r="BB297" s="1" t="s">
        <v>1179</v>
      </c>
      <c r="BC297" s="1" t="s">
        <v>878</v>
      </c>
    </row>
    <row r="298" spans="54:55" x14ac:dyDescent="0.2">
      <c r="BB298" s="1" t="s">
        <v>1180</v>
      </c>
      <c r="BC298" s="1" t="s">
        <v>893</v>
      </c>
    </row>
    <row r="299" spans="54:55" x14ac:dyDescent="0.2">
      <c r="BB299" s="1" t="s">
        <v>1181</v>
      </c>
      <c r="BC299" s="1" t="s">
        <v>878</v>
      </c>
    </row>
    <row r="300" spans="54:55" x14ac:dyDescent="0.2">
      <c r="BB300" s="1" t="s">
        <v>1182</v>
      </c>
      <c r="BC300" s="1" t="s">
        <v>881</v>
      </c>
    </row>
    <row r="301" spans="54:55" x14ac:dyDescent="0.2">
      <c r="BB301" s="1" t="s">
        <v>1183</v>
      </c>
      <c r="BC301" s="1" t="s">
        <v>1039</v>
      </c>
    </row>
    <row r="302" spans="54:55" x14ac:dyDescent="0.2">
      <c r="BB302" s="1" t="s">
        <v>1184</v>
      </c>
      <c r="BC302" s="1" t="s">
        <v>878</v>
      </c>
    </row>
    <row r="303" spans="54:55" x14ac:dyDescent="0.2">
      <c r="BB303" s="1" t="s">
        <v>1185</v>
      </c>
      <c r="BC303" s="1" t="s">
        <v>878</v>
      </c>
    </row>
    <row r="304" spans="54:55" x14ac:dyDescent="0.2">
      <c r="BB304" s="1" t="s">
        <v>1186</v>
      </c>
      <c r="BC304" s="1" t="s">
        <v>878</v>
      </c>
    </row>
    <row r="305" spans="54:55" x14ac:dyDescent="0.2">
      <c r="BB305" s="1" t="s">
        <v>1187</v>
      </c>
      <c r="BC305" s="1" t="s">
        <v>878</v>
      </c>
    </row>
    <row r="306" spans="54:55" x14ac:dyDescent="0.2">
      <c r="BB306" s="1" t="s">
        <v>1188</v>
      </c>
      <c r="BC306" s="1" t="s">
        <v>883</v>
      </c>
    </row>
    <row r="307" spans="54:55" x14ac:dyDescent="0.2">
      <c r="BB307" s="1" t="s">
        <v>1189</v>
      </c>
      <c r="BC307" s="1" t="s">
        <v>1039</v>
      </c>
    </row>
    <row r="308" spans="54:55" x14ac:dyDescent="0.2">
      <c r="BB308" s="1" t="s">
        <v>1190</v>
      </c>
      <c r="BC308" s="1" t="s">
        <v>893</v>
      </c>
    </row>
    <row r="309" spans="54:55" x14ac:dyDescent="0.2">
      <c r="BB309" s="1" t="s">
        <v>1191</v>
      </c>
      <c r="BC309" s="1" t="s">
        <v>881</v>
      </c>
    </row>
    <row r="310" spans="54:55" x14ac:dyDescent="0.2">
      <c r="BB310" s="1" t="s">
        <v>1192</v>
      </c>
      <c r="BC310" s="1" t="s">
        <v>878</v>
      </c>
    </row>
    <row r="311" spans="54:55" x14ac:dyDescent="0.2">
      <c r="BB311" s="1" t="s">
        <v>1193</v>
      </c>
      <c r="BC311" s="1" t="s">
        <v>1007</v>
      </c>
    </row>
    <row r="312" spans="54:55" x14ac:dyDescent="0.2">
      <c r="BB312" s="1" t="s">
        <v>1194</v>
      </c>
      <c r="BC312" s="1" t="s">
        <v>878</v>
      </c>
    </row>
    <row r="313" spans="54:55" x14ac:dyDescent="0.2">
      <c r="BB313" s="1" t="s">
        <v>1195</v>
      </c>
      <c r="BC313" s="1" t="s">
        <v>883</v>
      </c>
    </row>
    <row r="314" spans="54:55" x14ac:dyDescent="0.2">
      <c r="BB314" s="1" t="s">
        <v>1196</v>
      </c>
      <c r="BC314" s="1" t="s">
        <v>1007</v>
      </c>
    </row>
    <row r="315" spans="54:55" x14ac:dyDescent="0.2">
      <c r="BB315" s="1" t="s">
        <v>1197</v>
      </c>
      <c r="BC315" s="1" t="s">
        <v>887</v>
      </c>
    </row>
    <row r="316" spans="54:55" x14ac:dyDescent="0.2">
      <c r="BB316" s="1" t="s">
        <v>1198</v>
      </c>
      <c r="BC316" s="1" t="s">
        <v>878</v>
      </c>
    </row>
    <row r="317" spans="54:55" x14ac:dyDescent="0.2">
      <c r="BB317" s="1" t="s">
        <v>1199</v>
      </c>
      <c r="BC317" s="1" t="s">
        <v>878</v>
      </c>
    </row>
    <row r="318" spans="54:55" x14ac:dyDescent="0.2">
      <c r="BB318" s="1" t="s">
        <v>1200</v>
      </c>
      <c r="BC318" s="1" t="s">
        <v>878</v>
      </c>
    </row>
    <row r="319" spans="54:55" x14ac:dyDescent="0.2">
      <c r="BB319" s="1" t="s">
        <v>1201</v>
      </c>
      <c r="BC319" s="1" t="s">
        <v>878</v>
      </c>
    </row>
    <row r="320" spans="54:55" x14ac:dyDescent="0.2">
      <c r="BB320" s="1" t="s">
        <v>1202</v>
      </c>
      <c r="BC320" s="1" t="s">
        <v>881</v>
      </c>
    </row>
    <row r="321" spans="54:55" x14ac:dyDescent="0.2">
      <c r="BB321" s="1" t="s">
        <v>1203</v>
      </c>
      <c r="BC321" s="1" t="s">
        <v>893</v>
      </c>
    </row>
    <row r="322" spans="54:55" x14ac:dyDescent="0.2">
      <c r="BB322" s="1" t="s">
        <v>1204</v>
      </c>
      <c r="BC322" s="1" t="s">
        <v>878</v>
      </c>
    </row>
    <row r="323" spans="54:55" x14ac:dyDescent="0.2">
      <c r="BB323" s="1" t="s">
        <v>1205</v>
      </c>
      <c r="BC323" s="1" t="s">
        <v>878</v>
      </c>
    </row>
    <row r="324" spans="54:55" x14ac:dyDescent="0.2">
      <c r="BB324" s="1" t="s">
        <v>1206</v>
      </c>
      <c r="BC324" s="1" t="s">
        <v>893</v>
      </c>
    </row>
    <row r="325" spans="54:55" x14ac:dyDescent="0.2">
      <c r="BB325" s="1" t="s">
        <v>1207</v>
      </c>
      <c r="BC325" s="1" t="s">
        <v>893</v>
      </c>
    </row>
    <row r="326" spans="54:55" x14ac:dyDescent="0.2">
      <c r="BB326" s="1" t="s">
        <v>1208</v>
      </c>
      <c r="BC326" s="1" t="s">
        <v>878</v>
      </c>
    </row>
    <row r="327" spans="54:55" x14ac:dyDescent="0.2">
      <c r="BB327" s="1" t="s">
        <v>1209</v>
      </c>
      <c r="BC327" s="1" t="s">
        <v>878</v>
      </c>
    </row>
    <row r="328" spans="54:55" x14ac:dyDescent="0.2">
      <c r="BB328" s="1" t="s">
        <v>1210</v>
      </c>
      <c r="BC328" s="1" t="s">
        <v>878</v>
      </c>
    </row>
    <row r="329" spans="54:55" x14ac:dyDescent="0.2">
      <c r="BB329" s="1" t="s">
        <v>1211</v>
      </c>
      <c r="BC329" s="1" t="s">
        <v>878</v>
      </c>
    </row>
    <row r="330" spans="54:55" x14ac:dyDescent="0.2">
      <c r="BB330" s="1" t="s">
        <v>1212</v>
      </c>
      <c r="BC330" s="1" t="s">
        <v>885</v>
      </c>
    </row>
    <row r="331" spans="54:55" x14ac:dyDescent="0.2">
      <c r="BB331" s="1" t="s">
        <v>1213</v>
      </c>
      <c r="BC331" s="1" t="s">
        <v>878</v>
      </c>
    </row>
    <row r="332" spans="54:55" x14ac:dyDescent="0.2">
      <c r="BB332" s="1" t="s">
        <v>1214</v>
      </c>
      <c r="BC332" s="1" t="s">
        <v>887</v>
      </c>
    </row>
    <row r="333" spans="54:55" x14ac:dyDescent="0.2">
      <c r="BB333" s="1" t="s">
        <v>1215</v>
      </c>
      <c r="BC333" s="1" t="s">
        <v>878</v>
      </c>
    </row>
    <row r="334" spans="54:55" x14ac:dyDescent="0.2">
      <c r="BB334" s="1" t="s">
        <v>1216</v>
      </c>
      <c r="BC334" s="1" t="s">
        <v>887</v>
      </c>
    </row>
    <row r="335" spans="54:55" x14ac:dyDescent="0.2">
      <c r="BB335" s="1" t="s">
        <v>1217</v>
      </c>
      <c r="BC335" s="1" t="s">
        <v>893</v>
      </c>
    </row>
    <row r="336" spans="54:55" x14ac:dyDescent="0.2">
      <c r="BB336" s="1" t="s">
        <v>1218</v>
      </c>
      <c r="BC336" s="1" t="s">
        <v>878</v>
      </c>
    </row>
    <row r="337" spans="54:55" x14ac:dyDescent="0.2">
      <c r="BB337" s="1" t="s">
        <v>1219</v>
      </c>
      <c r="BC337" s="1" t="s">
        <v>878</v>
      </c>
    </row>
    <row r="338" spans="54:55" x14ac:dyDescent="0.2">
      <c r="BB338" s="1" t="s">
        <v>1220</v>
      </c>
      <c r="BC338" s="1" t="s">
        <v>881</v>
      </c>
    </row>
    <row r="339" spans="54:55" x14ac:dyDescent="0.2">
      <c r="BB339" s="1" t="s">
        <v>1221</v>
      </c>
      <c r="BC339" s="1" t="s">
        <v>887</v>
      </c>
    </row>
    <row r="340" spans="54:55" x14ac:dyDescent="0.2">
      <c r="BB340" s="1" t="s">
        <v>1222</v>
      </c>
      <c r="BC340" s="1" t="s">
        <v>885</v>
      </c>
    </row>
    <row r="341" spans="54:55" x14ac:dyDescent="0.2">
      <c r="BB341" s="1" t="s">
        <v>1223</v>
      </c>
      <c r="BC341" s="1" t="s">
        <v>878</v>
      </c>
    </row>
    <row r="342" spans="54:55" x14ac:dyDescent="0.2">
      <c r="BB342" s="1" t="s">
        <v>1224</v>
      </c>
      <c r="BC342" s="1" t="s">
        <v>881</v>
      </c>
    </row>
    <row r="343" spans="54:55" x14ac:dyDescent="0.2">
      <c r="BB343" s="1" t="s">
        <v>1225</v>
      </c>
      <c r="BC343" s="1" t="s">
        <v>887</v>
      </c>
    </row>
    <row r="344" spans="54:55" x14ac:dyDescent="0.2">
      <c r="BB344" s="1" t="s">
        <v>1226</v>
      </c>
      <c r="BC344" s="1" t="s">
        <v>887</v>
      </c>
    </row>
    <row r="345" spans="54:55" x14ac:dyDescent="0.2">
      <c r="BB345" s="1" t="s">
        <v>1227</v>
      </c>
      <c r="BC345" s="1" t="s">
        <v>883</v>
      </c>
    </row>
    <row r="346" spans="54:55" x14ac:dyDescent="0.2">
      <c r="BB346" s="1" t="s">
        <v>1228</v>
      </c>
      <c r="BC346" s="1" t="s">
        <v>878</v>
      </c>
    </row>
    <row r="347" spans="54:55" x14ac:dyDescent="0.2">
      <c r="BB347" s="1" t="s">
        <v>1229</v>
      </c>
      <c r="BC347" s="1" t="s">
        <v>887</v>
      </c>
    </row>
    <row r="348" spans="54:55" x14ac:dyDescent="0.2">
      <c r="BB348" s="1" t="s">
        <v>1230</v>
      </c>
      <c r="BC348" s="1" t="s">
        <v>887</v>
      </c>
    </row>
    <row r="349" spans="54:55" x14ac:dyDescent="0.2">
      <c r="BB349" s="1" t="s">
        <v>1231</v>
      </c>
      <c r="BC349" s="1" t="s">
        <v>887</v>
      </c>
    </row>
    <row r="350" spans="54:55" x14ac:dyDescent="0.2">
      <c r="BB350" s="1" t="s">
        <v>1232</v>
      </c>
      <c r="BC350" s="1" t="s">
        <v>887</v>
      </c>
    </row>
    <row r="351" spans="54:55" x14ac:dyDescent="0.2">
      <c r="BB351" s="1" t="s">
        <v>1233</v>
      </c>
      <c r="BC351" s="1" t="s">
        <v>878</v>
      </c>
    </row>
    <row r="352" spans="54:55" x14ac:dyDescent="0.2">
      <c r="BB352" s="1" t="s">
        <v>1234</v>
      </c>
      <c r="BC352" s="1" t="s">
        <v>878</v>
      </c>
    </row>
    <row r="353" spans="54:55" x14ac:dyDescent="0.2">
      <c r="BB353" s="1" t="s">
        <v>1235</v>
      </c>
      <c r="BC353" s="1" t="s">
        <v>878</v>
      </c>
    </row>
    <row r="354" spans="54:55" x14ac:dyDescent="0.2">
      <c r="BB354" s="1" t="s">
        <v>1236</v>
      </c>
      <c r="BC354" s="1" t="s">
        <v>878</v>
      </c>
    </row>
    <row r="355" spans="54:55" x14ac:dyDescent="0.2">
      <c r="BB355" s="1" t="s">
        <v>1237</v>
      </c>
      <c r="BC355" s="1" t="s">
        <v>893</v>
      </c>
    </row>
    <row r="356" spans="54:55" x14ac:dyDescent="0.2">
      <c r="BB356" s="1" t="s">
        <v>1238</v>
      </c>
      <c r="BC356" s="1" t="s">
        <v>883</v>
      </c>
    </row>
    <row r="357" spans="54:55" x14ac:dyDescent="0.2">
      <c r="BB357" s="1" t="s">
        <v>1239</v>
      </c>
      <c r="BC357" s="1" t="s">
        <v>878</v>
      </c>
    </row>
    <row r="358" spans="54:55" x14ac:dyDescent="0.2">
      <c r="BB358" s="1" t="s">
        <v>1240</v>
      </c>
      <c r="BC358" s="1" t="s">
        <v>878</v>
      </c>
    </row>
    <row r="359" spans="54:55" x14ac:dyDescent="0.2">
      <c r="BB359" s="1" t="s">
        <v>1241</v>
      </c>
      <c r="BC359" s="1" t="s">
        <v>885</v>
      </c>
    </row>
    <row r="360" spans="54:55" x14ac:dyDescent="0.2">
      <c r="BB360" s="1" t="s">
        <v>1242</v>
      </c>
      <c r="BC360" s="1" t="s">
        <v>1039</v>
      </c>
    </row>
    <row r="361" spans="54:55" x14ac:dyDescent="0.2">
      <c r="BB361" s="1" t="s">
        <v>1243</v>
      </c>
      <c r="BC361" s="1" t="s">
        <v>878</v>
      </c>
    </row>
    <row r="362" spans="54:55" x14ac:dyDescent="0.2">
      <c r="BB362" s="1" t="s">
        <v>1244</v>
      </c>
      <c r="BC362" s="1" t="s">
        <v>883</v>
      </c>
    </row>
    <row r="363" spans="54:55" x14ac:dyDescent="0.2">
      <c r="BB363" s="1" t="s">
        <v>1245</v>
      </c>
      <c r="BC363" s="1" t="s">
        <v>881</v>
      </c>
    </row>
    <row r="364" spans="54:55" x14ac:dyDescent="0.2">
      <c r="BB364" s="1" t="s">
        <v>1246</v>
      </c>
      <c r="BC364" s="1" t="s">
        <v>881</v>
      </c>
    </row>
    <row r="365" spans="54:55" x14ac:dyDescent="0.2">
      <c r="BB365" s="1" t="s">
        <v>1247</v>
      </c>
      <c r="BC365" s="1" t="s">
        <v>883</v>
      </c>
    </row>
    <row r="366" spans="54:55" x14ac:dyDescent="0.2">
      <c r="BB366" s="1" t="s">
        <v>1248</v>
      </c>
      <c r="BC366" s="1" t="s">
        <v>878</v>
      </c>
    </row>
    <row r="367" spans="54:55" x14ac:dyDescent="0.2">
      <c r="BB367" s="1" t="s">
        <v>1249</v>
      </c>
      <c r="BC367" s="1" t="s">
        <v>885</v>
      </c>
    </row>
    <row r="368" spans="54:55" x14ac:dyDescent="0.2">
      <c r="BB368" s="1" t="s">
        <v>1250</v>
      </c>
      <c r="BC368" s="1" t="s">
        <v>883</v>
      </c>
    </row>
    <row r="369" spans="54:55" x14ac:dyDescent="0.2">
      <c r="BB369" s="1" t="s">
        <v>1251</v>
      </c>
      <c r="BC369" s="1" t="s">
        <v>893</v>
      </c>
    </row>
    <row r="370" spans="54:55" x14ac:dyDescent="0.2">
      <c r="BB370" s="1" t="s">
        <v>1252</v>
      </c>
      <c r="BC370" s="1" t="s">
        <v>878</v>
      </c>
    </row>
    <row r="371" spans="54:55" x14ac:dyDescent="0.2">
      <c r="BB371" s="1" t="s">
        <v>1253</v>
      </c>
      <c r="BC371" s="1" t="s">
        <v>883</v>
      </c>
    </row>
    <row r="372" spans="54:55" x14ac:dyDescent="0.2">
      <c r="BB372" s="1" t="s">
        <v>1254</v>
      </c>
      <c r="BC372" s="1" t="s">
        <v>878</v>
      </c>
    </row>
    <row r="373" spans="54:55" x14ac:dyDescent="0.2">
      <c r="BB373" s="1" t="s">
        <v>1255</v>
      </c>
      <c r="BC373" s="1" t="s">
        <v>878</v>
      </c>
    </row>
    <row r="374" spans="54:55" x14ac:dyDescent="0.2">
      <c r="BB374" s="1" t="s">
        <v>1256</v>
      </c>
      <c r="BC374" s="1" t="s">
        <v>878</v>
      </c>
    </row>
    <row r="375" spans="54:55" x14ac:dyDescent="0.2">
      <c r="BB375" s="1" t="s">
        <v>1257</v>
      </c>
      <c r="BC375" s="1" t="s">
        <v>878</v>
      </c>
    </row>
    <row r="376" spans="54:55" x14ac:dyDescent="0.2">
      <c r="BB376" s="1" t="s">
        <v>1258</v>
      </c>
      <c r="BC376" s="1" t="s">
        <v>887</v>
      </c>
    </row>
    <row r="377" spans="54:55" x14ac:dyDescent="0.2">
      <c r="BB377" s="1" t="s">
        <v>1259</v>
      </c>
      <c r="BC377" s="1" t="s">
        <v>878</v>
      </c>
    </row>
    <row r="378" spans="54:55" x14ac:dyDescent="0.2">
      <c r="BB378" s="1" t="s">
        <v>1260</v>
      </c>
      <c r="BC378" s="1" t="s">
        <v>883</v>
      </c>
    </row>
    <row r="379" spans="54:55" x14ac:dyDescent="0.2">
      <c r="BB379" s="1" t="s">
        <v>1261</v>
      </c>
      <c r="BC379" s="1" t="s">
        <v>878</v>
      </c>
    </row>
    <row r="380" spans="54:55" x14ac:dyDescent="0.2">
      <c r="BB380" s="1" t="s">
        <v>1262</v>
      </c>
      <c r="BC380" s="1" t="s">
        <v>878</v>
      </c>
    </row>
    <row r="381" spans="54:55" x14ac:dyDescent="0.2">
      <c r="BB381" s="1" t="s">
        <v>1263</v>
      </c>
      <c r="BC381" s="1" t="s">
        <v>878</v>
      </c>
    </row>
    <row r="382" spans="54:55" x14ac:dyDescent="0.2">
      <c r="BB382" s="1" t="s">
        <v>1264</v>
      </c>
      <c r="BC382" s="1" t="s">
        <v>878</v>
      </c>
    </row>
    <row r="383" spans="54:55" x14ac:dyDescent="0.2">
      <c r="BB383" s="1" t="s">
        <v>1265</v>
      </c>
      <c r="BC383" s="1" t="s">
        <v>878</v>
      </c>
    </row>
    <row r="384" spans="54:55" x14ac:dyDescent="0.2">
      <c r="BB384" s="1" t="s">
        <v>1266</v>
      </c>
      <c r="BC384" s="1" t="s">
        <v>878</v>
      </c>
    </row>
    <row r="385" spans="54:55" x14ac:dyDescent="0.2">
      <c r="BB385" s="1" t="s">
        <v>1267</v>
      </c>
      <c r="BC385" s="1" t="s">
        <v>878</v>
      </c>
    </row>
    <row r="386" spans="54:55" x14ac:dyDescent="0.2">
      <c r="BB386" s="1" t="s">
        <v>1268</v>
      </c>
      <c r="BC386" s="1" t="s">
        <v>878</v>
      </c>
    </row>
    <row r="387" spans="54:55" x14ac:dyDescent="0.2">
      <c r="BB387" s="1" t="s">
        <v>1269</v>
      </c>
      <c r="BC387" s="1" t="s">
        <v>878</v>
      </c>
    </row>
    <row r="388" spans="54:55" x14ac:dyDescent="0.2">
      <c r="BB388" s="1" t="s">
        <v>1270</v>
      </c>
      <c r="BC388" s="1" t="s">
        <v>893</v>
      </c>
    </row>
    <row r="389" spans="54:55" x14ac:dyDescent="0.2">
      <c r="BB389" s="1" t="s">
        <v>1271</v>
      </c>
      <c r="BC389" s="1" t="s">
        <v>893</v>
      </c>
    </row>
    <row r="390" spans="54:55" x14ac:dyDescent="0.2">
      <c r="BB390" s="1" t="s">
        <v>1272</v>
      </c>
      <c r="BC390" s="1" t="s">
        <v>893</v>
      </c>
    </row>
    <row r="391" spans="54:55" x14ac:dyDescent="0.2">
      <c r="BB391" s="1" t="s">
        <v>1273</v>
      </c>
      <c r="BC391" s="1" t="s">
        <v>878</v>
      </c>
    </row>
    <row r="392" spans="54:55" x14ac:dyDescent="0.2">
      <c r="BB392" s="1" t="s">
        <v>1274</v>
      </c>
      <c r="BC392" s="1" t="s">
        <v>878</v>
      </c>
    </row>
    <row r="393" spans="54:55" x14ac:dyDescent="0.2">
      <c r="BB393" s="1" t="s">
        <v>1275</v>
      </c>
      <c r="BC393" s="1" t="s">
        <v>878</v>
      </c>
    </row>
    <row r="394" spans="54:55" x14ac:dyDescent="0.2">
      <c r="BB394" s="1" t="s">
        <v>1276</v>
      </c>
      <c r="BC394" s="1" t="s">
        <v>883</v>
      </c>
    </row>
    <row r="395" spans="54:55" x14ac:dyDescent="0.2">
      <c r="BB395" s="1" t="s">
        <v>1277</v>
      </c>
      <c r="BC395" s="1" t="s">
        <v>878</v>
      </c>
    </row>
    <row r="396" spans="54:55" x14ac:dyDescent="0.2">
      <c r="BB396" s="1" t="s">
        <v>1278</v>
      </c>
      <c r="BC396" s="1" t="s">
        <v>883</v>
      </c>
    </row>
    <row r="397" spans="54:55" x14ac:dyDescent="0.2">
      <c r="BB397" s="1" t="s">
        <v>1279</v>
      </c>
      <c r="BC397" s="1" t="s">
        <v>887</v>
      </c>
    </row>
    <row r="398" spans="54:55" x14ac:dyDescent="0.2">
      <c r="BB398" s="1" t="s">
        <v>1280</v>
      </c>
      <c r="BC398" s="1" t="s">
        <v>878</v>
      </c>
    </row>
    <row r="399" spans="54:55" x14ac:dyDescent="0.2">
      <c r="BB399" s="1" t="s">
        <v>1281</v>
      </c>
      <c r="BC399" s="1" t="s">
        <v>887</v>
      </c>
    </row>
    <row r="400" spans="54:55" x14ac:dyDescent="0.2">
      <c r="BB400" s="1" t="s">
        <v>1282</v>
      </c>
      <c r="BC400" s="1" t="s">
        <v>887</v>
      </c>
    </row>
    <row r="401" spans="54:55" x14ac:dyDescent="0.2">
      <c r="BB401" s="1" t="s">
        <v>1283</v>
      </c>
      <c r="BC401" s="1" t="s">
        <v>887</v>
      </c>
    </row>
    <row r="402" spans="54:55" x14ac:dyDescent="0.2">
      <c r="BB402" s="1" t="s">
        <v>1284</v>
      </c>
      <c r="BC402" s="1" t="s">
        <v>883</v>
      </c>
    </row>
    <row r="403" spans="54:55" x14ac:dyDescent="0.2">
      <c r="BB403" s="1" t="s">
        <v>1285</v>
      </c>
      <c r="BC403" s="1" t="s">
        <v>887</v>
      </c>
    </row>
    <row r="404" spans="54:55" x14ac:dyDescent="0.2">
      <c r="BB404" s="1" t="s">
        <v>1286</v>
      </c>
      <c r="BC404" s="1" t="s">
        <v>887</v>
      </c>
    </row>
    <row r="405" spans="54:55" x14ac:dyDescent="0.2">
      <c r="BB405" s="1" t="s">
        <v>1287</v>
      </c>
      <c r="BC405" s="1" t="s">
        <v>878</v>
      </c>
    </row>
    <row r="406" spans="54:55" x14ac:dyDescent="0.2">
      <c r="BB406" s="1" t="s">
        <v>1288</v>
      </c>
      <c r="BC406" s="1" t="s">
        <v>878</v>
      </c>
    </row>
    <row r="407" spans="54:55" x14ac:dyDescent="0.2">
      <c r="BB407" s="1" t="s">
        <v>1289</v>
      </c>
      <c r="BC407" s="1" t="s">
        <v>883</v>
      </c>
    </row>
    <row r="408" spans="54:55" x14ac:dyDescent="0.2">
      <c r="BB408" s="1" t="s">
        <v>1290</v>
      </c>
      <c r="BC408" s="1" t="s">
        <v>887</v>
      </c>
    </row>
    <row r="409" spans="54:55" x14ac:dyDescent="0.2">
      <c r="BB409" s="1" t="s">
        <v>1291</v>
      </c>
      <c r="BC409" s="1" t="s">
        <v>887</v>
      </c>
    </row>
    <row r="410" spans="54:55" x14ac:dyDescent="0.2">
      <c r="BB410" s="1" t="s">
        <v>1292</v>
      </c>
      <c r="BC410" s="1" t="s">
        <v>887</v>
      </c>
    </row>
    <row r="411" spans="54:55" x14ac:dyDescent="0.2">
      <c r="BB411" s="1" t="s">
        <v>1293</v>
      </c>
      <c r="BC411" s="1" t="s">
        <v>881</v>
      </c>
    </row>
    <row r="412" spans="54:55" x14ac:dyDescent="0.2">
      <c r="BB412" s="1" t="s">
        <v>1294</v>
      </c>
      <c r="BC412" s="1" t="s">
        <v>893</v>
      </c>
    </row>
    <row r="413" spans="54:55" x14ac:dyDescent="0.2">
      <c r="BB413" s="1" t="s">
        <v>1295</v>
      </c>
      <c r="BC413" s="1" t="s">
        <v>887</v>
      </c>
    </row>
    <row r="414" spans="54:55" x14ac:dyDescent="0.2">
      <c r="BB414" s="1" t="s">
        <v>1296</v>
      </c>
      <c r="BC414" s="1" t="s">
        <v>887</v>
      </c>
    </row>
    <row r="415" spans="54:55" x14ac:dyDescent="0.2">
      <c r="BB415" s="1" t="s">
        <v>1297</v>
      </c>
      <c r="BC415" s="1" t="s">
        <v>878</v>
      </c>
    </row>
    <row r="416" spans="54:55" x14ac:dyDescent="0.2">
      <c r="BB416" s="1" t="s">
        <v>1298</v>
      </c>
      <c r="BC416" s="1" t="s">
        <v>878</v>
      </c>
    </row>
    <row r="417" spans="54:55" x14ac:dyDescent="0.2">
      <c r="BB417" s="1" t="s">
        <v>1299</v>
      </c>
      <c r="BC417" s="1" t="s">
        <v>878</v>
      </c>
    </row>
    <row r="418" spans="54:55" x14ac:dyDescent="0.2">
      <c r="BB418" s="1" t="s">
        <v>1300</v>
      </c>
      <c r="BC418" s="1" t="s">
        <v>885</v>
      </c>
    </row>
    <row r="419" spans="54:55" x14ac:dyDescent="0.2">
      <c r="BB419" s="1" t="s">
        <v>1301</v>
      </c>
      <c r="BC419" s="1" t="s">
        <v>883</v>
      </c>
    </row>
    <row r="420" spans="54:55" x14ac:dyDescent="0.2">
      <c r="BB420" s="1" t="s">
        <v>1302</v>
      </c>
      <c r="BC420" s="1" t="s">
        <v>878</v>
      </c>
    </row>
    <row r="421" spans="54:55" x14ac:dyDescent="0.2">
      <c r="BB421" s="1" t="s">
        <v>1303</v>
      </c>
      <c r="BC421" s="1" t="s">
        <v>878</v>
      </c>
    </row>
    <row r="422" spans="54:55" x14ac:dyDescent="0.2">
      <c r="BB422" s="1" t="s">
        <v>1304</v>
      </c>
      <c r="BC422" s="1" t="s">
        <v>878</v>
      </c>
    </row>
    <row r="423" spans="54:55" x14ac:dyDescent="0.2">
      <c r="BB423" s="1" t="s">
        <v>1305</v>
      </c>
      <c r="BC423" s="1" t="s">
        <v>878</v>
      </c>
    </row>
    <row r="424" spans="54:55" x14ac:dyDescent="0.2">
      <c r="BB424" s="1" t="s">
        <v>1306</v>
      </c>
      <c r="BC424" s="1" t="s">
        <v>878</v>
      </c>
    </row>
    <row r="425" spans="54:55" x14ac:dyDescent="0.2">
      <c r="BB425" s="1" t="s">
        <v>1307</v>
      </c>
      <c r="BC425" s="1" t="s">
        <v>878</v>
      </c>
    </row>
    <row r="426" spans="54:55" x14ac:dyDescent="0.2">
      <c r="BB426" s="1" t="s">
        <v>1308</v>
      </c>
      <c r="BC426" s="1" t="s">
        <v>878</v>
      </c>
    </row>
    <row r="427" spans="54:55" x14ac:dyDescent="0.2">
      <c r="BB427" s="1" t="s">
        <v>1309</v>
      </c>
      <c r="BC427" s="1" t="s">
        <v>878</v>
      </c>
    </row>
    <row r="428" spans="54:55" x14ac:dyDescent="0.2">
      <c r="BB428" s="1" t="s">
        <v>1310</v>
      </c>
      <c r="BC428" s="1" t="s">
        <v>878</v>
      </c>
    </row>
    <row r="429" spans="54:55" x14ac:dyDescent="0.2">
      <c r="BB429" s="1" t="s">
        <v>1311</v>
      </c>
      <c r="BC429" s="1" t="s">
        <v>878</v>
      </c>
    </row>
    <row r="430" spans="54:55" x14ac:dyDescent="0.2">
      <c r="BB430" s="1" t="s">
        <v>1312</v>
      </c>
      <c r="BC430" s="1" t="s">
        <v>878</v>
      </c>
    </row>
    <row r="431" spans="54:55" x14ac:dyDescent="0.2">
      <c r="BB431" s="1" t="s">
        <v>1313</v>
      </c>
      <c r="BC431" s="1" t="s">
        <v>878</v>
      </c>
    </row>
    <row r="432" spans="54:55" x14ac:dyDescent="0.2">
      <c r="BB432" s="1" t="s">
        <v>1314</v>
      </c>
      <c r="BC432" s="1" t="s">
        <v>878</v>
      </c>
    </row>
    <row r="433" spans="54:55" x14ac:dyDescent="0.2">
      <c r="BB433" s="1" t="s">
        <v>1315</v>
      </c>
      <c r="BC433" s="1" t="s">
        <v>893</v>
      </c>
    </row>
    <row r="434" spans="54:55" x14ac:dyDescent="0.2">
      <c r="BB434" s="1" t="s">
        <v>1316</v>
      </c>
      <c r="BC434" s="1" t="s">
        <v>878</v>
      </c>
    </row>
    <row r="435" spans="54:55" x14ac:dyDescent="0.2">
      <c r="BB435" s="1" t="s">
        <v>1317</v>
      </c>
      <c r="BC435" s="1" t="s">
        <v>885</v>
      </c>
    </row>
    <row r="436" spans="54:55" x14ac:dyDescent="0.2">
      <c r="BB436" s="1" t="s">
        <v>1318</v>
      </c>
      <c r="BC436" s="1" t="s">
        <v>887</v>
      </c>
    </row>
    <row r="437" spans="54:55" x14ac:dyDescent="0.2">
      <c r="BB437" s="1" t="s">
        <v>1319</v>
      </c>
      <c r="BC437" s="1" t="s">
        <v>878</v>
      </c>
    </row>
    <row r="438" spans="54:55" x14ac:dyDescent="0.2">
      <c r="BB438" s="1" t="s">
        <v>1320</v>
      </c>
      <c r="BC438" s="1" t="s">
        <v>878</v>
      </c>
    </row>
    <row r="439" spans="54:55" x14ac:dyDescent="0.2">
      <c r="BB439" s="1" t="s">
        <v>1321</v>
      </c>
      <c r="BC439" s="1" t="s">
        <v>878</v>
      </c>
    </row>
    <row r="440" spans="54:55" x14ac:dyDescent="0.2">
      <c r="BB440" s="1" t="s">
        <v>1322</v>
      </c>
      <c r="BC440" s="1" t="s">
        <v>878</v>
      </c>
    </row>
    <row r="441" spans="54:55" x14ac:dyDescent="0.2">
      <c r="BB441" s="1" t="s">
        <v>1323</v>
      </c>
      <c r="BC441" s="1" t="s">
        <v>878</v>
      </c>
    </row>
    <row r="442" spans="54:55" x14ac:dyDescent="0.2">
      <c r="BB442" s="1" t="s">
        <v>1324</v>
      </c>
      <c r="BC442" s="1" t="s">
        <v>878</v>
      </c>
    </row>
    <row r="443" spans="54:55" x14ac:dyDescent="0.2">
      <c r="BB443" s="1" t="s">
        <v>1325</v>
      </c>
      <c r="BC443" s="1" t="s">
        <v>878</v>
      </c>
    </row>
    <row r="444" spans="54:55" x14ac:dyDescent="0.2">
      <c r="BB444" s="1" t="s">
        <v>1326</v>
      </c>
      <c r="BC444" s="1" t="s">
        <v>878</v>
      </c>
    </row>
    <row r="445" spans="54:55" x14ac:dyDescent="0.2">
      <c r="BB445" s="1" t="s">
        <v>1327</v>
      </c>
      <c r="BC445" s="1" t="s">
        <v>878</v>
      </c>
    </row>
    <row r="446" spans="54:55" x14ac:dyDescent="0.2">
      <c r="BB446" s="1" t="s">
        <v>1328</v>
      </c>
      <c r="BC446" s="1" t="s">
        <v>878</v>
      </c>
    </row>
    <row r="447" spans="54:55" x14ac:dyDescent="0.2">
      <c r="BB447" s="1" t="s">
        <v>1329</v>
      </c>
      <c r="BC447" s="1" t="s">
        <v>887</v>
      </c>
    </row>
    <row r="448" spans="54:55" x14ac:dyDescent="0.2">
      <c r="BB448" s="1" t="s">
        <v>1330</v>
      </c>
      <c r="BC448" s="1" t="s">
        <v>883</v>
      </c>
    </row>
    <row r="449" spans="54:55" x14ac:dyDescent="0.2">
      <c r="BB449" s="1" t="s">
        <v>1331</v>
      </c>
      <c r="BC449" s="1" t="s">
        <v>878</v>
      </c>
    </row>
    <row r="450" spans="54:55" x14ac:dyDescent="0.2">
      <c r="BB450" s="1" t="s">
        <v>1332</v>
      </c>
      <c r="BC450" s="1" t="s">
        <v>878</v>
      </c>
    </row>
    <row r="451" spans="54:55" x14ac:dyDescent="0.2">
      <c r="BB451" s="1" t="s">
        <v>1333</v>
      </c>
      <c r="BC451" s="1" t="s">
        <v>878</v>
      </c>
    </row>
    <row r="452" spans="54:55" x14ac:dyDescent="0.2">
      <c r="BB452" s="1" t="s">
        <v>1334</v>
      </c>
      <c r="BC452" s="1" t="s">
        <v>887</v>
      </c>
    </row>
    <row r="453" spans="54:55" x14ac:dyDescent="0.2">
      <c r="BB453" s="1" t="s">
        <v>1335</v>
      </c>
      <c r="BC453" s="1" t="s">
        <v>883</v>
      </c>
    </row>
    <row r="454" spans="54:55" x14ac:dyDescent="0.2">
      <c r="BB454" s="1" t="s">
        <v>1336</v>
      </c>
      <c r="BC454" s="1" t="s">
        <v>883</v>
      </c>
    </row>
    <row r="455" spans="54:55" x14ac:dyDescent="0.2">
      <c r="BB455" s="1" t="s">
        <v>1337</v>
      </c>
      <c r="BC455" s="1" t="s">
        <v>887</v>
      </c>
    </row>
    <row r="456" spans="54:55" x14ac:dyDescent="0.2">
      <c r="BB456" s="1" t="s">
        <v>1338</v>
      </c>
      <c r="BC456" s="1" t="s">
        <v>883</v>
      </c>
    </row>
    <row r="457" spans="54:55" x14ac:dyDescent="0.2">
      <c r="BB457" s="1" t="s">
        <v>1339</v>
      </c>
      <c r="BC457" s="1" t="s">
        <v>878</v>
      </c>
    </row>
    <row r="458" spans="54:55" x14ac:dyDescent="0.2">
      <c r="BB458" s="1" t="s">
        <v>1340</v>
      </c>
      <c r="BC458" s="1" t="s">
        <v>883</v>
      </c>
    </row>
    <row r="459" spans="54:55" x14ac:dyDescent="0.2">
      <c r="BB459" s="1" t="s">
        <v>1341</v>
      </c>
      <c r="BC459" s="1" t="s">
        <v>878</v>
      </c>
    </row>
    <row r="460" spans="54:55" x14ac:dyDescent="0.2">
      <c r="BB460" s="1" t="s">
        <v>1342</v>
      </c>
      <c r="BC460" s="1" t="s">
        <v>887</v>
      </c>
    </row>
    <row r="461" spans="54:55" x14ac:dyDescent="0.2">
      <c r="BB461" s="1" t="s">
        <v>1343</v>
      </c>
      <c r="BC461" s="1" t="s">
        <v>887</v>
      </c>
    </row>
    <row r="462" spans="54:55" x14ac:dyDescent="0.2">
      <c r="BB462" s="1" t="s">
        <v>1344</v>
      </c>
      <c r="BC462" s="1" t="s">
        <v>887</v>
      </c>
    </row>
    <row r="463" spans="54:55" x14ac:dyDescent="0.2">
      <c r="BB463" s="1" t="s">
        <v>1345</v>
      </c>
      <c r="BC463" s="1" t="s">
        <v>881</v>
      </c>
    </row>
    <row r="464" spans="54:55" x14ac:dyDescent="0.2">
      <c r="BB464" s="1" t="s">
        <v>1346</v>
      </c>
      <c r="BC464" s="1" t="s">
        <v>887</v>
      </c>
    </row>
    <row r="465" spans="54:55" x14ac:dyDescent="0.2">
      <c r="BB465" s="1" t="s">
        <v>1347</v>
      </c>
      <c r="BC465" s="1" t="s">
        <v>1039</v>
      </c>
    </row>
    <row r="466" spans="54:55" x14ac:dyDescent="0.2">
      <c r="BB466" s="1" t="s">
        <v>1348</v>
      </c>
      <c r="BC466" s="1" t="s">
        <v>881</v>
      </c>
    </row>
    <row r="467" spans="54:55" x14ac:dyDescent="0.2">
      <c r="BB467" s="1" t="s">
        <v>1349</v>
      </c>
      <c r="BC467" s="1" t="s">
        <v>893</v>
      </c>
    </row>
    <row r="468" spans="54:55" x14ac:dyDescent="0.2">
      <c r="BB468" s="1" t="s">
        <v>1350</v>
      </c>
      <c r="BC468" s="1" t="s">
        <v>878</v>
      </c>
    </row>
    <row r="469" spans="54:55" x14ac:dyDescent="0.2">
      <c r="BB469" s="1" t="s">
        <v>1351</v>
      </c>
      <c r="BC469" s="1" t="s">
        <v>883</v>
      </c>
    </row>
    <row r="470" spans="54:55" x14ac:dyDescent="0.2">
      <c r="BB470" s="1" t="s">
        <v>1352</v>
      </c>
      <c r="BC470" s="1" t="s">
        <v>878</v>
      </c>
    </row>
    <row r="471" spans="54:55" x14ac:dyDescent="0.2">
      <c r="BB471" s="1" t="s">
        <v>1353</v>
      </c>
      <c r="BC471" s="1" t="s">
        <v>887</v>
      </c>
    </row>
    <row r="472" spans="54:55" x14ac:dyDescent="0.2">
      <c r="BB472" s="1" t="s">
        <v>1354</v>
      </c>
      <c r="BC472" s="1" t="s">
        <v>878</v>
      </c>
    </row>
    <row r="473" spans="54:55" x14ac:dyDescent="0.2">
      <c r="BB473" s="1" t="s">
        <v>1355</v>
      </c>
      <c r="BC473" s="1" t="s">
        <v>878</v>
      </c>
    </row>
    <row r="474" spans="54:55" x14ac:dyDescent="0.2">
      <c r="BB474" s="1" t="s">
        <v>1356</v>
      </c>
      <c r="BC474" s="1" t="s">
        <v>893</v>
      </c>
    </row>
    <row r="475" spans="54:55" x14ac:dyDescent="0.2">
      <c r="BB475" s="1" t="s">
        <v>1357</v>
      </c>
      <c r="BC475" s="1" t="s">
        <v>878</v>
      </c>
    </row>
    <row r="476" spans="54:55" x14ac:dyDescent="0.2">
      <c r="BB476" s="1" t="s">
        <v>1358</v>
      </c>
      <c r="BC476" s="1" t="s">
        <v>885</v>
      </c>
    </row>
    <row r="477" spans="54:55" x14ac:dyDescent="0.2">
      <c r="BB477" s="1" t="s">
        <v>1359</v>
      </c>
      <c r="BC477" s="1" t="s">
        <v>878</v>
      </c>
    </row>
    <row r="478" spans="54:55" x14ac:dyDescent="0.2">
      <c r="BB478" s="1" t="s">
        <v>1360</v>
      </c>
      <c r="BC478" s="1" t="s">
        <v>878</v>
      </c>
    </row>
    <row r="479" spans="54:55" x14ac:dyDescent="0.2">
      <c r="BB479" s="1" t="s">
        <v>1361</v>
      </c>
      <c r="BC479" s="1" t="s">
        <v>883</v>
      </c>
    </row>
    <row r="480" spans="54:55" x14ac:dyDescent="0.2">
      <c r="BB480" s="1" t="s">
        <v>1362</v>
      </c>
      <c r="BC480" s="1" t="s">
        <v>878</v>
      </c>
    </row>
    <row r="481" spans="54:55" x14ac:dyDescent="0.2">
      <c r="BB481" s="1" t="s">
        <v>1363</v>
      </c>
      <c r="BC481" s="1" t="s">
        <v>878</v>
      </c>
    </row>
    <row r="482" spans="54:55" x14ac:dyDescent="0.2">
      <c r="BB482" s="1" t="s">
        <v>1364</v>
      </c>
      <c r="BC482" s="1" t="s">
        <v>878</v>
      </c>
    </row>
    <row r="483" spans="54:55" x14ac:dyDescent="0.2">
      <c r="BB483" s="1" t="s">
        <v>1365</v>
      </c>
      <c r="BC483" s="1" t="s">
        <v>883</v>
      </c>
    </row>
    <row r="484" spans="54:55" x14ac:dyDescent="0.2">
      <c r="BB484" s="1" t="s">
        <v>1366</v>
      </c>
      <c r="BC484" s="1" t="s">
        <v>878</v>
      </c>
    </row>
    <row r="485" spans="54:55" x14ac:dyDescent="0.2">
      <c r="BB485" s="1" t="s">
        <v>1367</v>
      </c>
      <c r="BC485" s="1" t="s">
        <v>883</v>
      </c>
    </row>
    <row r="486" spans="54:55" x14ac:dyDescent="0.2">
      <c r="BB486" s="1" t="s">
        <v>1368</v>
      </c>
      <c r="BC486" s="1" t="s">
        <v>878</v>
      </c>
    </row>
    <row r="487" spans="54:55" x14ac:dyDescent="0.2">
      <c r="BB487" s="1" t="s">
        <v>1369</v>
      </c>
      <c r="BC487" s="1" t="s">
        <v>878</v>
      </c>
    </row>
    <row r="488" spans="54:55" x14ac:dyDescent="0.2">
      <c r="BB488" s="1" t="s">
        <v>1370</v>
      </c>
      <c r="BC488" s="1" t="s">
        <v>878</v>
      </c>
    </row>
    <row r="489" spans="54:55" x14ac:dyDescent="0.2">
      <c r="BB489" s="1" t="s">
        <v>1371</v>
      </c>
      <c r="BC489" s="1" t="s">
        <v>878</v>
      </c>
    </row>
    <row r="490" spans="54:55" x14ac:dyDescent="0.2">
      <c r="BB490" s="1" t="s">
        <v>1372</v>
      </c>
      <c r="BC490" s="1" t="s">
        <v>878</v>
      </c>
    </row>
    <row r="491" spans="54:55" x14ac:dyDescent="0.2">
      <c r="BB491" s="1" t="s">
        <v>1373</v>
      </c>
      <c r="BC491" s="1" t="s">
        <v>878</v>
      </c>
    </row>
    <row r="492" spans="54:55" x14ac:dyDescent="0.2">
      <c r="BB492" s="1" t="s">
        <v>1374</v>
      </c>
      <c r="BC492" s="1" t="s">
        <v>878</v>
      </c>
    </row>
    <row r="493" spans="54:55" x14ac:dyDescent="0.2">
      <c r="BB493" s="1" t="s">
        <v>1375</v>
      </c>
      <c r="BC493" s="1" t="s">
        <v>878</v>
      </c>
    </row>
    <row r="494" spans="54:55" x14ac:dyDescent="0.2">
      <c r="BB494" s="1" t="s">
        <v>1376</v>
      </c>
      <c r="BC494" s="1" t="s">
        <v>878</v>
      </c>
    </row>
    <row r="495" spans="54:55" x14ac:dyDescent="0.2">
      <c r="BB495" s="1" t="s">
        <v>1377</v>
      </c>
      <c r="BC495" s="1" t="s">
        <v>887</v>
      </c>
    </row>
    <row r="496" spans="54:55" x14ac:dyDescent="0.2">
      <c r="BB496" s="1" t="s">
        <v>1378</v>
      </c>
      <c r="BC496" s="1" t="s">
        <v>878</v>
      </c>
    </row>
    <row r="497" spans="54:55" x14ac:dyDescent="0.2">
      <c r="BB497" s="1" t="s">
        <v>1379</v>
      </c>
      <c r="BC497" s="1" t="s">
        <v>878</v>
      </c>
    </row>
    <row r="498" spans="54:55" x14ac:dyDescent="0.2">
      <c r="BB498" s="1" t="s">
        <v>1380</v>
      </c>
      <c r="BC498" s="1" t="s">
        <v>878</v>
      </c>
    </row>
    <row r="499" spans="54:55" x14ac:dyDescent="0.2">
      <c r="BB499" s="1" t="s">
        <v>1381</v>
      </c>
      <c r="BC499" s="1" t="s">
        <v>883</v>
      </c>
    </row>
    <row r="500" spans="54:55" x14ac:dyDescent="0.2">
      <c r="BB500" s="1" t="s">
        <v>1382</v>
      </c>
      <c r="BC500" s="1" t="s">
        <v>881</v>
      </c>
    </row>
    <row r="501" spans="54:55" x14ac:dyDescent="0.2">
      <c r="BB501" s="1" t="s">
        <v>1383</v>
      </c>
      <c r="BC501" s="1" t="s">
        <v>878</v>
      </c>
    </row>
    <row r="502" spans="54:55" x14ac:dyDescent="0.2">
      <c r="BB502" s="1" t="s">
        <v>1384</v>
      </c>
      <c r="BC502" s="1" t="s">
        <v>878</v>
      </c>
    </row>
    <row r="503" spans="54:55" x14ac:dyDescent="0.2">
      <c r="BB503" s="1" t="s">
        <v>1385</v>
      </c>
      <c r="BC503" s="1" t="s">
        <v>887</v>
      </c>
    </row>
    <row r="504" spans="54:55" x14ac:dyDescent="0.2">
      <c r="BB504" s="1" t="s">
        <v>1386</v>
      </c>
      <c r="BC504" s="1" t="s">
        <v>1007</v>
      </c>
    </row>
    <row r="505" spans="54:55" x14ac:dyDescent="0.2">
      <c r="BB505" s="1" t="s">
        <v>1387</v>
      </c>
      <c r="BC505" s="1" t="s">
        <v>878</v>
      </c>
    </row>
    <row r="506" spans="54:55" x14ac:dyDescent="0.2">
      <c r="BB506" s="1" t="s">
        <v>1388</v>
      </c>
      <c r="BC506" s="1" t="s">
        <v>893</v>
      </c>
    </row>
    <row r="507" spans="54:55" x14ac:dyDescent="0.2">
      <c r="BB507" s="1" t="s">
        <v>1389</v>
      </c>
      <c r="BC507" s="1" t="s">
        <v>878</v>
      </c>
    </row>
    <row r="508" spans="54:55" x14ac:dyDescent="0.2">
      <c r="BB508" s="1" t="s">
        <v>1390</v>
      </c>
      <c r="BC508" s="1" t="s">
        <v>893</v>
      </c>
    </row>
    <row r="509" spans="54:55" x14ac:dyDescent="0.2">
      <c r="BB509" s="1" t="s">
        <v>1391</v>
      </c>
      <c r="BC509" s="1" t="s">
        <v>878</v>
      </c>
    </row>
    <row r="510" spans="54:55" x14ac:dyDescent="0.2">
      <c r="BB510" s="1" t="s">
        <v>1392</v>
      </c>
      <c r="BC510" s="1" t="s">
        <v>885</v>
      </c>
    </row>
    <row r="511" spans="54:55" x14ac:dyDescent="0.2">
      <c r="BB511" s="1" t="s">
        <v>1393</v>
      </c>
      <c r="BC511" s="1" t="s">
        <v>885</v>
      </c>
    </row>
    <row r="512" spans="54:55" x14ac:dyDescent="0.2">
      <c r="BB512" s="1" t="s">
        <v>1394</v>
      </c>
      <c r="BC512" s="1" t="s">
        <v>895</v>
      </c>
    </row>
    <row r="513" spans="54:55" x14ac:dyDescent="0.2">
      <c r="BB513" s="1" t="s">
        <v>1395</v>
      </c>
      <c r="BC513" s="1" t="s">
        <v>878</v>
      </c>
    </row>
    <row r="514" spans="54:55" x14ac:dyDescent="0.2">
      <c r="BB514" s="1" t="s">
        <v>1396</v>
      </c>
      <c r="BC514" s="1" t="s">
        <v>883</v>
      </c>
    </row>
    <row r="515" spans="54:55" x14ac:dyDescent="0.2">
      <c r="BB515" s="1" t="s">
        <v>1397</v>
      </c>
      <c r="BC515" s="1" t="s">
        <v>878</v>
      </c>
    </row>
    <row r="516" spans="54:55" x14ac:dyDescent="0.2">
      <c r="BB516" s="1" t="s">
        <v>1398</v>
      </c>
      <c r="BC516" s="1" t="s">
        <v>878</v>
      </c>
    </row>
    <row r="517" spans="54:55" x14ac:dyDescent="0.2">
      <c r="BB517" s="1" t="s">
        <v>1399</v>
      </c>
      <c r="BC517" s="1" t="s">
        <v>887</v>
      </c>
    </row>
    <row r="518" spans="54:55" x14ac:dyDescent="0.2">
      <c r="BB518" s="1" t="s">
        <v>1400</v>
      </c>
      <c r="BC518" s="1" t="s">
        <v>887</v>
      </c>
    </row>
    <row r="519" spans="54:55" x14ac:dyDescent="0.2">
      <c r="BB519" s="1" t="s">
        <v>1401</v>
      </c>
      <c r="BC519" s="1" t="s">
        <v>878</v>
      </c>
    </row>
    <row r="520" spans="54:55" x14ac:dyDescent="0.2">
      <c r="BB520" s="1" t="s">
        <v>1402</v>
      </c>
      <c r="BC520" s="1" t="s">
        <v>893</v>
      </c>
    </row>
    <row r="521" spans="54:55" x14ac:dyDescent="0.2">
      <c r="BB521" s="1" t="s">
        <v>1403</v>
      </c>
      <c r="BC521" s="1" t="s">
        <v>878</v>
      </c>
    </row>
    <row r="522" spans="54:55" x14ac:dyDescent="0.2">
      <c r="BB522" s="1" t="s">
        <v>1404</v>
      </c>
      <c r="BC522" s="1" t="s">
        <v>885</v>
      </c>
    </row>
    <row r="523" spans="54:55" x14ac:dyDescent="0.2">
      <c r="BB523" s="1" t="s">
        <v>1405</v>
      </c>
      <c r="BC523" s="1" t="s">
        <v>893</v>
      </c>
    </row>
    <row r="524" spans="54:55" x14ac:dyDescent="0.2">
      <c r="BB524" s="1" t="s">
        <v>1406</v>
      </c>
      <c r="BC524" s="1" t="s">
        <v>883</v>
      </c>
    </row>
    <row r="525" spans="54:55" x14ac:dyDescent="0.2">
      <c r="BB525" s="1" t="s">
        <v>1407</v>
      </c>
      <c r="BC525" s="1" t="s">
        <v>878</v>
      </c>
    </row>
    <row r="526" spans="54:55" x14ac:dyDescent="0.2">
      <c r="BB526" s="1" t="s">
        <v>1408</v>
      </c>
      <c r="BC526" s="1" t="s">
        <v>878</v>
      </c>
    </row>
    <row r="527" spans="54:55" x14ac:dyDescent="0.2">
      <c r="BB527" s="1" t="s">
        <v>1409</v>
      </c>
      <c r="BC527" s="1" t="s">
        <v>878</v>
      </c>
    </row>
    <row r="528" spans="54:55" x14ac:dyDescent="0.2">
      <c r="BB528" s="1" t="s">
        <v>1410</v>
      </c>
      <c r="BC528" s="1" t="s">
        <v>878</v>
      </c>
    </row>
    <row r="529" spans="54:55" x14ac:dyDescent="0.2">
      <c r="BB529" s="1" t="s">
        <v>1411</v>
      </c>
      <c r="BC529" s="1" t="s">
        <v>878</v>
      </c>
    </row>
    <row r="530" spans="54:55" x14ac:dyDescent="0.2">
      <c r="BB530" s="1" t="s">
        <v>1412</v>
      </c>
      <c r="BC530" s="1" t="s">
        <v>887</v>
      </c>
    </row>
    <row r="531" spans="54:55" x14ac:dyDescent="0.2">
      <c r="BB531" s="1" t="s">
        <v>1413</v>
      </c>
      <c r="BC531" s="1" t="s">
        <v>887</v>
      </c>
    </row>
    <row r="532" spans="54:55" x14ac:dyDescent="0.2">
      <c r="BB532" s="1" t="s">
        <v>1414</v>
      </c>
      <c r="BC532" s="1" t="s">
        <v>887</v>
      </c>
    </row>
    <row r="533" spans="54:55" x14ac:dyDescent="0.2">
      <c r="BB533" s="1" t="s">
        <v>1415</v>
      </c>
      <c r="BC533" s="1" t="s">
        <v>883</v>
      </c>
    </row>
    <row r="534" spans="54:55" x14ac:dyDescent="0.2">
      <c r="BB534" s="1" t="s">
        <v>1416</v>
      </c>
      <c r="BC534" s="1" t="s">
        <v>878</v>
      </c>
    </row>
    <row r="535" spans="54:55" x14ac:dyDescent="0.2">
      <c r="BB535" s="1" t="s">
        <v>1417</v>
      </c>
      <c r="BC535" s="1" t="s">
        <v>883</v>
      </c>
    </row>
    <row r="536" spans="54:55" x14ac:dyDescent="0.2">
      <c r="BB536" s="1" t="s">
        <v>1418</v>
      </c>
      <c r="BC536" s="1" t="s">
        <v>885</v>
      </c>
    </row>
    <row r="537" spans="54:55" x14ac:dyDescent="0.2">
      <c r="BB537" s="1" t="s">
        <v>1419</v>
      </c>
      <c r="BC537" s="1" t="s">
        <v>878</v>
      </c>
    </row>
    <row r="538" spans="54:55" x14ac:dyDescent="0.2">
      <c r="BB538" s="1" t="s">
        <v>1420</v>
      </c>
      <c r="BC538" s="1" t="s">
        <v>881</v>
      </c>
    </row>
    <row r="539" spans="54:55" x14ac:dyDescent="0.2">
      <c r="BB539" s="1" t="s">
        <v>1421</v>
      </c>
      <c r="BC539" s="1" t="s">
        <v>878</v>
      </c>
    </row>
    <row r="540" spans="54:55" x14ac:dyDescent="0.2">
      <c r="BB540" s="1" t="s">
        <v>1422</v>
      </c>
      <c r="BC540" s="1" t="s">
        <v>887</v>
      </c>
    </row>
    <row r="541" spans="54:55" x14ac:dyDescent="0.2">
      <c r="BB541" s="1" t="s">
        <v>1423</v>
      </c>
      <c r="BC541" s="1" t="s">
        <v>1007</v>
      </c>
    </row>
    <row r="542" spans="54:55" x14ac:dyDescent="0.2">
      <c r="BB542" s="1" t="s">
        <v>1424</v>
      </c>
      <c r="BC542" s="1" t="s">
        <v>878</v>
      </c>
    </row>
    <row r="543" spans="54:55" x14ac:dyDescent="0.2">
      <c r="BB543" s="1" t="s">
        <v>1425</v>
      </c>
      <c r="BC543" s="1" t="s">
        <v>883</v>
      </c>
    </row>
    <row r="544" spans="54:55" x14ac:dyDescent="0.2">
      <c r="BB544" s="1" t="s">
        <v>1426</v>
      </c>
      <c r="BC544" s="1" t="s">
        <v>878</v>
      </c>
    </row>
    <row r="545" spans="54:55" x14ac:dyDescent="0.2">
      <c r="BB545" s="1" t="s">
        <v>1427</v>
      </c>
      <c r="BC545" s="1" t="s">
        <v>878</v>
      </c>
    </row>
    <row r="546" spans="54:55" x14ac:dyDescent="0.2">
      <c r="BB546" s="1" t="s">
        <v>1428</v>
      </c>
      <c r="BC546" s="1" t="s">
        <v>883</v>
      </c>
    </row>
    <row r="547" spans="54:55" x14ac:dyDescent="0.2">
      <c r="BB547" s="1" t="s">
        <v>1429</v>
      </c>
      <c r="BC547" s="1" t="s">
        <v>887</v>
      </c>
    </row>
    <row r="548" spans="54:55" x14ac:dyDescent="0.2">
      <c r="BB548" s="1" t="s">
        <v>1430</v>
      </c>
      <c r="BC548" s="1" t="s">
        <v>878</v>
      </c>
    </row>
    <row r="549" spans="54:55" x14ac:dyDescent="0.2">
      <c r="BB549" s="1" t="s">
        <v>1431</v>
      </c>
      <c r="BC549" s="1" t="s">
        <v>887</v>
      </c>
    </row>
    <row r="550" spans="54:55" x14ac:dyDescent="0.2">
      <c r="BB550" s="1" t="s">
        <v>1432</v>
      </c>
      <c r="BC550" s="1" t="s">
        <v>1007</v>
      </c>
    </row>
    <row r="551" spans="54:55" x14ac:dyDescent="0.2">
      <c r="BB551" s="1" t="s">
        <v>1433</v>
      </c>
      <c r="BC551" s="1" t="s">
        <v>1007</v>
      </c>
    </row>
    <row r="552" spans="54:55" x14ac:dyDescent="0.2">
      <c r="BB552" s="1" t="s">
        <v>1434</v>
      </c>
      <c r="BC552" s="1" t="s">
        <v>878</v>
      </c>
    </row>
    <row r="553" spans="54:55" x14ac:dyDescent="0.2">
      <c r="BB553" s="1" t="s">
        <v>1435</v>
      </c>
      <c r="BC553" s="1" t="s">
        <v>1007</v>
      </c>
    </row>
    <row r="554" spans="54:55" x14ac:dyDescent="0.2">
      <c r="BB554" s="1" t="s">
        <v>1436</v>
      </c>
      <c r="BC554" s="1" t="s">
        <v>893</v>
      </c>
    </row>
    <row r="555" spans="54:55" x14ac:dyDescent="0.2">
      <c r="BB555" s="1" t="s">
        <v>1437</v>
      </c>
      <c r="BC555" s="1" t="s">
        <v>878</v>
      </c>
    </row>
    <row r="556" spans="54:55" x14ac:dyDescent="0.2">
      <c r="BB556" s="1" t="s">
        <v>1438</v>
      </c>
      <c r="BC556" s="1" t="s">
        <v>895</v>
      </c>
    </row>
    <row r="557" spans="54:55" x14ac:dyDescent="0.2">
      <c r="BB557" s="1" t="s">
        <v>1439</v>
      </c>
      <c r="BC557" s="1" t="s">
        <v>1007</v>
      </c>
    </row>
    <row r="558" spans="54:55" x14ac:dyDescent="0.2">
      <c r="BB558" s="1" t="s">
        <v>1440</v>
      </c>
      <c r="BC558" s="1" t="s">
        <v>887</v>
      </c>
    </row>
    <row r="559" spans="54:55" x14ac:dyDescent="0.2">
      <c r="BB559" s="1" t="s">
        <v>1441</v>
      </c>
      <c r="BC559" s="1" t="s">
        <v>893</v>
      </c>
    </row>
    <row r="560" spans="54:55" x14ac:dyDescent="0.2">
      <c r="BB560" s="1" t="s">
        <v>1442</v>
      </c>
      <c r="BC560" s="1" t="s">
        <v>878</v>
      </c>
    </row>
    <row r="561" spans="54:55" x14ac:dyDescent="0.2">
      <c r="BB561" s="1" t="s">
        <v>1443</v>
      </c>
      <c r="BC561" s="1" t="s">
        <v>893</v>
      </c>
    </row>
    <row r="562" spans="54:55" x14ac:dyDescent="0.2">
      <c r="BB562" s="1" t="s">
        <v>1444</v>
      </c>
      <c r="BC562" s="1" t="s">
        <v>887</v>
      </c>
    </row>
    <row r="563" spans="54:55" x14ac:dyDescent="0.2">
      <c r="BB563" s="1" t="s">
        <v>1445</v>
      </c>
      <c r="BC563" s="1" t="s">
        <v>878</v>
      </c>
    </row>
    <row r="564" spans="54:55" x14ac:dyDescent="0.2">
      <c r="BB564" s="1" t="s">
        <v>1446</v>
      </c>
      <c r="BC564" s="1" t="s">
        <v>878</v>
      </c>
    </row>
    <row r="565" spans="54:55" x14ac:dyDescent="0.2">
      <c r="BB565" s="1" t="s">
        <v>1447</v>
      </c>
      <c r="BC565" s="1" t="s">
        <v>883</v>
      </c>
    </row>
    <row r="566" spans="54:55" x14ac:dyDescent="0.2">
      <c r="BB566" s="1" t="s">
        <v>1448</v>
      </c>
      <c r="BC566" s="1" t="s">
        <v>878</v>
      </c>
    </row>
    <row r="567" spans="54:55" x14ac:dyDescent="0.2">
      <c r="BB567" s="1" t="s">
        <v>1449</v>
      </c>
      <c r="BC567" s="1" t="s">
        <v>878</v>
      </c>
    </row>
    <row r="568" spans="54:55" x14ac:dyDescent="0.2">
      <c r="BB568" s="1" t="s">
        <v>1450</v>
      </c>
      <c r="BC568" s="1" t="s">
        <v>878</v>
      </c>
    </row>
    <row r="569" spans="54:55" x14ac:dyDescent="0.2">
      <c r="BB569" s="1" t="s">
        <v>1451</v>
      </c>
      <c r="BC569" s="1" t="s">
        <v>878</v>
      </c>
    </row>
    <row r="570" spans="54:55" x14ac:dyDescent="0.2">
      <c r="BB570" s="1" t="s">
        <v>1452</v>
      </c>
      <c r="BC570" s="1" t="s">
        <v>887</v>
      </c>
    </row>
    <row r="571" spans="54:55" x14ac:dyDescent="0.2">
      <c r="BB571" s="1" t="s">
        <v>1453</v>
      </c>
      <c r="BC571" s="1" t="s">
        <v>881</v>
      </c>
    </row>
    <row r="572" spans="54:55" x14ac:dyDescent="0.2">
      <c r="BB572" s="1" t="s">
        <v>1454</v>
      </c>
      <c r="BC572" s="1" t="s">
        <v>878</v>
      </c>
    </row>
    <row r="573" spans="54:55" x14ac:dyDescent="0.2">
      <c r="BB573" s="1" t="s">
        <v>1455</v>
      </c>
      <c r="BC573" s="1" t="s">
        <v>878</v>
      </c>
    </row>
    <row r="574" spans="54:55" x14ac:dyDescent="0.2">
      <c r="BB574" s="1" t="s">
        <v>1456</v>
      </c>
      <c r="BC574" s="1" t="s">
        <v>878</v>
      </c>
    </row>
    <row r="575" spans="54:55" x14ac:dyDescent="0.2">
      <c r="BB575" s="1" t="s">
        <v>1457</v>
      </c>
      <c r="BC575" s="1" t="s">
        <v>878</v>
      </c>
    </row>
    <row r="576" spans="54:55" x14ac:dyDescent="0.2">
      <c r="BB576" s="1" t="s">
        <v>1458</v>
      </c>
      <c r="BC576" s="1" t="s">
        <v>885</v>
      </c>
    </row>
    <row r="577" spans="54:55" x14ac:dyDescent="0.2">
      <c r="BB577" s="1" t="s">
        <v>1459</v>
      </c>
      <c r="BC577" s="1" t="s">
        <v>878</v>
      </c>
    </row>
    <row r="578" spans="54:55" x14ac:dyDescent="0.2">
      <c r="BB578" s="1" t="s">
        <v>1460</v>
      </c>
      <c r="BC578" s="1" t="s">
        <v>878</v>
      </c>
    </row>
    <row r="579" spans="54:55" x14ac:dyDescent="0.2">
      <c r="BB579" s="1" t="s">
        <v>1461</v>
      </c>
      <c r="BC579" s="1" t="s">
        <v>887</v>
      </c>
    </row>
    <row r="580" spans="54:55" x14ac:dyDescent="0.2">
      <c r="BB580" s="1" t="s">
        <v>1462</v>
      </c>
      <c r="BC580" s="1" t="s">
        <v>887</v>
      </c>
    </row>
    <row r="581" spans="54:55" x14ac:dyDescent="0.2">
      <c r="BB581" s="1" t="s">
        <v>1463</v>
      </c>
      <c r="BC581" s="1" t="s">
        <v>878</v>
      </c>
    </row>
    <row r="582" spans="54:55" x14ac:dyDescent="0.2">
      <c r="BB582" s="1" t="s">
        <v>1464</v>
      </c>
      <c r="BC582" s="1" t="s">
        <v>883</v>
      </c>
    </row>
    <row r="583" spans="54:55" x14ac:dyDescent="0.2">
      <c r="BB583" s="1" t="s">
        <v>1465</v>
      </c>
      <c r="BC583" s="1" t="s">
        <v>878</v>
      </c>
    </row>
    <row r="584" spans="54:55" x14ac:dyDescent="0.2">
      <c r="BB584" s="1" t="s">
        <v>1466</v>
      </c>
      <c r="BC584" s="1" t="s">
        <v>878</v>
      </c>
    </row>
    <row r="585" spans="54:55" x14ac:dyDescent="0.2">
      <c r="BB585" s="1" t="s">
        <v>1467</v>
      </c>
      <c r="BC585" s="1" t="s">
        <v>878</v>
      </c>
    </row>
    <row r="586" spans="54:55" x14ac:dyDescent="0.2">
      <c r="BB586" s="1" t="s">
        <v>1468</v>
      </c>
      <c r="BC586" s="1" t="s">
        <v>883</v>
      </c>
    </row>
    <row r="587" spans="54:55" x14ac:dyDescent="0.2">
      <c r="BB587" s="1" t="s">
        <v>1469</v>
      </c>
      <c r="BC587" s="1" t="s">
        <v>883</v>
      </c>
    </row>
    <row r="588" spans="54:55" x14ac:dyDescent="0.2">
      <c r="BB588" s="1" t="s">
        <v>1470</v>
      </c>
      <c r="BC588" s="1" t="s">
        <v>883</v>
      </c>
    </row>
    <row r="589" spans="54:55" x14ac:dyDescent="0.2">
      <c r="BB589" s="1" t="s">
        <v>1471</v>
      </c>
      <c r="BC589" s="1" t="s">
        <v>883</v>
      </c>
    </row>
    <row r="590" spans="54:55" x14ac:dyDescent="0.2">
      <c r="BB590" s="1" t="s">
        <v>1472</v>
      </c>
      <c r="BC590" s="1" t="s">
        <v>883</v>
      </c>
    </row>
    <row r="591" spans="54:55" x14ac:dyDescent="0.2">
      <c r="BB591" s="1" t="s">
        <v>1473</v>
      </c>
      <c r="BC591" s="1" t="s">
        <v>878</v>
      </c>
    </row>
    <row r="592" spans="54:55" x14ac:dyDescent="0.2">
      <c r="BB592" s="1" t="s">
        <v>1474</v>
      </c>
      <c r="BC592" s="1" t="s">
        <v>878</v>
      </c>
    </row>
    <row r="593" spans="54:55" x14ac:dyDescent="0.2">
      <c r="BB593" s="1" t="s">
        <v>1475</v>
      </c>
      <c r="BC593" s="1" t="s">
        <v>878</v>
      </c>
    </row>
    <row r="594" spans="54:55" x14ac:dyDescent="0.2">
      <c r="BB594" s="1" t="s">
        <v>1476</v>
      </c>
      <c r="BC594" s="1" t="s">
        <v>878</v>
      </c>
    </row>
    <row r="595" spans="54:55" x14ac:dyDescent="0.2">
      <c r="BB595" s="1" t="s">
        <v>1477</v>
      </c>
      <c r="BC595" s="1" t="s">
        <v>1007</v>
      </c>
    </row>
    <row r="596" spans="54:55" x14ac:dyDescent="0.2">
      <c r="BB596" s="1" t="s">
        <v>1478</v>
      </c>
      <c r="BC596" s="1" t="s">
        <v>878</v>
      </c>
    </row>
    <row r="597" spans="54:55" x14ac:dyDescent="0.2">
      <c r="BB597" s="1" t="s">
        <v>1479</v>
      </c>
      <c r="BC597" s="1" t="s">
        <v>878</v>
      </c>
    </row>
    <row r="598" spans="54:55" x14ac:dyDescent="0.2">
      <c r="BB598" s="1" t="s">
        <v>1480</v>
      </c>
      <c r="BC598" s="1" t="s">
        <v>878</v>
      </c>
    </row>
    <row r="599" spans="54:55" x14ac:dyDescent="0.2">
      <c r="BB599" s="1" t="s">
        <v>1481</v>
      </c>
      <c r="BC599" s="1" t="s">
        <v>878</v>
      </c>
    </row>
    <row r="600" spans="54:55" x14ac:dyDescent="0.2">
      <c r="BB600" s="1" t="s">
        <v>1482</v>
      </c>
      <c r="BC600" s="1" t="s">
        <v>878</v>
      </c>
    </row>
    <row r="601" spans="54:55" x14ac:dyDescent="0.2">
      <c r="BB601" s="1" t="s">
        <v>1483</v>
      </c>
      <c r="BC601" s="1" t="s">
        <v>878</v>
      </c>
    </row>
    <row r="602" spans="54:55" x14ac:dyDescent="0.2">
      <c r="BB602" s="1" t="s">
        <v>1484</v>
      </c>
      <c r="BC602" s="1" t="s">
        <v>878</v>
      </c>
    </row>
    <row r="603" spans="54:55" x14ac:dyDescent="0.2">
      <c r="BB603" s="1" t="s">
        <v>1485</v>
      </c>
      <c r="BC603" s="1" t="s">
        <v>881</v>
      </c>
    </row>
    <row r="604" spans="54:55" x14ac:dyDescent="0.2">
      <c r="BB604" s="1" t="s">
        <v>1486</v>
      </c>
      <c r="BC604" s="1" t="s">
        <v>878</v>
      </c>
    </row>
    <row r="605" spans="54:55" x14ac:dyDescent="0.2">
      <c r="BB605" s="1" t="s">
        <v>1487</v>
      </c>
      <c r="BC605" s="1" t="s">
        <v>878</v>
      </c>
    </row>
    <row r="606" spans="54:55" x14ac:dyDescent="0.2">
      <c r="BB606" s="1" t="s">
        <v>1488</v>
      </c>
      <c r="BC606" s="1" t="s">
        <v>878</v>
      </c>
    </row>
    <row r="607" spans="54:55" x14ac:dyDescent="0.2">
      <c r="BB607" s="1" t="s">
        <v>1489</v>
      </c>
      <c r="BC607" s="1" t="s">
        <v>878</v>
      </c>
    </row>
    <row r="608" spans="54:55" x14ac:dyDescent="0.2">
      <c r="BB608" s="1" t="s">
        <v>1490</v>
      </c>
      <c r="BC608" s="1" t="s">
        <v>878</v>
      </c>
    </row>
    <row r="609" spans="54:55" x14ac:dyDescent="0.2">
      <c r="BB609" s="1" t="s">
        <v>1491</v>
      </c>
      <c r="BC609" s="1" t="s">
        <v>878</v>
      </c>
    </row>
    <row r="610" spans="54:55" x14ac:dyDescent="0.2">
      <c r="BB610" s="1" t="s">
        <v>1492</v>
      </c>
      <c r="BC610" s="1" t="s">
        <v>878</v>
      </c>
    </row>
    <row r="611" spans="54:55" x14ac:dyDescent="0.2">
      <c r="BB611" s="1" t="s">
        <v>1493</v>
      </c>
      <c r="BC611" s="1" t="s">
        <v>887</v>
      </c>
    </row>
    <row r="612" spans="54:55" x14ac:dyDescent="0.2">
      <c r="BB612" s="1" t="s">
        <v>1494</v>
      </c>
      <c r="BC612" s="1" t="s">
        <v>878</v>
      </c>
    </row>
    <row r="613" spans="54:55" x14ac:dyDescent="0.2">
      <c r="BB613" s="1" t="s">
        <v>1495</v>
      </c>
      <c r="BC613" s="1" t="s">
        <v>878</v>
      </c>
    </row>
    <row r="614" spans="54:55" x14ac:dyDescent="0.2">
      <c r="BB614" s="1" t="s">
        <v>1496</v>
      </c>
      <c r="BC614" s="1" t="s">
        <v>883</v>
      </c>
    </row>
    <row r="615" spans="54:55" x14ac:dyDescent="0.2">
      <c r="BB615" s="1" t="s">
        <v>1497</v>
      </c>
      <c r="BC615" s="1" t="s">
        <v>878</v>
      </c>
    </row>
    <row r="616" spans="54:55" x14ac:dyDescent="0.2">
      <c r="BB616" s="1" t="s">
        <v>1498</v>
      </c>
      <c r="BC616" s="1" t="s">
        <v>878</v>
      </c>
    </row>
    <row r="617" spans="54:55" x14ac:dyDescent="0.2">
      <c r="BB617" s="1" t="s">
        <v>1499</v>
      </c>
      <c r="BC617" s="1" t="s">
        <v>878</v>
      </c>
    </row>
    <row r="618" spans="54:55" x14ac:dyDescent="0.2">
      <c r="BB618" s="1" t="s">
        <v>1500</v>
      </c>
      <c r="BC618" s="1" t="s">
        <v>878</v>
      </c>
    </row>
    <row r="619" spans="54:55" x14ac:dyDescent="0.2">
      <c r="BB619" s="1" t="s">
        <v>1501</v>
      </c>
      <c r="BC619" s="1" t="s">
        <v>878</v>
      </c>
    </row>
    <row r="620" spans="54:55" x14ac:dyDescent="0.2">
      <c r="BB620" s="1" t="s">
        <v>1502</v>
      </c>
      <c r="BC620" s="1" t="s">
        <v>878</v>
      </c>
    </row>
    <row r="621" spans="54:55" x14ac:dyDescent="0.2">
      <c r="BB621" s="1" t="s">
        <v>1503</v>
      </c>
      <c r="BC621" s="1" t="s">
        <v>883</v>
      </c>
    </row>
    <row r="622" spans="54:55" x14ac:dyDescent="0.2">
      <c r="BB622" s="1" t="s">
        <v>1504</v>
      </c>
      <c r="BC622" s="1" t="s">
        <v>878</v>
      </c>
    </row>
    <row r="623" spans="54:55" x14ac:dyDescent="0.2">
      <c r="BB623" s="1" t="s">
        <v>1505</v>
      </c>
      <c r="BC623" s="1" t="s">
        <v>883</v>
      </c>
    </row>
    <row r="624" spans="54:55" x14ac:dyDescent="0.2">
      <c r="BB624" s="1" t="s">
        <v>1506</v>
      </c>
      <c r="BC624" s="1" t="s">
        <v>878</v>
      </c>
    </row>
    <row r="625" spans="54:55" x14ac:dyDescent="0.2">
      <c r="BB625" s="1" t="s">
        <v>1507</v>
      </c>
      <c r="BC625" s="1" t="s">
        <v>878</v>
      </c>
    </row>
    <row r="626" spans="54:55" x14ac:dyDescent="0.2">
      <c r="BB626" s="1" t="s">
        <v>1508</v>
      </c>
      <c r="BC626" s="1" t="s">
        <v>878</v>
      </c>
    </row>
    <row r="627" spans="54:55" x14ac:dyDescent="0.2">
      <c r="BB627" s="1" t="s">
        <v>1509</v>
      </c>
      <c r="BC627" s="1" t="s">
        <v>878</v>
      </c>
    </row>
    <row r="628" spans="54:55" x14ac:dyDescent="0.2">
      <c r="BB628" s="1" t="s">
        <v>1510</v>
      </c>
      <c r="BC628" s="1" t="s">
        <v>878</v>
      </c>
    </row>
    <row r="629" spans="54:55" x14ac:dyDescent="0.2">
      <c r="BB629" s="1" t="s">
        <v>1511</v>
      </c>
      <c r="BC629" s="1" t="s">
        <v>883</v>
      </c>
    </row>
    <row r="630" spans="54:55" x14ac:dyDescent="0.2">
      <c r="BB630" s="1" t="s">
        <v>1512</v>
      </c>
      <c r="BC630" s="1" t="s">
        <v>885</v>
      </c>
    </row>
    <row r="631" spans="54:55" x14ac:dyDescent="0.2">
      <c r="BB631" s="1" t="s">
        <v>1513</v>
      </c>
      <c r="BC631" s="1" t="s">
        <v>878</v>
      </c>
    </row>
    <row r="632" spans="54:55" x14ac:dyDescent="0.2">
      <c r="BB632" s="1" t="s">
        <v>1514</v>
      </c>
      <c r="BC632" s="1" t="s">
        <v>878</v>
      </c>
    </row>
    <row r="633" spans="54:55" x14ac:dyDescent="0.2">
      <c r="BB633" s="1" t="s">
        <v>1515</v>
      </c>
      <c r="BC633" s="1" t="s">
        <v>1039</v>
      </c>
    </row>
    <row r="634" spans="54:55" x14ac:dyDescent="0.2">
      <c r="BB634" s="1" t="s">
        <v>1516</v>
      </c>
      <c r="BC634" s="1" t="s">
        <v>878</v>
      </c>
    </row>
    <row r="635" spans="54:55" x14ac:dyDescent="0.2">
      <c r="BB635" s="1" t="s">
        <v>1517</v>
      </c>
      <c r="BC635" s="1" t="s">
        <v>887</v>
      </c>
    </row>
    <row r="636" spans="54:55" x14ac:dyDescent="0.2">
      <c r="BB636" s="1" t="s">
        <v>1518</v>
      </c>
      <c r="BC636" s="1" t="s">
        <v>883</v>
      </c>
    </row>
    <row r="637" spans="54:55" x14ac:dyDescent="0.2">
      <c r="BB637" s="1" t="s">
        <v>1519</v>
      </c>
      <c r="BC637" s="1" t="s">
        <v>878</v>
      </c>
    </row>
    <row r="638" spans="54:55" x14ac:dyDescent="0.2">
      <c r="BB638" s="1" t="s">
        <v>1520</v>
      </c>
      <c r="BC638" s="1" t="s">
        <v>878</v>
      </c>
    </row>
    <row r="639" spans="54:55" x14ac:dyDescent="0.2">
      <c r="BB639" s="1" t="s">
        <v>1521</v>
      </c>
      <c r="BC639" s="1" t="s">
        <v>878</v>
      </c>
    </row>
    <row r="640" spans="54:55" x14ac:dyDescent="0.2">
      <c r="BB640" s="1" t="s">
        <v>1522</v>
      </c>
      <c r="BC640" s="1" t="s">
        <v>878</v>
      </c>
    </row>
    <row r="641" spans="54:55" x14ac:dyDescent="0.2">
      <c r="BB641" s="1" t="s">
        <v>1523</v>
      </c>
      <c r="BC641" s="1" t="s">
        <v>878</v>
      </c>
    </row>
    <row r="642" spans="54:55" x14ac:dyDescent="0.2">
      <c r="BB642" s="1" t="s">
        <v>1524</v>
      </c>
      <c r="BC642" s="1" t="s">
        <v>878</v>
      </c>
    </row>
    <row r="643" spans="54:55" x14ac:dyDescent="0.2">
      <c r="BB643" s="1" t="s">
        <v>1525</v>
      </c>
      <c r="BC643" s="1" t="s">
        <v>885</v>
      </c>
    </row>
    <row r="644" spans="54:55" x14ac:dyDescent="0.2">
      <c r="BB644" s="1" t="s">
        <v>1526</v>
      </c>
      <c r="BC644" s="1" t="s">
        <v>885</v>
      </c>
    </row>
    <row r="645" spans="54:55" x14ac:dyDescent="0.2">
      <c r="BB645" s="1" t="s">
        <v>1527</v>
      </c>
      <c r="BC645" s="1" t="s">
        <v>885</v>
      </c>
    </row>
    <row r="646" spans="54:55" x14ac:dyDescent="0.2">
      <c r="BB646" s="1" t="s">
        <v>1528</v>
      </c>
      <c r="BC646" s="1" t="s">
        <v>893</v>
      </c>
    </row>
    <row r="647" spans="54:55" x14ac:dyDescent="0.2">
      <c r="BB647" s="1" t="s">
        <v>1529</v>
      </c>
      <c r="BC647" s="1" t="s">
        <v>878</v>
      </c>
    </row>
    <row r="648" spans="54:55" x14ac:dyDescent="0.2">
      <c r="BB648" s="1" t="s">
        <v>1530</v>
      </c>
      <c r="BC648" s="1" t="s">
        <v>887</v>
      </c>
    </row>
    <row r="649" spans="54:55" x14ac:dyDescent="0.2">
      <c r="BB649" s="1" t="s">
        <v>1531</v>
      </c>
      <c r="BC649" s="1" t="s">
        <v>878</v>
      </c>
    </row>
    <row r="650" spans="54:55" x14ac:dyDescent="0.2">
      <c r="BB650" s="1" t="s">
        <v>1532</v>
      </c>
      <c r="BC650" s="1" t="s">
        <v>878</v>
      </c>
    </row>
    <row r="651" spans="54:55" x14ac:dyDescent="0.2">
      <c r="BB651" s="1" t="s">
        <v>1533</v>
      </c>
      <c r="BC651" s="1" t="s">
        <v>885</v>
      </c>
    </row>
    <row r="652" spans="54:55" x14ac:dyDescent="0.2">
      <c r="BB652" s="1" t="s">
        <v>1534</v>
      </c>
      <c r="BC652" s="1" t="s">
        <v>881</v>
      </c>
    </row>
    <row r="653" spans="54:55" x14ac:dyDescent="0.2">
      <c r="BB653" s="1" t="s">
        <v>1535</v>
      </c>
      <c r="BC653" s="1" t="s">
        <v>878</v>
      </c>
    </row>
    <row r="654" spans="54:55" x14ac:dyDescent="0.2">
      <c r="BB654" s="1" t="s">
        <v>1536</v>
      </c>
      <c r="BC654" s="1" t="s">
        <v>878</v>
      </c>
    </row>
    <row r="655" spans="54:55" x14ac:dyDescent="0.2">
      <c r="BB655" s="1" t="s">
        <v>1537</v>
      </c>
      <c r="BC655" s="1" t="s">
        <v>878</v>
      </c>
    </row>
    <row r="656" spans="54:55" x14ac:dyDescent="0.2">
      <c r="BB656" s="1" t="s">
        <v>1538</v>
      </c>
      <c r="BC656" s="1" t="s">
        <v>878</v>
      </c>
    </row>
    <row r="657" spans="54:55" x14ac:dyDescent="0.2">
      <c r="BB657" s="1" t="s">
        <v>1539</v>
      </c>
      <c r="BC657" s="1" t="s">
        <v>878</v>
      </c>
    </row>
    <row r="658" spans="54:55" x14ac:dyDescent="0.2">
      <c r="BB658" s="1" t="s">
        <v>1540</v>
      </c>
      <c r="BC658" s="1" t="s">
        <v>881</v>
      </c>
    </row>
    <row r="659" spans="54:55" x14ac:dyDescent="0.2">
      <c r="BB659" s="1" t="s">
        <v>1541</v>
      </c>
      <c r="BC659" s="1" t="s">
        <v>883</v>
      </c>
    </row>
    <row r="660" spans="54:55" x14ac:dyDescent="0.2">
      <c r="BB660" s="1" t="s">
        <v>1542</v>
      </c>
      <c r="BC660" s="1" t="s">
        <v>878</v>
      </c>
    </row>
    <row r="661" spans="54:55" x14ac:dyDescent="0.2">
      <c r="BB661" s="1" t="s">
        <v>1543</v>
      </c>
      <c r="BC661" s="1" t="s">
        <v>895</v>
      </c>
    </row>
    <row r="662" spans="54:55" x14ac:dyDescent="0.2">
      <c r="BB662" s="1" t="s">
        <v>1544</v>
      </c>
      <c r="BC662" s="1" t="s">
        <v>883</v>
      </c>
    </row>
    <row r="663" spans="54:55" x14ac:dyDescent="0.2">
      <c r="BB663" s="1" t="s">
        <v>1545</v>
      </c>
      <c r="BC663" s="1" t="s">
        <v>887</v>
      </c>
    </row>
    <row r="664" spans="54:55" x14ac:dyDescent="0.2">
      <c r="BB664" s="1" t="s">
        <v>1546</v>
      </c>
      <c r="BC664" s="1" t="s">
        <v>878</v>
      </c>
    </row>
    <row r="665" spans="54:55" x14ac:dyDescent="0.2">
      <c r="BB665" s="1" t="s">
        <v>1547</v>
      </c>
      <c r="BC665" s="1" t="s">
        <v>878</v>
      </c>
    </row>
    <row r="666" spans="54:55" x14ac:dyDescent="0.2">
      <c r="BB666" s="1" t="s">
        <v>1548</v>
      </c>
      <c r="BC666" s="1" t="s">
        <v>878</v>
      </c>
    </row>
    <row r="667" spans="54:55" x14ac:dyDescent="0.2">
      <c r="BB667" s="1" t="s">
        <v>1549</v>
      </c>
      <c r="BC667" s="1" t="s">
        <v>878</v>
      </c>
    </row>
    <row r="668" spans="54:55" x14ac:dyDescent="0.2">
      <c r="BB668" s="1" t="s">
        <v>1550</v>
      </c>
      <c r="BC668" s="1" t="s">
        <v>878</v>
      </c>
    </row>
    <row r="669" spans="54:55" x14ac:dyDescent="0.2">
      <c r="BB669" s="1" t="s">
        <v>1551</v>
      </c>
      <c r="BC669" s="1" t="s">
        <v>878</v>
      </c>
    </row>
    <row r="670" spans="54:55" x14ac:dyDescent="0.2">
      <c r="BB670" s="1" t="s">
        <v>1552</v>
      </c>
      <c r="BC670" s="1" t="s">
        <v>878</v>
      </c>
    </row>
    <row r="671" spans="54:55" x14ac:dyDescent="0.2">
      <c r="BB671" s="1" t="s">
        <v>1553</v>
      </c>
      <c r="BC671" s="1" t="s">
        <v>887</v>
      </c>
    </row>
    <row r="672" spans="54:55" x14ac:dyDescent="0.2">
      <c r="BB672" s="1" t="s">
        <v>1554</v>
      </c>
      <c r="BC672" s="1" t="s">
        <v>878</v>
      </c>
    </row>
    <row r="673" spans="54:55" x14ac:dyDescent="0.2">
      <c r="BB673" s="1" t="s">
        <v>1555</v>
      </c>
      <c r="BC673" s="1" t="s">
        <v>878</v>
      </c>
    </row>
    <row r="674" spans="54:55" x14ac:dyDescent="0.2">
      <c r="BB674" s="1" t="s">
        <v>1556</v>
      </c>
      <c r="BC674" s="1" t="s">
        <v>878</v>
      </c>
    </row>
    <row r="675" spans="54:55" x14ac:dyDescent="0.2">
      <c r="BB675" s="1" t="s">
        <v>1557</v>
      </c>
      <c r="BC675" s="1" t="s">
        <v>878</v>
      </c>
    </row>
    <row r="676" spans="54:55" x14ac:dyDescent="0.2">
      <c r="BB676" s="1" t="s">
        <v>1558</v>
      </c>
      <c r="BC676" s="1" t="s">
        <v>878</v>
      </c>
    </row>
    <row r="677" spans="54:55" x14ac:dyDescent="0.2">
      <c r="BB677" s="1" t="s">
        <v>1559</v>
      </c>
      <c r="BC677" s="1" t="s">
        <v>878</v>
      </c>
    </row>
    <row r="678" spans="54:55" x14ac:dyDescent="0.2">
      <c r="BB678" s="1" t="s">
        <v>1560</v>
      </c>
      <c r="BC678" s="1" t="s">
        <v>887</v>
      </c>
    </row>
    <row r="679" spans="54:55" x14ac:dyDescent="0.2">
      <c r="BB679" s="1" t="s">
        <v>1561</v>
      </c>
      <c r="BC679" s="1" t="s">
        <v>883</v>
      </c>
    </row>
    <row r="680" spans="54:55" x14ac:dyDescent="0.2">
      <c r="BB680" s="1" t="s">
        <v>1562</v>
      </c>
      <c r="BC680" s="1" t="s">
        <v>883</v>
      </c>
    </row>
    <row r="681" spans="54:55" x14ac:dyDescent="0.2">
      <c r="BB681" s="1" t="s">
        <v>1563</v>
      </c>
      <c r="BC681" s="1" t="s">
        <v>878</v>
      </c>
    </row>
    <row r="682" spans="54:55" x14ac:dyDescent="0.2">
      <c r="BB682" s="1" t="s">
        <v>1564</v>
      </c>
      <c r="BC682" s="1" t="s">
        <v>883</v>
      </c>
    </row>
    <row r="683" spans="54:55" x14ac:dyDescent="0.2">
      <c r="BB683" s="1" t="s">
        <v>1565</v>
      </c>
      <c r="BC683" s="1" t="s">
        <v>1007</v>
      </c>
    </row>
    <row r="684" spans="54:55" x14ac:dyDescent="0.2">
      <c r="BB684" s="1" t="s">
        <v>1566</v>
      </c>
      <c r="BC684" s="1" t="s">
        <v>887</v>
      </c>
    </row>
    <row r="685" spans="54:55" x14ac:dyDescent="0.2">
      <c r="BB685" s="1" t="s">
        <v>1567</v>
      </c>
      <c r="BC685" s="1" t="s">
        <v>887</v>
      </c>
    </row>
    <row r="686" spans="54:55" x14ac:dyDescent="0.2">
      <c r="BB686" s="1" t="s">
        <v>1568</v>
      </c>
      <c r="BC686" s="1" t="s">
        <v>887</v>
      </c>
    </row>
    <row r="687" spans="54:55" x14ac:dyDescent="0.2">
      <c r="BB687" s="1" t="s">
        <v>1569</v>
      </c>
      <c r="BC687" s="1" t="s">
        <v>887</v>
      </c>
    </row>
    <row r="688" spans="54:55" x14ac:dyDescent="0.2">
      <c r="BB688" s="1" t="s">
        <v>1570</v>
      </c>
      <c r="BC688" s="1" t="s">
        <v>887</v>
      </c>
    </row>
    <row r="689" spans="54:55" x14ac:dyDescent="0.2">
      <c r="BB689" s="1" t="s">
        <v>1571</v>
      </c>
      <c r="BC689" s="1" t="s">
        <v>887</v>
      </c>
    </row>
    <row r="690" spans="54:55" x14ac:dyDescent="0.2">
      <c r="BB690" s="1" t="s">
        <v>1572</v>
      </c>
      <c r="BC690" s="1" t="s">
        <v>887</v>
      </c>
    </row>
    <row r="691" spans="54:55" x14ac:dyDescent="0.2">
      <c r="BB691" s="1" t="s">
        <v>1573</v>
      </c>
      <c r="BC691" s="1" t="s">
        <v>887</v>
      </c>
    </row>
    <row r="692" spans="54:55" x14ac:dyDescent="0.2">
      <c r="BB692" s="1" t="s">
        <v>1574</v>
      </c>
      <c r="BC692" s="1" t="s">
        <v>887</v>
      </c>
    </row>
    <row r="693" spans="54:55" x14ac:dyDescent="0.2">
      <c r="BB693" s="1" t="s">
        <v>1575</v>
      </c>
      <c r="BC693" s="1" t="s">
        <v>885</v>
      </c>
    </row>
    <row r="694" spans="54:55" x14ac:dyDescent="0.2">
      <c r="BB694" s="1" t="s">
        <v>1576</v>
      </c>
      <c r="BC694" s="1" t="s">
        <v>878</v>
      </c>
    </row>
    <row r="695" spans="54:55" x14ac:dyDescent="0.2">
      <c r="BB695" s="1" t="s">
        <v>1577</v>
      </c>
      <c r="BC695" s="1" t="s">
        <v>885</v>
      </c>
    </row>
    <row r="696" spans="54:55" x14ac:dyDescent="0.2">
      <c r="BB696" s="1" t="s">
        <v>1578</v>
      </c>
      <c r="BC696" s="1" t="s">
        <v>893</v>
      </c>
    </row>
    <row r="697" spans="54:55" x14ac:dyDescent="0.2">
      <c r="BB697" s="1" t="s">
        <v>1579</v>
      </c>
      <c r="BC697" s="1" t="s">
        <v>878</v>
      </c>
    </row>
    <row r="698" spans="54:55" x14ac:dyDescent="0.2">
      <c r="BB698" s="1" t="s">
        <v>1580</v>
      </c>
      <c r="BC698" s="1" t="s">
        <v>883</v>
      </c>
    </row>
    <row r="699" spans="54:55" x14ac:dyDescent="0.2">
      <c r="BB699" s="1" t="s">
        <v>1581</v>
      </c>
      <c r="BC699" s="1" t="s">
        <v>878</v>
      </c>
    </row>
    <row r="700" spans="54:55" x14ac:dyDescent="0.2">
      <c r="BB700" s="1" t="s">
        <v>1582</v>
      </c>
      <c r="BC700" s="1" t="s">
        <v>883</v>
      </c>
    </row>
    <row r="701" spans="54:55" x14ac:dyDescent="0.2">
      <c r="BB701" s="1" t="s">
        <v>1583</v>
      </c>
      <c r="BC701" s="1" t="s">
        <v>885</v>
      </c>
    </row>
    <row r="702" spans="54:55" x14ac:dyDescent="0.2">
      <c r="BB702" s="1" t="s">
        <v>1584</v>
      </c>
      <c r="BC702" s="1" t="s">
        <v>878</v>
      </c>
    </row>
    <row r="703" spans="54:55" x14ac:dyDescent="0.2">
      <c r="BB703" s="1" t="s">
        <v>1585</v>
      </c>
      <c r="BC703" s="1" t="s">
        <v>893</v>
      </c>
    </row>
    <row r="704" spans="54:55" x14ac:dyDescent="0.2">
      <c r="BB704" s="1" t="s">
        <v>1586</v>
      </c>
      <c r="BC704" s="1" t="s">
        <v>893</v>
      </c>
    </row>
    <row r="705" spans="54:55" x14ac:dyDescent="0.2">
      <c r="BB705" s="1" t="s">
        <v>1587</v>
      </c>
      <c r="BC705" s="1" t="s">
        <v>887</v>
      </c>
    </row>
    <row r="706" spans="54:55" x14ac:dyDescent="0.2">
      <c r="BB706" s="1" t="s">
        <v>1588</v>
      </c>
      <c r="BC706" s="1" t="s">
        <v>883</v>
      </c>
    </row>
    <row r="707" spans="54:55" x14ac:dyDescent="0.2">
      <c r="BB707" s="1" t="s">
        <v>1589</v>
      </c>
      <c r="BC707" s="1" t="s">
        <v>881</v>
      </c>
    </row>
    <row r="708" spans="54:55" x14ac:dyDescent="0.2">
      <c r="BB708" s="1" t="s">
        <v>1590</v>
      </c>
      <c r="BC708" s="1" t="s">
        <v>893</v>
      </c>
    </row>
    <row r="709" spans="54:55" x14ac:dyDescent="0.2">
      <c r="BB709" s="1" t="s">
        <v>1590</v>
      </c>
      <c r="BC709" s="1" t="s">
        <v>887</v>
      </c>
    </row>
    <row r="710" spans="54:55" x14ac:dyDescent="0.2">
      <c r="BB710" s="1" t="s">
        <v>1591</v>
      </c>
      <c r="BC710" s="1" t="s">
        <v>893</v>
      </c>
    </row>
    <row r="711" spans="54:55" x14ac:dyDescent="0.2">
      <c r="BB711" s="1" t="s">
        <v>1592</v>
      </c>
      <c r="BC711" s="1" t="s">
        <v>878</v>
      </c>
    </row>
    <row r="712" spans="54:55" x14ac:dyDescent="0.2">
      <c r="BB712" s="1" t="s">
        <v>1593</v>
      </c>
      <c r="BC712" s="1" t="s">
        <v>881</v>
      </c>
    </row>
    <row r="713" spans="54:55" x14ac:dyDescent="0.2">
      <c r="BB713" s="1" t="s">
        <v>1594</v>
      </c>
      <c r="BC713" s="1" t="s">
        <v>878</v>
      </c>
    </row>
    <row r="714" spans="54:55" x14ac:dyDescent="0.2">
      <c r="BB714" s="1" t="s">
        <v>1595</v>
      </c>
      <c r="BC714" s="1" t="s">
        <v>887</v>
      </c>
    </row>
    <row r="715" spans="54:55" x14ac:dyDescent="0.2">
      <c r="BB715" s="1" t="s">
        <v>1596</v>
      </c>
      <c r="BC715" s="1" t="s">
        <v>881</v>
      </c>
    </row>
    <row r="716" spans="54:55" x14ac:dyDescent="0.2">
      <c r="BB716" s="1" t="s">
        <v>1597</v>
      </c>
      <c r="BC716" s="1" t="s">
        <v>878</v>
      </c>
    </row>
    <row r="717" spans="54:55" x14ac:dyDescent="0.2">
      <c r="BB717" s="1" t="s">
        <v>1598</v>
      </c>
      <c r="BC717" s="1" t="s">
        <v>887</v>
      </c>
    </row>
    <row r="718" spans="54:55" x14ac:dyDescent="0.2">
      <c r="BB718" s="1" t="s">
        <v>1599</v>
      </c>
      <c r="BC718" s="1" t="s">
        <v>878</v>
      </c>
    </row>
    <row r="719" spans="54:55" x14ac:dyDescent="0.2">
      <c r="BB719" s="1" t="s">
        <v>1600</v>
      </c>
      <c r="BC719" s="1" t="s">
        <v>878</v>
      </c>
    </row>
    <row r="720" spans="54:55" x14ac:dyDescent="0.2">
      <c r="BB720" s="1" t="s">
        <v>1601</v>
      </c>
      <c r="BC720" s="1" t="s">
        <v>878</v>
      </c>
    </row>
    <row r="721" spans="54:55" x14ac:dyDescent="0.2">
      <c r="BB721" s="1" t="s">
        <v>1602</v>
      </c>
      <c r="BC721" s="1" t="s">
        <v>885</v>
      </c>
    </row>
    <row r="722" spans="54:55" x14ac:dyDescent="0.2">
      <c r="BB722" s="1" t="s">
        <v>1603</v>
      </c>
      <c r="BC722" s="1" t="s">
        <v>878</v>
      </c>
    </row>
    <row r="723" spans="54:55" x14ac:dyDescent="0.2">
      <c r="BB723" s="1" t="s">
        <v>1604</v>
      </c>
      <c r="BC723" s="1" t="s">
        <v>878</v>
      </c>
    </row>
    <row r="724" spans="54:55" x14ac:dyDescent="0.2">
      <c r="BB724" s="1" t="s">
        <v>1605</v>
      </c>
      <c r="BC724" s="1" t="s">
        <v>887</v>
      </c>
    </row>
    <row r="725" spans="54:55" x14ac:dyDescent="0.2">
      <c r="BB725" s="1" t="s">
        <v>1606</v>
      </c>
      <c r="BC725" s="1" t="s">
        <v>883</v>
      </c>
    </row>
    <row r="726" spans="54:55" x14ac:dyDescent="0.2">
      <c r="BB726" s="1" t="s">
        <v>1607</v>
      </c>
      <c r="BC726" s="1" t="s">
        <v>878</v>
      </c>
    </row>
    <row r="727" spans="54:55" x14ac:dyDescent="0.2">
      <c r="BB727" s="1" t="s">
        <v>1608</v>
      </c>
      <c r="BC727" s="1" t="s">
        <v>893</v>
      </c>
    </row>
    <row r="728" spans="54:55" x14ac:dyDescent="0.2">
      <c r="BB728" s="1" t="s">
        <v>1609</v>
      </c>
      <c r="BC728" s="1" t="s">
        <v>1007</v>
      </c>
    </row>
    <row r="729" spans="54:55" x14ac:dyDescent="0.2">
      <c r="BB729" s="1" t="s">
        <v>1610</v>
      </c>
      <c r="BC729" s="1" t="s">
        <v>895</v>
      </c>
    </row>
    <row r="730" spans="54:55" x14ac:dyDescent="0.2">
      <c r="BB730" s="1" t="s">
        <v>1611</v>
      </c>
      <c r="BC730" s="1" t="s">
        <v>881</v>
      </c>
    </row>
    <row r="731" spans="54:55" x14ac:dyDescent="0.2">
      <c r="BB731" s="1" t="s">
        <v>1612</v>
      </c>
      <c r="BC731" s="1" t="s">
        <v>878</v>
      </c>
    </row>
    <row r="732" spans="54:55" x14ac:dyDescent="0.2">
      <c r="BB732" s="1" t="s">
        <v>1613</v>
      </c>
      <c r="BC732" s="1" t="s">
        <v>878</v>
      </c>
    </row>
    <row r="733" spans="54:55" x14ac:dyDescent="0.2">
      <c r="BB733" s="1" t="s">
        <v>1614</v>
      </c>
      <c r="BC733" s="1" t="s">
        <v>883</v>
      </c>
    </row>
    <row r="734" spans="54:55" x14ac:dyDescent="0.2">
      <c r="BB734" s="1" t="s">
        <v>1615</v>
      </c>
      <c r="BC734" s="1" t="s">
        <v>887</v>
      </c>
    </row>
    <row r="735" spans="54:55" x14ac:dyDescent="0.2">
      <c r="BB735" s="1" t="s">
        <v>1616</v>
      </c>
      <c r="BC735" s="1" t="s">
        <v>883</v>
      </c>
    </row>
    <row r="736" spans="54:55" x14ac:dyDescent="0.2">
      <c r="BB736" s="1" t="s">
        <v>1617</v>
      </c>
      <c r="BC736" s="1" t="s">
        <v>878</v>
      </c>
    </row>
    <row r="737" spans="54:55" x14ac:dyDescent="0.2">
      <c r="BB737" s="1" t="s">
        <v>1618</v>
      </c>
      <c r="BC737" s="1" t="s">
        <v>881</v>
      </c>
    </row>
    <row r="738" spans="54:55" x14ac:dyDescent="0.2">
      <c r="BB738" s="1" t="s">
        <v>1619</v>
      </c>
      <c r="BC738" s="1" t="s">
        <v>883</v>
      </c>
    </row>
    <row r="739" spans="54:55" x14ac:dyDescent="0.2">
      <c r="BB739" s="1" t="s">
        <v>1620</v>
      </c>
      <c r="BC739" s="1" t="s">
        <v>878</v>
      </c>
    </row>
    <row r="740" spans="54:55" x14ac:dyDescent="0.2">
      <c r="BB740" s="1" t="s">
        <v>1621</v>
      </c>
      <c r="BC740" s="1" t="s">
        <v>883</v>
      </c>
    </row>
    <row r="741" spans="54:55" x14ac:dyDescent="0.2">
      <c r="BB741" s="1" t="s">
        <v>1622</v>
      </c>
      <c r="BC741" s="1" t="s">
        <v>878</v>
      </c>
    </row>
    <row r="742" spans="54:55" x14ac:dyDescent="0.2">
      <c r="BB742" s="1" t="s">
        <v>1623</v>
      </c>
      <c r="BC742" s="1" t="s">
        <v>883</v>
      </c>
    </row>
    <row r="743" spans="54:55" x14ac:dyDescent="0.2">
      <c r="BB743" s="1" t="s">
        <v>1624</v>
      </c>
      <c r="BC743" s="1" t="s">
        <v>893</v>
      </c>
    </row>
    <row r="744" spans="54:55" x14ac:dyDescent="0.2">
      <c r="BB744" s="1" t="s">
        <v>1625</v>
      </c>
      <c r="BC744" s="1" t="s">
        <v>887</v>
      </c>
    </row>
    <row r="745" spans="54:55" x14ac:dyDescent="0.2">
      <c r="BB745" s="1" t="s">
        <v>1626</v>
      </c>
      <c r="BC745" s="1" t="s">
        <v>881</v>
      </c>
    </row>
    <row r="746" spans="54:55" x14ac:dyDescent="0.2">
      <c r="BB746" s="1" t="s">
        <v>1627</v>
      </c>
      <c r="BC746" s="1" t="s">
        <v>883</v>
      </c>
    </row>
    <row r="747" spans="54:55" x14ac:dyDescent="0.2">
      <c r="BB747" s="1" t="s">
        <v>1628</v>
      </c>
      <c r="BC747" s="1" t="s">
        <v>878</v>
      </c>
    </row>
    <row r="748" spans="54:55" x14ac:dyDescent="0.2">
      <c r="BB748" s="1" t="s">
        <v>1629</v>
      </c>
      <c r="BC748" s="1" t="s">
        <v>878</v>
      </c>
    </row>
    <row r="749" spans="54:55" x14ac:dyDescent="0.2">
      <c r="BB749" s="1" t="s">
        <v>1630</v>
      </c>
      <c r="BC749" s="1" t="s">
        <v>893</v>
      </c>
    </row>
    <row r="750" spans="54:55" x14ac:dyDescent="0.2">
      <c r="BB750" s="1" t="s">
        <v>1631</v>
      </c>
      <c r="BC750" s="1" t="s">
        <v>878</v>
      </c>
    </row>
    <row r="751" spans="54:55" x14ac:dyDescent="0.2">
      <c r="BB751" s="1" t="s">
        <v>1632</v>
      </c>
      <c r="BC751" s="1" t="s">
        <v>887</v>
      </c>
    </row>
    <row r="752" spans="54:55" x14ac:dyDescent="0.2">
      <c r="BB752" s="1" t="s">
        <v>1633</v>
      </c>
      <c r="BC752" s="1" t="s">
        <v>893</v>
      </c>
    </row>
    <row r="753" spans="54:55" x14ac:dyDescent="0.2">
      <c r="BB753" s="1" t="s">
        <v>1634</v>
      </c>
      <c r="BC753" s="1" t="s">
        <v>887</v>
      </c>
    </row>
    <row r="754" spans="54:55" x14ac:dyDescent="0.2">
      <c r="BB754" s="1" t="s">
        <v>1635</v>
      </c>
      <c r="BC754" s="1" t="s">
        <v>893</v>
      </c>
    </row>
    <row r="755" spans="54:55" x14ac:dyDescent="0.2">
      <c r="BB755" s="1" t="s">
        <v>1636</v>
      </c>
      <c r="BC755" s="1" t="s">
        <v>878</v>
      </c>
    </row>
    <row r="756" spans="54:55" x14ac:dyDescent="0.2">
      <c r="BB756" s="1" t="s">
        <v>1637</v>
      </c>
      <c r="BC756" s="1" t="s">
        <v>878</v>
      </c>
    </row>
    <row r="757" spans="54:55" x14ac:dyDescent="0.2">
      <c r="BB757" s="1" t="s">
        <v>1638</v>
      </c>
      <c r="BC757" s="1" t="s">
        <v>893</v>
      </c>
    </row>
    <row r="758" spans="54:55" x14ac:dyDescent="0.2">
      <c r="BB758" s="1" t="s">
        <v>1639</v>
      </c>
      <c r="BC758" s="1" t="s">
        <v>887</v>
      </c>
    </row>
    <row r="759" spans="54:55" x14ac:dyDescent="0.2">
      <c r="BB759" s="1" t="s">
        <v>1640</v>
      </c>
      <c r="BC759" s="1" t="s">
        <v>881</v>
      </c>
    </row>
    <row r="760" spans="54:55" x14ac:dyDescent="0.2">
      <c r="BB760" s="1" t="s">
        <v>1641</v>
      </c>
      <c r="BC760" s="1" t="s">
        <v>878</v>
      </c>
    </row>
    <row r="761" spans="54:55" x14ac:dyDescent="0.2">
      <c r="BB761" s="1" t="s">
        <v>1642</v>
      </c>
      <c r="BC761" s="1" t="s">
        <v>883</v>
      </c>
    </row>
    <row r="762" spans="54:55" x14ac:dyDescent="0.2">
      <c r="BB762" s="1" t="s">
        <v>1643</v>
      </c>
      <c r="BC762" s="1" t="s">
        <v>1007</v>
      </c>
    </row>
    <row r="763" spans="54:55" x14ac:dyDescent="0.2">
      <c r="BB763" s="1" t="s">
        <v>1644</v>
      </c>
      <c r="BC763" s="1" t="s">
        <v>878</v>
      </c>
    </row>
    <row r="764" spans="54:55" x14ac:dyDescent="0.2">
      <c r="BB764" s="1" t="s">
        <v>1645</v>
      </c>
      <c r="BC764" s="1" t="s">
        <v>878</v>
      </c>
    </row>
    <row r="765" spans="54:55" x14ac:dyDescent="0.2">
      <c r="BB765" s="1" t="s">
        <v>1646</v>
      </c>
      <c r="BC765" s="1" t="s">
        <v>893</v>
      </c>
    </row>
    <row r="766" spans="54:55" x14ac:dyDescent="0.2">
      <c r="BB766" s="1" t="s">
        <v>1647</v>
      </c>
      <c r="BC766" s="1" t="s">
        <v>883</v>
      </c>
    </row>
    <row r="767" spans="54:55" x14ac:dyDescent="0.2">
      <c r="BB767" s="1" t="s">
        <v>1648</v>
      </c>
      <c r="BC767" s="1" t="s">
        <v>881</v>
      </c>
    </row>
    <row r="768" spans="54:55" x14ac:dyDescent="0.2">
      <c r="BB768" s="1" t="s">
        <v>1649</v>
      </c>
      <c r="BC768" s="1" t="s">
        <v>878</v>
      </c>
    </row>
    <row r="769" spans="54:55" x14ac:dyDescent="0.2">
      <c r="BB769" s="1" t="s">
        <v>1650</v>
      </c>
      <c r="BC769" s="1" t="s">
        <v>878</v>
      </c>
    </row>
    <row r="770" spans="54:55" x14ac:dyDescent="0.2">
      <c r="BB770" s="1" t="s">
        <v>1651</v>
      </c>
      <c r="BC770" s="1" t="s">
        <v>893</v>
      </c>
    </row>
    <row r="771" spans="54:55" x14ac:dyDescent="0.2">
      <c r="BB771" s="1" t="s">
        <v>1652</v>
      </c>
      <c r="BC771" s="1" t="s">
        <v>878</v>
      </c>
    </row>
    <row r="772" spans="54:55" x14ac:dyDescent="0.2">
      <c r="BB772" s="1" t="s">
        <v>1653</v>
      </c>
      <c r="BC772" s="1" t="s">
        <v>881</v>
      </c>
    </row>
    <row r="773" spans="54:55" x14ac:dyDescent="0.2">
      <c r="BB773" s="1" t="s">
        <v>1654</v>
      </c>
      <c r="BC773" s="1" t="s">
        <v>887</v>
      </c>
    </row>
    <row r="774" spans="54:55" x14ac:dyDescent="0.2">
      <c r="BB774" s="1" t="s">
        <v>1655</v>
      </c>
      <c r="BC774" s="1" t="s">
        <v>878</v>
      </c>
    </row>
    <row r="775" spans="54:55" x14ac:dyDescent="0.2">
      <c r="BB775" s="1" t="s">
        <v>1656</v>
      </c>
      <c r="BC775" s="1" t="s">
        <v>878</v>
      </c>
    </row>
    <row r="776" spans="54:55" x14ac:dyDescent="0.2">
      <c r="BB776" s="1" t="s">
        <v>1657</v>
      </c>
      <c r="BC776" s="1" t="s">
        <v>887</v>
      </c>
    </row>
    <row r="777" spans="54:55" x14ac:dyDescent="0.2">
      <c r="BB777" s="1" t="s">
        <v>1658</v>
      </c>
      <c r="BC777" s="1" t="s">
        <v>878</v>
      </c>
    </row>
    <row r="778" spans="54:55" x14ac:dyDescent="0.2">
      <c r="BB778" s="1" t="s">
        <v>1659</v>
      </c>
      <c r="BC778" s="1" t="s">
        <v>878</v>
      </c>
    </row>
    <row r="779" spans="54:55" x14ac:dyDescent="0.2">
      <c r="BB779" s="1" t="s">
        <v>1660</v>
      </c>
      <c r="BC779" s="1" t="s">
        <v>878</v>
      </c>
    </row>
    <row r="780" spans="54:55" x14ac:dyDescent="0.2">
      <c r="BB780" s="1" t="s">
        <v>1661</v>
      </c>
      <c r="BC780" s="1" t="s">
        <v>878</v>
      </c>
    </row>
    <row r="781" spans="54:55" x14ac:dyDescent="0.2">
      <c r="BB781" s="1" t="s">
        <v>1662</v>
      </c>
      <c r="BC781" s="1" t="s">
        <v>878</v>
      </c>
    </row>
    <row r="782" spans="54:55" x14ac:dyDescent="0.2">
      <c r="BB782" s="1" t="s">
        <v>1663</v>
      </c>
      <c r="BC782" s="1" t="s">
        <v>878</v>
      </c>
    </row>
    <row r="783" spans="54:55" x14ac:dyDescent="0.2">
      <c r="BB783" s="1" t="s">
        <v>1664</v>
      </c>
      <c r="BC783" s="1" t="s">
        <v>878</v>
      </c>
    </row>
    <row r="784" spans="54:55" x14ac:dyDescent="0.2">
      <c r="BB784" s="1" t="s">
        <v>1665</v>
      </c>
      <c r="BC784" s="1" t="s">
        <v>878</v>
      </c>
    </row>
    <row r="785" spans="54:55" x14ac:dyDescent="0.2">
      <c r="BB785" s="1" t="s">
        <v>1666</v>
      </c>
      <c r="BC785" s="1" t="s">
        <v>878</v>
      </c>
    </row>
    <row r="786" spans="54:55" x14ac:dyDescent="0.2">
      <c r="BB786" s="1" t="s">
        <v>1667</v>
      </c>
      <c r="BC786" s="1" t="s">
        <v>878</v>
      </c>
    </row>
    <row r="787" spans="54:55" x14ac:dyDescent="0.2">
      <c r="BB787" s="1" t="s">
        <v>1668</v>
      </c>
      <c r="BC787" s="1" t="s">
        <v>878</v>
      </c>
    </row>
    <row r="788" spans="54:55" x14ac:dyDescent="0.2">
      <c r="BB788" s="1" t="s">
        <v>1669</v>
      </c>
      <c r="BC788" s="1" t="s">
        <v>878</v>
      </c>
    </row>
    <row r="789" spans="54:55" x14ac:dyDescent="0.2">
      <c r="BB789" s="1" t="s">
        <v>1670</v>
      </c>
      <c r="BC789" s="1" t="s">
        <v>878</v>
      </c>
    </row>
    <row r="790" spans="54:55" x14ac:dyDescent="0.2">
      <c r="BB790" s="1" t="s">
        <v>1671</v>
      </c>
      <c r="BC790" s="1" t="s">
        <v>878</v>
      </c>
    </row>
    <row r="791" spans="54:55" x14ac:dyDescent="0.2">
      <c r="BB791" s="1" t="s">
        <v>1672</v>
      </c>
      <c r="BC791" s="1" t="s">
        <v>878</v>
      </c>
    </row>
    <row r="792" spans="54:55" x14ac:dyDescent="0.2">
      <c r="BB792" s="1" t="s">
        <v>1673</v>
      </c>
      <c r="BC792" s="1" t="s">
        <v>878</v>
      </c>
    </row>
    <row r="793" spans="54:55" x14ac:dyDescent="0.2">
      <c r="BB793" s="1" t="s">
        <v>1674</v>
      </c>
      <c r="BC793" s="1" t="s">
        <v>878</v>
      </c>
    </row>
    <row r="794" spans="54:55" x14ac:dyDescent="0.2">
      <c r="BB794" s="1" t="s">
        <v>1675</v>
      </c>
      <c r="BC794" s="1" t="s">
        <v>878</v>
      </c>
    </row>
    <row r="795" spans="54:55" x14ac:dyDescent="0.2">
      <c r="BB795" s="1" t="s">
        <v>1676</v>
      </c>
      <c r="BC795" s="1" t="s">
        <v>885</v>
      </c>
    </row>
    <row r="796" spans="54:55" x14ac:dyDescent="0.2">
      <c r="BB796" s="1" t="s">
        <v>1677</v>
      </c>
      <c r="BC796" s="1" t="s">
        <v>878</v>
      </c>
    </row>
    <row r="797" spans="54:55" x14ac:dyDescent="0.2">
      <c r="BB797" s="1" t="s">
        <v>1678</v>
      </c>
      <c r="BC797" s="1" t="s">
        <v>887</v>
      </c>
    </row>
    <row r="798" spans="54:55" x14ac:dyDescent="0.2">
      <c r="BB798" s="1" t="s">
        <v>1679</v>
      </c>
      <c r="BC798" s="1" t="s">
        <v>883</v>
      </c>
    </row>
    <row r="799" spans="54:55" x14ac:dyDescent="0.2">
      <c r="BB799" s="1" t="s">
        <v>1680</v>
      </c>
      <c r="BC799" s="1" t="s">
        <v>883</v>
      </c>
    </row>
    <row r="800" spans="54:55" x14ac:dyDescent="0.2">
      <c r="BB800" s="1" t="s">
        <v>1681</v>
      </c>
      <c r="BC800" s="1" t="s">
        <v>878</v>
      </c>
    </row>
    <row r="801" spans="54:55" x14ac:dyDescent="0.2">
      <c r="BB801" s="1" t="s">
        <v>1682</v>
      </c>
      <c r="BC801" s="1" t="s">
        <v>878</v>
      </c>
    </row>
    <row r="802" spans="54:55" x14ac:dyDescent="0.2">
      <c r="BB802" s="1" t="s">
        <v>1683</v>
      </c>
      <c r="BC802" s="1" t="s">
        <v>878</v>
      </c>
    </row>
    <row r="803" spans="54:55" x14ac:dyDescent="0.2">
      <c r="BB803" s="1" t="s">
        <v>1684</v>
      </c>
      <c r="BC803" s="1" t="s">
        <v>878</v>
      </c>
    </row>
    <row r="804" spans="54:55" x14ac:dyDescent="0.2">
      <c r="BB804" s="1" t="s">
        <v>1685</v>
      </c>
      <c r="BC804" s="1" t="s">
        <v>878</v>
      </c>
    </row>
    <row r="805" spans="54:55" x14ac:dyDescent="0.2">
      <c r="BB805" s="1" t="s">
        <v>1686</v>
      </c>
      <c r="BC805" s="1" t="s">
        <v>878</v>
      </c>
    </row>
    <row r="806" spans="54:55" x14ac:dyDescent="0.2">
      <c r="BB806" s="1" t="s">
        <v>1687</v>
      </c>
      <c r="BC806" s="1" t="s">
        <v>893</v>
      </c>
    </row>
    <row r="807" spans="54:55" x14ac:dyDescent="0.2">
      <c r="BB807" s="1" t="s">
        <v>1688</v>
      </c>
      <c r="BC807" s="1" t="s">
        <v>878</v>
      </c>
    </row>
    <row r="808" spans="54:55" x14ac:dyDescent="0.2">
      <c r="BB808" s="1" t="s">
        <v>1689</v>
      </c>
      <c r="BC808" s="1" t="s">
        <v>887</v>
      </c>
    </row>
    <row r="809" spans="54:55" x14ac:dyDescent="0.2">
      <c r="BB809" s="1" t="s">
        <v>1690</v>
      </c>
      <c r="BC809" s="1" t="s">
        <v>1007</v>
      </c>
    </row>
    <row r="810" spans="54:55" x14ac:dyDescent="0.2">
      <c r="BB810" s="1" t="s">
        <v>1691</v>
      </c>
      <c r="BC810" s="1" t="s">
        <v>881</v>
      </c>
    </row>
    <row r="811" spans="54:55" x14ac:dyDescent="0.2">
      <c r="BB811" s="1" t="s">
        <v>1692</v>
      </c>
      <c r="BC811" s="1" t="s">
        <v>881</v>
      </c>
    </row>
    <row r="812" spans="54:55" x14ac:dyDescent="0.2">
      <c r="BB812" s="1" t="s">
        <v>1693</v>
      </c>
      <c r="BC812" s="1" t="s">
        <v>885</v>
      </c>
    </row>
    <row r="813" spans="54:55" x14ac:dyDescent="0.2">
      <c r="BB813" s="1" t="s">
        <v>1694</v>
      </c>
      <c r="BC813" s="1" t="s">
        <v>883</v>
      </c>
    </row>
    <row r="814" spans="54:55" x14ac:dyDescent="0.2">
      <c r="BB814" s="1" t="s">
        <v>1695</v>
      </c>
      <c r="BC814" s="1" t="s">
        <v>893</v>
      </c>
    </row>
    <row r="815" spans="54:55" x14ac:dyDescent="0.2">
      <c r="BB815" s="1" t="s">
        <v>1696</v>
      </c>
      <c r="BC815" s="1" t="s">
        <v>893</v>
      </c>
    </row>
    <row r="816" spans="54:55" x14ac:dyDescent="0.2">
      <c r="BB816" s="1" t="s">
        <v>1697</v>
      </c>
      <c r="BC816" s="1" t="s">
        <v>893</v>
      </c>
    </row>
    <row r="817" spans="54:55" x14ac:dyDescent="0.2">
      <c r="BB817" s="1" t="s">
        <v>1698</v>
      </c>
      <c r="BC817" s="1" t="s">
        <v>878</v>
      </c>
    </row>
    <row r="818" spans="54:55" x14ac:dyDescent="0.2">
      <c r="BB818" s="1" t="s">
        <v>1699</v>
      </c>
      <c r="BC818" s="1" t="s">
        <v>878</v>
      </c>
    </row>
    <row r="819" spans="54:55" x14ac:dyDescent="0.2">
      <c r="BB819" s="1" t="s">
        <v>1700</v>
      </c>
      <c r="BC819" s="1" t="s">
        <v>883</v>
      </c>
    </row>
    <row r="820" spans="54:55" x14ac:dyDescent="0.2">
      <c r="BB820" s="1" t="s">
        <v>1701</v>
      </c>
      <c r="BC820" s="1" t="s">
        <v>878</v>
      </c>
    </row>
    <row r="821" spans="54:55" x14ac:dyDescent="0.2">
      <c r="BB821" s="1" t="s">
        <v>1702</v>
      </c>
      <c r="BC821" s="1" t="s">
        <v>878</v>
      </c>
    </row>
    <row r="822" spans="54:55" x14ac:dyDescent="0.2">
      <c r="BB822" s="1" t="s">
        <v>1703</v>
      </c>
      <c r="BC822" s="1" t="s">
        <v>887</v>
      </c>
    </row>
    <row r="823" spans="54:55" x14ac:dyDescent="0.2">
      <c r="BB823" s="1" t="s">
        <v>1704</v>
      </c>
      <c r="BC823" s="1" t="s">
        <v>878</v>
      </c>
    </row>
    <row r="824" spans="54:55" x14ac:dyDescent="0.2">
      <c r="BB824" s="1" t="s">
        <v>1705</v>
      </c>
      <c r="BC824" s="1" t="s">
        <v>878</v>
      </c>
    </row>
    <row r="825" spans="54:55" x14ac:dyDescent="0.2">
      <c r="BB825" s="1" t="s">
        <v>1706</v>
      </c>
      <c r="BC825" s="1" t="s">
        <v>883</v>
      </c>
    </row>
    <row r="826" spans="54:55" x14ac:dyDescent="0.2">
      <c r="BB826" s="1" t="s">
        <v>1707</v>
      </c>
      <c r="BC826" s="1" t="s">
        <v>878</v>
      </c>
    </row>
    <row r="827" spans="54:55" x14ac:dyDescent="0.2">
      <c r="BB827" s="1" t="s">
        <v>1708</v>
      </c>
      <c r="BC827" s="1" t="s">
        <v>878</v>
      </c>
    </row>
    <row r="828" spans="54:55" x14ac:dyDescent="0.2">
      <c r="BB828" s="1" t="s">
        <v>1709</v>
      </c>
      <c r="BC828" s="1" t="s">
        <v>883</v>
      </c>
    </row>
    <row r="829" spans="54:55" x14ac:dyDescent="0.2">
      <c r="BB829" s="1" t="s">
        <v>1710</v>
      </c>
      <c r="BC829" s="1" t="s">
        <v>878</v>
      </c>
    </row>
    <row r="830" spans="54:55" x14ac:dyDescent="0.2">
      <c r="BB830" s="1" t="s">
        <v>1711</v>
      </c>
      <c r="BC830" s="1" t="s">
        <v>878</v>
      </c>
    </row>
    <row r="831" spans="54:55" x14ac:dyDescent="0.2">
      <c r="BB831" s="1" t="s">
        <v>1712</v>
      </c>
      <c r="BC831" s="1" t="s">
        <v>878</v>
      </c>
    </row>
    <row r="832" spans="54:55" x14ac:dyDescent="0.2">
      <c r="BB832" s="1" t="s">
        <v>1713</v>
      </c>
      <c r="BC832" s="1" t="s">
        <v>893</v>
      </c>
    </row>
    <row r="833" spans="54:55" x14ac:dyDescent="0.2">
      <c r="BB833" s="1" t="s">
        <v>1714</v>
      </c>
      <c r="BC833" s="1" t="s">
        <v>878</v>
      </c>
    </row>
    <row r="834" spans="54:55" x14ac:dyDescent="0.2">
      <c r="BB834" s="1" t="s">
        <v>1715</v>
      </c>
      <c r="BC834" s="1" t="s">
        <v>878</v>
      </c>
    </row>
    <row r="835" spans="54:55" x14ac:dyDescent="0.2">
      <c r="BB835" s="1" t="s">
        <v>1716</v>
      </c>
      <c r="BC835" s="1" t="s">
        <v>878</v>
      </c>
    </row>
    <row r="836" spans="54:55" x14ac:dyDescent="0.2">
      <c r="BB836" s="1" t="s">
        <v>1717</v>
      </c>
      <c r="BC836" s="1" t="s">
        <v>878</v>
      </c>
    </row>
    <row r="837" spans="54:55" x14ac:dyDescent="0.2">
      <c r="BB837" s="1" t="s">
        <v>1718</v>
      </c>
      <c r="BC837" s="1" t="s">
        <v>878</v>
      </c>
    </row>
    <row r="838" spans="54:55" x14ac:dyDescent="0.2">
      <c r="BB838" s="1" t="s">
        <v>1719</v>
      </c>
      <c r="BC838" s="1" t="s">
        <v>887</v>
      </c>
    </row>
    <row r="839" spans="54:55" x14ac:dyDescent="0.2">
      <c r="BB839" s="1" t="s">
        <v>1720</v>
      </c>
      <c r="BC839" s="1" t="s">
        <v>883</v>
      </c>
    </row>
    <row r="840" spans="54:55" x14ac:dyDescent="0.2">
      <c r="BB840" s="1" t="s">
        <v>1721</v>
      </c>
      <c r="BC840" s="1" t="s">
        <v>878</v>
      </c>
    </row>
    <row r="841" spans="54:55" x14ac:dyDescent="0.2">
      <c r="BB841" s="1" t="s">
        <v>1722</v>
      </c>
      <c r="BC841" s="1" t="s">
        <v>878</v>
      </c>
    </row>
    <row r="842" spans="54:55" x14ac:dyDescent="0.2">
      <c r="BB842" s="1" t="s">
        <v>1723</v>
      </c>
      <c r="BC842" s="1" t="s">
        <v>878</v>
      </c>
    </row>
    <row r="843" spans="54:55" x14ac:dyDescent="0.2">
      <c r="BB843" s="1" t="s">
        <v>1724</v>
      </c>
      <c r="BC843" s="1" t="s">
        <v>887</v>
      </c>
    </row>
    <row r="844" spans="54:55" x14ac:dyDescent="0.2">
      <c r="BB844" s="1" t="s">
        <v>1725</v>
      </c>
      <c r="BC844" s="1" t="s">
        <v>887</v>
      </c>
    </row>
    <row r="845" spans="54:55" x14ac:dyDescent="0.2">
      <c r="BB845" s="1" t="s">
        <v>1726</v>
      </c>
      <c r="BC845" s="1" t="s">
        <v>878</v>
      </c>
    </row>
    <row r="846" spans="54:55" x14ac:dyDescent="0.2">
      <c r="BB846" s="1" t="s">
        <v>1727</v>
      </c>
      <c r="BC846" s="1" t="s">
        <v>878</v>
      </c>
    </row>
    <row r="847" spans="54:55" x14ac:dyDescent="0.2">
      <c r="BB847" s="1" t="s">
        <v>1728</v>
      </c>
      <c r="BC847" s="1" t="s">
        <v>878</v>
      </c>
    </row>
    <row r="848" spans="54:55" x14ac:dyDescent="0.2">
      <c r="BB848" s="1" t="s">
        <v>1729</v>
      </c>
      <c r="BC848" s="1" t="s">
        <v>885</v>
      </c>
    </row>
    <row r="849" spans="54:55" x14ac:dyDescent="0.2">
      <c r="BB849" s="1" t="s">
        <v>1730</v>
      </c>
      <c r="BC849" s="1" t="s">
        <v>878</v>
      </c>
    </row>
    <row r="850" spans="54:55" x14ac:dyDescent="0.2">
      <c r="BB850" s="1" t="s">
        <v>1731</v>
      </c>
      <c r="BC850" s="1" t="s">
        <v>881</v>
      </c>
    </row>
    <row r="851" spans="54:55" x14ac:dyDescent="0.2">
      <c r="BB851" s="1" t="s">
        <v>1732</v>
      </c>
      <c r="BC851" s="1" t="s">
        <v>1007</v>
      </c>
    </row>
    <row r="852" spans="54:55" x14ac:dyDescent="0.2">
      <c r="BB852" s="1" t="s">
        <v>1733</v>
      </c>
      <c r="BC852" s="1" t="s">
        <v>883</v>
      </c>
    </row>
    <row r="853" spans="54:55" x14ac:dyDescent="0.2">
      <c r="BB853" s="1" t="s">
        <v>1734</v>
      </c>
      <c r="BC853" s="1" t="s">
        <v>885</v>
      </c>
    </row>
    <row r="854" spans="54:55" x14ac:dyDescent="0.2">
      <c r="BB854" s="1" t="s">
        <v>1735</v>
      </c>
      <c r="BC854" s="1" t="s">
        <v>878</v>
      </c>
    </row>
    <row r="855" spans="54:55" x14ac:dyDescent="0.2">
      <c r="BB855" s="1" t="s">
        <v>1736</v>
      </c>
      <c r="BC855" s="1" t="s">
        <v>881</v>
      </c>
    </row>
    <row r="856" spans="54:55" x14ac:dyDescent="0.2">
      <c r="BB856" s="1" t="s">
        <v>1737</v>
      </c>
      <c r="BC856" s="1" t="s">
        <v>878</v>
      </c>
    </row>
    <row r="857" spans="54:55" x14ac:dyDescent="0.2">
      <c r="BB857" s="1" t="s">
        <v>1738</v>
      </c>
      <c r="BC857" s="1" t="s">
        <v>878</v>
      </c>
    </row>
    <row r="858" spans="54:55" x14ac:dyDescent="0.2">
      <c r="BB858" s="1" t="s">
        <v>1739</v>
      </c>
      <c r="BC858" s="1" t="s">
        <v>878</v>
      </c>
    </row>
    <row r="859" spans="54:55" x14ac:dyDescent="0.2">
      <c r="BB859" s="1" t="s">
        <v>1740</v>
      </c>
      <c r="BC859" s="1" t="s">
        <v>883</v>
      </c>
    </row>
    <row r="860" spans="54:55" x14ac:dyDescent="0.2">
      <c r="BB860" s="1" t="s">
        <v>1741</v>
      </c>
      <c r="BC860" s="1" t="s">
        <v>878</v>
      </c>
    </row>
    <row r="861" spans="54:55" x14ac:dyDescent="0.2">
      <c r="BB861" s="1" t="s">
        <v>1742</v>
      </c>
      <c r="BC861" s="1" t="s">
        <v>878</v>
      </c>
    </row>
    <row r="862" spans="54:55" x14ac:dyDescent="0.2">
      <c r="BB862" s="1" t="s">
        <v>1743</v>
      </c>
      <c r="BC862" s="1" t="s">
        <v>881</v>
      </c>
    </row>
    <row r="863" spans="54:55" x14ac:dyDescent="0.2">
      <c r="BB863" s="1" t="s">
        <v>1744</v>
      </c>
      <c r="BC863" s="1" t="s">
        <v>878</v>
      </c>
    </row>
    <row r="864" spans="54:55" x14ac:dyDescent="0.2">
      <c r="BB864" s="1" t="s">
        <v>1745</v>
      </c>
      <c r="BC864" s="1" t="s">
        <v>878</v>
      </c>
    </row>
    <row r="865" spans="54:55" x14ac:dyDescent="0.2">
      <c r="BB865" s="1" t="s">
        <v>1746</v>
      </c>
      <c r="BC865" s="1" t="s">
        <v>895</v>
      </c>
    </row>
    <row r="866" spans="54:55" x14ac:dyDescent="0.2">
      <c r="BB866" s="1" t="s">
        <v>1747</v>
      </c>
      <c r="BC866" s="1" t="s">
        <v>885</v>
      </c>
    </row>
    <row r="867" spans="54:55" x14ac:dyDescent="0.2">
      <c r="BB867" s="1" t="s">
        <v>1748</v>
      </c>
      <c r="BC867" s="1" t="s">
        <v>878</v>
      </c>
    </row>
    <row r="868" spans="54:55" x14ac:dyDescent="0.2">
      <c r="BB868" s="1" t="s">
        <v>1749</v>
      </c>
      <c r="BC868" s="1" t="s">
        <v>885</v>
      </c>
    </row>
    <row r="869" spans="54:55" x14ac:dyDescent="0.2">
      <c r="BB869" s="1" t="s">
        <v>1750</v>
      </c>
      <c r="BC869" s="1" t="s">
        <v>881</v>
      </c>
    </row>
    <row r="870" spans="54:55" x14ac:dyDescent="0.2">
      <c r="BB870" s="1" t="s">
        <v>1751</v>
      </c>
      <c r="BC870" s="1" t="s">
        <v>878</v>
      </c>
    </row>
    <row r="871" spans="54:55" x14ac:dyDescent="0.2">
      <c r="BB871" s="1" t="s">
        <v>1752</v>
      </c>
      <c r="BC871" s="1" t="s">
        <v>893</v>
      </c>
    </row>
    <row r="872" spans="54:55" x14ac:dyDescent="0.2">
      <c r="BB872" s="1" t="s">
        <v>1753</v>
      </c>
      <c r="BC872" s="1" t="s">
        <v>893</v>
      </c>
    </row>
    <row r="873" spans="54:55" x14ac:dyDescent="0.2">
      <c r="BB873" s="1" t="s">
        <v>1754</v>
      </c>
      <c r="BC873" s="1" t="s">
        <v>893</v>
      </c>
    </row>
    <row r="874" spans="54:55" x14ac:dyDescent="0.2">
      <c r="BB874" s="1" t="s">
        <v>1755</v>
      </c>
      <c r="BC874" s="1" t="s">
        <v>893</v>
      </c>
    </row>
    <row r="875" spans="54:55" x14ac:dyDescent="0.2">
      <c r="BB875" s="1" t="s">
        <v>1756</v>
      </c>
      <c r="BC875" s="1" t="s">
        <v>893</v>
      </c>
    </row>
    <row r="876" spans="54:55" x14ac:dyDescent="0.2">
      <c r="BB876" s="1" t="s">
        <v>1757</v>
      </c>
      <c r="BC876" s="1" t="s">
        <v>893</v>
      </c>
    </row>
    <row r="877" spans="54:55" x14ac:dyDescent="0.2">
      <c r="BB877" s="1" t="s">
        <v>1758</v>
      </c>
      <c r="BC877" s="1" t="s">
        <v>883</v>
      </c>
    </row>
    <row r="878" spans="54:55" x14ac:dyDescent="0.2">
      <c r="BB878" s="1" t="s">
        <v>1759</v>
      </c>
      <c r="BC878" s="1" t="s">
        <v>878</v>
      </c>
    </row>
    <row r="879" spans="54:55" x14ac:dyDescent="0.2">
      <c r="BB879" s="1" t="s">
        <v>1760</v>
      </c>
      <c r="BC879" s="1" t="s">
        <v>893</v>
      </c>
    </row>
    <row r="880" spans="54:55" x14ac:dyDescent="0.2">
      <c r="BB880" s="1" t="s">
        <v>1761</v>
      </c>
      <c r="BC880" s="1" t="s">
        <v>878</v>
      </c>
    </row>
    <row r="881" spans="54:55" x14ac:dyDescent="0.2">
      <c r="BB881" s="1" t="s">
        <v>1762</v>
      </c>
      <c r="BC881" s="1" t="s">
        <v>881</v>
      </c>
    </row>
    <row r="882" spans="54:55" x14ac:dyDescent="0.2">
      <c r="BB882" s="1" t="s">
        <v>1763</v>
      </c>
      <c r="BC882" s="1" t="s">
        <v>881</v>
      </c>
    </row>
    <row r="883" spans="54:55" x14ac:dyDescent="0.2">
      <c r="BB883" s="1" t="s">
        <v>1764</v>
      </c>
      <c r="BC883" s="1" t="s">
        <v>881</v>
      </c>
    </row>
    <row r="884" spans="54:55" x14ac:dyDescent="0.2">
      <c r="BB884" s="1" t="s">
        <v>1765</v>
      </c>
      <c r="BC884" s="1" t="s">
        <v>878</v>
      </c>
    </row>
    <row r="885" spans="54:55" x14ac:dyDescent="0.2">
      <c r="BB885" s="1" t="s">
        <v>1766</v>
      </c>
      <c r="BC885" s="1" t="s">
        <v>878</v>
      </c>
    </row>
    <row r="886" spans="54:55" x14ac:dyDescent="0.2">
      <c r="BB886" s="1" t="s">
        <v>1767</v>
      </c>
      <c r="BC886" s="1" t="s">
        <v>893</v>
      </c>
    </row>
    <row r="887" spans="54:55" x14ac:dyDescent="0.2">
      <c r="BB887" s="1" t="s">
        <v>1768</v>
      </c>
      <c r="BC887" s="1" t="s">
        <v>885</v>
      </c>
    </row>
    <row r="888" spans="54:55" x14ac:dyDescent="0.2">
      <c r="BB888" s="1" t="s">
        <v>1769</v>
      </c>
      <c r="BC888" s="1" t="s">
        <v>893</v>
      </c>
    </row>
    <row r="889" spans="54:55" x14ac:dyDescent="0.2">
      <c r="BB889" s="1" t="s">
        <v>1770</v>
      </c>
      <c r="BC889" s="1" t="s">
        <v>878</v>
      </c>
    </row>
    <row r="890" spans="54:55" x14ac:dyDescent="0.2">
      <c r="BB890" s="1" t="s">
        <v>1771</v>
      </c>
      <c r="BC890" s="1" t="s">
        <v>881</v>
      </c>
    </row>
    <row r="891" spans="54:55" x14ac:dyDescent="0.2">
      <c r="BB891" s="1" t="s">
        <v>1772</v>
      </c>
      <c r="BC891" s="1" t="s">
        <v>878</v>
      </c>
    </row>
    <row r="892" spans="54:55" x14ac:dyDescent="0.2">
      <c r="BB892" s="1" t="s">
        <v>1773</v>
      </c>
      <c r="BC892" s="1" t="s">
        <v>883</v>
      </c>
    </row>
    <row r="893" spans="54:55" x14ac:dyDescent="0.2">
      <c r="BB893" s="1" t="s">
        <v>1774</v>
      </c>
      <c r="BC893" s="1" t="s">
        <v>883</v>
      </c>
    </row>
    <row r="894" spans="54:55" x14ac:dyDescent="0.2">
      <c r="BB894" s="1" t="s">
        <v>1775</v>
      </c>
      <c r="BC894" s="1" t="s">
        <v>883</v>
      </c>
    </row>
    <row r="895" spans="54:55" x14ac:dyDescent="0.2">
      <c r="BB895" s="1" t="s">
        <v>1776</v>
      </c>
      <c r="BC895" s="1" t="s">
        <v>1007</v>
      </c>
    </row>
    <row r="896" spans="54:55" x14ac:dyDescent="0.2">
      <c r="BB896" s="1" t="s">
        <v>1777</v>
      </c>
      <c r="BC896" s="1" t="s">
        <v>885</v>
      </c>
    </row>
    <row r="897" spans="54:55" x14ac:dyDescent="0.2">
      <c r="BB897" s="1" t="s">
        <v>1778</v>
      </c>
      <c r="BC897" s="1" t="s">
        <v>893</v>
      </c>
    </row>
    <row r="898" spans="54:55" x14ac:dyDescent="0.2">
      <c r="BB898" s="1" t="s">
        <v>1779</v>
      </c>
      <c r="BC898" s="1" t="s">
        <v>878</v>
      </c>
    </row>
    <row r="899" spans="54:55" x14ac:dyDescent="0.2">
      <c r="BB899" s="1" t="s">
        <v>1780</v>
      </c>
      <c r="BC899" s="1" t="s">
        <v>878</v>
      </c>
    </row>
    <row r="900" spans="54:55" x14ac:dyDescent="0.2">
      <c r="BB900" s="1" t="s">
        <v>1781</v>
      </c>
      <c r="BC900" s="1" t="s">
        <v>895</v>
      </c>
    </row>
    <row r="901" spans="54:55" x14ac:dyDescent="0.2">
      <c r="BB901" s="1" t="s">
        <v>1782</v>
      </c>
      <c r="BC901" s="1" t="s">
        <v>883</v>
      </c>
    </row>
    <row r="902" spans="54:55" x14ac:dyDescent="0.2">
      <c r="BB902" s="1" t="s">
        <v>1783</v>
      </c>
      <c r="BC902" s="1" t="s">
        <v>887</v>
      </c>
    </row>
    <row r="903" spans="54:55" x14ac:dyDescent="0.2">
      <c r="BB903" s="1" t="s">
        <v>1784</v>
      </c>
      <c r="BC903" s="1" t="s">
        <v>878</v>
      </c>
    </row>
    <row r="904" spans="54:55" x14ac:dyDescent="0.2">
      <c r="BB904" s="1" t="s">
        <v>1785</v>
      </c>
      <c r="BC904" s="1" t="s">
        <v>893</v>
      </c>
    </row>
    <row r="905" spans="54:55" x14ac:dyDescent="0.2">
      <c r="BB905" s="1" t="s">
        <v>1786</v>
      </c>
      <c r="BC905" s="1" t="s">
        <v>893</v>
      </c>
    </row>
    <row r="906" spans="54:55" x14ac:dyDescent="0.2">
      <c r="BB906" s="1" t="s">
        <v>1787</v>
      </c>
      <c r="BC906" s="1" t="s">
        <v>883</v>
      </c>
    </row>
    <row r="907" spans="54:55" x14ac:dyDescent="0.2">
      <c r="BB907" s="1" t="s">
        <v>1788</v>
      </c>
      <c r="BC907" s="1" t="s">
        <v>895</v>
      </c>
    </row>
    <row r="908" spans="54:55" x14ac:dyDescent="0.2">
      <c r="BB908" s="1" t="s">
        <v>1789</v>
      </c>
      <c r="BC908" s="1" t="s">
        <v>883</v>
      </c>
    </row>
    <row r="909" spans="54:55" x14ac:dyDescent="0.2">
      <c r="BB909" s="1" t="s">
        <v>1790</v>
      </c>
      <c r="BC909" s="1" t="s">
        <v>878</v>
      </c>
    </row>
    <row r="910" spans="54:55" x14ac:dyDescent="0.2">
      <c r="BB910" s="1" t="s">
        <v>1791</v>
      </c>
      <c r="BC910" s="1" t="s">
        <v>885</v>
      </c>
    </row>
    <row r="911" spans="54:55" x14ac:dyDescent="0.2">
      <c r="BB911" s="1" t="s">
        <v>1792</v>
      </c>
      <c r="BC911" s="1" t="s">
        <v>883</v>
      </c>
    </row>
    <row r="912" spans="54:55" x14ac:dyDescent="0.2">
      <c r="BB912" s="1" t="s">
        <v>1793</v>
      </c>
      <c r="BC912" s="1" t="s">
        <v>895</v>
      </c>
    </row>
    <row r="913" spans="54:55" x14ac:dyDescent="0.2">
      <c r="BB913" s="1" t="s">
        <v>1794</v>
      </c>
      <c r="BC913" s="1" t="s">
        <v>887</v>
      </c>
    </row>
    <row r="914" spans="54:55" x14ac:dyDescent="0.2">
      <c r="BB914" s="1" t="s">
        <v>1795</v>
      </c>
      <c r="BC914" s="1" t="s">
        <v>881</v>
      </c>
    </row>
    <row r="915" spans="54:55" x14ac:dyDescent="0.2">
      <c r="BB915" s="1" t="s">
        <v>1796</v>
      </c>
      <c r="BC915" s="1" t="s">
        <v>883</v>
      </c>
    </row>
    <row r="916" spans="54:55" x14ac:dyDescent="0.2">
      <c r="BB916" s="1" t="s">
        <v>1797</v>
      </c>
      <c r="BC916" s="1" t="s">
        <v>893</v>
      </c>
    </row>
    <row r="917" spans="54:55" x14ac:dyDescent="0.2">
      <c r="BB917" s="1" t="s">
        <v>1798</v>
      </c>
      <c r="BC917" s="1" t="s">
        <v>883</v>
      </c>
    </row>
    <row r="918" spans="54:55" x14ac:dyDescent="0.2">
      <c r="BB918" s="1" t="s">
        <v>1799</v>
      </c>
      <c r="BC918" s="1" t="s">
        <v>885</v>
      </c>
    </row>
    <row r="919" spans="54:55" x14ac:dyDescent="0.2">
      <c r="BB919" s="1" t="s">
        <v>1800</v>
      </c>
      <c r="BC919" s="1" t="s">
        <v>883</v>
      </c>
    </row>
    <row r="920" spans="54:55" x14ac:dyDescent="0.2">
      <c r="BB920" s="1" t="s">
        <v>1801</v>
      </c>
      <c r="BC920" s="1" t="s">
        <v>887</v>
      </c>
    </row>
    <row r="921" spans="54:55" x14ac:dyDescent="0.2">
      <c r="BB921" s="1" t="s">
        <v>1802</v>
      </c>
      <c r="BC921" s="1" t="s">
        <v>895</v>
      </c>
    </row>
    <row r="922" spans="54:55" x14ac:dyDescent="0.2">
      <c r="BB922" s="1" t="s">
        <v>1803</v>
      </c>
      <c r="BC922" s="1" t="s">
        <v>885</v>
      </c>
    </row>
    <row r="923" spans="54:55" x14ac:dyDescent="0.2">
      <c r="BB923" s="1" t="s">
        <v>1804</v>
      </c>
      <c r="BC923" s="1" t="s">
        <v>878</v>
      </c>
    </row>
    <row r="924" spans="54:55" x14ac:dyDescent="0.2">
      <c r="BB924" s="1" t="s">
        <v>1805</v>
      </c>
      <c r="BC924" s="1" t="s">
        <v>881</v>
      </c>
    </row>
    <row r="925" spans="54:55" x14ac:dyDescent="0.2">
      <c r="BB925" s="1" t="s">
        <v>1806</v>
      </c>
      <c r="BC925" s="1" t="s">
        <v>878</v>
      </c>
    </row>
    <row r="926" spans="54:55" x14ac:dyDescent="0.2">
      <c r="BB926" s="1" t="s">
        <v>1807</v>
      </c>
      <c r="BC926" s="1" t="s">
        <v>878</v>
      </c>
    </row>
    <row r="927" spans="54:55" x14ac:dyDescent="0.2">
      <c r="BB927" s="1" t="s">
        <v>1808</v>
      </c>
      <c r="BC927" s="1" t="s">
        <v>878</v>
      </c>
    </row>
    <row r="928" spans="54:55" x14ac:dyDescent="0.2">
      <c r="BB928" s="1" t="s">
        <v>1809</v>
      </c>
      <c r="BC928" s="1" t="s">
        <v>878</v>
      </c>
    </row>
    <row r="929" spans="54:55" x14ac:dyDescent="0.2">
      <c r="BB929" s="1" t="s">
        <v>1810</v>
      </c>
      <c r="BC929" s="1" t="s">
        <v>883</v>
      </c>
    </row>
    <row r="930" spans="54:55" x14ac:dyDescent="0.2">
      <c r="BB930" s="1" t="s">
        <v>1811</v>
      </c>
      <c r="BC930" s="1" t="s">
        <v>878</v>
      </c>
    </row>
    <row r="931" spans="54:55" x14ac:dyDescent="0.2">
      <c r="BB931" s="1" t="s">
        <v>1812</v>
      </c>
      <c r="BC931" s="1" t="s">
        <v>895</v>
      </c>
    </row>
    <row r="932" spans="54:55" x14ac:dyDescent="0.2">
      <c r="BB932" s="1" t="s">
        <v>1813</v>
      </c>
      <c r="BC932" s="1" t="s">
        <v>878</v>
      </c>
    </row>
    <row r="933" spans="54:55" x14ac:dyDescent="0.2">
      <c r="BB933" s="1" t="s">
        <v>1814</v>
      </c>
      <c r="BC933" s="1" t="s">
        <v>881</v>
      </c>
    </row>
    <row r="934" spans="54:55" x14ac:dyDescent="0.2">
      <c r="BB934" s="1" t="s">
        <v>1815</v>
      </c>
      <c r="BC934" s="1" t="s">
        <v>893</v>
      </c>
    </row>
    <row r="935" spans="54:55" x14ac:dyDescent="0.2">
      <c r="BB935" s="1" t="s">
        <v>1816</v>
      </c>
      <c r="BC935" s="1" t="s">
        <v>878</v>
      </c>
    </row>
    <row r="936" spans="54:55" x14ac:dyDescent="0.2">
      <c r="BB936" s="1" t="s">
        <v>1817</v>
      </c>
      <c r="BC936" s="1" t="s">
        <v>878</v>
      </c>
    </row>
    <row r="937" spans="54:55" x14ac:dyDescent="0.2">
      <c r="BB937" s="1" t="s">
        <v>1818</v>
      </c>
      <c r="BC937" s="1" t="s">
        <v>878</v>
      </c>
    </row>
    <row r="938" spans="54:55" x14ac:dyDescent="0.2">
      <c r="BB938" s="1" t="s">
        <v>1819</v>
      </c>
      <c r="BC938" s="1" t="s">
        <v>881</v>
      </c>
    </row>
    <row r="939" spans="54:55" x14ac:dyDescent="0.2">
      <c r="BB939" s="1" t="s">
        <v>1820</v>
      </c>
      <c r="BC939" s="1" t="s">
        <v>878</v>
      </c>
    </row>
    <row r="940" spans="54:55" x14ac:dyDescent="0.2">
      <c r="BB940" s="1" t="s">
        <v>1821</v>
      </c>
      <c r="BC940" s="1" t="s">
        <v>887</v>
      </c>
    </row>
    <row r="941" spans="54:55" x14ac:dyDescent="0.2">
      <c r="BB941" s="1" t="s">
        <v>1822</v>
      </c>
      <c r="BC941" s="1" t="s">
        <v>893</v>
      </c>
    </row>
    <row r="942" spans="54:55" x14ac:dyDescent="0.2">
      <c r="BB942" s="1" t="s">
        <v>1823</v>
      </c>
      <c r="BC942" s="1" t="s">
        <v>878</v>
      </c>
    </row>
    <row r="943" spans="54:55" x14ac:dyDescent="0.2">
      <c r="BB943" s="1" t="s">
        <v>1824</v>
      </c>
      <c r="BC943" s="1" t="s">
        <v>878</v>
      </c>
    </row>
    <row r="944" spans="54:55" x14ac:dyDescent="0.2">
      <c r="BB944" s="1" t="s">
        <v>1825</v>
      </c>
      <c r="BC944" s="1" t="s">
        <v>878</v>
      </c>
    </row>
    <row r="945" spans="54:55" x14ac:dyDescent="0.2">
      <c r="BB945" s="1" t="s">
        <v>1826</v>
      </c>
      <c r="BC945" s="1" t="s">
        <v>887</v>
      </c>
    </row>
    <row r="946" spans="54:55" x14ac:dyDescent="0.2">
      <c r="BB946" s="1" t="s">
        <v>1827</v>
      </c>
      <c r="BC946" s="1" t="s">
        <v>878</v>
      </c>
    </row>
    <row r="947" spans="54:55" x14ac:dyDescent="0.2">
      <c r="BB947" s="1" t="s">
        <v>1828</v>
      </c>
      <c r="BC947" s="1" t="s">
        <v>878</v>
      </c>
    </row>
    <row r="948" spans="54:55" x14ac:dyDescent="0.2">
      <c r="BB948" s="1" t="s">
        <v>1829</v>
      </c>
      <c r="BC948" s="1" t="s">
        <v>878</v>
      </c>
    </row>
    <row r="949" spans="54:55" x14ac:dyDescent="0.2">
      <c r="BB949" s="1" t="s">
        <v>1830</v>
      </c>
      <c r="BC949" s="1" t="s">
        <v>1039</v>
      </c>
    </row>
    <row r="950" spans="54:55" x14ac:dyDescent="0.2">
      <c r="BB950" s="1" t="s">
        <v>1831</v>
      </c>
      <c r="BC950" s="1" t="s">
        <v>878</v>
      </c>
    </row>
    <row r="951" spans="54:55" x14ac:dyDescent="0.2">
      <c r="BB951" s="1" t="s">
        <v>1832</v>
      </c>
      <c r="BC951" s="1" t="s">
        <v>878</v>
      </c>
    </row>
    <row r="952" spans="54:55" x14ac:dyDescent="0.2">
      <c r="BB952" s="1" t="s">
        <v>1833</v>
      </c>
      <c r="BC952" s="1" t="s">
        <v>878</v>
      </c>
    </row>
    <row r="953" spans="54:55" x14ac:dyDescent="0.2">
      <c r="BB953" s="1" t="s">
        <v>1834</v>
      </c>
      <c r="BC953" s="1" t="s">
        <v>878</v>
      </c>
    </row>
    <row r="954" spans="54:55" x14ac:dyDescent="0.2">
      <c r="BB954" s="1" t="s">
        <v>1835</v>
      </c>
      <c r="BC954" s="1" t="s">
        <v>878</v>
      </c>
    </row>
    <row r="955" spans="54:55" x14ac:dyDescent="0.2">
      <c r="BB955" s="1" t="s">
        <v>1836</v>
      </c>
      <c r="BC955" s="1" t="s">
        <v>878</v>
      </c>
    </row>
    <row r="956" spans="54:55" x14ac:dyDescent="0.2">
      <c r="BB956" s="1" t="s">
        <v>1837</v>
      </c>
      <c r="BC956" s="1" t="s">
        <v>878</v>
      </c>
    </row>
    <row r="957" spans="54:55" x14ac:dyDescent="0.2">
      <c r="BB957" s="1" t="s">
        <v>1838</v>
      </c>
      <c r="BC957" s="1" t="s">
        <v>878</v>
      </c>
    </row>
    <row r="958" spans="54:55" x14ac:dyDescent="0.2">
      <c r="BB958" s="1" t="s">
        <v>1839</v>
      </c>
      <c r="BC958" s="1" t="s">
        <v>883</v>
      </c>
    </row>
    <row r="959" spans="54:55" x14ac:dyDescent="0.2">
      <c r="BB959" s="1" t="s">
        <v>1840</v>
      </c>
      <c r="BC959" s="1" t="s">
        <v>878</v>
      </c>
    </row>
    <row r="960" spans="54:55" x14ac:dyDescent="0.2">
      <c r="BB960" s="1" t="s">
        <v>1841</v>
      </c>
      <c r="BC960" s="1" t="s">
        <v>878</v>
      </c>
    </row>
    <row r="961" spans="54:55" x14ac:dyDescent="0.2">
      <c r="BB961" s="1" t="s">
        <v>1842</v>
      </c>
      <c r="BC961" s="1" t="s">
        <v>881</v>
      </c>
    </row>
    <row r="962" spans="54:55" x14ac:dyDescent="0.2">
      <c r="BB962" s="1" t="s">
        <v>1843</v>
      </c>
      <c r="BC962" s="1" t="s">
        <v>878</v>
      </c>
    </row>
    <row r="963" spans="54:55" x14ac:dyDescent="0.2">
      <c r="BB963" s="1" t="s">
        <v>1844</v>
      </c>
      <c r="BC963" s="1" t="s">
        <v>878</v>
      </c>
    </row>
    <row r="964" spans="54:55" x14ac:dyDescent="0.2">
      <c r="BB964" s="1" t="s">
        <v>1845</v>
      </c>
      <c r="BC964" s="1" t="s">
        <v>887</v>
      </c>
    </row>
    <row r="965" spans="54:55" x14ac:dyDescent="0.2">
      <c r="BB965" s="1" t="s">
        <v>1846</v>
      </c>
      <c r="BC965" s="1" t="s">
        <v>878</v>
      </c>
    </row>
    <row r="966" spans="54:55" x14ac:dyDescent="0.2">
      <c r="BB966" s="1" t="s">
        <v>1847</v>
      </c>
      <c r="BC966" s="1" t="s">
        <v>878</v>
      </c>
    </row>
    <row r="967" spans="54:55" x14ac:dyDescent="0.2">
      <c r="BB967" s="1" t="s">
        <v>1848</v>
      </c>
      <c r="BC967" s="1" t="s">
        <v>878</v>
      </c>
    </row>
    <row r="968" spans="54:55" x14ac:dyDescent="0.2">
      <c r="BB968" s="1" t="s">
        <v>1849</v>
      </c>
      <c r="BC968" s="1" t="s">
        <v>878</v>
      </c>
    </row>
    <row r="969" spans="54:55" x14ac:dyDescent="0.2">
      <c r="BB969" s="1" t="s">
        <v>1850</v>
      </c>
      <c r="BC969" s="1" t="s">
        <v>878</v>
      </c>
    </row>
    <row r="970" spans="54:55" x14ac:dyDescent="0.2">
      <c r="BB970" s="1" t="s">
        <v>1851</v>
      </c>
      <c r="BC970" s="1" t="s">
        <v>878</v>
      </c>
    </row>
    <row r="971" spans="54:55" x14ac:dyDescent="0.2">
      <c r="BB971" s="1" t="s">
        <v>1852</v>
      </c>
      <c r="BC971" s="1" t="s">
        <v>878</v>
      </c>
    </row>
    <row r="972" spans="54:55" x14ac:dyDescent="0.2">
      <c r="BB972" s="1" t="s">
        <v>1853</v>
      </c>
      <c r="BC972" s="1" t="s">
        <v>878</v>
      </c>
    </row>
    <row r="973" spans="54:55" x14ac:dyDescent="0.2">
      <c r="BB973" s="1" t="s">
        <v>1854</v>
      </c>
      <c r="BC973" s="1" t="s">
        <v>878</v>
      </c>
    </row>
    <row r="974" spans="54:55" x14ac:dyDescent="0.2">
      <c r="BB974" s="1" t="s">
        <v>1855</v>
      </c>
      <c r="BC974" s="1" t="s">
        <v>878</v>
      </c>
    </row>
    <row r="975" spans="54:55" x14ac:dyDescent="0.2">
      <c r="BB975" s="1" t="s">
        <v>1856</v>
      </c>
      <c r="BC975" s="1" t="s">
        <v>878</v>
      </c>
    </row>
    <row r="976" spans="54:55" x14ac:dyDescent="0.2">
      <c r="BB976" s="1" t="s">
        <v>1857</v>
      </c>
      <c r="BC976" s="1" t="s">
        <v>878</v>
      </c>
    </row>
    <row r="977" spans="54:55" x14ac:dyDescent="0.2">
      <c r="BB977" s="1" t="s">
        <v>1858</v>
      </c>
      <c r="BC977" s="1" t="s">
        <v>878</v>
      </c>
    </row>
    <row r="978" spans="54:55" x14ac:dyDescent="0.2">
      <c r="BB978" s="1" t="s">
        <v>1859</v>
      </c>
      <c r="BC978" s="1" t="s">
        <v>878</v>
      </c>
    </row>
    <row r="979" spans="54:55" x14ac:dyDescent="0.2">
      <c r="BB979" s="1" t="s">
        <v>1860</v>
      </c>
      <c r="BC979" s="1" t="s">
        <v>883</v>
      </c>
    </row>
    <row r="980" spans="54:55" x14ac:dyDescent="0.2">
      <c r="BB980" s="1" t="s">
        <v>1861</v>
      </c>
      <c r="BC980" s="1" t="s">
        <v>878</v>
      </c>
    </row>
    <row r="981" spans="54:55" x14ac:dyDescent="0.2">
      <c r="BB981" s="1" t="s">
        <v>1862</v>
      </c>
      <c r="BC981" s="1" t="s">
        <v>893</v>
      </c>
    </row>
    <row r="982" spans="54:55" x14ac:dyDescent="0.2">
      <c r="BB982" s="1" t="s">
        <v>1863</v>
      </c>
      <c r="BC982" s="1" t="s">
        <v>878</v>
      </c>
    </row>
    <row r="983" spans="54:55" x14ac:dyDescent="0.2">
      <c r="BB983" s="1" t="s">
        <v>1864</v>
      </c>
      <c r="BC983" s="1" t="s">
        <v>878</v>
      </c>
    </row>
    <row r="984" spans="54:55" x14ac:dyDescent="0.2">
      <c r="BB984" s="1" t="s">
        <v>1865</v>
      </c>
      <c r="BC984" s="1" t="s">
        <v>883</v>
      </c>
    </row>
    <row r="985" spans="54:55" x14ac:dyDescent="0.2">
      <c r="BB985" s="1" t="s">
        <v>1866</v>
      </c>
      <c r="BC985" s="1" t="s">
        <v>887</v>
      </c>
    </row>
    <row r="986" spans="54:55" x14ac:dyDescent="0.2">
      <c r="BB986" s="1" t="s">
        <v>1867</v>
      </c>
      <c r="BC986" s="1" t="s">
        <v>878</v>
      </c>
    </row>
    <row r="987" spans="54:55" x14ac:dyDescent="0.2">
      <c r="BB987" s="1" t="s">
        <v>1868</v>
      </c>
      <c r="BC987" s="1" t="s">
        <v>883</v>
      </c>
    </row>
    <row r="988" spans="54:55" x14ac:dyDescent="0.2">
      <c r="BB988" s="1" t="s">
        <v>1869</v>
      </c>
      <c r="BC988" s="1" t="s">
        <v>878</v>
      </c>
    </row>
    <row r="989" spans="54:55" x14ac:dyDescent="0.2">
      <c r="BB989" s="1" t="s">
        <v>1870</v>
      </c>
      <c r="BC989" s="1" t="s">
        <v>893</v>
      </c>
    </row>
    <row r="990" spans="54:55" x14ac:dyDescent="0.2">
      <c r="BB990" s="1" t="s">
        <v>1871</v>
      </c>
      <c r="BC990" s="1" t="s">
        <v>887</v>
      </c>
    </row>
    <row r="991" spans="54:55" x14ac:dyDescent="0.2">
      <c r="BB991" s="1" t="s">
        <v>1872</v>
      </c>
      <c r="BC991" s="1" t="s">
        <v>883</v>
      </c>
    </row>
    <row r="992" spans="54:55" x14ac:dyDescent="0.2">
      <c r="BB992" s="1" t="s">
        <v>1873</v>
      </c>
      <c r="BC992" s="1" t="s">
        <v>878</v>
      </c>
    </row>
    <row r="993" spans="54:55" x14ac:dyDescent="0.2">
      <c r="BB993" s="1" t="s">
        <v>1874</v>
      </c>
      <c r="BC993" s="1" t="s">
        <v>1007</v>
      </c>
    </row>
    <row r="994" spans="54:55" x14ac:dyDescent="0.2">
      <c r="BB994" s="1" t="s">
        <v>1875</v>
      </c>
      <c r="BC994" s="1" t="s">
        <v>885</v>
      </c>
    </row>
    <row r="995" spans="54:55" x14ac:dyDescent="0.2">
      <c r="BB995" s="1" t="s">
        <v>1876</v>
      </c>
      <c r="BC995" s="1" t="s">
        <v>878</v>
      </c>
    </row>
    <row r="996" spans="54:55" x14ac:dyDescent="0.2">
      <c r="BB996" s="1" t="s">
        <v>1877</v>
      </c>
      <c r="BC996" s="1" t="s">
        <v>878</v>
      </c>
    </row>
    <row r="997" spans="54:55" x14ac:dyDescent="0.2">
      <c r="BB997" s="1" t="s">
        <v>1878</v>
      </c>
      <c r="BC997" s="1" t="s">
        <v>878</v>
      </c>
    </row>
    <row r="998" spans="54:55" x14ac:dyDescent="0.2">
      <c r="BB998" s="1" t="s">
        <v>1879</v>
      </c>
      <c r="BC998" s="1" t="s">
        <v>878</v>
      </c>
    </row>
    <row r="999" spans="54:55" x14ac:dyDescent="0.2">
      <c r="BB999" s="1" t="s">
        <v>1880</v>
      </c>
      <c r="BC999" s="1" t="s">
        <v>878</v>
      </c>
    </row>
    <row r="1000" spans="54:55" x14ac:dyDescent="0.2">
      <c r="BB1000" s="1" t="s">
        <v>1881</v>
      </c>
      <c r="BC1000" s="1" t="s">
        <v>878</v>
      </c>
    </row>
    <row r="1001" spans="54:55" x14ac:dyDescent="0.2">
      <c r="BB1001" s="1" t="s">
        <v>1882</v>
      </c>
      <c r="BC1001" s="1" t="s">
        <v>885</v>
      </c>
    </row>
    <row r="1002" spans="54:55" x14ac:dyDescent="0.2">
      <c r="BB1002" s="1" t="s">
        <v>1883</v>
      </c>
      <c r="BC1002" s="1" t="s">
        <v>878</v>
      </c>
    </row>
    <row r="1003" spans="54:55" x14ac:dyDescent="0.2">
      <c r="BB1003" s="1" t="s">
        <v>1884</v>
      </c>
      <c r="BC1003" s="1" t="s">
        <v>878</v>
      </c>
    </row>
    <row r="1004" spans="54:55" x14ac:dyDescent="0.2">
      <c r="BB1004" s="1" t="s">
        <v>1885</v>
      </c>
      <c r="BC1004" s="1" t="s">
        <v>878</v>
      </c>
    </row>
    <row r="1005" spans="54:55" x14ac:dyDescent="0.2">
      <c r="BB1005" s="1" t="s">
        <v>1886</v>
      </c>
      <c r="BC1005" s="1" t="s">
        <v>878</v>
      </c>
    </row>
    <row r="1006" spans="54:55" x14ac:dyDescent="0.2">
      <c r="BB1006" s="1" t="s">
        <v>1887</v>
      </c>
      <c r="BC1006" s="1" t="s">
        <v>878</v>
      </c>
    </row>
    <row r="1007" spans="54:55" x14ac:dyDescent="0.2">
      <c r="BB1007" s="1" t="s">
        <v>1888</v>
      </c>
      <c r="BC1007" s="1" t="s">
        <v>878</v>
      </c>
    </row>
    <row r="1008" spans="54:55" x14ac:dyDescent="0.2">
      <c r="BB1008" s="1" t="s">
        <v>1889</v>
      </c>
      <c r="BC1008" s="1" t="s">
        <v>1007</v>
      </c>
    </row>
    <row r="1009" spans="54:55" x14ac:dyDescent="0.2">
      <c r="BB1009" s="1" t="s">
        <v>1890</v>
      </c>
      <c r="BC1009" s="1" t="s">
        <v>878</v>
      </c>
    </row>
    <row r="1010" spans="54:55" x14ac:dyDescent="0.2">
      <c r="BB1010" s="1" t="s">
        <v>1891</v>
      </c>
      <c r="BC1010" s="1" t="s">
        <v>878</v>
      </c>
    </row>
    <row r="1011" spans="54:55" x14ac:dyDescent="0.2">
      <c r="BB1011" s="1" t="s">
        <v>1892</v>
      </c>
      <c r="BC1011" s="1" t="s">
        <v>878</v>
      </c>
    </row>
    <row r="1012" spans="54:55" x14ac:dyDescent="0.2">
      <c r="BB1012" s="1" t="s">
        <v>1893</v>
      </c>
      <c r="BC1012" s="1" t="s">
        <v>878</v>
      </c>
    </row>
    <row r="1013" spans="54:55" x14ac:dyDescent="0.2">
      <c r="BB1013" s="1" t="s">
        <v>1894</v>
      </c>
      <c r="BC1013" s="1" t="s">
        <v>893</v>
      </c>
    </row>
    <row r="1014" spans="54:55" x14ac:dyDescent="0.2">
      <c r="BB1014" s="1" t="s">
        <v>1895</v>
      </c>
      <c r="BC1014" s="1" t="s">
        <v>893</v>
      </c>
    </row>
    <row r="1015" spans="54:55" x14ac:dyDescent="0.2">
      <c r="BB1015" s="1" t="s">
        <v>1896</v>
      </c>
      <c r="BC1015" s="1" t="s">
        <v>878</v>
      </c>
    </row>
    <row r="1016" spans="54:55" x14ac:dyDescent="0.2">
      <c r="BB1016" s="1" t="s">
        <v>1897</v>
      </c>
      <c r="BC1016" s="1" t="s">
        <v>878</v>
      </c>
    </row>
    <row r="1017" spans="54:55" x14ac:dyDescent="0.2">
      <c r="BB1017" s="1" t="s">
        <v>1898</v>
      </c>
      <c r="BC1017" s="1" t="s">
        <v>878</v>
      </c>
    </row>
    <row r="1018" spans="54:55" x14ac:dyDescent="0.2">
      <c r="BB1018" s="1" t="s">
        <v>1899</v>
      </c>
      <c r="BC1018" s="1" t="s">
        <v>878</v>
      </c>
    </row>
    <row r="1019" spans="54:55" x14ac:dyDescent="0.2">
      <c r="BB1019" s="1" t="s">
        <v>1900</v>
      </c>
      <c r="BC1019" s="1" t="s">
        <v>878</v>
      </c>
    </row>
    <row r="1020" spans="54:55" x14ac:dyDescent="0.2">
      <c r="BB1020" s="1" t="s">
        <v>1901</v>
      </c>
      <c r="BC1020" s="1" t="s">
        <v>878</v>
      </c>
    </row>
    <row r="1021" spans="54:55" x14ac:dyDescent="0.2">
      <c r="BB1021" s="1" t="s">
        <v>1902</v>
      </c>
      <c r="BC1021" s="1" t="s">
        <v>878</v>
      </c>
    </row>
    <row r="1022" spans="54:55" x14ac:dyDescent="0.2">
      <c r="BB1022" s="1" t="s">
        <v>1903</v>
      </c>
      <c r="BC1022" s="1" t="s">
        <v>878</v>
      </c>
    </row>
    <row r="1023" spans="54:55" x14ac:dyDescent="0.2">
      <c r="BB1023" s="1" t="s">
        <v>1904</v>
      </c>
      <c r="BC1023" s="1" t="s">
        <v>878</v>
      </c>
    </row>
    <row r="1024" spans="54:55" x14ac:dyDescent="0.2">
      <c r="BB1024" s="1" t="s">
        <v>1905</v>
      </c>
      <c r="BC1024" s="1" t="s">
        <v>893</v>
      </c>
    </row>
    <row r="1025" spans="54:55" x14ac:dyDescent="0.2">
      <c r="BB1025" s="1" t="s">
        <v>1906</v>
      </c>
      <c r="BC1025" s="1" t="s">
        <v>881</v>
      </c>
    </row>
    <row r="1026" spans="54:55" x14ac:dyDescent="0.2">
      <c r="BB1026" s="1" t="s">
        <v>1907</v>
      </c>
      <c r="BC1026" s="1" t="s">
        <v>878</v>
      </c>
    </row>
    <row r="1027" spans="54:55" x14ac:dyDescent="0.2">
      <c r="BB1027" s="1" t="s">
        <v>1908</v>
      </c>
      <c r="BC1027" s="1" t="s">
        <v>887</v>
      </c>
    </row>
    <row r="1028" spans="54:55" x14ac:dyDescent="0.2">
      <c r="BB1028" s="1" t="s">
        <v>1909</v>
      </c>
      <c r="BC1028" s="1" t="s">
        <v>887</v>
      </c>
    </row>
    <row r="1029" spans="54:55" x14ac:dyDescent="0.2">
      <c r="BB1029" s="1" t="s">
        <v>1910</v>
      </c>
      <c r="BC1029" s="1" t="s">
        <v>878</v>
      </c>
    </row>
    <row r="1030" spans="54:55" x14ac:dyDescent="0.2">
      <c r="BB1030" s="1" t="s">
        <v>1911</v>
      </c>
      <c r="BC1030" s="1" t="s">
        <v>878</v>
      </c>
    </row>
    <row r="1031" spans="54:55" x14ac:dyDescent="0.2">
      <c r="BB1031" s="1" t="s">
        <v>1912</v>
      </c>
      <c r="BC1031" s="1" t="s">
        <v>878</v>
      </c>
    </row>
    <row r="1032" spans="54:55" x14ac:dyDescent="0.2">
      <c r="BB1032" s="1" t="s">
        <v>1913</v>
      </c>
      <c r="BC1032" s="1" t="s">
        <v>878</v>
      </c>
    </row>
    <row r="1033" spans="54:55" x14ac:dyDescent="0.2">
      <c r="BB1033" s="1" t="s">
        <v>1914</v>
      </c>
      <c r="BC1033" s="1" t="s">
        <v>878</v>
      </c>
    </row>
    <row r="1034" spans="54:55" x14ac:dyDescent="0.2">
      <c r="BB1034" s="1" t="s">
        <v>1915</v>
      </c>
      <c r="BC1034" s="1" t="s">
        <v>878</v>
      </c>
    </row>
    <row r="1035" spans="54:55" x14ac:dyDescent="0.2">
      <c r="BB1035" s="1" t="s">
        <v>1916</v>
      </c>
      <c r="BC1035" s="1" t="s">
        <v>878</v>
      </c>
    </row>
    <row r="1036" spans="54:55" x14ac:dyDescent="0.2">
      <c r="BB1036" s="1" t="s">
        <v>1917</v>
      </c>
      <c r="BC1036" s="1" t="s">
        <v>878</v>
      </c>
    </row>
    <row r="1037" spans="54:55" x14ac:dyDescent="0.2">
      <c r="BB1037" s="1" t="s">
        <v>1918</v>
      </c>
      <c r="BC1037" s="1" t="s">
        <v>887</v>
      </c>
    </row>
    <row r="1038" spans="54:55" x14ac:dyDescent="0.2">
      <c r="BB1038" s="1" t="s">
        <v>1919</v>
      </c>
      <c r="BC1038" s="1" t="s">
        <v>893</v>
      </c>
    </row>
    <row r="1039" spans="54:55" x14ac:dyDescent="0.2">
      <c r="BB1039" s="1" t="s">
        <v>1920</v>
      </c>
      <c r="BC1039" s="1" t="s">
        <v>878</v>
      </c>
    </row>
    <row r="1040" spans="54:55" x14ac:dyDescent="0.2">
      <c r="BB1040" s="1" t="s">
        <v>1921</v>
      </c>
      <c r="BC1040" s="1" t="s">
        <v>887</v>
      </c>
    </row>
    <row r="1041" spans="54:55" x14ac:dyDescent="0.2">
      <c r="BB1041" s="1" t="s">
        <v>1922</v>
      </c>
      <c r="BC1041" s="1" t="s">
        <v>878</v>
      </c>
    </row>
    <row r="1042" spans="54:55" x14ac:dyDescent="0.2">
      <c r="BB1042" s="1" t="s">
        <v>1923</v>
      </c>
      <c r="BC1042" s="1" t="s">
        <v>881</v>
      </c>
    </row>
    <row r="1043" spans="54:55" x14ac:dyDescent="0.2">
      <c r="BB1043" s="1" t="s">
        <v>1924</v>
      </c>
      <c r="BC1043" s="1" t="s">
        <v>878</v>
      </c>
    </row>
    <row r="1044" spans="54:55" x14ac:dyDescent="0.2">
      <c r="BB1044" s="1" t="s">
        <v>1925</v>
      </c>
      <c r="BC1044" s="1" t="s">
        <v>893</v>
      </c>
    </row>
    <row r="1045" spans="54:55" x14ac:dyDescent="0.2">
      <c r="BB1045" s="1" t="s">
        <v>1926</v>
      </c>
      <c r="BC1045" s="1" t="s">
        <v>883</v>
      </c>
    </row>
    <row r="1046" spans="54:55" x14ac:dyDescent="0.2">
      <c r="BB1046" s="1" t="s">
        <v>1927</v>
      </c>
      <c r="BC1046" s="1" t="s">
        <v>887</v>
      </c>
    </row>
    <row r="1047" spans="54:55" x14ac:dyDescent="0.2">
      <c r="BB1047" s="1" t="s">
        <v>1928</v>
      </c>
      <c r="BC1047" s="1" t="s">
        <v>885</v>
      </c>
    </row>
    <row r="1048" spans="54:55" x14ac:dyDescent="0.2">
      <c r="BB1048" s="1" t="s">
        <v>1929</v>
      </c>
      <c r="BC1048" s="1" t="s">
        <v>878</v>
      </c>
    </row>
    <row r="1049" spans="54:55" x14ac:dyDescent="0.2">
      <c r="BB1049" s="1" t="s">
        <v>1930</v>
      </c>
      <c r="BC1049" s="1" t="s">
        <v>878</v>
      </c>
    </row>
    <row r="1050" spans="54:55" x14ac:dyDescent="0.2">
      <c r="BB1050" s="1" t="s">
        <v>1931</v>
      </c>
      <c r="BC1050" s="1" t="s">
        <v>1007</v>
      </c>
    </row>
    <row r="1051" spans="54:55" x14ac:dyDescent="0.2">
      <c r="BB1051" s="1" t="s">
        <v>1932</v>
      </c>
      <c r="BC1051" s="1" t="s">
        <v>895</v>
      </c>
    </row>
    <row r="1052" spans="54:55" x14ac:dyDescent="0.2">
      <c r="BB1052" s="1" t="s">
        <v>1933</v>
      </c>
      <c r="BC1052" s="1" t="s">
        <v>878</v>
      </c>
    </row>
    <row r="1053" spans="54:55" x14ac:dyDescent="0.2">
      <c r="BB1053" s="1" t="s">
        <v>1934</v>
      </c>
      <c r="BC1053" s="1" t="s">
        <v>887</v>
      </c>
    </row>
    <row r="1054" spans="54:55" x14ac:dyDescent="0.2">
      <c r="BB1054" s="1" t="s">
        <v>1935</v>
      </c>
      <c r="BC1054" s="1" t="s">
        <v>893</v>
      </c>
    </row>
    <row r="1055" spans="54:55" x14ac:dyDescent="0.2">
      <c r="BB1055" s="1" t="s">
        <v>1936</v>
      </c>
      <c r="BC1055" s="1" t="s">
        <v>893</v>
      </c>
    </row>
    <row r="1056" spans="54:55" x14ac:dyDescent="0.2">
      <c r="BB1056" s="1" t="s">
        <v>1937</v>
      </c>
      <c r="BC1056" s="1" t="s">
        <v>878</v>
      </c>
    </row>
    <row r="1057" spans="54:55" x14ac:dyDescent="0.2">
      <c r="BB1057" s="1" t="s">
        <v>1938</v>
      </c>
      <c r="BC1057" s="1" t="s">
        <v>878</v>
      </c>
    </row>
    <row r="1058" spans="54:55" x14ac:dyDescent="0.2">
      <c r="BB1058" s="1" t="s">
        <v>1939</v>
      </c>
      <c r="BC1058" s="1" t="s">
        <v>878</v>
      </c>
    </row>
    <row r="1059" spans="54:55" x14ac:dyDescent="0.2">
      <c r="BB1059" s="1" t="s">
        <v>1940</v>
      </c>
      <c r="BC1059" s="1" t="s">
        <v>878</v>
      </c>
    </row>
    <row r="1060" spans="54:55" x14ac:dyDescent="0.2">
      <c r="BB1060" s="1" t="s">
        <v>1941</v>
      </c>
      <c r="BC1060" s="1" t="s">
        <v>878</v>
      </c>
    </row>
    <row r="1061" spans="54:55" x14ac:dyDescent="0.2">
      <c r="BB1061" s="1" t="s">
        <v>1942</v>
      </c>
      <c r="BC1061" s="1" t="s">
        <v>887</v>
      </c>
    </row>
    <row r="1062" spans="54:55" x14ac:dyDescent="0.2">
      <c r="BB1062" s="1" t="s">
        <v>1943</v>
      </c>
      <c r="BC1062" s="1" t="s">
        <v>878</v>
      </c>
    </row>
    <row r="1063" spans="54:55" x14ac:dyDescent="0.2">
      <c r="BB1063" s="1" t="s">
        <v>1944</v>
      </c>
      <c r="BC1063" s="1" t="s">
        <v>878</v>
      </c>
    </row>
    <row r="1064" spans="54:55" x14ac:dyDescent="0.2">
      <c r="BB1064" s="1" t="s">
        <v>1945</v>
      </c>
      <c r="BC1064" s="1" t="s">
        <v>887</v>
      </c>
    </row>
    <row r="1065" spans="54:55" x14ac:dyDescent="0.2">
      <c r="BB1065" s="1" t="s">
        <v>1946</v>
      </c>
      <c r="BC1065" s="1" t="s">
        <v>878</v>
      </c>
    </row>
    <row r="1066" spans="54:55" x14ac:dyDescent="0.2">
      <c r="BB1066" s="1" t="s">
        <v>1947</v>
      </c>
      <c r="BC1066" s="1" t="s">
        <v>883</v>
      </c>
    </row>
    <row r="1067" spans="54:55" x14ac:dyDescent="0.2">
      <c r="BB1067" s="1" t="s">
        <v>1948</v>
      </c>
      <c r="BC1067" s="1" t="s">
        <v>887</v>
      </c>
    </row>
    <row r="1068" spans="54:55" x14ac:dyDescent="0.2">
      <c r="BB1068" s="1" t="s">
        <v>1949</v>
      </c>
      <c r="BC1068" s="1" t="s">
        <v>878</v>
      </c>
    </row>
    <row r="1069" spans="54:55" x14ac:dyDescent="0.2">
      <c r="BB1069" s="1" t="s">
        <v>1950</v>
      </c>
      <c r="BC1069" s="1" t="s">
        <v>878</v>
      </c>
    </row>
    <row r="1070" spans="54:55" x14ac:dyDescent="0.2">
      <c r="BB1070" s="1" t="s">
        <v>1951</v>
      </c>
      <c r="BC1070" s="1" t="s">
        <v>878</v>
      </c>
    </row>
    <row r="1071" spans="54:55" x14ac:dyDescent="0.2">
      <c r="BB1071" s="1" t="s">
        <v>1952</v>
      </c>
      <c r="BC1071" s="1" t="s">
        <v>878</v>
      </c>
    </row>
    <row r="1072" spans="54:55" x14ac:dyDescent="0.2">
      <c r="BB1072" s="1" t="s">
        <v>1953</v>
      </c>
      <c r="BC1072" s="1" t="s">
        <v>893</v>
      </c>
    </row>
    <row r="1073" spans="54:55" x14ac:dyDescent="0.2">
      <c r="BB1073" s="1" t="s">
        <v>1954</v>
      </c>
      <c r="BC1073" s="1" t="s">
        <v>878</v>
      </c>
    </row>
    <row r="1074" spans="54:55" x14ac:dyDescent="0.2">
      <c r="BB1074" s="1" t="s">
        <v>1955</v>
      </c>
      <c r="BC1074" s="1" t="s">
        <v>878</v>
      </c>
    </row>
    <row r="1075" spans="54:55" x14ac:dyDescent="0.2">
      <c r="BB1075" s="1" t="s">
        <v>1956</v>
      </c>
      <c r="BC1075" s="1" t="s">
        <v>883</v>
      </c>
    </row>
    <row r="1076" spans="54:55" x14ac:dyDescent="0.2">
      <c r="BB1076" s="1" t="s">
        <v>1957</v>
      </c>
      <c r="BC1076" s="1" t="s">
        <v>883</v>
      </c>
    </row>
    <row r="1077" spans="54:55" x14ac:dyDescent="0.2">
      <c r="BB1077" s="1" t="s">
        <v>1958</v>
      </c>
      <c r="BC1077" s="1" t="s">
        <v>878</v>
      </c>
    </row>
    <row r="1078" spans="54:55" x14ac:dyDescent="0.2">
      <c r="BB1078" s="1" t="s">
        <v>1959</v>
      </c>
      <c r="BC1078" s="1" t="s">
        <v>878</v>
      </c>
    </row>
    <row r="1079" spans="54:55" x14ac:dyDescent="0.2">
      <c r="BB1079" s="1" t="s">
        <v>1960</v>
      </c>
      <c r="BC1079" s="1" t="s">
        <v>878</v>
      </c>
    </row>
    <row r="1080" spans="54:55" x14ac:dyDescent="0.2">
      <c r="BB1080" s="1" t="s">
        <v>1961</v>
      </c>
      <c r="BC1080" s="1" t="s">
        <v>878</v>
      </c>
    </row>
    <row r="1081" spans="54:55" x14ac:dyDescent="0.2">
      <c r="BB1081" s="1" t="s">
        <v>1962</v>
      </c>
      <c r="BC1081" s="1" t="s">
        <v>878</v>
      </c>
    </row>
    <row r="1082" spans="54:55" x14ac:dyDescent="0.2">
      <c r="BB1082" s="1" t="s">
        <v>1963</v>
      </c>
      <c r="BC1082" s="1" t="s">
        <v>878</v>
      </c>
    </row>
    <row r="1083" spans="54:55" x14ac:dyDescent="0.2">
      <c r="BB1083" s="1" t="s">
        <v>1964</v>
      </c>
      <c r="BC1083" s="1" t="s">
        <v>878</v>
      </c>
    </row>
    <row r="1084" spans="54:55" x14ac:dyDescent="0.2">
      <c r="BB1084" s="1" t="s">
        <v>1965</v>
      </c>
      <c r="BC1084" s="1" t="s">
        <v>878</v>
      </c>
    </row>
    <row r="1085" spans="54:55" x14ac:dyDescent="0.2">
      <c r="BB1085" s="1" t="s">
        <v>1966</v>
      </c>
      <c r="BC1085" s="1" t="s">
        <v>883</v>
      </c>
    </row>
    <row r="1086" spans="54:55" x14ac:dyDescent="0.2">
      <c r="BB1086" s="1" t="s">
        <v>1967</v>
      </c>
      <c r="BC1086" s="1" t="s">
        <v>881</v>
      </c>
    </row>
    <row r="1087" spans="54:55" x14ac:dyDescent="0.2">
      <c r="BB1087" s="1" t="s">
        <v>1968</v>
      </c>
      <c r="BC1087" s="1" t="s">
        <v>878</v>
      </c>
    </row>
    <row r="1088" spans="54:55" x14ac:dyDescent="0.2">
      <c r="BB1088" s="1" t="s">
        <v>1969</v>
      </c>
      <c r="BC1088" s="1" t="s">
        <v>885</v>
      </c>
    </row>
    <row r="1089" spans="54:55" x14ac:dyDescent="0.2">
      <c r="BB1089" s="1" t="s">
        <v>1970</v>
      </c>
      <c r="BC1089" s="1" t="s">
        <v>878</v>
      </c>
    </row>
    <row r="1090" spans="54:55" x14ac:dyDescent="0.2">
      <c r="BB1090" s="1" t="s">
        <v>1971</v>
      </c>
      <c r="BC1090" s="1" t="s">
        <v>878</v>
      </c>
    </row>
    <row r="1091" spans="54:55" x14ac:dyDescent="0.2">
      <c r="BB1091" s="1" t="s">
        <v>1972</v>
      </c>
      <c r="BC1091" s="1" t="s">
        <v>885</v>
      </c>
    </row>
    <row r="1092" spans="54:55" x14ac:dyDescent="0.2">
      <c r="BB1092" s="1" t="s">
        <v>1973</v>
      </c>
      <c r="BC1092" s="1" t="s">
        <v>893</v>
      </c>
    </row>
    <row r="1093" spans="54:55" x14ac:dyDescent="0.2">
      <c r="BB1093" s="1" t="s">
        <v>1974</v>
      </c>
      <c r="BC1093" s="1" t="s">
        <v>878</v>
      </c>
    </row>
    <row r="1094" spans="54:55" x14ac:dyDescent="0.2">
      <c r="BB1094" s="1" t="s">
        <v>1975</v>
      </c>
      <c r="BC1094" s="1" t="s">
        <v>878</v>
      </c>
    </row>
    <row r="1095" spans="54:55" x14ac:dyDescent="0.2">
      <c r="BB1095" s="1" t="s">
        <v>1976</v>
      </c>
      <c r="BC1095" s="1" t="s">
        <v>887</v>
      </c>
    </row>
    <row r="1096" spans="54:55" x14ac:dyDescent="0.2">
      <c r="BB1096" s="1" t="s">
        <v>1977</v>
      </c>
      <c r="BC1096" s="1" t="s">
        <v>878</v>
      </c>
    </row>
    <row r="1097" spans="54:55" x14ac:dyDescent="0.2">
      <c r="BB1097" s="1" t="s">
        <v>1978</v>
      </c>
      <c r="BC1097" s="1" t="s">
        <v>878</v>
      </c>
    </row>
    <row r="1098" spans="54:55" x14ac:dyDescent="0.2">
      <c r="BB1098" s="1" t="s">
        <v>1979</v>
      </c>
      <c r="BC1098" s="1" t="s">
        <v>887</v>
      </c>
    </row>
    <row r="1099" spans="54:55" x14ac:dyDescent="0.2">
      <c r="BB1099" s="1" t="s">
        <v>1980</v>
      </c>
      <c r="BC1099" s="1" t="s">
        <v>883</v>
      </c>
    </row>
    <row r="1100" spans="54:55" x14ac:dyDescent="0.2">
      <c r="BB1100" s="1" t="s">
        <v>1981</v>
      </c>
      <c r="BC1100" s="1" t="s">
        <v>878</v>
      </c>
    </row>
    <row r="1101" spans="54:55" x14ac:dyDescent="0.2">
      <c r="BB1101" s="1" t="s">
        <v>1982</v>
      </c>
      <c r="BC1101" s="1" t="s">
        <v>878</v>
      </c>
    </row>
    <row r="1102" spans="54:55" x14ac:dyDescent="0.2">
      <c r="BB1102" s="1" t="s">
        <v>1983</v>
      </c>
      <c r="BC1102" s="1" t="s">
        <v>878</v>
      </c>
    </row>
    <row r="1103" spans="54:55" x14ac:dyDescent="0.2">
      <c r="BB1103" s="1" t="s">
        <v>1984</v>
      </c>
      <c r="BC1103" s="1" t="s">
        <v>878</v>
      </c>
    </row>
    <row r="1104" spans="54:55" x14ac:dyDescent="0.2">
      <c r="BB1104" s="1" t="s">
        <v>1985</v>
      </c>
      <c r="BC1104" s="1" t="s">
        <v>878</v>
      </c>
    </row>
    <row r="1105" spans="54:55" x14ac:dyDescent="0.2">
      <c r="BB1105" s="1" t="s">
        <v>1986</v>
      </c>
      <c r="BC1105" s="1" t="s">
        <v>878</v>
      </c>
    </row>
    <row r="1106" spans="54:55" x14ac:dyDescent="0.2">
      <c r="BB1106" s="1" t="s">
        <v>1987</v>
      </c>
      <c r="BC1106" s="1" t="s">
        <v>878</v>
      </c>
    </row>
    <row r="1107" spans="54:55" x14ac:dyDescent="0.2">
      <c r="BB1107" s="1" t="s">
        <v>1988</v>
      </c>
      <c r="BC1107" s="1" t="s">
        <v>887</v>
      </c>
    </row>
    <row r="1108" spans="54:55" x14ac:dyDescent="0.2">
      <c r="BB1108" s="1" t="s">
        <v>1989</v>
      </c>
      <c r="BC1108" s="1" t="s">
        <v>878</v>
      </c>
    </row>
    <row r="1109" spans="54:55" x14ac:dyDescent="0.2">
      <c r="BB1109" s="1" t="s">
        <v>1990</v>
      </c>
      <c r="BC1109" s="1" t="s">
        <v>878</v>
      </c>
    </row>
    <row r="1110" spans="54:55" x14ac:dyDescent="0.2">
      <c r="BB1110" s="1" t="s">
        <v>1991</v>
      </c>
      <c r="BC1110" s="1" t="s">
        <v>878</v>
      </c>
    </row>
    <row r="1111" spans="54:55" x14ac:dyDescent="0.2">
      <c r="BB1111" s="1" t="s">
        <v>1992</v>
      </c>
      <c r="BC1111" s="1" t="s">
        <v>893</v>
      </c>
    </row>
    <row r="1112" spans="54:55" x14ac:dyDescent="0.2">
      <c r="BB1112" s="1" t="s">
        <v>1993</v>
      </c>
      <c r="BC1112" s="1" t="s">
        <v>878</v>
      </c>
    </row>
    <row r="1113" spans="54:55" x14ac:dyDescent="0.2">
      <c r="BB1113" s="1" t="s">
        <v>1994</v>
      </c>
      <c r="BC1113" s="1" t="s">
        <v>878</v>
      </c>
    </row>
    <row r="1114" spans="54:55" x14ac:dyDescent="0.2">
      <c r="BB1114" s="1" t="s">
        <v>1995</v>
      </c>
      <c r="BC1114" s="1" t="s">
        <v>878</v>
      </c>
    </row>
    <row r="1115" spans="54:55" x14ac:dyDescent="0.2">
      <c r="BB1115" s="1" t="s">
        <v>1996</v>
      </c>
      <c r="BC1115" s="1" t="s">
        <v>878</v>
      </c>
    </row>
    <row r="1116" spans="54:55" x14ac:dyDescent="0.2">
      <c r="BB1116" s="1" t="s">
        <v>1997</v>
      </c>
      <c r="BC1116" s="1" t="s">
        <v>1007</v>
      </c>
    </row>
    <row r="1117" spans="54:55" x14ac:dyDescent="0.2">
      <c r="BB1117" s="1" t="s">
        <v>1998</v>
      </c>
      <c r="BC1117" s="1" t="s">
        <v>1007</v>
      </c>
    </row>
    <row r="1118" spans="54:55" x14ac:dyDescent="0.2">
      <c r="BB1118" s="1" t="s">
        <v>1999</v>
      </c>
      <c r="BC1118" s="1" t="s">
        <v>878</v>
      </c>
    </row>
    <row r="1119" spans="54:55" x14ac:dyDescent="0.2">
      <c r="BB1119" s="1" t="s">
        <v>2000</v>
      </c>
      <c r="BC1119" s="1" t="s">
        <v>878</v>
      </c>
    </row>
    <row r="1120" spans="54:55" x14ac:dyDescent="0.2">
      <c r="BB1120" s="1" t="s">
        <v>2001</v>
      </c>
      <c r="BC1120" s="1" t="s">
        <v>887</v>
      </c>
    </row>
    <row r="1121" spans="54:55" x14ac:dyDescent="0.2">
      <c r="BB1121" s="1" t="s">
        <v>2002</v>
      </c>
      <c r="BC1121" s="1" t="s">
        <v>878</v>
      </c>
    </row>
    <row r="1122" spans="54:55" x14ac:dyDescent="0.2">
      <c r="BB1122" s="1" t="s">
        <v>2003</v>
      </c>
      <c r="BC1122" s="1" t="s">
        <v>1007</v>
      </c>
    </row>
    <row r="1123" spans="54:55" x14ac:dyDescent="0.2">
      <c r="BB1123" s="1" t="s">
        <v>2004</v>
      </c>
      <c r="BC1123" s="1" t="s">
        <v>878</v>
      </c>
    </row>
    <row r="1124" spans="54:55" x14ac:dyDescent="0.2">
      <c r="BB1124" s="1" t="s">
        <v>2005</v>
      </c>
      <c r="BC1124" s="1" t="s">
        <v>878</v>
      </c>
    </row>
    <row r="1125" spans="54:55" x14ac:dyDescent="0.2">
      <c r="BB1125" s="1" t="s">
        <v>2006</v>
      </c>
      <c r="BC1125" s="1" t="s">
        <v>883</v>
      </c>
    </row>
    <row r="1126" spans="54:55" x14ac:dyDescent="0.2">
      <c r="BB1126" s="1" t="s">
        <v>2007</v>
      </c>
      <c r="BC1126" s="1" t="s">
        <v>883</v>
      </c>
    </row>
    <row r="1127" spans="54:55" x14ac:dyDescent="0.2">
      <c r="BB1127" s="1" t="s">
        <v>2008</v>
      </c>
      <c r="BC1127" s="1" t="s">
        <v>878</v>
      </c>
    </row>
    <row r="1128" spans="54:55" x14ac:dyDescent="0.2">
      <c r="BB1128" s="1" t="s">
        <v>2009</v>
      </c>
      <c r="BC1128" s="1" t="s">
        <v>1007</v>
      </c>
    </row>
    <row r="1129" spans="54:55" x14ac:dyDescent="0.2">
      <c r="BB1129" s="1" t="s">
        <v>2010</v>
      </c>
      <c r="BC1129" s="1" t="s">
        <v>887</v>
      </c>
    </row>
    <row r="1130" spans="54:55" x14ac:dyDescent="0.2">
      <c r="BB1130" s="1" t="s">
        <v>2011</v>
      </c>
      <c r="BC1130" s="1" t="s">
        <v>878</v>
      </c>
    </row>
    <row r="1131" spans="54:55" x14ac:dyDescent="0.2">
      <c r="BB1131" s="1" t="s">
        <v>2012</v>
      </c>
      <c r="BC1131" s="1" t="s">
        <v>878</v>
      </c>
    </row>
    <row r="1132" spans="54:55" x14ac:dyDescent="0.2">
      <c r="BB1132" s="1" t="s">
        <v>2013</v>
      </c>
      <c r="BC1132" s="1" t="s">
        <v>1007</v>
      </c>
    </row>
    <row r="1133" spans="54:55" x14ac:dyDescent="0.2">
      <c r="BB1133" s="1" t="s">
        <v>2014</v>
      </c>
      <c r="BC1133" s="1" t="s">
        <v>878</v>
      </c>
    </row>
    <row r="1134" spans="54:55" x14ac:dyDescent="0.2">
      <c r="BB1134" s="1" t="s">
        <v>2015</v>
      </c>
      <c r="BC1134" s="1" t="s">
        <v>883</v>
      </c>
    </row>
    <row r="1135" spans="54:55" x14ac:dyDescent="0.2">
      <c r="BB1135" s="1" t="s">
        <v>2016</v>
      </c>
      <c r="BC1135" s="1" t="s">
        <v>885</v>
      </c>
    </row>
    <row r="1136" spans="54:55" x14ac:dyDescent="0.2">
      <c r="BB1136" s="1" t="s">
        <v>2017</v>
      </c>
      <c r="BC1136" s="1" t="s">
        <v>883</v>
      </c>
    </row>
    <row r="1137" spans="54:55" x14ac:dyDescent="0.2">
      <c r="BB1137" s="1" t="s">
        <v>2018</v>
      </c>
      <c r="BC1137" s="1" t="s">
        <v>878</v>
      </c>
    </row>
    <row r="1138" spans="54:55" x14ac:dyDescent="0.2">
      <c r="BB1138" s="1" t="s">
        <v>2019</v>
      </c>
      <c r="BC1138" s="1" t="s">
        <v>887</v>
      </c>
    </row>
    <row r="1139" spans="54:55" x14ac:dyDescent="0.2">
      <c r="BB1139" s="1" t="s">
        <v>2020</v>
      </c>
      <c r="BC1139" s="1" t="s">
        <v>878</v>
      </c>
    </row>
    <row r="1140" spans="54:55" x14ac:dyDescent="0.2">
      <c r="BB1140" s="1" t="s">
        <v>2021</v>
      </c>
      <c r="BC1140" s="1" t="s">
        <v>881</v>
      </c>
    </row>
    <row r="1141" spans="54:55" x14ac:dyDescent="0.2">
      <c r="BB1141" s="1" t="s">
        <v>2022</v>
      </c>
      <c r="BC1141" s="1" t="s">
        <v>1039</v>
      </c>
    </row>
    <row r="1142" spans="54:55" x14ac:dyDescent="0.2">
      <c r="BB1142" s="1" t="s">
        <v>2023</v>
      </c>
      <c r="BC1142" s="1" t="s">
        <v>883</v>
      </c>
    </row>
    <row r="1143" spans="54:55" x14ac:dyDescent="0.2">
      <c r="BB1143" s="1" t="s">
        <v>2024</v>
      </c>
      <c r="BC1143" s="1" t="s">
        <v>893</v>
      </c>
    </row>
    <row r="1144" spans="54:55" x14ac:dyDescent="0.2">
      <c r="BB1144" s="1" t="s">
        <v>2025</v>
      </c>
      <c r="BC1144" s="1" t="s">
        <v>878</v>
      </c>
    </row>
    <row r="1145" spans="54:55" x14ac:dyDescent="0.2">
      <c r="BB1145" s="1" t="s">
        <v>2026</v>
      </c>
      <c r="BC1145" s="1" t="s">
        <v>885</v>
      </c>
    </row>
    <row r="1146" spans="54:55" x14ac:dyDescent="0.2">
      <c r="BB1146" s="1" t="s">
        <v>2027</v>
      </c>
      <c r="BC1146" s="1" t="s">
        <v>878</v>
      </c>
    </row>
    <row r="1147" spans="54:55" x14ac:dyDescent="0.2">
      <c r="BB1147" s="1" t="s">
        <v>2028</v>
      </c>
      <c r="BC1147" s="1" t="s">
        <v>878</v>
      </c>
    </row>
    <row r="1148" spans="54:55" x14ac:dyDescent="0.2">
      <c r="BB1148" s="1" t="s">
        <v>2029</v>
      </c>
      <c r="BC1148" s="1" t="s">
        <v>885</v>
      </c>
    </row>
    <row r="1149" spans="54:55" x14ac:dyDescent="0.2">
      <c r="BB1149" s="1" t="s">
        <v>2030</v>
      </c>
      <c r="BC1149" s="1" t="s">
        <v>878</v>
      </c>
    </row>
    <row r="1150" spans="54:55" x14ac:dyDescent="0.2">
      <c r="BB1150" s="1" t="s">
        <v>2031</v>
      </c>
      <c r="BC1150" s="1" t="s">
        <v>881</v>
      </c>
    </row>
    <row r="1151" spans="54:55" x14ac:dyDescent="0.2">
      <c r="BB1151" s="1" t="s">
        <v>2032</v>
      </c>
      <c r="BC1151" s="1" t="s">
        <v>878</v>
      </c>
    </row>
    <row r="1152" spans="54:55" x14ac:dyDescent="0.2">
      <c r="BB1152" s="1" t="s">
        <v>2033</v>
      </c>
      <c r="BC1152" s="1" t="s">
        <v>883</v>
      </c>
    </row>
    <row r="1153" spans="54:55" x14ac:dyDescent="0.2">
      <c r="BB1153" s="1" t="s">
        <v>2034</v>
      </c>
      <c r="BC1153" s="1" t="s">
        <v>883</v>
      </c>
    </row>
    <row r="1154" spans="54:55" x14ac:dyDescent="0.2">
      <c r="BB1154" s="1" t="s">
        <v>2035</v>
      </c>
      <c r="BC1154" s="1" t="s">
        <v>878</v>
      </c>
    </row>
    <row r="1155" spans="54:55" x14ac:dyDescent="0.2">
      <c r="BB1155" s="1" t="s">
        <v>2036</v>
      </c>
      <c r="BC1155" s="1" t="s">
        <v>878</v>
      </c>
    </row>
    <row r="1156" spans="54:55" x14ac:dyDescent="0.2">
      <c r="BB1156" s="1" t="s">
        <v>2037</v>
      </c>
      <c r="BC1156" s="1" t="s">
        <v>878</v>
      </c>
    </row>
    <row r="1157" spans="54:55" x14ac:dyDescent="0.2">
      <c r="BB1157" s="1" t="s">
        <v>2038</v>
      </c>
      <c r="BC1157" s="1" t="s">
        <v>883</v>
      </c>
    </row>
    <row r="1158" spans="54:55" x14ac:dyDescent="0.2">
      <c r="BB1158" s="1" t="s">
        <v>2039</v>
      </c>
      <c r="BC1158" s="1" t="s">
        <v>887</v>
      </c>
    </row>
    <row r="1159" spans="54:55" x14ac:dyDescent="0.2">
      <c r="BB1159" s="1" t="s">
        <v>2040</v>
      </c>
      <c r="BC1159" s="1" t="s">
        <v>878</v>
      </c>
    </row>
    <row r="1160" spans="54:55" x14ac:dyDescent="0.2">
      <c r="BB1160" s="1" t="s">
        <v>2041</v>
      </c>
      <c r="BC1160" s="1" t="s">
        <v>878</v>
      </c>
    </row>
    <row r="1161" spans="54:55" x14ac:dyDescent="0.2">
      <c r="BB1161" s="1" t="s">
        <v>2042</v>
      </c>
      <c r="BC1161" s="1" t="s">
        <v>893</v>
      </c>
    </row>
    <row r="1162" spans="54:55" x14ac:dyDescent="0.2">
      <c r="BB1162" s="1" t="s">
        <v>2043</v>
      </c>
      <c r="BC1162" s="1" t="s">
        <v>878</v>
      </c>
    </row>
    <row r="1163" spans="54:55" x14ac:dyDescent="0.2">
      <c r="BB1163" s="1" t="s">
        <v>2044</v>
      </c>
      <c r="BC1163" s="1" t="s">
        <v>878</v>
      </c>
    </row>
    <row r="1164" spans="54:55" x14ac:dyDescent="0.2">
      <c r="BB1164" s="1" t="s">
        <v>2045</v>
      </c>
      <c r="BC1164" s="1" t="s">
        <v>887</v>
      </c>
    </row>
    <row r="1165" spans="54:55" x14ac:dyDescent="0.2">
      <c r="BB1165" s="1" t="s">
        <v>2046</v>
      </c>
      <c r="BC1165" s="1" t="s">
        <v>878</v>
      </c>
    </row>
    <row r="1166" spans="54:55" x14ac:dyDescent="0.2">
      <c r="BB1166" s="1" t="s">
        <v>2047</v>
      </c>
      <c r="BC1166" s="1" t="s">
        <v>878</v>
      </c>
    </row>
    <row r="1167" spans="54:55" x14ac:dyDescent="0.2">
      <c r="BB1167" s="1" t="s">
        <v>2048</v>
      </c>
      <c r="BC1167" s="1" t="s">
        <v>893</v>
      </c>
    </row>
    <row r="1168" spans="54:55" x14ac:dyDescent="0.2">
      <c r="BB1168" s="1" t="s">
        <v>2049</v>
      </c>
      <c r="BC1168" s="1" t="s">
        <v>878</v>
      </c>
    </row>
    <row r="1169" spans="54:55" x14ac:dyDescent="0.2">
      <c r="BB1169" s="1" t="s">
        <v>2050</v>
      </c>
      <c r="BC1169" s="1" t="s">
        <v>878</v>
      </c>
    </row>
    <row r="1170" spans="54:55" x14ac:dyDescent="0.2">
      <c r="BB1170" s="1" t="s">
        <v>2051</v>
      </c>
      <c r="BC1170" s="1" t="s">
        <v>883</v>
      </c>
    </row>
    <row r="1171" spans="54:55" x14ac:dyDescent="0.2">
      <c r="BB1171" s="1" t="s">
        <v>2052</v>
      </c>
      <c r="BC1171" s="1" t="s">
        <v>881</v>
      </c>
    </row>
    <row r="1172" spans="54:55" x14ac:dyDescent="0.2">
      <c r="BB1172" s="1" t="s">
        <v>2053</v>
      </c>
      <c r="BC1172" s="1" t="s">
        <v>881</v>
      </c>
    </row>
    <row r="1173" spans="54:55" x14ac:dyDescent="0.2">
      <c r="BB1173" s="1" t="s">
        <v>2054</v>
      </c>
      <c r="BC1173" s="1" t="s">
        <v>878</v>
      </c>
    </row>
    <row r="1174" spans="54:55" x14ac:dyDescent="0.2">
      <c r="BB1174" s="1" t="s">
        <v>2055</v>
      </c>
      <c r="BC1174" s="1" t="s">
        <v>878</v>
      </c>
    </row>
    <row r="1175" spans="54:55" x14ac:dyDescent="0.2">
      <c r="BB1175" s="1" t="s">
        <v>2056</v>
      </c>
      <c r="BC1175" s="1" t="s">
        <v>878</v>
      </c>
    </row>
    <row r="1176" spans="54:55" x14ac:dyDescent="0.2">
      <c r="BB1176" s="1" t="s">
        <v>2057</v>
      </c>
      <c r="BC1176" s="1" t="s">
        <v>878</v>
      </c>
    </row>
    <row r="1177" spans="54:55" x14ac:dyDescent="0.2">
      <c r="BB1177" s="1" t="s">
        <v>2058</v>
      </c>
      <c r="BC1177" s="1" t="s">
        <v>878</v>
      </c>
    </row>
    <row r="1178" spans="54:55" x14ac:dyDescent="0.2">
      <c r="BB1178" s="1" t="s">
        <v>2059</v>
      </c>
      <c r="BC1178" s="1" t="s">
        <v>878</v>
      </c>
    </row>
    <row r="1179" spans="54:55" x14ac:dyDescent="0.2">
      <c r="BB1179" s="1" t="s">
        <v>2060</v>
      </c>
      <c r="BC1179" s="1" t="s">
        <v>885</v>
      </c>
    </row>
    <row r="1180" spans="54:55" x14ac:dyDescent="0.2">
      <c r="BB1180" s="1" t="s">
        <v>2061</v>
      </c>
      <c r="BC1180" s="1" t="s">
        <v>878</v>
      </c>
    </row>
    <row r="1181" spans="54:55" x14ac:dyDescent="0.2">
      <c r="BB1181" s="1" t="s">
        <v>2062</v>
      </c>
      <c r="BC1181" s="1" t="s">
        <v>878</v>
      </c>
    </row>
    <row r="1182" spans="54:55" x14ac:dyDescent="0.2">
      <c r="BB1182" s="1" t="s">
        <v>2063</v>
      </c>
      <c r="BC1182" s="1" t="s">
        <v>878</v>
      </c>
    </row>
    <row r="1183" spans="54:55" x14ac:dyDescent="0.2">
      <c r="BB1183" s="1" t="s">
        <v>2064</v>
      </c>
      <c r="BC1183" s="1" t="s">
        <v>893</v>
      </c>
    </row>
    <row r="1184" spans="54:55" x14ac:dyDescent="0.2">
      <c r="BB1184" s="1" t="s">
        <v>2065</v>
      </c>
      <c r="BC1184" s="1" t="s">
        <v>878</v>
      </c>
    </row>
    <row r="1185" spans="54:55" x14ac:dyDescent="0.2">
      <c r="BB1185" s="1" t="s">
        <v>2066</v>
      </c>
      <c r="BC1185" s="1" t="s">
        <v>878</v>
      </c>
    </row>
    <row r="1186" spans="54:55" x14ac:dyDescent="0.2">
      <c r="BB1186" s="1" t="s">
        <v>2067</v>
      </c>
      <c r="BC1186" s="1" t="s">
        <v>878</v>
      </c>
    </row>
    <row r="1187" spans="54:55" x14ac:dyDescent="0.2">
      <c r="BB1187" s="1" t="s">
        <v>2068</v>
      </c>
      <c r="BC1187" s="1" t="s">
        <v>878</v>
      </c>
    </row>
    <row r="1188" spans="54:55" x14ac:dyDescent="0.2">
      <c r="BB1188" s="1" t="s">
        <v>2069</v>
      </c>
      <c r="BC1188" s="1" t="s">
        <v>878</v>
      </c>
    </row>
    <row r="1189" spans="54:55" x14ac:dyDescent="0.2">
      <c r="BB1189" s="1" t="s">
        <v>2070</v>
      </c>
      <c r="BC1189" s="1" t="s">
        <v>885</v>
      </c>
    </row>
    <row r="1190" spans="54:55" x14ac:dyDescent="0.2">
      <c r="BB1190" s="1" t="s">
        <v>2071</v>
      </c>
      <c r="BC1190" s="1" t="s">
        <v>878</v>
      </c>
    </row>
    <row r="1191" spans="54:55" x14ac:dyDescent="0.2">
      <c r="BB1191" s="1" t="s">
        <v>2072</v>
      </c>
      <c r="BC1191" s="1" t="s">
        <v>881</v>
      </c>
    </row>
    <row r="1192" spans="54:55" x14ac:dyDescent="0.2">
      <c r="BB1192" s="1" t="s">
        <v>2073</v>
      </c>
      <c r="BC1192" s="1" t="s">
        <v>885</v>
      </c>
    </row>
    <row r="1193" spans="54:55" x14ac:dyDescent="0.2">
      <c r="BB1193" s="1" t="s">
        <v>2074</v>
      </c>
      <c r="BC1193" s="1" t="s">
        <v>887</v>
      </c>
    </row>
    <row r="1194" spans="54:55" x14ac:dyDescent="0.2">
      <c r="BB1194" s="1" t="s">
        <v>2075</v>
      </c>
      <c r="BC1194" s="1" t="s">
        <v>881</v>
      </c>
    </row>
    <row r="1195" spans="54:55" x14ac:dyDescent="0.2">
      <c r="BB1195" s="1" t="s">
        <v>2076</v>
      </c>
      <c r="BC1195" s="1" t="s">
        <v>878</v>
      </c>
    </row>
    <row r="1196" spans="54:55" x14ac:dyDescent="0.2">
      <c r="BB1196" s="1" t="s">
        <v>2077</v>
      </c>
      <c r="BC1196" s="1" t="s">
        <v>878</v>
      </c>
    </row>
    <row r="1197" spans="54:55" x14ac:dyDescent="0.2">
      <c r="BB1197" s="1" t="s">
        <v>2078</v>
      </c>
      <c r="BC1197" s="1" t="s">
        <v>878</v>
      </c>
    </row>
    <row r="1198" spans="54:55" x14ac:dyDescent="0.2">
      <c r="BB1198" s="1" t="s">
        <v>2079</v>
      </c>
      <c r="BC1198" s="1" t="s">
        <v>878</v>
      </c>
    </row>
    <row r="1199" spans="54:55" x14ac:dyDescent="0.2">
      <c r="BB1199" s="1" t="s">
        <v>2080</v>
      </c>
      <c r="BC1199" s="1" t="s">
        <v>883</v>
      </c>
    </row>
    <row r="1200" spans="54:55" x14ac:dyDescent="0.2">
      <c r="BB1200" s="1" t="s">
        <v>2081</v>
      </c>
      <c r="BC1200" s="1" t="s">
        <v>878</v>
      </c>
    </row>
    <row r="1201" spans="54:55" x14ac:dyDescent="0.2">
      <c r="BB1201" s="1" t="s">
        <v>2082</v>
      </c>
      <c r="BC1201" s="1" t="s">
        <v>887</v>
      </c>
    </row>
    <row r="1202" spans="54:55" x14ac:dyDescent="0.2">
      <c r="BB1202" s="1" t="s">
        <v>2083</v>
      </c>
      <c r="BC1202" s="1" t="s">
        <v>878</v>
      </c>
    </row>
    <row r="1203" spans="54:55" x14ac:dyDescent="0.2">
      <c r="BB1203" s="1" t="s">
        <v>2084</v>
      </c>
      <c r="BC1203" s="1" t="s">
        <v>878</v>
      </c>
    </row>
    <row r="1204" spans="54:55" x14ac:dyDescent="0.2">
      <c r="BB1204" s="1" t="s">
        <v>2085</v>
      </c>
      <c r="BC1204" s="1" t="s">
        <v>878</v>
      </c>
    </row>
    <row r="1205" spans="54:55" x14ac:dyDescent="0.2">
      <c r="BB1205" s="1" t="s">
        <v>2086</v>
      </c>
      <c r="BC1205" s="1" t="s">
        <v>878</v>
      </c>
    </row>
    <row r="1206" spans="54:55" x14ac:dyDescent="0.2">
      <c r="BB1206" s="1" t="s">
        <v>2087</v>
      </c>
      <c r="BC1206" s="1" t="s">
        <v>878</v>
      </c>
    </row>
    <row r="1207" spans="54:55" x14ac:dyDescent="0.2">
      <c r="BB1207" s="1" t="s">
        <v>2088</v>
      </c>
      <c r="BC1207" s="1" t="s">
        <v>878</v>
      </c>
    </row>
    <row r="1208" spans="54:55" x14ac:dyDescent="0.2">
      <c r="BB1208" s="1" t="s">
        <v>2089</v>
      </c>
      <c r="BC1208" s="1" t="s">
        <v>883</v>
      </c>
    </row>
    <row r="1209" spans="54:55" x14ac:dyDescent="0.2">
      <c r="BB1209" s="1" t="s">
        <v>2090</v>
      </c>
      <c r="BC1209" s="1" t="s">
        <v>878</v>
      </c>
    </row>
    <row r="1210" spans="54:55" x14ac:dyDescent="0.2">
      <c r="BB1210" s="1" t="s">
        <v>2091</v>
      </c>
      <c r="BC1210" s="1" t="s">
        <v>881</v>
      </c>
    </row>
    <row r="1211" spans="54:55" x14ac:dyDescent="0.2">
      <c r="BB1211" s="1" t="s">
        <v>2092</v>
      </c>
      <c r="BC1211" s="1" t="s">
        <v>878</v>
      </c>
    </row>
    <row r="1212" spans="54:55" x14ac:dyDescent="0.2">
      <c r="BB1212" s="1" t="s">
        <v>2093</v>
      </c>
      <c r="BC1212" s="1" t="s">
        <v>883</v>
      </c>
    </row>
    <row r="1213" spans="54:55" x14ac:dyDescent="0.2">
      <c r="BB1213" s="1" t="s">
        <v>2094</v>
      </c>
      <c r="BC1213" s="1" t="s">
        <v>887</v>
      </c>
    </row>
    <row r="1214" spans="54:55" x14ac:dyDescent="0.2">
      <c r="BB1214" s="1" t="s">
        <v>2095</v>
      </c>
      <c r="BC1214" s="1" t="s">
        <v>883</v>
      </c>
    </row>
    <row r="1215" spans="54:55" x14ac:dyDescent="0.2">
      <c r="BB1215" s="1" t="s">
        <v>2096</v>
      </c>
      <c r="BC1215" s="1" t="s">
        <v>895</v>
      </c>
    </row>
    <row r="1216" spans="54:55" x14ac:dyDescent="0.2">
      <c r="BB1216" s="1" t="s">
        <v>2097</v>
      </c>
      <c r="BC1216" s="1" t="s">
        <v>878</v>
      </c>
    </row>
    <row r="1217" spans="54:55" x14ac:dyDescent="0.2">
      <c r="BB1217" s="1" t="s">
        <v>2098</v>
      </c>
      <c r="BC1217" s="1" t="s">
        <v>887</v>
      </c>
    </row>
    <row r="1218" spans="54:55" x14ac:dyDescent="0.2">
      <c r="BB1218" s="1" t="s">
        <v>2099</v>
      </c>
      <c r="BC1218" s="1" t="s">
        <v>878</v>
      </c>
    </row>
    <row r="1219" spans="54:55" x14ac:dyDescent="0.2">
      <c r="BB1219" s="1" t="s">
        <v>2100</v>
      </c>
      <c r="BC1219" s="1" t="s">
        <v>883</v>
      </c>
    </row>
    <row r="1220" spans="54:55" x14ac:dyDescent="0.2">
      <c r="BB1220" s="1" t="s">
        <v>2101</v>
      </c>
      <c r="BC1220" s="1" t="s">
        <v>887</v>
      </c>
    </row>
    <row r="1221" spans="54:55" x14ac:dyDescent="0.2">
      <c r="BB1221" s="1" t="s">
        <v>2102</v>
      </c>
      <c r="BC1221" s="1" t="s">
        <v>883</v>
      </c>
    </row>
    <row r="1222" spans="54:55" x14ac:dyDescent="0.2">
      <c r="BB1222" s="1" t="s">
        <v>2103</v>
      </c>
      <c r="BC1222" s="1" t="s">
        <v>881</v>
      </c>
    </row>
    <row r="1223" spans="54:55" x14ac:dyDescent="0.2">
      <c r="BB1223" s="1" t="s">
        <v>2104</v>
      </c>
      <c r="BC1223" s="1" t="s">
        <v>878</v>
      </c>
    </row>
    <row r="1224" spans="54:55" x14ac:dyDescent="0.2">
      <c r="BB1224" s="1" t="s">
        <v>2105</v>
      </c>
      <c r="BC1224" s="1" t="s">
        <v>878</v>
      </c>
    </row>
    <row r="1225" spans="54:55" x14ac:dyDescent="0.2">
      <c r="BB1225" s="1" t="s">
        <v>2106</v>
      </c>
      <c r="BC1225" s="1" t="s">
        <v>878</v>
      </c>
    </row>
    <row r="1226" spans="54:55" x14ac:dyDescent="0.2">
      <c r="BB1226" s="1" t="s">
        <v>2107</v>
      </c>
      <c r="BC1226" s="1" t="s">
        <v>878</v>
      </c>
    </row>
    <row r="1227" spans="54:55" x14ac:dyDescent="0.2">
      <c r="BB1227" s="1" t="s">
        <v>2108</v>
      </c>
      <c r="BC1227" s="1" t="s">
        <v>893</v>
      </c>
    </row>
    <row r="1228" spans="54:55" x14ac:dyDescent="0.2">
      <c r="BB1228" s="1" t="s">
        <v>2109</v>
      </c>
      <c r="BC1228" s="1" t="s">
        <v>878</v>
      </c>
    </row>
    <row r="1229" spans="54:55" x14ac:dyDescent="0.2">
      <c r="BB1229" s="1" t="s">
        <v>2110</v>
      </c>
      <c r="BC1229" s="1" t="s">
        <v>883</v>
      </c>
    </row>
    <row r="1230" spans="54:55" x14ac:dyDescent="0.2">
      <c r="BB1230" s="1" t="s">
        <v>2111</v>
      </c>
      <c r="BC1230" s="1" t="s">
        <v>887</v>
      </c>
    </row>
    <row r="1231" spans="54:55" x14ac:dyDescent="0.2">
      <c r="BB1231" s="1" t="s">
        <v>2112</v>
      </c>
      <c r="BC1231" s="1" t="s">
        <v>878</v>
      </c>
    </row>
    <row r="1232" spans="54:55" x14ac:dyDescent="0.2">
      <c r="BB1232" s="1" t="s">
        <v>2113</v>
      </c>
      <c r="BC1232" s="1" t="s">
        <v>881</v>
      </c>
    </row>
    <row r="1233" spans="54:55" x14ac:dyDescent="0.2">
      <c r="BB1233" s="1" t="s">
        <v>2114</v>
      </c>
      <c r="BC1233" s="1" t="s">
        <v>1007</v>
      </c>
    </row>
    <row r="1234" spans="54:55" x14ac:dyDescent="0.2">
      <c r="BB1234" s="1" t="s">
        <v>2115</v>
      </c>
      <c r="BC1234" s="1" t="s">
        <v>887</v>
      </c>
    </row>
    <row r="1235" spans="54:55" x14ac:dyDescent="0.2">
      <c r="BB1235" s="1" t="s">
        <v>2116</v>
      </c>
      <c r="BC1235" s="1" t="s">
        <v>878</v>
      </c>
    </row>
    <row r="1236" spans="54:55" x14ac:dyDescent="0.2">
      <c r="BB1236" s="1" t="s">
        <v>2117</v>
      </c>
      <c r="BC1236" s="1" t="s">
        <v>878</v>
      </c>
    </row>
    <row r="1237" spans="54:55" x14ac:dyDescent="0.2">
      <c r="BB1237" s="1" t="s">
        <v>2118</v>
      </c>
      <c r="BC1237" s="1" t="s">
        <v>885</v>
      </c>
    </row>
    <row r="1238" spans="54:55" x14ac:dyDescent="0.2">
      <c r="BB1238" s="1" t="s">
        <v>2119</v>
      </c>
      <c r="BC1238" s="1" t="s">
        <v>893</v>
      </c>
    </row>
    <row r="1239" spans="54:55" x14ac:dyDescent="0.2">
      <c r="BB1239" s="1" t="s">
        <v>2120</v>
      </c>
      <c r="BC1239" s="1" t="s">
        <v>878</v>
      </c>
    </row>
    <row r="1240" spans="54:55" x14ac:dyDescent="0.2">
      <c r="BB1240" s="1" t="s">
        <v>2121</v>
      </c>
      <c r="BC1240" s="1" t="s">
        <v>878</v>
      </c>
    </row>
    <row r="1241" spans="54:55" x14ac:dyDescent="0.2">
      <c r="BB1241" s="1" t="s">
        <v>2122</v>
      </c>
      <c r="BC1241" s="1" t="s">
        <v>1007</v>
      </c>
    </row>
    <row r="1242" spans="54:55" x14ac:dyDescent="0.2">
      <c r="BB1242" s="1" t="s">
        <v>2123</v>
      </c>
      <c r="BC1242" s="1" t="s">
        <v>881</v>
      </c>
    </row>
    <row r="1243" spans="54:55" x14ac:dyDescent="0.2">
      <c r="BB1243" s="1" t="s">
        <v>2124</v>
      </c>
      <c r="BC1243" s="1" t="s">
        <v>887</v>
      </c>
    </row>
    <row r="1244" spans="54:55" x14ac:dyDescent="0.2">
      <c r="BB1244" s="1" t="s">
        <v>2125</v>
      </c>
      <c r="BC1244" s="1" t="s">
        <v>878</v>
      </c>
    </row>
    <row r="1245" spans="54:55" x14ac:dyDescent="0.2">
      <c r="BB1245" s="1" t="s">
        <v>2126</v>
      </c>
      <c r="BC1245" s="1" t="s">
        <v>883</v>
      </c>
    </row>
    <row r="1246" spans="54:55" x14ac:dyDescent="0.2">
      <c r="BB1246" s="1" t="s">
        <v>2127</v>
      </c>
      <c r="BC1246" s="1" t="s">
        <v>885</v>
      </c>
    </row>
    <row r="1247" spans="54:55" x14ac:dyDescent="0.2">
      <c r="BB1247" s="1" t="s">
        <v>2128</v>
      </c>
      <c r="BC1247" s="1" t="s">
        <v>885</v>
      </c>
    </row>
    <row r="1248" spans="54:55" x14ac:dyDescent="0.2">
      <c r="BB1248" s="1" t="s">
        <v>2129</v>
      </c>
      <c r="BC1248" s="1" t="s">
        <v>883</v>
      </c>
    </row>
    <row r="1249" spans="54:55" x14ac:dyDescent="0.2">
      <c r="BB1249" s="1" t="s">
        <v>2130</v>
      </c>
      <c r="BC1249" s="1" t="s">
        <v>878</v>
      </c>
    </row>
    <row r="1250" spans="54:55" x14ac:dyDescent="0.2">
      <c r="BB1250" s="1" t="s">
        <v>2131</v>
      </c>
      <c r="BC1250" s="1" t="s">
        <v>885</v>
      </c>
    </row>
    <row r="1251" spans="54:55" x14ac:dyDescent="0.2">
      <c r="BB1251" s="1" t="s">
        <v>2132</v>
      </c>
      <c r="BC1251" s="1" t="s">
        <v>887</v>
      </c>
    </row>
    <row r="1252" spans="54:55" x14ac:dyDescent="0.2">
      <c r="BB1252" s="1" t="s">
        <v>2133</v>
      </c>
      <c r="BC1252" s="1" t="s">
        <v>883</v>
      </c>
    </row>
    <row r="1253" spans="54:55" x14ac:dyDescent="0.2">
      <c r="BB1253" s="1" t="s">
        <v>2134</v>
      </c>
      <c r="BC1253" s="1" t="s">
        <v>881</v>
      </c>
    </row>
    <row r="1254" spans="54:55" x14ac:dyDescent="0.2">
      <c r="BB1254" s="1" t="s">
        <v>2135</v>
      </c>
      <c r="BC1254" s="1" t="s">
        <v>883</v>
      </c>
    </row>
    <row r="1255" spans="54:55" x14ac:dyDescent="0.2">
      <c r="BB1255" s="1" t="s">
        <v>2136</v>
      </c>
      <c r="BC1255" s="1" t="s">
        <v>878</v>
      </c>
    </row>
    <row r="1256" spans="54:55" x14ac:dyDescent="0.2">
      <c r="BB1256" s="1" t="s">
        <v>2137</v>
      </c>
      <c r="BC1256" s="1" t="s">
        <v>878</v>
      </c>
    </row>
    <row r="1257" spans="54:55" x14ac:dyDescent="0.2">
      <c r="BB1257" s="1" t="s">
        <v>2138</v>
      </c>
      <c r="BC1257" s="1" t="s">
        <v>878</v>
      </c>
    </row>
    <row r="1258" spans="54:55" x14ac:dyDescent="0.2">
      <c r="BB1258" s="1" t="s">
        <v>2139</v>
      </c>
      <c r="BC1258" s="1" t="s">
        <v>878</v>
      </c>
    </row>
    <row r="1259" spans="54:55" x14ac:dyDescent="0.2">
      <c r="BB1259" s="1" t="s">
        <v>2140</v>
      </c>
      <c r="BC1259" s="1" t="s">
        <v>883</v>
      </c>
    </row>
    <row r="1260" spans="54:55" x14ac:dyDescent="0.2">
      <c r="BB1260" s="1" t="s">
        <v>2141</v>
      </c>
      <c r="BC1260" s="1" t="s">
        <v>883</v>
      </c>
    </row>
    <row r="1261" spans="54:55" x14ac:dyDescent="0.2">
      <c r="BB1261" s="1" t="s">
        <v>2142</v>
      </c>
      <c r="BC1261" s="1" t="s">
        <v>883</v>
      </c>
    </row>
    <row r="1262" spans="54:55" x14ac:dyDescent="0.2">
      <c r="BB1262" s="1" t="s">
        <v>2143</v>
      </c>
      <c r="BC1262" s="1" t="s">
        <v>883</v>
      </c>
    </row>
    <row r="1263" spans="54:55" x14ac:dyDescent="0.2">
      <c r="BB1263" s="1" t="s">
        <v>2144</v>
      </c>
      <c r="BC1263" s="1" t="s">
        <v>893</v>
      </c>
    </row>
    <row r="1264" spans="54:55" x14ac:dyDescent="0.2">
      <c r="BB1264" s="1" t="s">
        <v>2145</v>
      </c>
      <c r="BC1264" s="1" t="s">
        <v>878</v>
      </c>
    </row>
    <row r="1265" spans="54:55" x14ac:dyDescent="0.2">
      <c r="BB1265" s="1" t="s">
        <v>2146</v>
      </c>
      <c r="BC1265" s="1" t="s">
        <v>883</v>
      </c>
    </row>
    <row r="1266" spans="54:55" x14ac:dyDescent="0.2">
      <c r="BB1266" s="1" t="s">
        <v>2147</v>
      </c>
      <c r="BC1266" s="1" t="s">
        <v>883</v>
      </c>
    </row>
    <row r="1267" spans="54:55" x14ac:dyDescent="0.2">
      <c r="BB1267" s="1" t="s">
        <v>2148</v>
      </c>
      <c r="BC1267" s="1" t="s">
        <v>887</v>
      </c>
    </row>
    <row r="1268" spans="54:55" x14ac:dyDescent="0.2">
      <c r="BB1268" s="1" t="s">
        <v>2149</v>
      </c>
      <c r="BC1268" s="1" t="s">
        <v>883</v>
      </c>
    </row>
    <row r="1269" spans="54:55" x14ac:dyDescent="0.2">
      <c r="BB1269" s="1" t="s">
        <v>2150</v>
      </c>
      <c r="BC1269" s="1" t="s">
        <v>895</v>
      </c>
    </row>
    <row r="1270" spans="54:55" x14ac:dyDescent="0.2">
      <c r="BB1270" s="1" t="s">
        <v>2151</v>
      </c>
      <c r="BC1270" s="1" t="s">
        <v>878</v>
      </c>
    </row>
    <row r="1271" spans="54:55" x14ac:dyDescent="0.2">
      <c r="BB1271" s="1" t="s">
        <v>2152</v>
      </c>
      <c r="BC1271" s="1" t="s">
        <v>878</v>
      </c>
    </row>
    <row r="1272" spans="54:55" x14ac:dyDescent="0.2">
      <c r="BB1272" s="1" t="s">
        <v>2153</v>
      </c>
      <c r="BC1272" s="1" t="s">
        <v>878</v>
      </c>
    </row>
    <row r="1273" spans="54:55" x14ac:dyDescent="0.2">
      <c r="BB1273" s="1" t="s">
        <v>2154</v>
      </c>
      <c r="BC1273" s="1" t="s">
        <v>883</v>
      </c>
    </row>
    <row r="1274" spans="54:55" x14ac:dyDescent="0.2">
      <c r="BB1274" s="1" t="s">
        <v>2155</v>
      </c>
      <c r="BC1274" s="1" t="s">
        <v>895</v>
      </c>
    </row>
    <row r="1275" spans="54:55" x14ac:dyDescent="0.2">
      <c r="BB1275" s="1" t="s">
        <v>2156</v>
      </c>
      <c r="BC1275" s="1" t="s">
        <v>893</v>
      </c>
    </row>
    <row r="1276" spans="54:55" x14ac:dyDescent="0.2">
      <c r="BB1276" s="1" t="s">
        <v>2157</v>
      </c>
      <c r="BC1276" s="1" t="s">
        <v>883</v>
      </c>
    </row>
    <row r="1277" spans="54:55" x14ac:dyDescent="0.2">
      <c r="BB1277" s="1" t="s">
        <v>2158</v>
      </c>
      <c r="BC1277" s="1" t="s">
        <v>885</v>
      </c>
    </row>
    <row r="1278" spans="54:55" x14ac:dyDescent="0.2">
      <c r="BB1278" s="1" t="s">
        <v>2159</v>
      </c>
      <c r="BC1278" s="1" t="s">
        <v>878</v>
      </c>
    </row>
    <row r="1279" spans="54:55" x14ac:dyDescent="0.2">
      <c r="BB1279" s="1" t="s">
        <v>2160</v>
      </c>
      <c r="BC1279" s="1" t="s">
        <v>878</v>
      </c>
    </row>
    <row r="1280" spans="54:55" x14ac:dyDescent="0.2">
      <c r="BB1280" s="1" t="s">
        <v>2161</v>
      </c>
      <c r="BC1280" s="1" t="s">
        <v>883</v>
      </c>
    </row>
    <row r="1281" spans="54:55" x14ac:dyDescent="0.2">
      <c r="BB1281" s="1" t="s">
        <v>2162</v>
      </c>
      <c r="BC1281" s="1" t="s">
        <v>883</v>
      </c>
    </row>
    <row r="1282" spans="54:55" x14ac:dyDescent="0.2">
      <c r="BB1282" s="1" t="s">
        <v>2163</v>
      </c>
      <c r="BC1282" s="1" t="s">
        <v>883</v>
      </c>
    </row>
    <row r="1283" spans="54:55" x14ac:dyDescent="0.2">
      <c r="BB1283" s="1" t="s">
        <v>2164</v>
      </c>
      <c r="BC1283" s="1" t="s">
        <v>883</v>
      </c>
    </row>
    <row r="1284" spans="54:55" x14ac:dyDescent="0.2">
      <c r="BB1284" s="1" t="s">
        <v>2165</v>
      </c>
      <c r="BC1284" s="1" t="s">
        <v>883</v>
      </c>
    </row>
    <row r="1285" spans="54:55" x14ac:dyDescent="0.2">
      <c r="BB1285" s="1" t="s">
        <v>2166</v>
      </c>
      <c r="BC1285" s="1" t="s">
        <v>885</v>
      </c>
    </row>
    <row r="1286" spans="54:55" x14ac:dyDescent="0.2">
      <c r="BB1286" s="1" t="s">
        <v>2167</v>
      </c>
      <c r="BC1286" s="1" t="s">
        <v>893</v>
      </c>
    </row>
    <row r="1287" spans="54:55" x14ac:dyDescent="0.2">
      <c r="BB1287" s="1" t="s">
        <v>2168</v>
      </c>
      <c r="BC1287" s="1" t="s">
        <v>893</v>
      </c>
    </row>
    <row r="1288" spans="54:55" x14ac:dyDescent="0.2">
      <c r="BB1288" s="1" t="s">
        <v>2169</v>
      </c>
      <c r="BC1288" s="1" t="s">
        <v>878</v>
      </c>
    </row>
    <row r="1289" spans="54:55" x14ac:dyDescent="0.2">
      <c r="BB1289" s="1" t="s">
        <v>2170</v>
      </c>
      <c r="BC1289" s="1" t="s">
        <v>883</v>
      </c>
    </row>
    <row r="1290" spans="54:55" x14ac:dyDescent="0.2">
      <c r="BB1290" s="1" t="s">
        <v>2171</v>
      </c>
      <c r="BC1290" s="1" t="s">
        <v>893</v>
      </c>
    </row>
    <row r="1291" spans="54:55" x14ac:dyDescent="0.2">
      <c r="BB1291" s="1" t="s">
        <v>2172</v>
      </c>
      <c r="BC1291" s="1" t="s">
        <v>878</v>
      </c>
    </row>
    <row r="1292" spans="54:55" x14ac:dyDescent="0.2">
      <c r="BB1292" s="1" t="s">
        <v>2173</v>
      </c>
      <c r="BC1292" s="1" t="s">
        <v>883</v>
      </c>
    </row>
    <row r="1293" spans="54:55" x14ac:dyDescent="0.2">
      <c r="BB1293" s="1" t="s">
        <v>2174</v>
      </c>
      <c r="BC1293" s="1" t="s">
        <v>881</v>
      </c>
    </row>
    <row r="1294" spans="54:55" x14ac:dyDescent="0.2">
      <c r="BB1294" s="1" t="s">
        <v>2175</v>
      </c>
      <c r="BC1294" s="1" t="s">
        <v>878</v>
      </c>
    </row>
    <row r="1295" spans="54:55" x14ac:dyDescent="0.2">
      <c r="BB1295" s="1" t="s">
        <v>2176</v>
      </c>
      <c r="BC1295" s="1" t="s">
        <v>878</v>
      </c>
    </row>
    <row r="1296" spans="54:55" x14ac:dyDescent="0.2">
      <c r="BB1296" s="1" t="s">
        <v>2177</v>
      </c>
      <c r="BC1296" s="1" t="s">
        <v>878</v>
      </c>
    </row>
    <row r="1297" spans="54:55" x14ac:dyDescent="0.2">
      <c r="BB1297" s="1" t="s">
        <v>2178</v>
      </c>
      <c r="BC1297" s="1" t="s">
        <v>878</v>
      </c>
    </row>
    <row r="1298" spans="54:55" x14ac:dyDescent="0.2">
      <c r="BB1298" s="1" t="s">
        <v>2179</v>
      </c>
      <c r="BC1298" s="1" t="s">
        <v>878</v>
      </c>
    </row>
    <row r="1299" spans="54:55" x14ac:dyDescent="0.2">
      <c r="BB1299" s="1" t="s">
        <v>2180</v>
      </c>
      <c r="BC1299" s="1" t="s">
        <v>878</v>
      </c>
    </row>
    <row r="1300" spans="54:55" x14ac:dyDescent="0.2">
      <c r="BB1300" s="1" t="s">
        <v>2181</v>
      </c>
      <c r="BC1300" s="1" t="s">
        <v>883</v>
      </c>
    </row>
    <row r="1301" spans="54:55" x14ac:dyDescent="0.2">
      <c r="BB1301" s="1" t="s">
        <v>2182</v>
      </c>
      <c r="BC1301" s="1" t="s">
        <v>883</v>
      </c>
    </row>
    <row r="1302" spans="54:55" x14ac:dyDescent="0.2">
      <c r="BB1302" s="1" t="s">
        <v>2183</v>
      </c>
      <c r="BC1302" s="1" t="s">
        <v>878</v>
      </c>
    </row>
    <row r="1303" spans="54:55" x14ac:dyDescent="0.2">
      <c r="BB1303" s="1" t="s">
        <v>2184</v>
      </c>
      <c r="BC1303" s="1" t="s">
        <v>883</v>
      </c>
    </row>
    <row r="1304" spans="54:55" x14ac:dyDescent="0.2">
      <c r="BB1304" s="1" t="s">
        <v>2185</v>
      </c>
      <c r="BC1304" s="1" t="s">
        <v>883</v>
      </c>
    </row>
    <row r="1305" spans="54:55" x14ac:dyDescent="0.2">
      <c r="BB1305" s="1" t="s">
        <v>2186</v>
      </c>
      <c r="BC1305" s="1" t="s">
        <v>895</v>
      </c>
    </row>
    <row r="1306" spans="54:55" x14ac:dyDescent="0.2">
      <c r="BB1306" s="1" t="s">
        <v>2187</v>
      </c>
      <c r="BC1306" s="1" t="s">
        <v>881</v>
      </c>
    </row>
    <row r="1307" spans="54:55" x14ac:dyDescent="0.2">
      <c r="BB1307" s="1" t="s">
        <v>2188</v>
      </c>
      <c r="BC1307" s="1" t="s">
        <v>883</v>
      </c>
    </row>
    <row r="1308" spans="54:55" x14ac:dyDescent="0.2">
      <c r="BB1308" s="1" t="s">
        <v>2189</v>
      </c>
      <c r="BC1308" s="1" t="s">
        <v>883</v>
      </c>
    </row>
    <row r="1309" spans="54:55" x14ac:dyDescent="0.2">
      <c r="BB1309" s="1" t="s">
        <v>2190</v>
      </c>
      <c r="BC1309" s="1" t="s">
        <v>878</v>
      </c>
    </row>
    <row r="1310" spans="54:55" x14ac:dyDescent="0.2">
      <c r="BB1310" s="1" t="s">
        <v>2191</v>
      </c>
      <c r="BC1310" s="1" t="s">
        <v>1007</v>
      </c>
    </row>
    <row r="1311" spans="54:55" x14ac:dyDescent="0.2">
      <c r="BB1311" s="1" t="s">
        <v>2192</v>
      </c>
      <c r="BC1311" s="1" t="s">
        <v>878</v>
      </c>
    </row>
    <row r="1312" spans="54:55" x14ac:dyDescent="0.2">
      <c r="BB1312" s="1" t="s">
        <v>2193</v>
      </c>
      <c r="BC1312" s="1" t="s">
        <v>893</v>
      </c>
    </row>
    <row r="1313" spans="54:55" x14ac:dyDescent="0.2">
      <c r="BB1313" s="1" t="s">
        <v>2194</v>
      </c>
      <c r="BC1313" s="1" t="s">
        <v>1039</v>
      </c>
    </row>
    <row r="1314" spans="54:55" x14ac:dyDescent="0.2">
      <c r="BB1314" s="1" t="s">
        <v>2195</v>
      </c>
      <c r="BC1314" s="1" t="s">
        <v>878</v>
      </c>
    </row>
    <row r="1315" spans="54:55" x14ac:dyDescent="0.2">
      <c r="BB1315" s="1" t="s">
        <v>2196</v>
      </c>
      <c r="BC1315" s="1" t="s">
        <v>895</v>
      </c>
    </row>
    <row r="1316" spans="54:55" x14ac:dyDescent="0.2">
      <c r="BB1316" s="1" t="s">
        <v>2197</v>
      </c>
      <c r="BC1316" s="1" t="s">
        <v>885</v>
      </c>
    </row>
    <row r="1317" spans="54:55" x14ac:dyDescent="0.2">
      <c r="BB1317" s="1" t="s">
        <v>2198</v>
      </c>
      <c r="BC1317" s="1" t="s">
        <v>878</v>
      </c>
    </row>
    <row r="1318" spans="54:55" x14ac:dyDescent="0.2">
      <c r="BB1318" s="1" t="s">
        <v>2199</v>
      </c>
      <c r="BC1318" s="1" t="s">
        <v>893</v>
      </c>
    </row>
    <row r="1319" spans="54:55" x14ac:dyDescent="0.2">
      <c r="BB1319" s="1" t="s">
        <v>2200</v>
      </c>
      <c r="BC1319" s="1" t="s">
        <v>878</v>
      </c>
    </row>
    <row r="1320" spans="54:55" x14ac:dyDescent="0.2">
      <c r="BB1320" s="1" t="s">
        <v>2201</v>
      </c>
      <c r="BC1320" s="1" t="s">
        <v>878</v>
      </c>
    </row>
    <row r="1321" spans="54:55" x14ac:dyDescent="0.2">
      <c r="BB1321" s="1" t="s">
        <v>2202</v>
      </c>
      <c r="BC1321" s="1" t="s">
        <v>887</v>
      </c>
    </row>
    <row r="1322" spans="54:55" x14ac:dyDescent="0.2">
      <c r="BB1322" s="1" t="s">
        <v>2203</v>
      </c>
      <c r="BC1322" s="1" t="s">
        <v>887</v>
      </c>
    </row>
    <row r="1323" spans="54:55" x14ac:dyDescent="0.2">
      <c r="BB1323" s="1" t="s">
        <v>2204</v>
      </c>
      <c r="BC1323" s="1" t="s">
        <v>878</v>
      </c>
    </row>
    <row r="1324" spans="54:55" x14ac:dyDescent="0.2">
      <c r="BB1324" s="1" t="s">
        <v>2205</v>
      </c>
      <c r="BC1324" s="1" t="s">
        <v>878</v>
      </c>
    </row>
    <row r="1325" spans="54:55" x14ac:dyDescent="0.2">
      <c r="BB1325" s="1" t="s">
        <v>2206</v>
      </c>
      <c r="BC1325" s="1" t="s">
        <v>885</v>
      </c>
    </row>
    <row r="1326" spans="54:55" x14ac:dyDescent="0.2">
      <c r="BB1326" s="1" t="s">
        <v>2207</v>
      </c>
      <c r="BC1326" s="1" t="s">
        <v>878</v>
      </c>
    </row>
    <row r="1327" spans="54:55" x14ac:dyDescent="0.2">
      <c r="BB1327" s="1" t="s">
        <v>2208</v>
      </c>
      <c r="BC1327" s="1" t="s">
        <v>885</v>
      </c>
    </row>
    <row r="1328" spans="54:55" x14ac:dyDescent="0.2">
      <c r="BB1328" s="1" t="s">
        <v>2209</v>
      </c>
      <c r="BC1328" s="1" t="s">
        <v>887</v>
      </c>
    </row>
    <row r="1329" spans="54:55" x14ac:dyDescent="0.2">
      <c r="BB1329" s="1" t="s">
        <v>2210</v>
      </c>
      <c r="BC1329" s="1" t="s">
        <v>878</v>
      </c>
    </row>
    <row r="1330" spans="54:55" x14ac:dyDescent="0.2">
      <c r="BB1330" s="1" t="s">
        <v>2211</v>
      </c>
      <c r="BC1330" s="1" t="s">
        <v>878</v>
      </c>
    </row>
    <row r="1331" spans="54:55" x14ac:dyDescent="0.2">
      <c r="BB1331" s="1" t="s">
        <v>2212</v>
      </c>
      <c r="BC1331" s="1" t="s">
        <v>881</v>
      </c>
    </row>
    <row r="1332" spans="54:55" x14ac:dyDescent="0.2">
      <c r="BB1332" s="1" t="s">
        <v>2213</v>
      </c>
      <c r="BC1332" s="1" t="s">
        <v>883</v>
      </c>
    </row>
    <row r="1333" spans="54:55" x14ac:dyDescent="0.2">
      <c r="BB1333" s="1" t="s">
        <v>2214</v>
      </c>
      <c r="BC1333" s="1" t="s">
        <v>893</v>
      </c>
    </row>
    <row r="1334" spans="54:55" x14ac:dyDescent="0.2">
      <c r="BB1334" s="1" t="s">
        <v>2215</v>
      </c>
      <c r="BC1334" s="1" t="s">
        <v>883</v>
      </c>
    </row>
    <row r="1335" spans="54:55" x14ac:dyDescent="0.2">
      <c r="BB1335" s="1" t="s">
        <v>2216</v>
      </c>
      <c r="BC1335" s="1" t="s">
        <v>878</v>
      </c>
    </row>
    <row r="1336" spans="54:55" x14ac:dyDescent="0.2">
      <c r="BB1336" s="1" t="s">
        <v>2217</v>
      </c>
      <c r="BC1336" s="1" t="s">
        <v>878</v>
      </c>
    </row>
    <row r="1337" spans="54:55" x14ac:dyDescent="0.2">
      <c r="BB1337" s="1" t="s">
        <v>2218</v>
      </c>
      <c r="BC1337" s="1" t="s">
        <v>878</v>
      </c>
    </row>
    <row r="1338" spans="54:55" x14ac:dyDescent="0.2">
      <c r="BB1338" s="1" t="s">
        <v>2219</v>
      </c>
      <c r="BC1338" s="1" t="s">
        <v>878</v>
      </c>
    </row>
    <row r="1339" spans="54:55" x14ac:dyDescent="0.2">
      <c r="BB1339" s="1" t="s">
        <v>2220</v>
      </c>
      <c r="BC1339" s="1" t="s">
        <v>878</v>
      </c>
    </row>
    <row r="1340" spans="54:55" x14ac:dyDescent="0.2">
      <c r="BB1340" s="1" t="s">
        <v>2221</v>
      </c>
      <c r="BC1340" s="1" t="s">
        <v>878</v>
      </c>
    </row>
    <row r="1341" spans="54:55" x14ac:dyDescent="0.2">
      <c r="BB1341" s="1" t="s">
        <v>2222</v>
      </c>
      <c r="BC1341" s="1" t="s">
        <v>885</v>
      </c>
    </row>
    <row r="1342" spans="54:55" x14ac:dyDescent="0.2">
      <c r="BB1342" s="1" t="s">
        <v>2223</v>
      </c>
      <c r="BC1342" s="1" t="s">
        <v>878</v>
      </c>
    </row>
    <row r="1343" spans="54:55" x14ac:dyDescent="0.2">
      <c r="BB1343" s="1" t="s">
        <v>2224</v>
      </c>
      <c r="BC1343" s="1" t="s">
        <v>893</v>
      </c>
    </row>
    <row r="1344" spans="54:55" x14ac:dyDescent="0.2">
      <c r="BB1344" s="1" t="s">
        <v>2225</v>
      </c>
      <c r="BC1344" s="1" t="s">
        <v>885</v>
      </c>
    </row>
    <row r="1345" spans="54:55" x14ac:dyDescent="0.2">
      <c r="BB1345" s="1" t="s">
        <v>2226</v>
      </c>
      <c r="BC1345" s="1" t="s">
        <v>881</v>
      </c>
    </row>
    <row r="1346" spans="54:55" x14ac:dyDescent="0.2">
      <c r="BB1346" s="1" t="s">
        <v>2227</v>
      </c>
      <c r="BC1346" s="1" t="s">
        <v>887</v>
      </c>
    </row>
    <row r="1347" spans="54:55" x14ac:dyDescent="0.2">
      <c r="BB1347" s="1" t="s">
        <v>2228</v>
      </c>
      <c r="BC1347" s="1" t="s">
        <v>885</v>
      </c>
    </row>
    <row r="1348" spans="54:55" x14ac:dyDescent="0.2">
      <c r="BB1348" s="1" t="s">
        <v>2229</v>
      </c>
      <c r="BC1348" s="1" t="s">
        <v>885</v>
      </c>
    </row>
    <row r="1349" spans="54:55" x14ac:dyDescent="0.2">
      <c r="BB1349" s="1" t="s">
        <v>2230</v>
      </c>
      <c r="BC1349" s="1" t="s">
        <v>885</v>
      </c>
    </row>
    <row r="1350" spans="54:55" x14ac:dyDescent="0.2">
      <c r="BB1350" s="1" t="s">
        <v>2231</v>
      </c>
      <c r="BC1350" s="1" t="s">
        <v>885</v>
      </c>
    </row>
    <row r="1351" spans="54:55" x14ac:dyDescent="0.2">
      <c r="BB1351" s="1" t="s">
        <v>2232</v>
      </c>
      <c r="BC1351" s="1" t="s">
        <v>887</v>
      </c>
    </row>
    <row r="1352" spans="54:55" x14ac:dyDescent="0.2">
      <c r="BB1352" s="1" t="s">
        <v>2233</v>
      </c>
      <c r="BC1352" s="1" t="s">
        <v>878</v>
      </c>
    </row>
    <row r="1353" spans="54:55" x14ac:dyDescent="0.2">
      <c r="BB1353" s="1" t="s">
        <v>2234</v>
      </c>
      <c r="BC1353" s="1" t="s">
        <v>883</v>
      </c>
    </row>
    <row r="1354" spans="54:55" x14ac:dyDescent="0.2">
      <c r="BB1354" s="1" t="s">
        <v>2235</v>
      </c>
      <c r="BC1354" s="1" t="s">
        <v>878</v>
      </c>
    </row>
    <row r="1355" spans="54:55" x14ac:dyDescent="0.2">
      <c r="BB1355" s="1" t="s">
        <v>2236</v>
      </c>
      <c r="BC1355" s="1" t="s">
        <v>893</v>
      </c>
    </row>
    <row r="1356" spans="54:55" x14ac:dyDescent="0.2">
      <c r="BB1356" s="1" t="s">
        <v>2237</v>
      </c>
      <c r="BC1356" s="1" t="s">
        <v>887</v>
      </c>
    </row>
    <row r="1357" spans="54:55" x14ac:dyDescent="0.2">
      <c r="BB1357" s="1" t="s">
        <v>2238</v>
      </c>
      <c r="BC1357" s="1" t="s">
        <v>887</v>
      </c>
    </row>
    <row r="1358" spans="54:55" x14ac:dyDescent="0.2">
      <c r="BB1358" s="1" t="s">
        <v>2239</v>
      </c>
      <c r="BC1358" s="1" t="s">
        <v>878</v>
      </c>
    </row>
    <row r="1359" spans="54:55" x14ac:dyDescent="0.2">
      <c r="BB1359" s="1" t="s">
        <v>2240</v>
      </c>
      <c r="BC1359" s="1" t="s">
        <v>878</v>
      </c>
    </row>
    <row r="1360" spans="54:55" x14ac:dyDescent="0.2">
      <c r="BB1360" s="1" t="s">
        <v>2241</v>
      </c>
      <c r="BC1360" s="1" t="s">
        <v>893</v>
      </c>
    </row>
    <row r="1361" spans="54:55" x14ac:dyDescent="0.2">
      <c r="BB1361" s="1" t="s">
        <v>2242</v>
      </c>
      <c r="BC1361" s="1" t="s">
        <v>893</v>
      </c>
    </row>
    <row r="1362" spans="54:55" x14ac:dyDescent="0.2">
      <c r="BB1362" s="1" t="s">
        <v>2243</v>
      </c>
      <c r="BC1362" s="1" t="s">
        <v>878</v>
      </c>
    </row>
    <row r="1363" spans="54:55" x14ac:dyDescent="0.2">
      <c r="BB1363" s="1" t="s">
        <v>2244</v>
      </c>
      <c r="BC1363" s="1" t="s">
        <v>878</v>
      </c>
    </row>
    <row r="1364" spans="54:55" x14ac:dyDescent="0.2">
      <c r="BB1364" s="1" t="s">
        <v>2245</v>
      </c>
      <c r="BC1364" s="1" t="s">
        <v>893</v>
      </c>
    </row>
    <row r="1365" spans="54:55" x14ac:dyDescent="0.2">
      <c r="BB1365" s="1" t="s">
        <v>2246</v>
      </c>
      <c r="BC1365" s="1" t="s">
        <v>1007</v>
      </c>
    </row>
    <row r="1366" spans="54:55" x14ac:dyDescent="0.2">
      <c r="BB1366" s="1" t="s">
        <v>2247</v>
      </c>
      <c r="BC1366" s="1" t="s">
        <v>883</v>
      </c>
    </row>
    <row r="1367" spans="54:55" x14ac:dyDescent="0.2">
      <c r="BB1367" s="1" t="s">
        <v>2248</v>
      </c>
      <c r="BC1367" s="1" t="s">
        <v>895</v>
      </c>
    </row>
    <row r="1368" spans="54:55" x14ac:dyDescent="0.2">
      <c r="BB1368" s="1" t="s">
        <v>2249</v>
      </c>
      <c r="BC1368" s="1" t="s">
        <v>881</v>
      </c>
    </row>
    <row r="1369" spans="54:55" x14ac:dyDescent="0.2">
      <c r="BB1369" s="1" t="s">
        <v>2250</v>
      </c>
      <c r="BC1369" s="1" t="s">
        <v>881</v>
      </c>
    </row>
    <row r="1370" spans="54:55" x14ac:dyDescent="0.2">
      <c r="BB1370" s="1" t="s">
        <v>2251</v>
      </c>
      <c r="BC1370" s="1" t="s">
        <v>881</v>
      </c>
    </row>
    <row r="1371" spans="54:55" x14ac:dyDescent="0.2">
      <c r="BB1371" s="1" t="s">
        <v>2252</v>
      </c>
      <c r="BC1371" s="1" t="s">
        <v>893</v>
      </c>
    </row>
    <row r="1372" spans="54:55" x14ac:dyDescent="0.2">
      <c r="BB1372" s="1" t="s">
        <v>2253</v>
      </c>
      <c r="BC1372" s="1" t="s">
        <v>885</v>
      </c>
    </row>
    <row r="1373" spans="54:55" x14ac:dyDescent="0.2">
      <c r="BB1373" s="1" t="s">
        <v>2254</v>
      </c>
      <c r="BC1373" s="1" t="s">
        <v>883</v>
      </c>
    </row>
    <row r="1374" spans="54:55" x14ac:dyDescent="0.2">
      <c r="BB1374" s="1" t="s">
        <v>2255</v>
      </c>
      <c r="BC1374" s="1" t="s">
        <v>883</v>
      </c>
    </row>
    <row r="1375" spans="54:55" x14ac:dyDescent="0.2">
      <c r="BB1375" s="1" t="s">
        <v>2256</v>
      </c>
      <c r="BC1375" s="1" t="s">
        <v>878</v>
      </c>
    </row>
    <row r="1376" spans="54:55" x14ac:dyDescent="0.2">
      <c r="BB1376" s="1" t="s">
        <v>2257</v>
      </c>
      <c r="BC1376" s="1" t="s">
        <v>878</v>
      </c>
    </row>
    <row r="1377" spans="54:55" x14ac:dyDescent="0.2">
      <c r="BB1377" s="1" t="s">
        <v>2258</v>
      </c>
      <c r="BC1377" s="1" t="s">
        <v>878</v>
      </c>
    </row>
    <row r="1378" spans="54:55" x14ac:dyDescent="0.2">
      <c r="BB1378" s="1" t="s">
        <v>2259</v>
      </c>
      <c r="BC1378" s="1" t="s">
        <v>893</v>
      </c>
    </row>
    <row r="1379" spans="54:55" x14ac:dyDescent="0.2">
      <c r="BB1379" s="1" t="s">
        <v>2260</v>
      </c>
      <c r="BC1379" s="1" t="s">
        <v>893</v>
      </c>
    </row>
    <row r="1380" spans="54:55" x14ac:dyDescent="0.2">
      <c r="BB1380" s="1" t="s">
        <v>2261</v>
      </c>
      <c r="BC1380" s="1" t="s">
        <v>878</v>
      </c>
    </row>
    <row r="1381" spans="54:55" x14ac:dyDescent="0.2">
      <c r="BB1381" s="1" t="s">
        <v>2262</v>
      </c>
      <c r="BC1381" s="1" t="s">
        <v>878</v>
      </c>
    </row>
    <row r="1382" spans="54:55" x14ac:dyDescent="0.2">
      <c r="BB1382" s="1" t="s">
        <v>2263</v>
      </c>
      <c r="BC1382" s="1" t="s">
        <v>878</v>
      </c>
    </row>
    <row r="1383" spans="54:55" x14ac:dyDescent="0.2">
      <c r="BB1383" s="1" t="s">
        <v>2264</v>
      </c>
      <c r="BC1383" s="1" t="s">
        <v>878</v>
      </c>
    </row>
    <row r="1384" spans="54:55" x14ac:dyDescent="0.2">
      <c r="BB1384" s="1" t="s">
        <v>2265</v>
      </c>
      <c r="BC1384" s="1" t="s">
        <v>887</v>
      </c>
    </row>
    <row r="1385" spans="54:55" x14ac:dyDescent="0.2">
      <c r="BB1385" s="1" t="s">
        <v>2266</v>
      </c>
      <c r="BC1385" s="1" t="s">
        <v>883</v>
      </c>
    </row>
    <row r="1386" spans="54:55" x14ac:dyDescent="0.2">
      <c r="BB1386" s="1" t="s">
        <v>2267</v>
      </c>
      <c r="BC1386" s="1" t="s">
        <v>878</v>
      </c>
    </row>
    <row r="1387" spans="54:55" x14ac:dyDescent="0.2">
      <c r="BB1387" s="1" t="s">
        <v>2268</v>
      </c>
      <c r="BC1387" s="1" t="s">
        <v>878</v>
      </c>
    </row>
    <row r="1388" spans="54:55" x14ac:dyDescent="0.2">
      <c r="BB1388" s="1" t="s">
        <v>2269</v>
      </c>
      <c r="BC1388" s="1" t="s">
        <v>887</v>
      </c>
    </row>
    <row r="1389" spans="54:55" x14ac:dyDescent="0.2">
      <c r="BB1389" s="1" t="s">
        <v>2270</v>
      </c>
      <c r="BC1389" s="1" t="s">
        <v>883</v>
      </c>
    </row>
    <row r="1390" spans="54:55" x14ac:dyDescent="0.2">
      <c r="BB1390" s="1" t="s">
        <v>2271</v>
      </c>
      <c r="BC1390" s="1" t="s">
        <v>878</v>
      </c>
    </row>
    <row r="1391" spans="54:55" x14ac:dyDescent="0.2">
      <c r="BB1391" s="1" t="s">
        <v>2272</v>
      </c>
      <c r="BC1391" s="1" t="s">
        <v>887</v>
      </c>
    </row>
    <row r="1392" spans="54:55" x14ac:dyDescent="0.2">
      <c r="BB1392" s="1" t="s">
        <v>2273</v>
      </c>
      <c r="BC1392" s="1" t="s">
        <v>887</v>
      </c>
    </row>
    <row r="1393" spans="54:55" x14ac:dyDescent="0.2">
      <c r="BB1393" s="1" t="s">
        <v>2274</v>
      </c>
      <c r="BC1393" s="1" t="s">
        <v>887</v>
      </c>
    </row>
    <row r="1394" spans="54:55" x14ac:dyDescent="0.2">
      <c r="BB1394" s="1" t="s">
        <v>2275</v>
      </c>
      <c r="BC1394" s="1" t="s">
        <v>883</v>
      </c>
    </row>
    <row r="1395" spans="54:55" x14ac:dyDescent="0.2">
      <c r="BB1395" s="1" t="s">
        <v>2276</v>
      </c>
      <c r="BC1395" s="1" t="s">
        <v>887</v>
      </c>
    </row>
    <row r="1396" spans="54:55" x14ac:dyDescent="0.2">
      <c r="BB1396" s="1" t="s">
        <v>2277</v>
      </c>
      <c r="BC1396" s="1" t="s">
        <v>878</v>
      </c>
    </row>
    <row r="1397" spans="54:55" x14ac:dyDescent="0.2">
      <c r="BB1397" s="1" t="s">
        <v>2278</v>
      </c>
      <c r="BC1397" s="1" t="s">
        <v>878</v>
      </c>
    </row>
    <row r="1398" spans="54:55" x14ac:dyDescent="0.2">
      <c r="BB1398" s="1" t="s">
        <v>2279</v>
      </c>
      <c r="BC1398" s="1" t="s">
        <v>895</v>
      </c>
    </row>
    <row r="1399" spans="54:55" x14ac:dyDescent="0.2">
      <c r="BB1399" s="1" t="s">
        <v>2280</v>
      </c>
      <c r="BC1399" s="1" t="s">
        <v>885</v>
      </c>
    </row>
    <row r="1400" spans="54:55" x14ac:dyDescent="0.2">
      <c r="BB1400" s="1" t="s">
        <v>2281</v>
      </c>
      <c r="BC1400" s="1" t="s">
        <v>887</v>
      </c>
    </row>
    <row r="1401" spans="54:55" x14ac:dyDescent="0.2">
      <c r="BB1401" s="1" t="s">
        <v>2282</v>
      </c>
      <c r="BC1401" s="1" t="s">
        <v>885</v>
      </c>
    </row>
    <row r="1402" spans="54:55" x14ac:dyDescent="0.2">
      <c r="BB1402" s="1" t="s">
        <v>2283</v>
      </c>
      <c r="BC1402" s="1" t="s">
        <v>878</v>
      </c>
    </row>
    <row r="1403" spans="54:55" x14ac:dyDescent="0.2">
      <c r="BB1403" s="1" t="s">
        <v>2284</v>
      </c>
      <c r="BC1403" s="1" t="s">
        <v>885</v>
      </c>
    </row>
    <row r="1404" spans="54:55" x14ac:dyDescent="0.2">
      <c r="BB1404" s="1" t="s">
        <v>2285</v>
      </c>
      <c r="BC1404" s="1" t="s">
        <v>887</v>
      </c>
    </row>
    <row r="1405" spans="54:55" x14ac:dyDescent="0.2">
      <c r="BB1405" s="1" t="s">
        <v>2286</v>
      </c>
      <c r="BC1405" s="1" t="s">
        <v>878</v>
      </c>
    </row>
    <row r="1406" spans="54:55" x14ac:dyDescent="0.2">
      <c r="BB1406" s="1" t="s">
        <v>2287</v>
      </c>
      <c r="BC1406" s="1" t="s">
        <v>883</v>
      </c>
    </row>
    <row r="1407" spans="54:55" x14ac:dyDescent="0.2">
      <c r="BB1407" s="1" t="s">
        <v>2288</v>
      </c>
      <c r="BC1407" s="1" t="s">
        <v>887</v>
      </c>
    </row>
    <row r="1408" spans="54:55" x14ac:dyDescent="0.2">
      <c r="BB1408" s="1" t="s">
        <v>2289</v>
      </c>
      <c r="BC1408" s="1" t="s">
        <v>883</v>
      </c>
    </row>
    <row r="1409" spans="54:55" x14ac:dyDescent="0.2">
      <c r="BB1409" s="1" t="s">
        <v>2290</v>
      </c>
      <c r="BC1409" s="1" t="s">
        <v>881</v>
      </c>
    </row>
    <row r="1410" spans="54:55" x14ac:dyDescent="0.2">
      <c r="BB1410" s="1" t="s">
        <v>2291</v>
      </c>
      <c r="BC1410" s="1" t="s">
        <v>883</v>
      </c>
    </row>
    <row r="1411" spans="54:55" x14ac:dyDescent="0.2">
      <c r="BB1411" s="1" t="s">
        <v>2292</v>
      </c>
      <c r="BC1411" s="1" t="s">
        <v>881</v>
      </c>
    </row>
    <row r="1412" spans="54:55" x14ac:dyDescent="0.2">
      <c r="BB1412" s="1" t="s">
        <v>2293</v>
      </c>
      <c r="BC1412" s="1" t="s">
        <v>878</v>
      </c>
    </row>
    <row r="1413" spans="54:55" x14ac:dyDescent="0.2">
      <c r="BB1413" s="1" t="s">
        <v>2294</v>
      </c>
      <c r="BC1413" s="1" t="s">
        <v>885</v>
      </c>
    </row>
    <row r="1414" spans="54:55" x14ac:dyDescent="0.2">
      <c r="BB1414" s="1" t="s">
        <v>2295</v>
      </c>
      <c r="BC1414" s="1" t="s">
        <v>885</v>
      </c>
    </row>
    <row r="1415" spans="54:55" x14ac:dyDescent="0.2">
      <c r="BB1415" s="1" t="s">
        <v>2296</v>
      </c>
      <c r="BC1415" s="1" t="s">
        <v>893</v>
      </c>
    </row>
    <row r="1416" spans="54:55" x14ac:dyDescent="0.2">
      <c r="BB1416" s="1" t="s">
        <v>2297</v>
      </c>
      <c r="BC1416" s="1" t="s">
        <v>878</v>
      </c>
    </row>
    <row r="1417" spans="54:55" x14ac:dyDescent="0.2">
      <c r="BB1417" s="1" t="s">
        <v>2298</v>
      </c>
      <c r="BC1417" s="1" t="s">
        <v>878</v>
      </c>
    </row>
    <row r="1418" spans="54:55" x14ac:dyDescent="0.2">
      <c r="BB1418" s="1" t="s">
        <v>2299</v>
      </c>
      <c r="BC1418" s="1" t="s">
        <v>878</v>
      </c>
    </row>
    <row r="1419" spans="54:55" x14ac:dyDescent="0.2">
      <c r="BB1419" s="1" t="s">
        <v>2300</v>
      </c>
      <c r="BC1419" s="1" t="s">
        <v>878</v>
      </c>
    </row>
    <row r="1420" spans="54:55" x14ac:dyDescent="0.2">
      <c r="BB1420" s="1" t="s">
        <v>2301</v>
      </c>
      <c r="BC1420" s="1" t="s">
        <v>883</v>
      </c>
    </row>
    <row r="1421" spans="54:55" x14ac:dyDescent="0.2">
      <c r="BB1421" s="1" t="s">
        <v>2302</v>
      </c>
      <c r="BC1421" s="1" t="s">
        <v>883</v>
      </c>
    </row>
    <row r="1422" spans="54:55" x14ac:dyDescent="0.2">
      <c r="BB1422" s="1" t="s">
        <v>2303</v>
      </c>
      <c r="BC1422" s="1" t="s">
        <v>878</v>
      </c>
    </row>
    <row r="1423" spans="54:55" x14ac:dyDescent="0.2">
      <c r="BB1423" s="1" t="s">
        <v>2304</v>
      </c>
      <c r="BC1423" s="1" t="s">
        <v>1007</v>
      </c>
    </row>
    <row r="1424" spans="54:55" x14ac:dyDescent="0.2">
      <c r="BB1424" s="1" t="s">
        <v>2305</v>
      </c>
      <c r="BC1424" s="1" t="s">
        <v>885</v>
      </c>
    </row>
    <row r="1425" spans="54:55" x14ac:dyDescent="0.2">
      <c r="BB1425" s="1" t="s">
        <v>2306</v>
      </c>
      <c r="BC1425" s="1" t="s">
        <v>878</v>
      </c>
    </row>
    <row r="1426" spans="54:55" x14ac:dyDescent="0.2">
      <c r="BB1426" s="1" t="s">
        <v>2307</v>
      </c>
      <c r="BC1426" s="1" t="s">
        <v>878</v>
      </c>
    </row>
    <row r="1427" spans="54:55" x14ac:dyDescent="0.2">
      <c r="BB1427" s="1" t="s">
        <v>2308</v>
      </c>
      <c r="BC1427" s="1" t="s">
        <v>883</v>
      </c>
    </row>
    <row r="1428" spans="54:55" x14ac:dyDescent="0.2">
      <c r="BB1428" s="1" t="s">
        <v>2309</v>
      </c>
      <c r="BC1428" s="1" t="s">
        <v>878</v>
      </c>
    </row>
    <row r="1429" spans="54:55" x14ac:dyDescent="0.2">
      <c r="BB1429" s="1" t="s">
        <v>2310</v>
      </c>
      <c r="BC1429" s="1" t="s">
        <v>878</v>
      </c>
    </row>
    <row r="1430" spans="54:55" x14ac:dyDescent="0.2">
      <c r="BB1430" s="1" t="s">
        <v>2311</v>
      </c>
      <c r="BC1430" s="1" t="s">
        <v>878</v>
      </c>
    </row>
    <row r="1431" spans="54:55" x14ac:dyDescent="0.2">
      <c r="BB1431" s="1" t="s">
        <v>2312</v>
      </c>
      <c r="BC1431" s="1" t="s">
        <v>887</v>
      </c>
    </row>
    <row r="1432" spans="54:55" x14ac:dyDescent="0.2">
      <c r="BB1432" s="1" t="s">
        <v>2313</v>
      </c>
      <c r="BC1432" s="1" t="s">
        <v>878</v>
      </c>
    </row>
    <row r="1433" spans="54:55" x14ac:dyDescent="0.2">
      <c r="BB1433" s="1" t="s">
        <v>2314</v>
      </c>
      <c r="BC1433" s="1" t="s">
        <v>881</v>
      </c>
    </row>
    <row r="1434" spans="54:55" x14ac:dyDescent="0.2">
      <c r="BB1434" s="1" t="s">
        <v>2315</v>
      </c>
      <c r="BC1434" s="1" t="s">
        <v>878</v>
      </c>
    </row>
    <row r="1435" spans="54:55" x14ac:dyDescent="0.2">
      <c r="BB1435" s="1" t="s">
        <v>2316</v>
      </c>
      <c r="BC1435" s="1" t="s">
        <v>878</v>
      </c>
    </row>
    <row r="1436" spans="54:55" x14ac:dyDescent="0.2">
      <c r="BB1436" s="1" t="s">
        <v>2317</v>
      </c>
      <c r="BC1436" s="1" t="s">
        <v>883</v>
      </c>
    </row>
    <row r="1437" spans="54:55" x14ac:dyDescent="0.2">
      <c r="BB1437" s="1" t="s">
        <v>2318</v>
      </c>
      <c r="BC1437" s="1" t="s">
        <v>881</v>
      </c>
    </row>
    <row r="1438" spans="54:55" x14ac:dyDescent="0.2">
      <c r="BB1438" s="1" t="s">
        <v>2319</v>
      </c>
      <c r="BC1438" s="1" t="s">
        <v>883</v>
      </c>
    </row>
    <row r="1439" spans="54:55" x14ac:dyDescent="0.2">
      <c r="BB1439" s="1" t="s">
        <v>2320</v>
      </c>
      <c r="BC1439" s="1" t="s">
        <v>878</v>
      </c>
    </row>
    <row r="1440" spans="54:55" x14ac:dyDescent="0.2">
      <c r="BB1440" s="1" t="s">
        <v>2321</v>
      </c>
      <c r="BC1440" s="1" t="s">
        <v>878</v>
      </c>
    </row>
    <row r="1441" spans="54:55" x14ac:dyDescent="0.2">
      <c r="BB1441" s="1" t="s">
        <v>2322</v>
      </c>
      <c r="BC1441" s="1" t="s">
        <v>878</v>
      </c>
    </row>
    <row r="1442" spans="54:55" x14ac:dyDescent="0.2">
      <c r="BB1442" s="1" t="s">
        <v>2323</v>
      </c>
      <c r="BC1442" s="1" t="s">
        <v>878</v>
      </c>
    </row>
    <row r="1443" spans="54:55" x14ac:dyDescent="0.2">
      <c r="BB1443" s="1" t="s">
        <v>2324</v>
      </c>
      <c r="BC1443" s="1" t="s">
        <v>878</v>
      </c>
    </row>
    <row r="1444" spans="54:55" x14ac:dyDescent="0.2">
      <c r="BB1444" s="1" t="s">
        <v>2325</v>
      </c>
      <c r="BC1444" s="1" t="s">
        <v>878</v>
      </c>
    </row>
    <row r="1445" spans="54:55" x14ac:dyDescent="0.2">
      <c r="BB1445" s="1" t="s">
        <v>2326</v>
      </c>
      <c r="BC1445" s="1" t="s">
        <v>878</v>
      </c>
    </row>
    <row r="1446" spans="54:55" x14ac:dyDescent="0.2">
      <c r="BB1446" s="1" t="s">
        <v>2327</v>
      </c>
      <c r="BC1446" s="1" t="s">
        <v>878</v>
      </c>
    </row>
    <row r="1447" spans="54:55" x14ac:dyDescent="0.2">
      <c r="BB1447" s="1" t="s">
        <v>2328</v>
      </c>
      <c r="BC1447" s="1" t="s">
        <v>878</v>
      </c>
    </row>
    <row r="1448" spans="54:55" x14ac:dyDescent="0.2">
      <c r="BB1448" s="1" t="s">
        <v>2329</v>
      </c>
      <c r="BC1448" s="1" t="s">
        <v>881</v>
      </c>
    </row>
    <row r="1449" spans="54:55" x14ac:dyDescent="0.2">
      <c r="BB1449" s="1" t="s">
        <v>2330</v>
      </c>
      <c r="BC1449" s="1" t="s">
        <v>878</v>
      </c>
    </row>
    <row r="1450" spans="54:55" x14ac:dyDescent="0.2">
      <c r="BB1450" s="1" t="s">
        <v>2331</v>
      </c>
      <c r="BC1450" s="1" t="s">
        <v>887</v>
      </c>
    </row>
    <row r="1451" spans="54:55" x14ac:dyDescent="0.2">
      <c r="BB1451" s="1" t="s">
        <v>2332</v>
      </c>
      <c r="BC1451" s="1" t="s">
        <v>878</v>
      </c>
    </row>
    <row r="1452" spans="54:55" x14ac:dyDescent="0.2">
      <c r="BB1452" s="1" t="s">
        <v>2333</v>
      </c>
      <c r="BC1452" s="1" t="s">
        <v>878</v>
      </c>
    </row>
    <row r="1453" spans="54:55" x14ac:dyDescent="0.2">
      <c r="BB1453" s="1" t="s">
        <v>2334</v>
      </c>
      <c r="BC1453" s="1" t="s">
        <v>878</v>
      </c>
    </row>
    <row r="1454" spans="54:55" x14ac:dyDescent="0.2">
      <c r="BB1454" s="1" t="s">
        <v>2335</v>
      </c>
      <c r="BC1454" s="1" t="s">
        <v>878</v>
      </c>
    </row>
    <row r="1455" spans="54:55" x14ac:dyDescent="0.2">
      <c r="BB1455" s="1" t="s">
        <v>2336</v>
      </c>
      <c r="BC1455" s="1" t="s">
        <v>1007</v>
      </c>
    </row>
    <row r="1456" spans="54:55" x14ac:dyDescent="0.2">
      <c r="BB1456" s="1" t="s">
        <v>2337</v>
      </c>
      <c r="BC1456" s="1" t="s">
        <v>883</v>
      </c>
    </row>
    <row r="1457" spans="54:55" x14ac:dyDescent="0.2">
      <c r="BB1457" s="1" t="s">
        <v>2338</v>
      </c>
      <c r="BC1457" s="1" t="s">
        <v>878</v>
      </c>
    </row>
    <row r="1458" spans="54:55" x14ac:dyDescent="0.2">
      <c r="BB1458" s="1" t="s">
        <v>2339</v>
      </c>
      <c r="BC1458" s="1" t="s">
        <v>878</v>
      </c>
    </row>
    <row r="1459" spans="54:55" x14ac:dyDescent="0.2">
      <c r="BB1459" s="1" t="s">
        <v>2340</v>
      </c>
      <c r="BC1459" s="1" t="s">
        <v>878</v>
      </c>
    </row>
    <row r="1460" spans="54:55" x14ac:dyDescent="0.2">
      <c r="BB1460" s="1" t="s">
        <v>2341</v>
      </c>
      <c r="BC1460" s="1" t="s">
        <v>878</v>
      </c>
    </row>
    <row r="1461" spans="54:55" x14ac:dyDescent="0.2">
      <c r="BB1461" s="1" t="s">
        <v>2342</v>
      </c>
      <c r="BC1461" s="1" t="s">
        <v>878</v>
      </c>
    </row>
    <row r="1462" spans="54:55" x14ac:dyDescent="0.2">
      <c r="BB1462" s="1" t="s">
        <v>2343</v>
      </c>
      <c r="BC1462" s="1" t="s">
        <v>878</v>
      </c>
    </row>
    <row r="1463" spans="54:55" x14ac:dyDescent="0.2">
      <c r="BB1463" s="1" t="s">
        <v>2344</v>
      </c>
      <c r="BC1463" s="1" t="s">
        <v>887</v>
      </c>
    </row>
    <row r="1464" spans="54:55" x14ac:dyDescent="0.2">
      <c r="BB1464" s="1" t="s">
        <v>2345</v>
      </c>
      <c r="BC1464" s="1" t="s">
        <v>878</v>
      </c>
    </row>
    <row r="1465" spans="54:55" x14ac:dyDescent="0.2">
      <c r="BB1465" s="1" t="s">
        <v>2346</v>
      </c>
      <c r="BC1465" s="1" t="s">
        <v>893</v>
      </c>
    </row>
    <row r="1466" spans="54:55" x14ac:dyDescent="0.2">
      <c r="BB1466" s="1" t="s">
        <v>2347</v>
      </c>
      <c r="BC1466" s="1" t="s">
        <v>878</v>
      </c>
    </row>
    <row r="1467" spans="54:55" x14ac:dyDescent="0.2">
      <c r="BB1467" s="1" t="s">
        <v>2348</v>
      </c>
      <c r="BC1467" s="1" t="s">
        <v>878</v>
      </c>
    </row>
    <row r="1468" spans="54:55" x14ac:dyDescent="0.2">
      <c r="BB1468" s="1" t="s">
        <v>2349</v>
      </c>
      <c r="BC1468" s="1" t="s">
        <v>887</v>
      </c>
    </row>
    <row r="1469" spans="54:55" x14ac:dyDescent="0.2">
      <c r="BB1469" s="1" t="s">
        <v>2350</v>
      </c>
      <c r="BC1469" s="1" t="s">
        <v>883</v>
      </c>
    </row>
    <row r="1470" spans="54:55" x14ac:dyDescent="0.2">
      <c r="BB1470" s="1" t="s">
        <v>2351</v>
      </c>
      <c r="BC1470" s="1" t="s">
        <v>883</v>
      </c>
    </row>
    <row r="1471" spans="54:55" x14ac:dyDescent="0.2">
      <c r="BB1471" s="1" t="s">
        <v>2352</v>
      </c>
      <c r="BC1471" s="1" t="s">
        <v>878</v>
      </c>
    </row>
    <row r="1472" spans="54:55" x14ac:dyDescent="0.2">
      <c r="BB1472" s="1" t="s">
        <v>2353</v>
      </c>
      <c r="BC1472" s="1" t="s">
        <v>887</v>
      </c>
    </row>
    <row r="1473" spans="54:55" x14ac:dyDescent="0.2">
      <c r="BB1473" s="1" t="s">
        <v>2354</v>
      </c>
      <c r="BC1473" s="1" t="s">
        <v>883</v>
      </c>
    </row>
    <row r="1474" spans="54:55" x14ac:dyDescent="0.2">
      <c r="BB1474" s="1" t="s">
        <v>2355</v>
      </c>
      <c r="BC1474" s="1" t="s">
        <v>883</v>
      </c>
    </row>
    <row r="1475" spans="54:55" x14ac:dyDescent="0.2">
      <c r="BB1475" s="1" t="s">
        <v>2356</v>
      </c>
      <c r="BC1475" s="1" t="s">
        <v>883</v>
      </c>
    </row>
    <row r="1476" spans="54:55" x14ac:dyDescent="0.2">
      <c r="BB1476" s="1" t="s">
        <v>2357</v>
      </c>
      <c r="BC1476" s="1" t="s">
        <v>883</v>
      </c>
    </row>
    <row r="1477" spans="54:55" x14ac:dyDescent="0.2">
      <c r="BB1477" s="1" t="s">
        <v>2358</v>
      </c>
      <c r="BC1477" s="1" t="s">
        <v>885</v>
      </c>
    </row>
    <row r="1478" spans="54:55" x14ac:dyDescent="0.2">
      <c r="BB1478" s="1" t="s">
        <v>2359</v>
      </c>
      <c r="BC1478" s="1" t="s">
        <v>878</v>
      </c>
    </row>
    <row r="1479" spans="54:55" x14ac:dyDescent="0.2">
      <c r="BB1479" s="1" t="s">
        <v>2360</v>
      </c>
      <c r="BC1479" s="1" t="s">
        <v>878</v>
      </c>
    </row>
    <row r="1480" spans="54:55" x14ac:dyDescent="0.2">
      <c r="BB1480" s="1" t="s">
        <v>2361</v>
      </c>
      <c r="BC1480" s="1" t="s">
        <v>887</v>
      </c>
    </row>
    <row r="1481" spans="54:55" x14ac:dyDescent="0.2">
      <c r="BB1481" s="1" t="s">
        <v>2362</v>
      </c>
      <c r="BC1481" s="1" t="s">
        <v>883</v>
      </c>
    </row>
    <row r="1482" spans="54:55" x14ac:dyDescent="0.2">
      <c r="BB1482" s="1" t="s">
        <v>2363</v>
      </c>
      <c r="BC1482" s="1" t="s">
        <v>878</v>
      </c>
    </row>
    <row r="1483" spans="54:55" x14ac:dyDescent="0.2">
      <c r="BB1483" s="1" t="s">
        <v>2364</v>
      </c>
      <c r="BC1483" s="1" t="s">
        <v>883</v>
      </c>
    </row>
    <row r="1484" spans="54:55" x14ac:dyDescent="0.2">
      <c r="BB1484" s="1" t="s">
        <v>2365</v>
      </c>
      <c r="BC1484" s="1" t="s">
        <v>895</v>
      </c>
    </row>
    <row r="1485" spans="54:55" x14ac:dyDescent="0.2">
      <c r="BB1485" s="1" t="s">
        <v>2366</v>
      </c>
      <c r="BC1485" s="1" t="s">
        <v>878</v>
      </c>
    </row>
    <row r="1486" spans="54:55" x14ac:dyDescent="0.2">
      <c r="BB1486" s="1" t="s">
        <v>2367</v>
      </c>
      <c r="BC1486" s="1" t="s">
        <v>887</v>
      </c>
    </row>
    <row r="1487" spans="54:55" x14ac:dyDescent="0.2">
      <c r="BB1487" s="1" t="s">
        <v>2368</v>
      </c>
      <c r="BC1487" s="1" t="s">
        <v>887</v>
      </c>
    </row>
    <row r="1488" spans="54:55" x14ac:dyDescent="0.2">
      <c r="BB1488" s="1" t="s">
        <v>2369</v>
      </c>
      <c r="BC1488" s="1" t="s">
        <v>878</v>
      </c>
    </row>
    <row r="1489" spans="54:55" x14ac:dyDescent="0.2">
      <c r="BB1489" s="1" t="s">
        <v>2370</v>
      </c>
      <c r="BC1489" s="1" t="s">
        <v>883</v>
      </c>
    </row>
    <row r="1490" spans="54:55" x14ac:dyDescent="0.2">
      <c r="BB1490" s="1" t="s">
        <v>2371</v>
      </c>
      <c r="BC1490" s="1" t="s">
        <v>878</v>
      </c>
    </row>
    <row r="1491" spans="54:55" x14ac:dyDescent="0.2">
      <c r="BB1491" s="1" t="s">
        <v>2372</v>
      </c>
      <c r="BC1491" s="1" t="s">
        <v>878</v>
      </c>
    </row>
    <row r="1492" spans="54:55" x14ac:dyDescent="0.2">
      <c r="BB1492" s="1" t="s">
        <v>2373</v>
      </c>
      <c r="BC1492" s="1" t="s">
        <v>883</v>
      </c>
    </row>
    <row r="1493" spans="54:55" x14ac:dyDescent="0.2">
      <c r="BB1493" s="1" t="s">
        <v>2374</v>
      </c>
      <c r="BC1493" s="1" t="s">
        <v>878</v>
      </c>
    </row>
    <row r="1494" spans="54:55" x14ac:dyDescent="0.2">
      <c r="BB1494" s="1" t="s">
        <v>2375</v>
      </c>
      <c r="BC1494" s="1" t="s">
        <v>878</v>
      </c>
    </row>
    <row r="1495" spans="54:55" x14ac:dyDescent="0.2">
      <c r="BB1495" s="1" t="s">
        <v>2376</v>
      </c>
      <c r="BC1495" s="1" t="s">
        <v>893</v>
      </c>
    </row>
    <row r="1496" spans="54:55" x14ac:dyDescent="0.2">
      <c r="BB1496" s="1" t="s">
        <v>2377</v>
      </c>
      <c r="BC1496" s="1" t="s">
        <v>883</v>
      </c>
    </row>
    <row r="1497" spans="54:55" x14ac:dyDescent="0.2">
      <c r="BB1497" s="1" t="s">
        <v>2378</v>
      </c>
      <c r="BC1497" s="1" t="s">
        <v>878</v>
      </c>
    </row>
    <row r="1498" spans="54:55" x14ac:dyDescent="0.2">
      <c r="BB1498" s="1" t="s">
        <v>2379</v>
      </c>
      <c r="BC1498" s="1" t="s">
        <v>885</v>
      </c>
    </row>
    <row r="1499" spans="54:55" x14ac:dyDescent="0.2">
      <c r="BB1499" s="1" t="s">
        <v>2380</v>
      </c>
      <c r="BC1499" s="1" t="s">
        <v>883</v>
      </c>
    </row>
    <row r="1500" spans="54:55" x14ac:dyDescent="0.2">
      <c r="BB1500" s="1" t="s">
        <v>2381</v>
      </c>
      <c r="BC1500" s="1" t="s">
        <v>878</v>
      </c>
    </row>
    <row r="1501" spans="54:55" x14ac:dyDescent="0.2">
      <c r="BB1501" s="1" t="s">
        <v>2382</v>
      </c>
      <c r="BC1501" s="1" t="s">
        <v>883</v>
      </c>
    </row>
    <row r="1502" spans="54:55" x14ac:dyDescent="0.2">
      <c r="BB1502" s="1" t="s">
        <v>2383</v>
      </c>
      <c r="BC1502" s="1" t="s">
        <v>878</v>
      </c>
    </row>
    <row r="1503" spans="54:55" x14ac:dyDescent="0.2">
      <c r="BB1503" s="1" t="s">
        <v>2384</v>
      </c>
      <c r="BC1503" s="1" t="s">
        <v>1007</v>
      </c>
    </row>
    <row r="1504" spans="54:55" x14ac:dyDescent="0.2">
      <c r="BB1504" s="1" t="s">
        <v>2385</v>
      </c>
      <c r="BC1504" s="1" t="s">
        <v>881</v>
      </c>
    </row>
    <row r="1505" spans="54:55" x14ac:dyDescent="0.2">
      <c r="BB1505" s="1" t="s">
        <v>2386</v>
      </c>
      <c r="BC1505" s="1" t="s">
        <v>887</v>
      </c>
    </row>
    <row r="1506" spans="54:55" x14ac:dyDescent="0.2">
      <c r="BB1506" s="1" t="s">
        <v>2387</v>
      </c>
      <c r="BC1506" s="1" t="s">
        <v>887</v>
      </c>
    </row>
    <row r="1507" spans="54:55" x14ac:dyDescent="0.2">
      <c r="BB1507" s="1" t="s">
        <v>2388</v>
      </c>
      <c r="BC1507" s="1" t="s">
        <v>887</v>
      </c>
    </row>
    <row r="1508" spans="54:55" x14ac:dyDescent="0.2">
      <c r="BB1508" s="1" t="s">
        <v>2389</v>
      </c>
      <c r="BC1508" s="1" t="s">
        <v>881</v>
      </c>
    </row>
    <row r="1509" spans="54:55" x14ac:dyDescent="0.2">
      <c r="BB1509" s="1" t="s">
        <v>2390</v>
      </c>
      <c r="BC1509" s="1" t="s">
        <v>887</v>
      </c>
    </row>
    <row r="1510" spans="54:55" x14ac:dyDescent="0.2">
      <c r="BB1510" s="1" t="s">
        <v>2391</v>
      </c>
      <c r="BC1510" s="1" t="s">
        <v>883</v>
      </c>
    </row>
    <row r="1511" spans="54:55" x14ac:dyDescent="0.2">
      <c r="BB1511" s="1" t="s">
        <v>2392</v>
      </c>
      <c r="BC1511" s="1" t="s">
        <v>885</v>
      </c>
    </row>
    <row r="1512" spans="54:55" x14ac:dyDescent="0.2">
      <c r="BB1512" s="1" t="s">
        <v>2393</v>
      </c>
      <c r="BC1512" s="1" t="s">
        <v>887</v>
      </c>
    </row>
    <row r="1513" spans="54:55" x14ac:dyDescent="0.2">
      <c r="BB1513" s="1" t="s">
        <v>2394</v>
      </c>
      <c r="BC1513" s="1" t="s">
        <v>878</v>
      </c>
    </row>
    <row r="1514" spans="54:55" x14ac:dyDescent="0.2">
      <c r="BB1514" s="1" t="s">
        <v>2395</v>
      </c>
      <c r="BC1514" s="1" t="s">
        <v>883</v>
      </c>
    </row>
    <row r="1515" spans="54:55" x14ac:dyDescent="0.2">
      <c r="BB1515" s="1" t="s">
        <v>2396</v>
      </c>
      <c r="BC1515" s="1" t="s">
        <v>887</v>
      </c>
    </row>
    <row r="1516" spans="54:55" x14ac:dyDescent="0.2">
      <c r="BB1516" s="1" t="s">
        <v>2397</v>
      </c>
      <c r="BC1516" s="1" t="s">
        <v>878</v>
      </c>
    </row>
    <row r="1517" spans="54:55" x14ac:dyDescent="0.2">
      <c r="BB1517" s="1" t="s">
        <v>2398</v>
      </c>
      <c r="BC1517" s="1" t="s">
        <v>878</v>
      </c>
    </row>
    <row r="1518" spans="54:55" x14ac:dyDescent="0.2">
      <c r="BB1518" s="1" t="s">
        <v>2399</v>
      </c>
      <c r="BC1518" s="1" t="s">
        <v>878</v>
      </c>
    </row>
    <row r="1519" spans="54:55" x14ac:dyDescent="0.2">
      <c r="BB1519" s="1" t="s">
        <v>2400</v>
      </c>
      <c r="BC1519" s="1" t="s">
        <v>878</v>
      </c>
    </row>
    <row r="1520" spans="54:55" x14ac:dyDescent="0.2">
      <c r="BB1520" s="1" t="s">
        <v>2401</v>
      </c>
      <c r="BC1520" s="1" t="s">
        <v>883</v>
      </c>
    </row>
    <row r="1521" spans="54:55" x14ac:dyDescent="0.2">
      <c r="BB1521" s="1" t="s">
        <v>2402</v>
      </c>
      <c r="BC1521" s="1" t="s">
        <v>878</v>
      </c>
    </row>
    <row r="1522" spans="54:55" x14ac:dyDescent="0.2">
      <c r="BB1522" s="1" t="s">
        <v>2403</v>
      </c>
      <c r="BC1522" s="1" t="s">
        <v>878</v>
      </c>
    </row>
    <row r="1523" spans="54:55" x14ac:dyDescent="0.2">
      <c r="BB1523" s="1" t="s">
        <v>2404</v>
      </c>
      <c r="BC1523" s="1" t="s">
        <v>885</v>
      </c>
    </row>
    <row r="1524" spans="54:55" x14ac:dyDescent="0.2">
      <c r="BB1524" s="1" t="s">
        <v>2405</v>
      </c>
      <c r="BC1524" s="1" t="s">
        <v>878</v>
      </c>
    </row>
    <row r="1525" spans="54:55" x14ac:dyDescent="0.2">
      <c r="BB1525" s="1" t="s">
        <v>2406</v>
      </c>
      <c r="BC1525" s="1" t="s">
        <v>878</v>
      </c>
    </row>
    <row r="1526" spans="54:55" x14ac:dyDescent="0.2">
      <c r="BB1526" s="1" t="s">
        <v>2407</v>
      </c>
      <c r="BC1526" s="1" t="s">
        <v>878</v>
      </c>
    </row>
    <row r="1527" spans="54:55" x14ac:dyDescent="0.2">
      <c r="BB1527" s="1" t="s">
        <v>2408</v>
      </c>
      <c r="BC1527" s="1" t="s">
        <v>878</v>
      </c>
    </row>
    <row r="1528" spans="54:55" x14ac:dyDescent="0.2">
      <c r="BB1528" s="1" t="s">
        <v>2409</v>
      </c>
      <c r="BC1528" s="1" t="s">
        <v>878</v>
      </c>
    </row>
    <row r="1529" spans="54:55" x14ac:dyDescent="0.2">
      <c r="BB1529" s="1" t="s">
        <v>2410</v>
      </c>
      <c r="BC1529" s="1" t="s">
        <v>878</v>
      </c>
    </row>
    <row r="1530" spans="54:55" x14ac:dyDescent="0.2">
      <c r="BB1530" s="1" t="s">
        <v>2411</v>
      </c>
      <c r="BC1530" s="1" t="s">
        <v>878</v>
      </c>
    </row>
    <row r="1531" spans="54:55" x14ac:dyDescent="0.2">
      <c r="BB1531" s="1" t="s">
        <v>2412</v>
      </c>
      <c r="BC1531" s="1" t="s">
        <v>885</v>
      </c>
    </row>
    <row r="1532" spans="54:55" x14ac:dyDescent="0.2">
      <c r="BB1532" s="1" t="s">
        <v>2413</v>
      </c>
      <c r="BC1532" s="1" t="s">
        <v>878</v>
      </c>
    </row>
    <row r="1533" spans="54:55" x14ac:dyDescent="0.2">
      <c r="BB1533" s="1" t="s">
        <v>2414</v>
      </c>
      <c r="BC1533" s="1" t="s">
        <v>878</v>
      </c>
    </row>
    <row r="1534" spans="54:55" x14ac:dyDescent="0.2">
      <c r="BB1534" s="1" t="s">
        <v>2415</v>
      </c>
      <c r="BC1534" s="1" t="s">
        <v>885</v>
      </c>
    </row>
    <row r="1535" spans="54:55" x14ac:dyDescent="0.2">
      <c r="BB1535" s="1" t="s">
        <v>2416</v>
      </c>
      <c r="BC1535" s="1" t="s">
        <v>895</v>
      </c>
    </row>
    <row r="1536" spans="54:55" x14ac:dyDescent="0.2">
      <c r="BB1536" s="1" t="s">
        <v>2417</v>
      </c>
      <c r="BC1536" s="1" t="s">
        <v>1007</v>
      </c>
    </row>
    <row r="1537" spans="54:55" x14ac:dyDescent="0.2">
      <c r="BB1537" s="1" t="s">
        <v>2418</v>
      </c>
      <c r="BC1537" s="1" t="s">
        <v>883</v>
      </c>
    </row>
    <row r="1538" spans="54:55" x14ac:dyDescent="0.2">
      <c r="BB1538" s="1" t="s">
        <v>2419</v>
      </c>
      <c r="BC1538" s="1" t="s">
        <v>878</v>
      </c>
    </row>
    <row r="1539" spans="54:55" x14ac:dyDescent="0.2">
      <c r="BB1539" s="1" t="s">
        <v>2420</v>
      </c>
      <c r="BC1539" s="1" t="s">
        <v>895</v>
      </c>
    </row>
    <row r="1540" spans="54:55" x14ac:dyDescent="0.2">
      <c r="BB1540" s="1" t="s">
        <v>2421</v>
      </c>
      <c r="BC1540" s="1" t="s">
        <v>1007</v>
      </c>
    </row>
    <row r="1541" spans="54:55" x14ac:dyDescent="0.2">
      <c r="BB1541" s="1" t="s">
        <v>2422</v>
      </c>
      <c r="BC1541" s="1" t="s">
        <v>878</v>
      </c>
    </row>
    <row r="1542" spans="54:55" x14ac:dyDescent="0.2">
      <c r="BB1542" s="1" t="s">
        <v>2423</v>
      </c>
      <c r="BC1542" s="1" t="s">
        <v>883</v>
      </c>
    </row>
    <row r="1543" spans="54:55" x14ac:dyDescent="0.2">
      <c r="BB1543" s="1" t="s">
        <v>2424</v>
      </c>
      <c r="BC1543" s="1" t="s">
        <v>878</v>
      </c>
    </row>
    <row r="1544" spans="54:55" x14ac:dyDescent="0.2">
      <c r="BB1544" s="1" t="s">
        <v>2425</v>
      </c>
      <c r="BC1544" s="1" t="s">
        <v>878</v>
      </c>
    </row>
    <row r="1545" spans="54:55" x14ac:dyDescent="0.2">
      <c r="BB1545" s="1" t="s">
        <v>2426</v>
      </c>
      <c r="BC1545" s="1" t="s">
        <v>895</v>
      </c>
    </row>
    <row r="1546" spans="54:55" x14ac:dyDescent="0.2">
      <c r="BB1546" s="1" t="s">
        <v>2427</v>
      </c>
      <c r="BC1546" s="1" t="s">
        <v>878</v>
      </c>
    </row>
    <row r="1547" spans="54:55" x14ac:dyDescent="0.2">
      <c r="BB1547" s="1" t="s">
        <v>2428</v>
      </c>
      <c r="BC1547" s="1" t="s">
        <v>878</v>
      </c>
    </row>
    <row r="1548" spans="54:55" x14ac:dyDescent="0.2">
      <c r="BB1548" s="1" t="s">
        <v>2429</v>
      </c>
      <c r="BC1548" s="1" t="s">
        <v>887</v>
      </c>
    </row>
    <row r="1549" spans="54:55" x14ac:dyDescent="0.2">
      <c r="BB1549" s="1" t="s">
        <v>2430</v>
      </c>
      <c r="BC1549" s="1" t="s">
        <v>883</v>
      </c>
    </row>
    <row r="1550" spans="54:55" x14ac:dyDescent="0.2">
      <c r="BB1550" s="1" t="s">
        <v>2431</v>
      </c>
      <c r="BC1550" s="1" t="s">
        <v>878</v>
      </c>
    </row>
    <row r="1551" spans="54:55" x14ac:dyDescent="0.2">
      <c r="BB1551" s="1" t="s">
        <v>2432</v>
      </c>
      <c r="BC1551" s="1" t="s">
        <v>887</v>
      </c>
    </row>
    <row r="1552" spans="54:55" x14ac:dyDescent="0.2">
      <c r="BB1552" s="1" t="s">
        <v>2433</v>
      </c>
      <c r="BC1552" s="1" t="s">
        <v>878</v>
      </c>
    </row>
    <row r="1553" spans="54:55" x14ac:dyDescent="0.2">
      <c r="BB1553" s="1" t="s">
        <v>2434</v>
      </c>
      <c r="BC1553" s="1" t="s">
        <v>881</v>
      </c>
    </row>
    <row r="1554" spans="54:55" x14ac:dyDescent="0.2">
      <c r="BB1554" s="1" t="s">
        <v>2435</v>
      </c>
      <c r="BC1554" s="1" t="s">
        <v>881</v>
      </c>
    </row>
    <row r="1555" spans="54:55" x14ac:dyDescent="0.2">
      <c r="BB1555" s="1" t="s">
        <v>2436</v>
      </c>
      <c r="BC1555" s="1" t="s">
        <v>881</v>
      </c>
    </row>
    <row r="1556" spans="54:55" x14ac:dyDescent="0.2">
      <c r="BB1556" s="1" t="s">
        <v>2437</v>
      </c>
      <c r="BC1556" s="1" t="s">
        <v>881</v>
      </c>
    </row>
    <row r="1557" spans="54:55" x14ac:dyDescent="0.2">
      <c r="BB1557" s="1" t="s">
        <v>2438</v>
      </c>
      <c r="BC1557" s="1" t="s">
        <v>878</v>
      </c>
    </row>
    <row r="1558" spans="54:55" x14ac:dyDescent="0.2">
      <c r="BB1558" s="1" t="s">
        <v>2439</v>
      </c>
      <c r="BC1558" s="1" t="s">
        <v>887</v>
      </c>
    </row>
    <row r="1559" spans="54:55" x14ac:dyDescent="0.2">
      <c r="BB1559" s="1" t="s">
        <v>2440</v>
      </c>
      <c r="BC1559" s="1" t="s">
        <v>878</v>
      </c>
    </row>
    <row r="1560" spans="54:55" x14ac:dyDescent="0.2">
      <c r="BB1560" s="1" t="s">
        <v>2441</v>
      </c>
      <c r="BC1560" s="1" t="s">
        <v>887</v>
      </c>
    </row>
    <row r="1561" spans="54:55" x14ac:dyDescent="0.2">
      <c r="BB1561" s="1" t="s">
        <v>2442</v>
      </c>
      <c r="BC1561" s="1" t="s">
        <v>887</v>
      </c>
    </row>
    <row r="1562" spans="54:55" x14ac:dyDescent="0.2">
      <c r="BB1562" s="1" t="s">
        <v>2443</v>
      </c>
      <c r="BC1562" s="1" t="s">
        <v>883</v>
      </c>
    </row>
    <row r="1563" spans="54:55" x14ac:dyDescent="0.2">
      <c r="BB1563" s="1" t="s">
        <v>2444</v>
      </c>
      <c r="BC1563" s="1" t="s">
        <v>878</v>
      </c>
    </row>
    <row r="1564" spans="54:55" x14ac:dyDescent="0.2">
      <c r="BB1564" s="1" t="s">
        <v>2445</v>
      </c>
      <c r="BC1564" s="1" t="s">
        <v>887</v>
      </c>
    </row>
    <row r="1565" spans="54:55" x14ac:dyDescent="0.2">
      <c r="BB1565" s="1" t="s">
        <v>2446</v>
      </c>
      <c r="BC1565" s="1" t="s">
        <v>878</v>
      </c>
    </row>
    <row r="1566" spans="54:55" x14ac:dyDescent="0.2">
      <c r="BB1566" s="1" t="s">
        <v>2447</v>
      </c>
      <c r="BC1566" s="1" t="s">
        <v>878</v>
      </c>
    </row>
    <row r="1567" spans="54:55" x14ac:dyDescent="0.2">
      <c r="BB1567" s="1" t="s">
        <v>2448</v>
      </c>
      <c r="BC1567" s="1" t="s">
        <v>883</v>
      </c>
    </row>
    <row r="1568" spans="54:55" x14ac:dyDescent="0.2">
      <c r="BB1568" s="1" t="s">
        <v>2449</v>
      </c>
      <c r="BC1568" s="1" t="s">
        <v>885</v>
      </c>
    </row>
    <row r="1569" spans="54:55" x14ac:dyDescent="0.2">
      <c r="BB1569" s="1" t="s">
        <v>2450</v>
      </c>
      <c r="BC1569" s="1" t="s">
        <v>881</v>
      </c>
    </row>
    <row r="1570" spans="54:55" x14ac:dyDescent="0.2">
      <c r="BB1570" s="1" t="s">
        <v>2451</v>
      </c>
      <c r="BC1570" s="1" t="s">
        <v>887</v>
      </c>
    </row>
    <row r="1571" spans="54:55" x14ac:dyDescent="0.2">
      <c r="BB1571" s="1" t="s">
        <v>2452</v>
      </c>
      <c r="BC1571" s="1" t="s">
        <v>883</v>
      </c>
    </row>
    <row r="1572" spans="54:55" x14ac:dyDescent="0.2">
      <c r="BB1572" s="1" t="s">
        <v>2453</v>
      </c>
      <c r="BC1572" s="1" t="s">
        <v>878</v>
      </c>
    </row>
    <row r="1573" spans="54:55" x14ac:dyDescent="0.2">
      <c r="BB1573" s="1" t="s">
        <v>2454</v>
      </c>
      <c r="BC1573" s="1" t="s">
        <v>878</v>
      </c>
    </row>
    <row r="1574" spans="54:55" x14ac:dyDescent="0.2">
      <c r="BB1574" s="1" t="s">
        <v>2455</v>
      </c>
      <c r="BC1574" s="1" t="s">
        <v>878</v>
      </c>
    </row>
    <row r="1575" spans="54:55" x14ac:dyDescent="0.2">
      <c r="BB1575" s="1" t="s">
        <v>2456</v>
      </c>
      <c r="BC1575" s="1" t="s">
        <v>878</v>
      </c>
    </row>
    <row r="1576" spans="54:55" x14ac:dyDescent="0.2">
      <c r="BB1576" s="1" t="s">
        <v>2457</v>
      </c>
      <c r="BC1576" s="1" t="s">
        <v>887</v>
      </c>
    </row>
    <row r="1577" spans="54:55" x14ac:dyDescent="0.2">
      <c r="BB1577" s="1" t="s">
        <v>2458</v>
      </c>
      <c r="BC1577" s="1" t="s">
        <v>878</v>
      </c>
    </row>
    <row r="1578" spans="54:55" x14ac:dyDescent="0.2">
      <c r="BB1578" s="1" t="s">
        <v>2459</v>
      </c>
      <c r="BC1578" s="1" t="s">
        <v>885</v>
      </c>
    </row>
    <row r="1579" spans="54:55" x14ac:dyDescent="0.2">
      <c r="BB1579" s="1" t="s">
        <v>2460</v>
      </c>
      <c r="BC1579" s="1" t="s">
        <v>878</v>
      </c>
    </row>
    <row r="1580" spans="54:55" x14ac:dyDescent="0.2">
      <c r="BB1580" s="1" t="s">
        <v>2461</v>
      </c>
      <c r="BC1580" s="1" t="s">
        <v>887</v>
      </c>
    </row>
    <row r="1581" spans="54:55" x14ac:dyDescent="0.2">
      <c r="BB1581" s="1" t="s">
        <v>2462</v>
      </c>
      <c r="BC1581" s="1" t="s">
        <v>878</v>
      </c>
    </row>
    <row r="1582" spans="54:55" x14ac:dyDescent="0.2">
      <c r="BB1582" s="1" t="s">
        <v>2463</v>
      </c>
      <c r="BC1582" s="1" t="s">
        <v>878</v>
      </c>
    </row>
    <row r="1583" spans="54:55" x14ac:dyDescent="0.2">
      <c r="BB1583" s="1" t="s">
        <v>2464</v>
      </c>
      <c r="BC1583" s="1" t="s">
        <v>883</v>
      </c>
    </row>
    <row r="1584" spans="54:55" x14ac:dyDescent="0.2">
      <c r="BB1584" s="1" t="s">
        <v>2465</v>
      </c>
      <c r="BC1584" s="1" t="s">
        <v>878</v>
      </c>
    </row>
    <row r="1585" spans="54:55" x14ac:dyDescent="0.2">
      <c r="BB1585" s="1" t="s">
        <v>2466</v>
      </c>
      <c r="BC1585" s="1" t="s">
        <v>878</v>
      </c>
    </row>
    <row r="1586" spans="54:55" x14ac:dyDescent="0.2">
      <c r="BB1586" s="1" t="s">
        <v>2467</v>
      </c>
      <c r="BC1586" s="1" t="s">
        <v>883</v>
      </c>
    </row>
    <row r="1587" spans="54:55" x14ac:dyDescent="0.2">
      <c r="BB1587" s="1" t="s">
        <v>2468</v>
      </c>
      <c r="BC1587" s="1" t="s">
        <v>878</v>
      </c>
    </row>
    <row r="1588" spans="54:55" x14ac:dyDescent="0.2">
      <c r="BB1588" s="1" t="s">
        <v>2469</v>
      </c>
      <c r="BC1588" s="1" t="s">
        <v>878</v>
      </c>
    </row>
    <row r="1589" spans="54:55" x14ac:dyDescent="0.2">
      <c r="BB1589" s="1" t="s">
        <v>2470</v>
      </c>
      <c r="BC1589" s="1" t="s">
        <v>887</v>
      </c>
    </row>
    <row r="1590" spans="54:55" x14ac:dyDescent="0.2">
      <c r="BB1590" s="1" t="s">
        <v>2471</v>
      </c>
      <c r="BC1590" s="1" t="s">
        <v>878</v>
      </c>
    </row>
    <row r="1591" spans="54:55" x14ac:dyDescent="0.2">
      <c r="BB1591" s="1" t="s">
        <v>2472</v>
      </c>
      <c r="BC1591" s="1" t="s">
        <v>883</v>
      </c>
    </row>
    <row r="1592" spans="54:55" x14ac:dyDescent="0.2">
      <c r="BB1592" s="1" t="s">
        <v>2473</v>
      </c>
      <c r="BC1592" s="1" t="s">
        <v>878</v>
      </c>
    </row>
    <row r="1593" spans="54:55" x14ac:dyDescent="0.2">
      <c r="BB1593" s="1" t="s">
        <v>2474</v>
      </c>
      <c r="BC1593" s="1" t="s">
        <v>878</v>
      </c>
    </row>
    <row r="1594" spans="54:55" x14ac:dyDescent="0.2">
      <c r="BB1594" s="1" t="s">
        <v>2475</v>
      </c>
      <c r="BC1594" s="1" t="s">
        <v>887</v>
      </c>
    </row>
    <row r="1595" spans="54:55" x14ac:dyDescent="0.2">
      <c r="BB1595" s="1" t="s">
        <v>2476</v>
      </c>
      <c r="BC1595" s="1" t="s">
        <v>878</v>
      </c>
    </row>
    <row r="1596" spans="54:55" x14ac:dyDescent="0.2">
      <c r="BB1596" s="1" t="s">
        <v>2477</v>
      </c>
      <c r="BC1596" s="1" t="s">
        <v>878</v>
      </c>
    </row>
    <row r="1597" spans="54:55" x14ac:dyDescent="0.2">
      <c r="BB1597" s="1" t="s">
        <v>2478</v>
      </c>
      <c r="BC1597" s="1" t="s">
        <v>885</v>
      </c>
    </row>
    <row r="1598" spans="54:55" x14ac:dyDescent="0.2">
      <c r="BB1598" s="1" t="s">
        <v>2479</v>
      </c>
      <c r="BC1598" s="1" t="s">
        <v>878</v>
      </c>
    </row>
    <row r="1599" spans="54:55" x14ac:dyDescent="0.2">
      <c r="BB1599" s="1" t="s">
        <v>2480</v>
      </c>
      <c r="BC1599" s="1" t="s">
        <v>1039</v>
      </c>
    </row>
    <row r="1600" spans="54:55" x14ac:dyDescent="0.2">
      <c r="BB1600" s="1" t="s">
        <v>2481</v>
      </c>
      <c r="BC1600" s="1" t="s">
        <v>878</v>
      </c>
    </row>
    <row r="1601" spans="54:55" x14ac:dyDescent="0.2">
      <c r="BB1601" s="1" t="s">
        <v>2482</v>
      </c>
      <c r="BC1601" s="1" t="s">
        <v>878</v>
      </c>
    </row>
    <row r="1602" spans="54:55" x14ac:dyDescent="0.2">
      <c r="BB1602" s="1" t="s">
        <v>2483</v>
      </c>
      <c r="BC1602" s="1" t="s">
        <v>878</v>
      </c>
    </row>
    <row r="1603" spans="54:55" x14ac:dyDescent="0.2">
      <c r="BB1603" s="1" t="s">
        <v>2484</v>
      </c>
      <c r="BC1603" s="1" t="s">
        <v>887</v>
      </c>
    </row>
    <row r="1604" spans="54:55" x14ac:dyDescent="0.2">
      <c r="BB1604" s="1" t="s">
        <v>2485</v>
      </c>
      <c r="BC1604" s="1" t="s">
        <v>878</v>
      </c>
    </row>
    <row r="1605" spans="54:55" x14ac:dyDescent="0.2">
      <c r="BB1605" s="1" t="s">
        <v>2486</v>
      </c>
      <c r="BC1605" s="1" t="s">
        <v>883</v>
      </c>
    </row>
    <row r="1606" spans="54:55" x14ac:dyDescent="0.2">
      <c r="BB1606" s="1" t="s">
        <v>2487</v>
      </c>
      <c r="BC1606" s="1" t="s">
        <v>878</v>
      </c>
    </row>
    <row r="1607" spans="54:55" x14ac:dyDescent="0.2">
      <c r="BB1607" s="1" t="s">
        <v>2488</v>
      </c>
      <c r="BC1607" s="1" t="s">
        <v>883</v>
      </c>
    </row>
    <row r="1608" spans="54:55" x14ac:dyDescent="0.2">
      <c r="BB1608" s="1" t="s">
        <v>2489</v>
      </c>
      <c r="BC1608" s="1" t="s">
        <v>885</v>
      </c>
    </row>
    <row r="1609" spans="54:55" x14ac:dyDescent="0.2">
      <c r="BB1609" s="1" t="s">
        <v>2490</v>
      </c>
      <c r="BC1609" s="1" t="s">
        <v>878</v>
      </c>
    </row>
    <row r="1610" spans="54:55" x14ac:dyDescent="0.2">
      <c r="BB1610" s="1" t="s">
        <v>2491</v>
      </c>
      <c r="BC1610" s="1" t="s">
        <v>878</v>
      </c>
    </row>
    <row r="1611" spans="54:55" x14ac:dyDescent="0.2">
      <c r="BB1611" s="1" t="s">
        <v>2492</v>
      </c>
      <c r="BC1611" s="1" t="s">
        <v>878</v>
      </c>
    </row>
    <row r="1612" spans="54:55" x14ac:dyDescent="0.2">
      <c r="BB1612" s="1" t="s">
        <v>2493</v>
      </c>
      <c r="BC1612" s="1" t="s">
        <v>881</v>
      </c>
    </row>
    <row r="1613" spans="54:55" x14ac:dyDescent="0.2">
      <c r="BB1613" s="1" t="s">
        <v>2494</v>
      </c>
      <c r="BC1613" s="1" t="s">
        <v>878</v>
      </c>
    </row>
    <row r="1614" spans="54:55" x14ac:dyDescent="0.2">
      <c r="BB1614" s="1" t="s">
        <v>2495</v>
      </c>
      <c r="BC1614" s="1" t="s">
        <v>878</v>
      </c>
    </row>
    <row r="1615" spans="54:55" x14ac:dyDescent="0.2">
      <c r="BB1615" s="1" t="s">
        <v>2496</v>
      </c>
      <c r="BC1615" s="1" t="s">
        <v>881</v>
      </c>
    </row>
    <row r="1616" spans="54:55" x14ac:dyDescent="0.2">
      <c r="BB1616" s="1" t="s">
        <v>2497</v>
      </c>
      <c r="BC1616" s="1" t="s">
        <v>878</v>
      </c>
    </row>
    <row r="1617" spans="54:55" x14ac:dyDescent="0.2">
      <c r="BB1617" s="1" t="s">
        <v>2498</v>
      </c>
      <c r="BC1617" s="1" t="s">
        <v>881</v>
      </c>
    </row>
    <row r="1618" spans="54:55" x14ac:dyDescent="0.2">
      <c r="BB1618" s="1" t="s">
        <v>2499</v>
      </c>
      <c r="BC1618" s="1" t="s">
        <v>883</v>
      </c>
    </row>
    <row r="1619" spans="54:55" x14ac:dyDescent="0.2">
      <c r="BB1619" s="1" t="s">
        <v>2500</v>
      </c>
      <c r="BC1619" s="1" t="s">
        <v>881</v>
      </c>
    </row>
    <row r="1620" spans="54:55" x14ac:dyDescent="0.2">
      <c r="BB1620" s="1" t="s">
        <v>2501</v>
      </c>
      <c r="BC1620" s="1" t="s">
        <v>881</v>
      </c>
    </row>
    <row r="1621" spans="54:55" x14ac:dyDescent="0.2">
      <c r="BB1621" s="1" t="s">
        <v>2502</v>
      </c>
      <c r="BC1621" s="1" t="s">
        <v>881</v>
      </c>
    </row>
    <row r="1622" spans="54:55" x14ac:dyDescent="0.2">
      <c r="BB1622" s="1" t="s">
        <v>2503</v>
      </c>
      <c r="BC1622" s="1" t="s">
        <v>883</v>
      </c>
    </row>
    <row r="1623" spans="54:55" x14ac:dyDescent="0.2">
      <c r="BB1623" s="1" t="s">
        <v>2504</v>
      </c>
      <c r="BC1623" s="1" t="s">
        <v>878</v>
      </c>
    </row>
    <row r="1624" spans="54:55" x14ac:dyDescent="0.2">
      <c r="BB1624" s="1" t="s">
        <v>2505</v>
      </c>
      <c r="BC1624" s="1" t="s">
        <v>893</v>
      </c>
    </row>
    <row r="1625" spans="54:55" x14ac:dyDescent="0.2">
      <c r="BB1625" s="1" t="s">
        <v>2506</v>
      </c>
      <c r="BC1625" s="1" t="s">
        <v>883</v>
      </c>
    </row>
    <row r="1626" spans="54:55" x14ac:dyDescent="0.2">
      <c r="BB1626" s="1" t="s">
        <v>2507</v>
      </c>
      <c r="BC1626" s="1" t="s">
        <v>878</v>
      </c>
    </row>
    <row r="1627" spans="54:55" x14ac:dyDescent="0.2">
      <c r="BB1627" s="1" t="s">
        <v>2508</v>
      </c>
      <c r="BC1627" s="1" t="s">
        <v>883</v>
      </c>
    </row>
    <row r="1628" spans="54:55" x14ac:dyDescent="0.2">
      <c r="BB1628" s="1" t="s">
        <v>2509</v>
      </c>
      <c r="BC1628" s="1" t="s">
        <v>883</v>
      </c>
    </row>
    <row r="1629" spans="54:55" x14ac:dyDescent="0.2">
      <c r="BB1629" s="1" t="s">
        <v>2510</v>
      </c>
      <c r="BC1629" s="1" t="s">
        <v>878</v>
      </c>
    </row>
    <row r="1630" spans="54:55" x14ac:dyDescent="0.2">
      <c r="BB1630" s="1" t="s">
        <v>2511</v>
      </c>
      <c r="BC1630" s="1" t="s">
        <v>885</v>
      </c>
    </row>
    <row r="1631" spans="54:55" x14ac:dyDescent="0.2">
      <c r="BB1631" s="1" t="s">
        <v>2512</v>
      </c>
      <c r="BC1631" s="1" t="s">
        <v>878</v>
      </c>
    </row>
    <row r="1632" spans="54:55" x14ac:dyDescent="0.2">
      <c r="BB1632" s="1" t="s">
        <v>2513</v>
      </c>
      <c r="BC1632" s="1" t="s">
        <v>878</v>
      </c>
    </row>
    <row r="1633" spans="54:55" x14ac:dyDescent="0.2">
      <c r="BB1633" s="1" t="s">
        <v>2514</v>
      </c>
      <c r="BC1633" s="1" t="s">
        <v>878</v>
      </c>
    </row>
    <row r="1634" spans="54:55" x14ac:dyDescent="0.2">
      <c r="BB1634" s="1" t="s">
        <v>2515</v>
      </c>
      <c r="BC1634" s="1" t="s">
        <v>878</v>
      </c>
    </row>
    <row r="1635" spans="54:55" x14ac:dyDescent="0.2">
      <c r="BB1635" s="1" t="s">
        <v>2516</v>
      </c>
      <c r="BC1635" s="1" t="s">
        <v>878</v>
      </c>
    </row>
    <row r="1636" spans="54:55" x14ac:dyDescent="0.2">
      <c r="BB1636" s="1" t="s">
        <v>2517</v>
      </c>
      <c r="BC1636" s="1" t="s">
        <v>878</v>
      </c>
    </row>
    <row r="1637" spans="54:55" x14ac:dyDescent="0.2">
      <c r="BB1637" s="1" t="s">
        <v>2518</v>
      </c>
      <c r="BC1637" s="1" t="s">
        <v>883</v>
      </c>
    </row>
    <row r="1638" spans="54:55" x14ac:dyDescent="0.2">
      <c r="BB1638" s="1" t="s">
        <v>2519</v>
      </c>
      <c r="BC1638" s="1" t="s">
        <v>893</v>
      </c>
    </row>
    <row r="1639" spans="54:55" x14ac:dyDescent="0.2">
      <c r="BB1639" s="1" t="s">
        <v>2520</v>
      </c>
      <c r="BC1639" s="1" t="s">
        <v>885</v>
      </c>
    </row>
    <row r="1640" spans="54:55" x14ac:dyDescent="0.2">
      <c r="BB1640" s="1" t="s">
        <v>2521</v>
      </c>
      <c r="BC1640" s="1" t="s">
        <v>878</v>
      </c>
    </row>
    <row r="1641" spans="54:55" x14ac:dyDescent="0.2">
      <c r="BB1641" s="1" t="s">
        <v>2522</v>
      </c>
      <c r="BC1641" s="1" t="s">
        <v>893</v>
      </c>
    </row>
    <row r="1642" spans="54:55" x14ac:dyDescent="0.2">
      <c r="BB1642" s="1" t="s">
        <v>2523</v>
      </c>
      <c r="BC1642" s="1" t="s">
        <v>878</v>
      </c>
    </row>
    <row r="1643" spans="54:55" x14ac:dyDescent="0.2">
      <c r="BB1643" s="1" t="s">
        <v>2524</v>
      </c>
      <c r="BC1643" s="1" t="s">
        <v>883</v>
      </c>
    </row>
    <row r="1644" spans="54:55" x14ac:dyDescent="0.2">
      <c r="BB1644" s="1" t="s">
        <v>2525</v>
      </c>
      <c r="BC1644" s="1" t="s">
        <v>1007</v>
      </c>
    </row>
    <row r="1645" spans="54:55" x14ac:dyDescent="0.2">
      <c r="BB1645" s="1" t="s">
        <v>2526</v>
      </c>
      <c r="BC1645" s="1" t="s">
        <v>881</v>
      </c>
    </row>
    <row r="1646" spans="54:55" x14ac:dyDescent="0.2">
      <c r="BB1646" s="1" t="s">
        <v>2527</v>
      </c>
      <c r="BC1646" s="1" t="s">
        <v>878</v>
      </c>
    </row>
    <row r="1647" spans="54:55" x14ac:dyDescent="0.2">
      <c r="BB1647" s="1" t="s">
        <v>2528</v>
      </c>
      <c r="BC1647" s="1" t="s">
        <v>878</v>
      </c>
    </row>
    <row r="1648" spans="54:55" x14ac:dyDescent="0.2">
      <c r="BB1648" s="1" t="s">
        <v>2529</v>
      </c>
      <c r="BC1648" s="1" t="s">
        <v>878</v>
      </c>
    </row>
    <row r="1649" spans="54:55" x14ac:dyDescent="0.2">
      <c r="BB1649" s="1" t="s">
        <v>2530</v>
      </c>
      <c r="BC1649" s="1" t="s">
        <v>878</v>
      </c>
    </row>
    <row r="1650" spans="54:55" x14ac:dyDescent="0.2">
      <c r="BB1650" s="1" t="s">
        <v>2531</v>
      </c>
      <c r="BC1650" s="1" t="s">
        <v>878</v>
      </c>
    </row>
    <row r="1651" spans="54:55" x14ac:dyDescent="0.2">
      <c r="BB1651" s="1" t="s">
        <v>2532</v>
      </c>
      <c r="BC1651" s="1" t="s">
        <v>878</v>
      </c>
    </row>
    <row r="1652" spans="54:55" x14ac:dyDescent="0.2">
      <c r="BB1652" s="1" t="s">
        <v>2533</v>
      </c>
      <c r="BC1652" s="1" t="s">
        <v>878</v>
      </c>
    </row>
    <row r="1653" spans="54:55" x14ac:dyDescent="0.2">
      <c r="BB1653" s="1" t="s">
        <v>2534</v>
      </c>
      <c r="BC1653" s="1" t="s">
        <v>883</v>
      </c>
    </row>
    <row r="1654" spans="54:55" x14ac:dyDescent="0.2">
      <c r="BB1654" s="1" t="s">
        <v>2535</v>
      </c>
      <c r="BC1654" s="1" t="s">
        <v>878</v>
      </c>
    </row>
    <row r="1655" spans="54:55" x14ac:dyDescent="0.2">
      <c r="BB1655" s="1" t="s">
        <v>2536</v>
      </c>
      <c r="BC1655" s="1" t="s">
        <v>878</v>
      </c>
    </row>
    <row r="1656" spans="54:55" x14ac:dyDescent="0.2">
      <c r="BB1656" s="1" t="s">
        <v>2537</v>
      </c>
      <c r="BC1656" s="1" t="s">
        <v>885</v>
      </c>
    </row>
    <row r="1657" spans="54:55" x14ac:dyDescent="0.2">
      <c r="BB1657" s="1" t="s">
        <v>2538</v>
      </c>
      <c r="BC1657" s="1" t="s">
        <v>893</v>
      </c>
    </row>
    <row r="1658" spans="54:55" x14ac:dyDescent="0.2">
      <c r="BB1658" s="1" t="s">
        <v>2539</v>
      </c>
      <c r="BC1658" s="1" t="s">
        <v>878</v>
      </c>
    </row>
    <row r="1659" spans="54:55" x14ac:dyDescent="0.2">
      <c r="BB1659" s="1" t="s">
        <v>2540</v>
      </c>
      <c r="BC1659" s="1" t="s">
        <v>878</v>
      </c>
    </row>
    <row r="1660" spans="54:55" x14ac:dyDescent="0.2">
      <c r="BB1660" s="1" t="s">
        <v>2541</v>
      </c>
      <c r="BC1660" s="1" t="s">
        <v>883</v>
      </c>
    </row>
    <row r="1661" spans="54:55" x14ac:dyDescent="0.2">
      <c r="BB1661" s="1" t="s">
        <v>2542</v>
      </c>
      <c r="BC1661" s="1" t="s">
        <v>878</v>
      </c>
    </row>
    <row r="1662" spans="54:55" x14ac:dyDescent="0.2">
      <c r="BB1662" s="1" t="s">
        <v>2543</v>
      </c>
      <c r="BC1662" s="1" t="s">
        <v>878</v>
      </c>
    </row>
    <row r="1663" spans="54:55" x14ac:dyDescent="0.2">
      <c r="BB1663" s="1" t="s">
        <v>2544</v>
      </c>
      <c r="BC1663" s="1" t="s">
        <v>881</v>
      </c>
    </row>
    <row r="1664" spans="54:55" x14ac:dyDescent="0.2">
      <c r="BB1664" s="1" t="s">
        <v>2545</v>
      </c>
      <c r="BC1664" s="1" t="s">
        <v>883</v>
      </c>
    </row>
    <row r="1665" spans="54:55" x14ac:dyDescent="0.2">
      <c r="BB1665" s="1" t="s">
        <v>2546</v>
      </c>
      <c r="BC1665" s="1" t="s">
        <v>881</v>
      </c>
    </row>
    <row r="1666" spans="54:55" x14ac:dyDescent="0.2">
      <c r="BB1666" s="1" t="s">
        <v>2547</v>
      </c>
      <c r="BC1666" s="1" t="s">
        <v>878</v>
      </c>
    </row>
    <row r="1667" spans="54:55" x14ac:dyDescent="0.2">
      <c r="BB1667" s="1" t="s">
        <v>2548</v>
      </c>
      <c r="BC1667" s="1" t="s">
        <v>878</v>
      </c>
    </row>
    <row r="1668" spans="54:55" x14ac:dyDescent="0.2">
      <c r="BB1668" s="1" t="s">
        <v>2549</v>
      </c>
      <c r="BC1668" s="1" t="s">
        <v>887</v>
      </c>
    </row>
    <row r="1669" spans="54:55" x14ac:dyDescent="0.2">
      <c r="BB1669" s="1" t="s">
        <v>2550</v>
      </c>
      <c r="BC1669" s="1" t="s">
        <v>878</v>
      </c>
    </row>
    <row r="1670" spans="54:55" x14ac:dyDescent="0.2">
      <c r="BB1670" s="1" t="s">
        <v>2551</v>
      </c>
      <c r="BC1670" s="1" t="s">
        <v>883</v>
      </c>
    </row>
    <row r="1671" spans="54:55" x14ac:dyDescent="0.2">
      <c r="BB1671" s="1" t="s">
        <v>2552</v>
      </c>
      <c r="BC1671" s="1" t="s">
        <v>878</v>
      </c>
    </row>
    <row r="1672" spans="54:55" x14ac:dyDescent="0.2">
      <c r="BB1672" s="1" t="s">
        <v>2553</v>
      </c>
      <c r="BC1672" s="1" t="s">
        <v>883</v>
      </c>
    </row>
    <row r="1673" spans="54:55" x14ac:dyDescent="0.2">
      <c r="BB1673" s="1" t="s">
        <v>2554</v>
      </c>
      <c r="BC1673" s="1" t="s">
        <v>885</v>
      </c>
    </row>
    <row r="1674" spans="54:55" x14ac:dyDescent="0.2">
      <c r="BB1674" s="1" t="s">
        <v>2555</v>
      </c>
      <c r="BC1674" s="1" t="s">
        <v>878</v>
      </c>
    </row>
    <row r="1675" spans="54:55" x14ac:dyDescent="0.2">
      <c r="BB1675" s="1" t="s">
        <v>2556</v>
      </c>
      <c r="BC1675" s="1" t="s">
        <v>883</v>
      </c>
    </row>
    <row r="1676" spans="54:55" x14ac:dyDescent="0.2">
      <c r="BB1676" s="1" t="s">
        <v>2557</v>
      </c>
      <c r="BC1676" s="1" t="s">
        <v>893</v>
      </c>
    </row>
    <row r="1677" spans="54:55" x14ac:dyDescent="0.2">
      <c r="BB1677" s="1" t="s">
        <v>2558</v>
      </c>
      <c r="BC1677" s="1" t="s">
        <v>878</v>
      </c>
    </row>
    <row r="1678" spans="54:55" x14ac:dyDescent="0.2">
      <c r="BB1678" s="1" t="s">
        <v>2559</v>
      </c>
      <c r="BC1678" s="1" t="s">
        <v>878</v>
      </c>
    </row>
    <row r="1679" spans="54:55" x14ac:dyDescent="0.2">
      <c r="BB1679" s="1" t="s">
        <v>2560</v>
      </c>
      <c r="BC1679" s="1" t="s">
        <v>878</v>
      </c>
    </row>
    <row r="1680" spans="54:55" x14ac:dyDescent="0.2">
      <c r="BB1680" s="1" t="s">
        <v>2561</v>
      </c>
      <c r="BC1680" s="1" t="s">
        <v>878</v>
      </c>
    </row>
    <row r="1681" spans="54:55" x14ac:dyDescent="0.2">
      <c r="BB1681" s="1" t="s">
        <v>2562</v>
      </c>
      <c r="BC1681" s="1" t="s">
        <v>878</v>
      </c>
    </row>
    <row r="1682" spans="54:55" x14ac:dyDescent="0.2">
      <c r="BB1682" s="1" t="s">
        <v>2563</v>
      </c>
      <c r="BC1682" s="1" t="s">
        <v>893</v>
      </c>
    </row>
    <row r="1683" spans="54:55" x14ac:dyDescent="0.2">
      <c r="BB1683" s="1" t="s">
        <v>2564</v>
      </c>
      <c r="BC1683" s="1" t="s">
        <v>883</v>
      </c>
    </row>
    <row r="1684" spans="54:55" x14ac:dyDescent="0.2">
      <c r="BB1684" s="1" t="s">
        <v>2565</v>
      </c>
      <c r="BC1684" s="1" t="s">
        <v>878</v>
      </c>
    </row>
    <row r="1685" spans="54:55" x14ac:dyDescent="0.2">
      <c r="BB1685" s="1" t="s">
        <v>2566</v>
      </c>
      <c r="BC1685" s="1" t="s">
        <v>893</v>
      </c>
    </row>
    <row r="1686" spans="54:55" x14ac:dyDescent="0.2">
      <c r="BB1686" s="1" t="s">
        <v>2567</v>
      </c>
      <c r="BC1686" s="1" t="s">
        <v>878</v>
      </c>
    </row>
    <row r="1687" spans="54:55" x14ac:dyDescent="0.2">
      <c r="BB1687" s="1" t="s">
        <v>2568</v>
      </c>
      <c r="BC1687" s="1" t="s">
        <v>881</v>
      </c>
    </row>
    <row r="1688" spans="54:55" x14ac:dyDescent="0.2">
      <c r="BB1688" s="1" t="s">
        <v>2569</v>
      </c>
      <c r="BC1688" s="1" t="s">
        <v>881</v>
      </c>
    </row>
    <row r="1689" spans="54:55" x14ac:dyDescent="0.2">
      <c r="BB1689" s="1" t="s">
        <v>2570</v>
      </c>
      <c r="BC1689" s="1" t="s">
        <v>883</v>
      </c>
    </row>
    <row r="1690" spans="54:55" x14ac:dyDescent="0.2">
      <c r="BB1690" s="1" t="s">
        <v>2571</v>
      </c>
      <c r="BC1690" s="1" t="s">
        <v>883</v>
      </c>
    </row>
    <row r="1691" spans="54:55" x14ac:dyDescent="0.2">
      <c r="BB1691" s="1" t="s">
        <v>2572</v>
      </c>
      <c r="BC1691" s="1" t="s">
        <v>883</v>
      </c>
    </row>
    <row r="1692" spans="54:55" x14ac:dyDescent="0.2">
      <c r="BB1692" s="1" t="s">
        <v>2573</v>
      </c>
      <c r="BC1692" s="1" t="s">
        <v>878</v>
      </c>
    </row>
    <row r="1693" spans="54:55" x14ac:dyDescent="0.2">
      <c r="BB1693" s="1" t="s">
        <v>2574</v>
      </c>
      <c r="BC1693" s="1" t="s">
        <v>883</v>
      </c>
    </row>
    <row r="1694" spans="54:55" x14ac:dyDescent="0.2">
      <c r="BB1694" s="1" t="s">
        <v>2575</v>
      </c>
      <c r="BC1694" s="1" t="s">
        <v>878</v>
      </c>
    </row>
    <row r="1695" spans="54:55" x14ac:dyDescent="0.2">
      <c r="BB1695" s="1" t="s">
        <v>2576</v>
      </c>
      <c r="BC1695" s="1" t="s">
        <v>883</v>
      </c>
    </row>
    <row r="1696" spans="54:55" x14ac:dyDescent="0.2">
      <c r="BB1696" s="1" t="s">
        <v>2577</v>
      </c>
      <c r="BC1696" s="1" t="s">
        <v>878</v>
      </c>
    </row>
    <row r="1697" spans="54:55" x14ac:dyDescent="0.2">
      <c r="BB1697" s="1" t="s">
        <v>2578</v>
      </c>
      <c r="BC1697" s="1" t="s">
        <v>887</v>
      </c>
    </row>
    <row r="1698" spans="54:55" x14ac:dyDescent="0.2">
      <c r="BB1698" s="1" t="s">
        <v>2579</v>
      </c>
      <c r="BC1698" s="1" t="s">
        <v>883</v>
      </c>
    </row>
    <row r="1699" spans="54:55" x14ac:dyDescent="0.2">
      <c r="BB1699" s="1" t="s">
        <v>2580</v>
      </c>
      <c r="BC1699" s="1" t="s">
        <v>885</v>
      </c>
    </row>
    <row r="1700" spans="54:55" x14ac:dyDescent="0.2">
      <c r="BB1700" s="1" t="s">
        <v>2581</v>
      </c>
      <c r="BC1700" s="1" t="s">
        <v>878</v>
      </c>
    </row>
    <row r="1701" spans="54:55" x14ac:dyDescent="0.2">
      <c r="BB1701" s="1" t="s">
        <v>2582</v>
      </c>
      <c r="BC1701" s="1" t="s">
        <v>883</v>
      </c>
    </row>
    <row r="1702" spans="54:55" x14ac:dyDescent="0.2">
      <c r="BB1702" s="1" t="s">
        <v>2583</v>
      </c>
      <c r="BC1702" s="1" t="s">
        <v>878</v>
      </c>
    </row>
    <row r="1703" spans="54:55" x14ac:dyDescent="0.2">
      <c r="BB1703" s="1" t="s">
        <v>2584</v>
      </c>
      <c r="BC1703" s="1" t="s">
        <v>883</v>
      </c>
    </row>
    <row r="1704" spans="54:55" x14ac:dyDescent="0.2">
      <c r="BB1704" s="1" t="s">
        <v>2585</v>
      </c>
      <c r="BC1704" s="1" t="s">
        <v>878</v>
      </c>
    </row>
    <row r="1705" spans="54:55" x14ac:dyDescent="0.2">
      <c r="BB1705" s="1" t="s">
        <v>2586</v>
      </c>
      <c r="BC1705" s="1" t="s">
        <v>878</v>
      </c>
    </row>
    <row r="1706" spans="54:55" x14ac:dyDescent="0.2">
      <c r="BB1706" s="1" t="s">
        <v>2587</v>
      </c>
      <c r="BC1706" s="1" t="s">
        <v>878</v>
      </c>
    </row>
    <row r="1707" spans="54:55" x14ac:dyDescent="0.2">
      <c r="BB1707" s="1" t="s">
        <v>2588</v>
      </c>
      <c r="BC1707" s="1" t="s">
        <v>887</v>
      </c>
    </row>
    <row r="1708" spans="54:55" x14ac:dyDescent="0.2">
      <c r="BB1708" s="1" t="s">
        <v>2589</v>
      </c>
      <c r="BC1708" s="1" t="s">
        <v>887</v>
      </c>
    </row>
    <row r="1709" spans="54:55" x14ac:dyDescent="0.2">
      <c r="BB1709" s="1" t="s">
        <v>2590</v>
      </c>
      <c r="BC1709" s="1" t="s">
        <v>878</v>
      </c>
    </row>
    <row r="1710" spans="54:55" x14ac:dyDescent="0.2">
      <c r="BB1710" s="1" t="s">
        <v>2591</v>
      </c>
      <c r="BC1710" s="1" t="s">
        <v>878</v>
      </c>
    </row>
    <row r="1711" spans="54:55" x14ac:dyDescent="0.2">
      <c r="BB1711" s="1" t="s">
        <v>2592</v>
      </c>
      <c r="BC1711" s="1" t="s">
        <v>883</v>
      </c>
    </row>
    <row r="1712" spans="54:55" x14ac:dyDescent="0.2">
      <c r="BB1712" s="1" t="s">
        <v>2593</v>
      </c>
      <c r="BC1712" s="1" t="s">
        <v>878</v>
      </c>
    </row>
    <row r="1713" spans="54:55" x14ac:dyDescent="0.2">
      <c r="BB1713" s="1" t="s">
        <v>2594</v>
      </c>
      <c r="BC1713" s="1" t="s">
        <v>881</v>
      </c>
    </row>
    <row r="1714" spans="54:55" x14ac:dyDescent="0.2">
      <c r="BB1714" s="1" t="s">
        <v>2595</v>
      </c>
      <c r="BC1714" s="1" t="s">
        <v>878</v>
      </c>
    </row>
    <row r="1715" spans="54:55" x14ac:dyDescent="0.2">
      <c r="BB1715" s="1" t="s">
        <v>2596</v>
      </c>
      <c r="BC1715" s="1" t="s">
        <v>878</v>
      </c>
    </row>
    <row r="1716" spans="54:55" x14ac:dyDescent="0.2">
      <c r="BB1716" s="1" t="s">
        <v>2597</v>
      </c>
      <c r="BC1716" s="1" t="s">
        <v>893</v>
      </c>
    </row>
    <row r="1717" spans="54:55" x14ac:dyDescent="0.2">
      <c r="BB1717" s="1" t="s">
        <v>2598</v>
      </c>
      <c r="BC1717" s="1" t="s">
        <v>893</v>
      </c>
    </row>
    <row r="1718" spans="54:55" x14ac:dyDescent="0.2">
      <c r="BB1718" s="1" t="s">
        <v>2599</v>
      </c>
      <c r="BC1718" s="1" t="s">
        <v>878</v>
      </c>
    </row>
    <row r="1719" spans="54:55" x14ac:dyDescent="0.2">
      <c r="BB1719" s="1" t="s">
        <v>2600</v>
      </c>
      <c r="BC1719" s="1" t="s">
        <v>878</v>
      </c>
    </row>
    <row r="1720" spans="54:55" x14ac:dyDescent="0.2">
      <c r="BB1720" s="1" t="s">
        <v>2601</v>
      </c>
      <c r="BC1720" s="1" t="s">
        <v>883</v>
      </c>
    </row>
    <row r="1721" spans="54:55" x14ac:dyDescent="0.2">
      <c r="BB1721" s="1" t="s">
        <v>2602</v>
      </c>
      <c r="BC1721" s="1" t="s">
        <v>878</v>
      </c>
    </row>
    <row r="1722" spans="54:55" x14ac:dyDescent="0.2">
      <c r="BB1722" s="1" t="s">
        <v>2603</v>
      </c>
      <c r="BC1722" s="1" t="s">
        <v>881</v>
      </c>
    </row>
    <row r="1723" spans="54:55" x14ac:dyDescent="0.2">
      <c r="BB1723" s="1" t="s">
        <v>2604</v>
      </c>
      <c r="BC1723" s="1" t="s">
        <v>878</v>
      </c>
    </row>
    <row r="1724" spans="54:55" x14ac:dyDescent="0.2">
      <c r="BB1724" s="1" t="s">
        <v>2605</v>
      </c>
      <c r="BC1724" s="1" t="s">
        <v>878</v>
      </c>
    </row>
    <row r="1725" spans="54:55" x14ac:dyDescent="0.2">
      <c r="BB1725" s="1" t="s">
        <v>2606</v>
      </c>
      <c r="BC1725" s="1" t="s">
        <v>883</v>
      </c>
    </row>
    <row r="1726" spans="54:55" x14ac:dyDescent="0.2">
      <c r="BB1726" s="1" t="s">
        <v>2607</v>
      </c>
      <c r="BC1726" s="1" t="s">
        <v>883</v>
      </c>
    </row>
    <row r="1727" spans="54:55" x14ac:dyDescent="0.2">
      <c r="BB1727" s="1" t="s">
        <v>2608</v>
      </c>
      <c r="BC1727" s="1" t="s">
        <v>878</v>
      </c>
    </row>
    <row r="1728" spans="54:55" x14ac:dyDescent="0.2">
      <c r="BB1728" s="1" t="s">
        <v>2609</v>
      </c>
      <c r="BC1728" s="1" t="s">
        <v>881</v>
      </c>
    </row>
    <row r="1729" spans="54:55" x14ac:dyDescent="0.2">
      <c r="BB1729" s="1" t="s">
        <v>2610</v>
      </c>
      <c r="BC1729" s="1" t="s">
        <v>878</v>
      </c>
    </row>
    <row r="1730" spans="54:55" x14ac:dyDescent="0.2">
      <c r="BB1730" s="1" t="s">
        <v>2611</v>
      </c>
      <c r="BC1730" s="1" t="s">
        <v>883</v>
      </c>
    </row>
    <row r="1731" spans="54:55" x14ac:dyDescent="0.2">
      <c r="BB1731" s="1" t="s">
        <v>2612</v>
      </c>
      <c r="BC1731" s="1" t="s">
        <v>1007</v>
      </c>
    </row>
    <row r="1732" spans="54:55" x14ac:dyDescent="0.2">
      <c r="BB1732" s="1" t="s">
        <v>2613</v>
      </c>
      <c r="BC1732" s="1" t="s">
        <v>883</v>
      </c>
    </row>
    <row r="1733" spans="54:55" x14ac:dyDescent="0.2">
      <c r="BB1733" s="1" t="s">
        <v>2614</v>
      </c>
      <c r="BC1733" s="1" t="s">
        <v>893</v>
      </c>
    </row>
    <row r="1734" spans="54:55" x14ac:dyDescent="0.2">
      <c r="BB1734" s="1" t="s">
        <v>2615</v>
      </c>
      <c r="BC1734" s="1" t="s">
        <v>878</v>
      </c>
    </row>
    <row r="1735" spans="54:55" x14ac:dyDescent="0.2">
      <c r="BB1735" s="1" t="s">
        <v>2616</v>
      </c>
      <c r="BC1735" s="1" t="s">
        <v>883</v>
      </c>
    </row>
    <row r="1736" spans="54:55" x14ac:dyDescent="0.2">
      <c r="BB1736" s="1" t="s">
        <v>2617</v>
      </c>
      <c r="BC1736" s="1" t="s">
        <v>878</v>
      </c>
    </row>
    <row r="1737" spans="54:55" x14ac:dyDescent="0.2">
      <c r="BB1737" s="1" t="s">
        <v>2618</v>
      </c>
      <c r="BC1737" s="1" t="s">
        <v>893</v>
      </c>
    </row>
    <row r="1738" spans="54:55" x14ac:dyDescent="0.2">
      <c r="BB1738" s="1" t="s">
        <v>2619</v>
      </c>
      <c r="BC1738" s="1" t="s">
        <v>887</v>
      </c>
    </row>
    <row r="1739" spans="54:55" x14ac:dyDescent="0.2">
      <c r="BB1739" s="1" t="s">
        <v>2620</v>
      </c>
      <c r="BC1739" s="1" t="s">
        <v>887</v>
      </c>
    </row>
    <row r="1740" spans="54:55" x14ac:dyDescent="0.2">
      <c r="BB1740" s="1" t="s">
        <v>2621</v>
      </c>
      <c r="BC1740" s="1" t="s">
        <v>893</v>
      </c>
    </row>
    <row r="1741" spans="54:55" x14ac:dyDescent="0.2">
      <c r="BB1741" s="1" t="s">
        <v>2622</v>
      </c>
      <c r="BC1741" s="1" t="s">
        <v>878</v>
      </c>
    </row>
    <row r="1742" spans="54:55" x14ac:dyDescent="0.2">
      <c r="BB1742" s="1" t="s">
        <v>2623</v>
      </c>
      <c r="BC1742" s="1" t="s">
        <v>878</v>
      </c>
    </row>
    <row r="1743" spans="54:55" x14ac:dyDescent="0.2">
      <c r="BB1743" s="1" t="s">
        <v>2624</v>
      </c>
      <c r="BC1743" s="1" t="s">
        <v>883</v>
      </c>
    </row>
    <row r="1744" spans="54:55" x14ac:dyDescent="0.2">
      <c r="BB1744" s="1" t="s">
        <v>2625</v>
      </c>
      <c r="BC1744" s="1" t="s">
        <v>887</v>
      </c>
    </row>
    <row r="1745" spans="54:55" x14ac:dyDescent="0.2">
      <c r="BB1745" s="1" t="s">
        <v>2626</v>
      </c>
      <c r="BC1745" s="1" t="s">
        <v>1007</v>
      </c>
    </row>
    <row r="1746" spans="54:55" x14ac:dyDescent="0.2">
      <c r="BB1746" s="1" t="s">
        <v>2627</v>
      </c>
      <c r="BC1746" s="1" t="s">
        <v>881</v>
      </c>
    </row>
    <row r="1747" spans="54:55" x14ac:dyDescent="0.2">
      <c r="BB1747" s="1" t="s">
        <v>2628</v>
      </c>
      <c r="BC1747" s="1" t="s">
        <v>878</v>
      </c>
    </row>
    <row r="1748" spans="54:55" x14ac:dyDescent="0.2">
      <c r="BB1748" s="1" t="s">
        <v>2629</v>
      </c>
      <c r="BC1748" s="1" t="s">
        <v>893</v>
      </c>
    </row>
    <row r="1749" spans="54:55" x14ac:dyDescent="0.2">
      <c r="BB1749" s="1" t="s">
        <v>2630</v>
      </c>
      <c r="BC1749" s="1" t="s">
        <v>893</v>
      </c>
    </row>
    <row r="1750" spans="54:55" x14ac:dyDescent="0.2">
      <c r="BB1750" s="1" t="s">
        <v>2631</v>
      </c>
      <c r="BC1750" s="1" t="s">
        <v>893</v>
      </c>
    </row>
    <row r="1751" spans="54:55" x14ac:dyDescent="0.2">
      <c r="BB1751" s="1" t="s">
        <v>2632</v>
      </c>
      <c r="BC1751" s="1" t="s">
        <v>1007</v>
      </c>
    </row>
    <row r="1752" spans="54:55" x14ac:dyDescent="0.2">
      <c r="BB1752" s="1" t="s">
        <v>2633</v>
      </c>
      <c r="BC1752" s="1" t="s">
        <v>1007</v>
      </c>
    </row>
    <row r="1753" spans="54:55" x14ac:dyDescent="0.2">
      <c r="BB1753" s="1" t="s">
        <v>2634</v>
      </c>
      <c r="BC1753" s="1" t="s">
        <v>887</v>
      </c>
    </row>
    <row r="1754" spans="54:55" x14ac:dyDescent="0.2">
      <c r="BB1754" s="1" t="s">
        <v>2635</v>
      </c>
      <c r="BC1754" s="1" t="s">
        <v>895</v>
      </c>
    </row>
    <row r="1755" spans="54:55" x14ac:dyDescent="0.2">
      <c r="BB1755" s="1" t="s">
        <v>2636</v>
      </c>
      <c r="BC1755" s="1" t="s">
        <v>887</v>
      </c>
    </row>
    <row r="1756" spans="54:55" x14ac:dyDescent="0.2">
      <c r="BB1756" s="1" t="s">
        <v>2637</v>
      </c>
      <c r="BC1756" s="1" t="s">
        <v>885</v>
      </c>
    </row>
    <row r="1757" spans="54:55" x14ac:dyDescent="0.2">
      <c r="BB1757" s="1" t="s">
        <v>2638</v>
      </c>
      <c r="BC1757" s="1" t="s">
        <v>883</v>
      </c>
    </row>
    <row r="1758" spans="54:55" x14ac:dyDescent="0.2">
      <c r="BB1758" s="1" t="s">
        <v>2639</v>
      </c>
      <c r="BC1758" s="1" t="s">
        <v>893</v>
      </c>
    </row>
    <row r="1759" spans="54:55" x14ac:dyDescent="0.2">
      <c r="BB1759" s="1" t="s">
        <v>2640</v>
      </c>
      <c r="BC1759" s="1" t="s">
        <v>887</v>
      </c>
    </row>
    <row r="1760" spans="54:55" x14ac:dyDescent="0.2">
      <c r="BB1760" s="1" t="s">
        <v>2641</v>
      </c>
      <c r="BC1760" s="1" t="s">
        <v>887</v>
      </c>
    </row>
    <row r="1761" spans="54:55" x14ac:dyDescent="0.2">
      <c r="BB1761" s="1" t="s">
        <v>2642</v>
      </c>
      <c r="BC1761" s="1" t="s">
        <v>887</v>
      </c>
    </row>
    <row r="1762" spans="54:55" x14ac:dyDescent="0.2">
      <c r="BB1762" s="1" t="s">
        <v>2643</v>
      </c>
      <c r="BC1762" s="1" t="s">
        <v>887</v>
      </c>
    </row>
    <row r="1763" spans="54:55" x14ac:dyDescent="0.2">
      <c r="BB1763" s="1" t="s">
        <v>2644</v>
      </c>
      <c r="BC1763" s="1" t="s">
        <v>885</v>
      </c>
    </row>
    <row r="1764" spans="54:55" x14ac:dyDescent="0.2">
      <c r="BB1764" s="1" t="s">
        <v>2645</v>
      </c>
      <c r="BC1764" s="1" t="s">
        <v>878</v>
      </c>
    </row>
    <row r="1765" spans="54:55" x14ac:dyDescent="0.2">
      <c r="BB1765" s="1" t="s">
        <v>2646</v>
      </c>
      <c r="BC1765" s="1" t="s">
        <v>883</v>
      </c>
    </row>
    <row r="1766" spans="54:55" x14ac:dyDescent="0.2">
      <c r="BB1766" s="1" t="s">
        <v>2647</v>
      </c>
      <c r="BC1766" s="1" t="s">
        <v>883</v>
      </c>
    </row>
    <row r="1767" spans="54:55" x14ac:dyDescent="0.2">
      <c r="BB1767" s="1" t="s">
        <v>2648</v>
      </c>
      <c r="BC1767" s="1" t="s">
        <v>883</v>
      </c>
    </row>
    <row r="1768" spans="54:55" x14ac:dyDescent="0.2">
      <c r="BB1768" s="1" t="s">
        <v>2649</v>
      </c>
      <c r="BC1768" s="1" t="s">
        <v>887</v>
      </c>
    </row>
    <row r="1769" spans="54:55" x14ac:dyDescent="0.2">
      <c r="BB1769" s="1" t="s">
        <v>2650</v>
      </c>
      <c r="BC1769" s="1" t="s">
        <v>887</v>
      </c>
    </row>
    <row r="1770" spans="54:55" x14ac:dyDescent="0.2">
      <c r="BB1770" s="1" t="s">
        <v>2651</v>
      </c>
      <c r="BC1770" s="1" t="s">
        <v>887</v>
      </c>
    </row>
    <row r="1771" spans="54:55" x14ac:dyDescent="0.2">
      <c r="BB1771" s="1" t="s">
        <v>2652</v>
      </c>
      <c r="BC1771" s="1" t="s">
        <v>878</v>
      </c>
    </row>
    <row r="1772" spans="54:55" x14ac:dyDescent="0.2">
      <c r="BB1772" s="1" t="s">
        <v>2653</v>
      </c>
      <c r="BC1772" s="1" t="s">
        <v>878</v>
      </c>
    </row>
    <row r="1773" spans="54:55" x14ac:dyDescent="0.2">
      <c r="BB1773" s="1" t="s">
        <v>2654</v>
      </c>
      <c r="BC1773" s="1" t="s">
        <v>881</v>
      </c>
    </row>
    <row r="1774" spans="54:55" x14ac:dyDescent="0.2">
      <c r="BB1774" s="1" t="s">
        <v>2655</v>
      </c>
      <c r="BC1774" s="1" t="s">
        <v>883</v>
      </c>
    </row>
    <row r="1775" spans="54:55" x14ac:dyDescent="0.2">
      <c r="BB1775" s="1" t="s">
        <v>2656</v>
      </c>
      <c r="BC1775" s="1" t="s">
        <v>878</v>
      </c>
    </row>
    <row r="1776" spans="54:55" x14ac:dyDescent="0.2">
      <c r="BB1776" s="1" t="s">
        <v>2657</v>
      </c>
      <c r="BC1776" s="1" t="s">
        <v>878</v>
      </c>
    </row>
    <row r="1777" spans="54:55" x14ac:dyDescent="0.2">
      <c r="BB1777" s="1" t="s">
        <v>2658</v>
      </c>
      <c r="BC1777" s="1" t="s">
        <v>878</v>
      </c>
    </row>
    <row r="1778" spans="54:55" x14ac:dyDescent="0.2">
      <c r="BB1778" s="1" t="s">
        <v>2659</v>
      </c>
      <c r="BC1778" s="1" t="s">
        <v>878</v>
      </c>
    </row>
    <row r="1779" spans="54:55" x14ac:dyDescent="0.2">
      <c r="BB1779" s="1" t="s">
        <v>2660</v>
      </c>
      <c r="BC1779" s="1" t="s">
        <v>893</v>
      </c>
    </row>
    <row r="1780" spans="54:55" x14ac:dyDescent="0.2">
      <c r="BB1780" s="1" t="s">
        <v>2661</v>
      </c>
      <c r="BC1780" s="1" t="s">
        <v>878</v>
      </c>
    </row>
    <row r="1781" spans="54:55" x14ac:dyDescent="0.2">
      <c r="BB1781" s="1" t="s">
        <v>2662</v>
      </c>
      <c r="BC1781" s="1" t="s">
        <v>895</v>
      </c>
    </row>
    <row r="1782" spans="54:55" x14ac:dyDescent="0.2">
      <c r="BB1782" s="1" t="s">
        <v>2663</v>
      </c>
      <c r="BC1782" s="1" t="s">
        <v>878</v>
      </c>
    </row>
    <row r="1783" spans="54:55" x14ac:dyDescent="0.2">
      <c r="BB1783" s="1" t="s">
        <v>2664</v>
      </c>
      <c r="BC1783" s="1" t="s">
        <v>878</v>
      </c>
    </row>
    <row r="1784" spans="54:55" x14ac:dyDescent="0.2">
      <c r="BB1784" s="1" t="s">
        <v>2665</v>
      </c>
      <c r="BC1784" s="1" t="s">
        <v>878</v>
      </c>
    </row>
    <row r="1785" spans="54:55" x14ac:dyDescent="0.2">
      <c r="BB1785" s="1" t="s">
        <v>2666</v>
      </c>
      <c r="BC1785" s="1" t="s">
        <v>878</v>
      </c>
    </row>
    <row r="1786" spans="54:55" x14ac:dyDescent="0.2">
      <c r="BB1786" s="1" t="s">
        <v>2667</v>
      </c>
      <c r="BC1786" s="1" t="s">
        <v>883</v>
      </c>
    </row>
    <row r="1787" spans="54:55" x14ac:dyDescent="0.2">
      <c r="BB1787" s="1" t="s">
        <v>2668</v>
      </c>
      <c r="BC1787" s="1" t="s">
        <v>878</v>
      </c>
    </row>
    <row r="1788" spans="54:55" x14ac:dyDescent="0.2">
      <c r="BB1788" s="1" t="s">
        <v>2669</v>
      </c>
      <c r="BC1788" s="1" t="s">
        <v>885</v>
      </c>
    </row>
    <row r="1789" spans="54:55" x14ac:dyDescent="0.2">
      <c r="BB1789" s="1" t="s">
        <v>2670</v>
      </c>
      <c r="BC1789" s="1" t="s">
        <v>878</v>
      </c>
    </row>
    <row r="1790" spans="54:55" x14ac:dyDescent="0.2">
      <c r="BB1790" s="1" t="s">
        <v>2671</v>
      </c>
      <c r="BC1790" s="1" t="s">
        <v>881</v>
      </c>
    </row>
    <row r="1791" spans="54:55" x14ac:dyDescent="0.2">
      <c r="BB1791" s="1" t="s">
        <v>2672</v>
      </c>
      <c r="BC1791" s="1" t="s">
        <v>878</v>
      </c>
    </row>
    <row r="1792" spans="54:55" x14ac:dyDescent="0.2">
      <c r="BB1792" s="1" t="s">
        <v>2673</v>
      </c>
      <c r="BC1792" s="1" t="s">
        <v>893</v>
      </c>
    </row>
    <row r="1793" spans="54:55" x14ac:dyDescent="0.2">
      <c r="BB1793" s="1" t="s">
        <v>2674</v>
      </c>
      <c r="BC1793" s="1" t="s">
        <v>883</v>
      </c>
    </row>
    <row r="1794" spans="54:55" x14ac:dyDescent="0.2">
      <c r="BB1794" s="1" t="s">
        <v>2675</v>
      </c>
      <c r="BC1794" s="1" t="s">
        <v>878</v>
      </c>
    </row>
    <row r="1795" spans="54:55" x14ac:dyDescent="0.2">
      <c r="BB1795" s="1" t="s">
        <v>2676</v>
      </c>
      <c r="BC1795" s="1" t="s">
        <v>887</v>
      </c>
    </row>
    <row r="1796" spans="54:55" x14ac:dyDescent="0.2">
      <c r="BB1796" s="1" t="s">
        <v>2677</v>
      </c>
      <c r="BC1796" s="1" t="s">
        <v>887</v>
      </c>
    </row>
    <row r="1797" spans="54:55" x14ac:dyDescent="0.2">
      <c r="BB1797" s="1" t="s">
        <v>2678</v>
      </c>
      <c r="BC1797" s="1" t="s">
        <v>887</v>
      </c>
    </row>
    <row r="1798" spans="54:55" x14ac:dyDescent="0.2">
      <c r="BB1798" s="1" t="s">
        <v>2679</v>
      </c>
      <c r="BC1798" s="1" t="s">
        <v>883</v>
      </c>
    </row>
    <row r="1799" spans="54:55" x14ac:dyDescent="0.2">
      <c r="BB1799" s="1" t="s">
        <v>2680</v>
      </c>
      <c r="BC1799" s="1" t="s">
        <v>887</v>
      </c>
    </row>
    <row r="1800" spans="54:55" x14ac:dyDescent="0.2">
      <c r="BB1800" s="1" t="s">
        <v>2681</v>
      </c>
      <c r="BC1800" s="1" t="s">
        <v>881</v>
      </c>
    </row>
    <row r="1801" spans="54:55" x14ac:dyDescent="0.2">
      <c r="BB1801" s="1" t="s">
        <v>2682</v>
      </c>
      <c r="BC1801" s="1" t="s">
        <v>878</v>
      </c>
    </row>
    <row r="1802" spans="54:55" x14ac:dyDescent="0.2">
      <c r="BB1802" s="1" t="s">
        <v>2683</v>
      </c>
      <c r="BC1802" s="1" t="s">
        <v>885</v>
      </c>
    </row>
    <row r="1803" spans="54:55" x14ac:dyDescent="0.2">
      <c r="BB1803" s="1" t="s">
        <v>2684</v>
      </c>
      <c r="BC1803" s="1" t="s">
        <v>887</v>
      </c>
    </row>
    <row r="1804" spans="54:55" x14ac:dyDescent="0.2">
      <c r="BB1804" s="1" t="s">
        <v>2685</v>
      </c>
      <c r="BC1804" s="1" t="s">
        <v>878</v>
      </c>
    </row>
    <row r="1805" spans="54:55" x14ac:dyDescent="0.2">
      <c r="BB1805" s="1" t="s">
        <v>2686</v>
      </c>
      <c r="BC1805" s="1" t="s">
        <v>878</v>
      </c>
    </row>
    <row r="1806" spans="54:55" x14ac:dyDescent="0.2">
      <c r="BB1806" s="1" t="s">
        <v>2687</v>
      </c>
      <c r="BC1806" s="1" t="s">
        <v>883</v>
      </c>
    </row>
    <row r="1807" spans="54:55" x14ac:dyDescent="0.2">
      <c r="BB1807" s="1" t="s">
        <v>2688</v>
      </c>
      <c r="BC1807" s="1" t="s">
        <v>878</v>
      </c>
    </row>
    <row r="1808" spans="54:55" x14ac:dyDescent="0.2">
      <c r="BB1808" s="1" t="s">
        <v>2689</v>
      </c>
      <c r="BC1808" s="1" t="s">
        <v>893</v>
      </c>
    </row>
    <row r="1809" spans="54:55" x14ac:dyDescent="0.2">
      <c r="BB1809" s="1" t="s">
        <v>2690</v>
      </c>
      <c r="BC1809" s="1" t="s">
        <v>893</v>
      </c>
    </row>
    <row r="1810" spans="54:55" x14ac:dyDescent="0.2">
      <c r="BB1810" s="1" t="s">
        <v>2691</v>
      </c>
      <c r="BC1810" s="1" t="s">
        <v>887</v>
      </c>
    </row>
    <row r="1811" spans="54:55" x14ac:dyDescent="0.2">
      <c r="BB1811" s="1" t="s">
        <v>2692</v>
      </c>
      <c r="BC1811" s="1" t="s">
        <v>885</v>
      </c>
    </row>
    <row r="1812" spans="54:55" x14ac:dyDescent="0.2">
      <c r="BB1812" s="1" t="s">
        <v>2693</v>
      </c>
      <c r="BC1812" s="1" t="s">
        <v>881</v>
      </c>
    </row>
    <row r="1813" spans="54:55" x14ac:dyDescent="0.2">
      <c r="BB1813" s="1" t="s">
        <v>2694</v>
      </c>
      <c r="BC1813" s="1" t="s">
        <v>878</v>
      </c>
    </row>
    <row r="1814" spans="54:55" x14ac:dyDescent="0.2">
      <c r="BB1814" s="1" t="s">
        <v>2695</v>
      </c>
      <c r="BC1814" s="1" t="s">
        <v>878</v>
      </c>
    </row>
    <row r="1815" spans="54:55" x14ac:dyDescent="0.2">
      <c r="BB1815" s="1" t="s">
        <v>2696</v>
      </c>
      <c r="BC1815" s="1" t="s">
        <v>878</v>
      </c>
    </row>
    <row r="1816" spans="54:55" x14ac:dyDescent="0.2">
      <c r="BB1816" s="1" t="s">
        <v>2697</v>
      </c>
      <c r="BC1816" s="1" t="s">
        <v>878</v>
      </c>
    </row>
    <row r="1817" spans="54:55" x14ac:dyDescent="0.2">
      <c r="BB1817" s="1" t="s">
        <v>2698</v>
      </c>
      <c r="BC1817" s="1" t="s">
        <v>887</v>
      </c>
    </row>
    <row r="1818" spans="54:55" x14ac:dyDescent="0.2">
      <c r="BB1818" s="1" t="s">
        <v>2699</v>
      </c>
      <c r="BC1818" s="1" t="s">
        <v>887</v>
      </c>
    </row>
    <row r="1819" spans="54:55" x14ac:dyDescent="0.2">
      <c r="BB1819" s="1" t="s">
        <v>2700</v>
      </c>
      <c r="BC1819" s="1" t="s">
        <v>878</v>
      </c>
    </row>
    <row r="1820" spans="54:55" x14ac:dyDescent="0.2">
      <c r="BB1820" s="1" t="s">
        <v>2701</v>
      </c>
      <c r="BC1820" s="1" t="s">
        <v>878</v>
      </c>
    </row>
    <row r="1821" spans="54:55" x14ac:dyDescent="0.2">
      <c r="BB1821" s="1" t="s">
        <v>2702</v>
      </c>
      <c r="BC1821" s="1" t="s">
        <v>878</v>
      </c>
    </row>
    <row r="1822" spans="54:55" x14ac:dyDescent="0.2">
      <c r="BB1822" s="1" t="s">
        <v>2703</v>
      </c>
      <c r="BC1822" s="1" t="s">
        <v>885</v>
      </c>
    </row>
    <row r="1823" spans="54:55" x14ac:dyDescent="0.2">
      <c r="BB1823" s="1" t="s">
        <v>2704</v>
      </c>
      <c r="BC1823" s="1" t="s">
        <v>878</v>
      </c>
    </row>
    <row r="1824" spans="54:55" x14ac:dyDescent="0.2">
      <c r="BB1824" s="1" t="s">
        <v>2705</v>
      </c>
      <c r="BC1824" s="1" t="s">
        <v>878</v>
      </c>
    </row>
    <row r="1825" spans="54:55" x14ac:dyDescent="0.2">
      <c r="BB1825" s="1" t="s">
        <v>2706</v>
      </c>
      <c r="BC1825" s="1" t="s">
        <v>887</v>
      </c>
    </row>
    <row r="1826" spans="54:55" x14ac:dyDescent="0.2">
      <c r="BB1826" s="1" t="s">
        <v>2707</v>
      </c>
      <c r="BC1826" s="1" t="s">
        <v>895</v>
      </c>
    </row>
    <row r="1827" spans="54:55" x14ac:dyDescent="0.2">
      <c r="BB1827" s="1" t="s">
        <v>2708</v>
      </c>
      <c r="BC1827" s="1" t="s">
        <v>878</v>
      </c>
    </row>
    <row r="1828" spans="54:55" x14ac:dyDescent="0.2">
      <c r="BB1828" s="1" t="s">
        <v>2709</v>
      </c>
      <c r="BC1828" s="1" t="s">
        <v>887</v>
      </c>
    </row>
    <row r="1829" spans="54:55" x14ac:dyDescent="0.2">
      <c r="BB1829" s="1" t="s">
        <v>2710</v>
      </c>
      <c r="BC1829" s="1" t="s">
        <v>883</v>
      </c>
    </row>
    <row r="1830" spans="54:55" x14ac:dyDescent="0.2">
      <c r="BB1830" s="1" t="s">
        <v>2711</v>
      </c>
      <c r="BC1830" s="1" t="s">
        <v>881</v>
      </c>
    </row>
    <row r="1831" spans="54:55" x14ac:dyDescent="0.2">
      <c r="BB1831" s="1" t="s">
        <v>2712</v>
      </c>
      <c r="BC1831" s="1" t="s">
        <v>878</v>
      </c>
    </row>
    <row r="1832" spans="54:55" x14ac:dyDescent="0.2">
      <c r="BB1832" s="1" t="s">
        <v>2713</v>
      </c>
      <c r="BC1832" s="1" t="s">
        <v>878</v>
      </c>
    </row>
    <row r="1833" spans="54:55" x14ac:dyDescent="0.2">
      <c r="BB1833" s="1" t="s">
        <v>2714</v>
      </c>
      <c r="BC1833" s="1" t="s">
        <v>878</v>
      </c>
    </row>
    <row r="1834" spans="54:55" x14ac:dyDescent="0.2">
      <c r="BB1834" s="1" t="s">
        <v>2715</v>
      </c>
      <c r="BC1834" s="1" t="s">
        <v>878</v>
      </c>
    </row>
    <row r="1835" spans="54:55" x14ac:dyDescent="0.2">
      <c r="BB1835" s="1" t="s">
        <v>2716</v>
      </c>
      <c r="BC1835" s="1" t="s">
        <v>878</v>
      </c>
    </row>
    <row r="1836" spans="54:55" x14ac:dyDescent="0.2">
      <c r="BB1836" s="1" t="s">
        <v>2717</v>
      </c>
      <c r="BC1836" s="1" t="s">
        <v>878</v>
      </c>
    </row>
    <row r="1837" spans="54:55" x14ac:dyDescent="0.2">
      <c r="BB1837" s="1" t="s">
        <v>2718</v>
      </c>
      <c r="BC1837" s="1" t="s">
        <v>878</v>
      </c>
    </row>
    <row r="1838" spans="54:55" x14ac:dyDescent="0.2">
      <c r="BB1838" s="1" t="s">
        <v>2719</v>
      </c>
      <c r="BC1838" s="1" t="s">
        <v>885</v>
      </c>
    </row>
    <row r="1839" spans="54:55" x14ac:dyDescent="0.2">
      <c r="BB1839" s="1" t="s">
        <v>2720</v>
      </c>
      <c r="BC1839" s="1" t="s">
        <v>887</v>
      </c>
    </row>
    <row r="1840" spans="54:55" x14ac:dyDescent="0.2">
      <c r="BB1840" s="1" t="s">
        <v>2721</v>
      </c>
      <c r="BC1840" s="1" t="s">
        <v>893</v>
      </c>
    </row>
    <row r="1841" spans="54:55" x14ac:dyDescent="0.2">
      <c r="BB1841" s="1" t="s">
        <v>2722</v>
      </c>
      <c r="BC1841" s="1" t="s">
        <v>887</v>
      </c>
    </row>
    <row r="1842" spans="54:55" x14ac:dyDescent="0.2">
      <c r="BB1842" s="1" t="s">
        <v>2723</v>
      </c>
      <c r="BC1842" s="1" t="s">
        <v>893</v>
      </c>
    </row>
    <row r="1843" spans="54:55" x14ac:dyDescent="0.2">
      <c r="BB1843" s="1" t="s">
        <v>2724</v>
      </c>
      <c r="BC1843" s="1" t="s">
        <v>1039</v>
      </c>
    </row>
    <row r="1844" spans="54:55" x14ac:dyDescent="0.2">
      <c r="BB1844" s="1" t="s">
        <v>2725</v>
      </c>
      <c r="BC1844" s="1" t="s">
        <v>893</v>
      </c>
    </row>
    <row r="1845" spans="54:55" x14ac:dyDescent="0.2">
      <c r="BB1845" s="1" t="s">
        <v>2726</v>
      </c>
      <c r="BC1845" s="1" t="s">
        <v>1007</v>
      </c>
    </row>
    <row r="1846" spans="54:55" x14ac:dyDescent="0.2">
      <c r="BB1846" s="1" t="s">
        <v>2727</v>
      </c>
      <c r="BC1846" s="1" t="s">
        <v>883</v>
      </c>
    </row>
    <row r="1847" spans="54:55" x14ac:dyDescent="0.2">
      <c r="BB1847" s="1" t="s">
        <v>2728</v>
      </c>
      <c r="BC1847" s="1" t="s">
        <v>887</v>
      </c>
    </row>
    <row r="1848" spans="54:55" x14ac:dyDescent="0.2">
      <c r="BB1848" s="1" t="s">
        <v>2729</v>
      </c>
      <c r="BC1848" s="1" t="s">
        <v>887</v>
      </c>
    </row>
    <row r="1849" spans="54:55" x14ac:dyDescent="0.2">
      <c r="BB1849" s="1" t="s">
        <v>2730</v>
      </c>
      <c r="BC1849" s="1" t="s">
        <v>887</v>
      </c>
    </row>
    <row r="1850" spans="54:55" x14ac:dyDescent="0.2">
      <c r="BB1850" s="1" t="s">
        <v>2731</v>
      </c>
      <c r="BC1850" s="1" t="s">
        <v>887</v>
      </c>
    </row>
    <row r="1851" spans="54:55" x14ac:dyDescent="0.2">
      <c r="BB1851" s="1" t="s">
        <v>2732</v>
      </c>
      <c r="BC1851" s="1" t="s">
        <v>887</v>
      </c>
    </row>
    <row r="1852" spans="54:55" x14ac:dyDescent="0.2">
      <c r="BB1852" s="1" t="s">
        <v>2733</v>
      </c>
      <c r="BC1852" s="1" t="s">
        <v>883</v>
      </c>
    </row>
    <row r="1853" spans="54:55" x14ac:dyDescent="0.2">
      <c r="BB1853" s="1" t="s">
        <v>2734</v>
      </c>
      <c r="BC1853" s="1" t="s">
        <v>1039</v>
      </c>
    </row>
    <row r="1854" spans="54:55" x14ac:dyDescent="0.2">
      <c r="BB1854" s="1" t="s">
        <v>2735</v>
      </c>
      <c r="BC1854" s="1" t="s">
        <v>887</v>
      </c>
    </row>
    <row r="1855" spans="54:55" x14ac:dyDescent="0.2">
      <c r="BB1855" s="1" t="s">
        <v>2736</v>
      </c>
      <c r="BC1855" s="1" t="s">
        <v>887</v>
      </c>
    </row>
    <row r="1856" spans="54:55" x14ac:dyDescent="0.2">
      <c r="BB1856" s="1" t="s">
        <v>2737</v>
      </c>
      <c r="BC1856" s="1" t="s">
        <v>887</v>
      </c>
    </row>
    <row r="1857" spans="54:55" x14ac:dyDescent="0.2">
      <c r="BB1857" s="1" t="s">
        <v>2738</v>
      </c>
      <c r="BC1857" s="1" t="s">
        <v>887</v>
      </c>
    </row>
    <row r="1858" spans="54:55" x14ac:dyDescent="0.2">
      <c r="BB1858" s="1" t="s">
        <v>2739</v>
      </c>
      <c r="BC1858" s="1" t="s">
        <v>885</v>
      </c>
    </row>
    <row r="1859" spans="54:55" x14ac:dyDescent="0.2">
      <c r="BB1859" s="1" t="s">
        <v>2740</v>
      </c>
      <c r="BC1859" s="1" t="s">
        <v>885</v>
      </c>
    </row>
    <row r="1860" spans="54:55" x14ac:dyDescent="0.2">
      <c r="BB1860" s="1" t="s">
        <v>2741</v>
      </c>
      <c r="BC1860" s="1" t="s">
        <v>878</v>
      </c>
    </row>
    <row r="1861" spans="54:55" x14ac:dyDescent="0.2">
      <c r="BB1861" s="1" t="s">
        <v>2742</v>
      </c>
      <c r="BC1861" s="1" t="s">
        <v>878</v>
      </c>
    </row>
    <row r="1862" spans="54:55" x14ac:dyDescent="0.2">
      <c r="BB1862" s="1" t="s">
        <v>2743</v>
      </c>
      <c r="BC1862" s="1" t="s">
        <v>878</v>
      </c>
    </row>
    <row r="1863" spans="54:55" x14ac:dyDescent="0.2">
      <c r="BB1863" s="1" t="s">
        <v>2744</v>
      </c>
      <c r="BC1863" s="1" t="s">
        <v>878</v>
      </c>
    </row>
    <row r="1864" spans="54:55" x14ac:dyDescent="0.2">
      <c r="BB1864" s="1" t="s">
        <v>2745</v>
      </c>
      <c r="BC1864" s="1" t="s">
        <v>885</v>
      </c>
    </row>
    <row r="1865" spans="54:55" x14ac:dyDescent="0.2">
      <c r="BB1865" s="1" t="s">
        <v>2746</v>
      </c>
      <c r="BC1865" s="1" t="s">
        <v>883</v>
      </c>
    </row>
    <row r="1866" spans="54:55" x14ac:dyDescent="0.2">
      <c r="BB1866" s="1" t="s">
        <v>2747</v>
      </c>
      <c r="BC1866" s="1" t="s">
        <v>878</v>
      </c>
    </row>
    <row r="1867" spans="54:55" x14ac:dyDescent="0.2">
      <c r="BB1867" s="1" t="s">
        <v>2748</v>
      </c>
      <c r="BC1867" s="1" t="s">
        <v>887</v>
      </c>
    </row>
    <row r="1868" spans="54:55" x14ac:dyDescent="0.2">
      <c r="BB1868" s="1" t="s">
        <v>2749</v>
      </c>
      <c r="BC1868" s="1" t="s">
        <v>881</v>
      </c>
    </row>
    <row r="1869" spans="54:55" x14ac:dyDescent="0.2">
      <c r="BB1869" s="1" t="s">
        <v>2750</v>
      </c>
      <c r="BC1869" s="1" t="s">
        <v>881</v>
      </c>
    </row>
    <row r="1870" spans="54:55" x14ac:dyDescent="0.2">
      <c r="BB1870" s="1" t="s">
        <v>2751</v>
      </c>
      <c r="BC1870" s="1" t="s">
        <v>893</v>
      </c>
    </row>
    <row r="1871" spans="54:55" x14ac:dyDescent="0.2">
      <c r="BB1871" s="1" t="s">
        <v>2752</v>
      </c>
      <c r="BC1871" s="1" t="s">
        <v>878</v>
      </c>
    </row>
    <row r="1872" spans="54:55" x14ac:dyDescent="0.2">
      <c r="BB1872" s="1" t="s">
        <v>2753</v>
      </c>
      <c r="BC1872" s="1" t="s">
        <v>881</v>
      </c>
    </row>
    <row r="1873" spans="54:55" x14ac:dyDescent="0.2">
      <c r="BB1873" s="1" t="s">
        <v>2754</v>
      </c>
      <c r="BC1873" s="1" t="s">
        <v>883</v>
      </c>
    </row>
    <row r="1874" spans="54:55" x14ac:dyDescent="0.2">
      <c r="BB1874" s="1" t="s">
        <v>2755</v>
      </c>
      <c r="BC1874" s="1" t="s">
        <v>887</v>
      </c>
    </row>
    <row r="1875" spans="54:55" x14ac:dyDescent="0.2">
      <c r="BB1875" s="1" t="s">
        <v>2756</v>
      </c>
      <c r="BC1875" s="1" t="s">
        <v>887</v>
      </c>
    </row>
    <row r="1876" spans="54:55" x14ac:dyDescent="0.2">
      <c r="BB1876" s="1" t="s">
        <v>2757</v>
      </c>
      <c r="BC1876" s="1" t="s">
        <v>881</v>
      </c>
    </row>
    <row r="1877" spans="54:55" x14ac:dyDescent="0.2">
      <c r="BB1877" s="1" t="s">
        <v>2758</v>
      </c>
      <c r="BC1877" s="1" t="s">
        <v>885</v>
      </c>
    </row>
    <row r="1878" spans="54:55" x14ac:dyDescent="0.2">
      <c r="BB1878" s="1" t="s">
        <v>2759</v>
      </c>
      <c r="BC1878" s="1" t="s">
        <v>885</v>
      </c>
    </row>
    <row r="1879" spans="54:55" x14ac:dyDescent="0.2">
      <c r="BB1879" s="1" t="s">
        <v>2760</v>
      </c>
      <c r="BC1879" s="1" t="s">
        <v>887</v>
      </c>
    </row>
    <row r="1880" spans="54:55" x14ac:dyDescent="0.2">
      <c r="BB1880" s="1" t="s">
        <v>2761</v>
      </c>
      <c r="BC1880" s="1" t="s">
        <v>878</v>
      </c>
    </row>
    <row r="1881" spans="54:55" x14ac:dyDescent="0.2">
      <c r="BB1881" s="1" t="s">
        <v>2762</v>
      </c>
      <c r="BC1881" s="1" t="s">
        <v>878</v>
      </c>
    </row>
    <row r="1882" spans="54:55" x14ac:dyDescent="0.2">
      <c r="BB1882" s="1" t="s">
        <v>2763</v>
      </c>
      <c r="BC1882" s="1" t="s">
        <v>878</v>
      </c>
    </row>
    <row r="1883" spans="54:55" x14ac:dyDescent="0.2">
      <c r="BB1883" s="1" t="s">
        <v>2764</v>
      </c>
      <c r="BC1883" s="1" t="s">
        <v>885</v>
      </c>
    </row>
    <row r="1884" spans="54:55" x14ac:dyDescent="0.2">
      <c r="BB1884" s="1" t="s">
        <v>2765</v>
      </c>
      <c r="BC1884" s="1" t="s">
        <v>878</v>
      </c>
    </row>
    <row r="1885" spans="54:55" x14ac:dyDescent="0.2">
      <c r="BB1885" s="1" t="s">
        <v>2766</v>
      </c>
      <c r="BC1885" s="1" t="s">
        <v>878</v>
      </c>
    </row>
    <row r="1886" spans="54:55" x14ac:dyDescent="0.2">
      <c r="BB1886" s="1" t="s">
        <v>2767</v>
      </c>
      <c r="BC1886" s="1" t="s">
        <v>878</v>
      </c>
    </row>
    <row r="1887" spans="54:55" x14ac:dyDescent="0.2">
      <c r="BB1887" s="1" t="s">
        <v>2768</v>
      </c>
      <c r="BC1887" s="1" t="s">
        <v>878</v>
      </c>
    </row>
    <row r="1888" spans="54:55" x14ac:dyDescent="0.2">
      <c r="BB1888" s="1" t="s">
        <v>2769</v>
      </c>
      <c r="BC1888" s="1" t="s">
        <v>887</v>
      </c>
    </row>
    <row r="1889" spans="54:55" x14ac:dyDescent="0.2">
      <c r="BB1889" s="1" t="s">
        <v>2770</v>
      </c>
      <c r="BC1889" s="1" t="s">
        <v>878</v>
      </c>
    </row>
    <row r="1890" spans="54:55" x14ac:dyDescent="0.2">
      <c r="BB1890" s="1" t="s">
        <v>2771</v>
      </c>
      <c r="BC1890" s="1" t="s">
        <v>878</v>
      </c>
    </row>
    <row r="1891" spans="54:55" x14ac:dyDescent="0.2">
      <c r="BB1891" s="1" t="s">
        <v>2772</v>
      </c>
      <c r="BC1891" s="1" t="s">
        <v>878</v>
      </c>
    </row>
    <row r="1892" spans="54:55" x14ac:dyDescent="0.2">
      <c r="BB1892" s="1" t="s">
        <v>2773</v>
      </c>
      <c r="BC1892" s="1" t="s">
        <v>878</v>
      </c>
    </row>
    <row r="1893" spans="54:55" x14ac:dyDescent="0.2">
      <c r="BB1893" s="1" t="s">
        <v>2774</v>
      </c>
      <c r="BC1893" s="1" t="s">
        <v>878</v>
      </c>
    </row>
    <row r="1894" spans="54:55" x14ac:dyDescent="0.2">
      <c r="BB1894" s="1" t="s">
        <v>2775</v>
      </c>
      <c r="BC1894" s="1" t="s">
        <v>878</v>
      </c>
    </row>
    <row r="1895" spans="54:55" x14ac:dyDescent="0.2">
      <c r="BB1895" s="1" t="s">
        <v>2776</v>
      </c>
      <c r="BC1895" s="1" t="s">
        <v>883</v>
      </c>
    </row>
    <row r="1896" spans="54:55" x14ac:dyDescent="0.2">
      <c r="BB1896" s="1" t="s">
        <v>2777</v>
      </c>
      <c r="BC1896" s="1" t="s">
        <v>878</v>
      </c>
    </row>
    <row r="1897" spans="54:55" x14ac:dyDescent="0.2">
      <c r="BB1897" s="1" t="s">
        <v>2778</v>
      </c>
      <c r="BC1897" s="1" t="s">
        <v>878</v>
      </c>
    </row>
    <row r="1898" spans="54:55" x14ac:dyDescent="0.2">
      <c r="BB1898" s="1" t="s">
        <v>2779</v>
      </c>
      <c r="BC1898" s="1" t="s">
        <v>885</v>
      </c>
    </row>
    <row r="1899" spans="54:55" x14ac:dyDescent="0.2">
      <c r="BB1899" s="1" t="s">
        <v>2780</v>
      </c>
      <c r="BC1899" s="1" t="s">
        <v>878</v>
      </c>
    </row>
    <row r="1900" spans="54:55" x14ac:dyDescent="0.2">
      <c r="BB1900" s="1" t="s">
        <v>2781</v>
      </c>
      <c r="BC1900" s="1" t="s">
        <v>887</v>
      </c>
    </row>
    <row r="1901" spans="54:55" x14ac:dyDescent="0.2">
      <c r="BB1901" s="1" t="s">
        <v>2782</v>
      </c>
      <c r="BC1901" s="1" t="s">
        <v>883</v>
      </c>
    </row>
    <row r="1902" spans="54:55" x14ac:dyDescent="0.2">
      <c r="BB1902" s="1" t="s">
        <v>2783</v>
      </c>
      <c r="BC1902" s="1" t="s">
        <v>878</v>
      </c>
    </row>
    <row r="1903" spans="54:55" x14ac:dyDescent="0.2">
      <c r="BB1903" s="1" t="s">
        <v>2784</v>
      </c>
      <c r="BC1903" s="1" t="s">
        <v>878</v>
      </c>
    </row>
    <row r="1904" spans="54:55" x14ac:dyDescent="0.2">
      <c r="BB1904" s="1" t="s">
        <v>2785</v>
      </c>
      <c r="BC1904" s="1" t="s">
        <v>893</v>
      </c>
    </row>
    <row r="1905" spans="54:55" x14ac:dyDescent="0.2">
      <c r="BB1905" s="1" t="s">
        <v>2786</v>
      </c>
      <c r="BC1905" s="1" t="s">
        <v>878</v>
      </c>
    </row>
    <row r="1906" spans="54:55" x14ac:dyDescent="0.2">
      <c r="BB1906" s="1" t="s">
        <v>2787</v>
      </c>
      <c r="BC1906" s="1" t="s">
        <v>878</v>
      </c>
    </row>
    <row r="1907" spans="54:55" x14ac:dyDescent="0.2">
      <c r="BB1907" s="1" t="s">
        <v>2788</v>
      </c>
      <c r="BC1907" s="1" t="s">
        <v>878</v>
      </c>
    </row>
    <row r="1908" spans="54:55" x14ac:dyDescent="0.2">
      <c r="BB1908" s="1" t="s">
        <v>2789</v>
      </c>
      <c r="BC1908" s="1" t="s">
        <v>885</v>
      </c>
    </row>
    <row r="1909" spans="54:55" x14ac:dyDescent="0.2">
      <c r="BB1909" s="1" t="s">
        <v>2790</v>
      </c>
      <c r="BC1909" s="1" t="s">
        <v>883</v>
      </c>
    </row>
    <row r="1910" spans="54:55" x14ac:dyDescent="0.2">
      <c r="BB1910" s="1" t="s">
        <v>2791</v>
      </c>
      <c r="BC1910" s="1" t="s">
        <v>878</v>
      </c>
    </row>
    <row r="1911" spans="54:55" x14ac:dyDescent="0.2">
      <c r="BB1911" s="1" t="s">
        <v>2792</v>
      </c>
      <c r="BC1911" s="1" t="s">
        <v>878</v>
      </c>
    </row>
    <row r="1912" spans="54:55" x14ac:dyDescent="0.2">
      <c r="BB1912" s="1" t="s">
        <v>2793</v>
      </c>
      <c r="BC1912" s="1" t="s">
        <v>885</v>
      </c>
    </row>
    <row r="1913" spans="54:55" x14ac:dyDescent="0.2">
      <c r="BB1913" s="1" t="s">
        <v>2794</v>
      </c>
      <c r="BC1913" s="1" t="s">
        <v>878</v>
      </c>
    </row>
    <row r="1914" spans="54:55" x14ac:dyDescent="0.2">
      <c r="BB1914" s="1" t="s">
        <v>2795</v>
      </c>
      <c r="BC1914" s="1" t="s">
        <v>881</v>
      </c>
    </row>
    <row r="1915" spans="54:55" x14ac:dyDescent="0.2">
      <c r="BB1915" s="1" t="s">
        <v>2796</v>
      </c>
      <c r="BC1915" s="1" t="s">
        <v>878</v>
      </c>
    </row>
    <row r="1916" spans="54:55" x14ac:dyDescent="0.2">
      <c r="BB1916" s="1" t="s">
        <v>2797</v>
      </c>
      <c r="BC1916" s="1" t="s">
        <v>878</v>
      </c>
    </row>
    <row r="1917" spans="54:55" x14ac:dyDescent="0.2">
      <c r="BB1917" s="1" t="s">
        <v>2798</v>
      </c>
      <c r="BC1917" s="1" t="s">
        <v>878</v>
      </c>
    </row>
    <row r="1918" spans="54:55" x14ac:dyDescent="0.2">
      <c r="BB1918" s="1" t="s">
        <v>2799</v>
      </c>
      <c r="BC1918" s="1" t="s">
        <v>878</v>
      </c>
    </row>
    <row r="1919" spans="54:55" x14ac:dyDescent="0.2">
      <c r="BB1919" s="1" t="s">
        <v>2800</v>
      </c>
      <c r="BC1919" s="1" t="s">
        <v>878</v>
      </c>
    </row>
    <row r="1920" spans="54:55" x14ac:dyDescent="0.2">
      <c r="BB1920" s="1" t="s">
        <v>2801</v>
      </c>
      <c r="BC1920" s="1" t="s">
        <v>878</v>
      </c>
    </row>
    <row r="1921" spans="54:55" x14ac:dyDescent="0.2">
      <c r="BB1921" s="1" t="s">
        <v>2802</v>
      </c>
      <c r="BC1921" s="1" t="s">
        <v>878</v>
      </c>
    </row>
    <row r="1922" spans="54:55" x14ac:dyDescent="0.2">
      <c r="BB1922" s="1" t="s">
        <v>2803</v>
      </c>
      <c r="BC1922" s="1" t="s">
        <v>878</v>
      </c>
    </row>
    <row r="1923" spans="54:55" x14ac:dyDescent="0.2">
      <c r="BB1923" s="1" t="s">
        <v>2804</v>
      </c>
      <c r="BC1923" s="1" t="s">
        <v>878</v>
      </c>
    </row>
    <row r="1924" spans="54:55" x14ac:dyDescent="0.2">
      <c r="BB1924" s="1" t="s">
        <v>2805</v>
      </c>
      <c r="BC1924" s="1" t="s">
        <v>878</v>
      </c>
    </row>
    <row r="1925" spans="54:55" x14ac:dyDescent="0.2">
      <c r="BB1925" s="1" t="s">
        <v>2806</v>
      </c>
      <c r="BC1925" s="1" t="s">
        <v>878</v>
      </c>
    </row>
    <row r="1926" spans="54:55" x14ac:dyDescent="0.2">
      <c r="BB1926" s="1" t="s">
        <v>2807</v>
      </c>
      <c r="BC1926" s="1" t="s">
        <v>893</v>
      </c>
    </row>
    <row r="1927" spans="54:55" x14ac:dyDescent="0.2">
      <c r="BB1927" s="1" t="s">
        <v>2808</v>
      </c>
      <c r="BC1927" s="1" t="s">
        <v>893</v>
      </c>
    </row>
    <row r="1928" spans="54:55" x14ac:dyDescent="0.2">
      <c r="BB1928" s="1" t="s">
        <v>2809</v>
      </c>
      <c r="BC1928" s="1" t="s">
        <v>893</v>
      </c>
    </row>
    <row r="1929" spans="54:55" x14ac:dyDescent="0.2">
      <c r="BB1929" s="1" t="s">
        <v>2810</v>
      </c>
      <c r="BC1929" s="1" t="s">
        <v>878</v>
      </c>
    </row>
    <row r="1930" spans="54:55" x14ac:dyDescent="0.2">
      <c r="BB1930" s="1" t="s">
        <v>2811</v>
      </c>
      <c r="BC1930" s="1" t="s">
        <v>878</v>
      </c>
    </row>
    <row r="1931" spans="54:55" x14ac:dyDescent="0.2">
      <c r="BB1931" s="1" t="s">
        <v>2812</v>
      </c>
      <c r="BC1931" s="1" t="s">
        <v>883</v>
      </c>
    </row>
    <row r="1932" spans="54:55" x14ac:dyDescent="0.2">
      <c r="BB1932" s="1" t="s">
        <v>2813</v>
      </c>
      <c r="BC1932" s="1" t="s">
        <v>883</v>
      </c>
    </row>
    <row r="1933" spans="54:55" x14ac:dyDescent="0.2">
      <c r="BB1933" s="1" t="s">
        <v>2814</v>
      </c>
      <c r="BC1933" s="1" t="s">
        <v>883</v>
      </c>
    </row>
    <row r="1934" spans="54:55" x14ac:dyDescent="0.2">
      <c r="BB1934" s="1" t="s">
        <v>2815</v>
      </c>
      <c r="BC1934" s="1" t="s">
        <v>878</v>
      </c>
    </row>
    <row r="1935" spans="54:55" x14ac:dyDescent="0.2">
      <c r="BB1935" s="1" t="s">
        <v>2816</v>
      </c>
      <c r="BC1935" s="1" t="s">
        <v>878</v>
      </c>
    </row>
    <row r="1936" spans="54:55" x14ac:dyDescent="0.2">
      <c r="BB1936" s="1" t="s">
        <v>2817</v>
      </c>
      <c r="BC1936" s="1" t="s">
        <v>878</v>
      </c>
    </row>
    <row r="1937" spans="54:55" x14ac:dyDescent="0.2">
      <c r="BB1937" s="1" t="s">
        <v>2818</v>
      </c>
      <c r="BC1937" s="1" t="s">
        <v>878</v>
      </c>
    </row>
    <row r="1938" spans="54:55" x14ac:dyDescent="0.2">
      <c r="BB1938" s="1" t="s">
        <v>2819</v>
      </c>
      <c r="BC1938" s="1" t="s">
        <v>878</v>
      </c>
    </row>
    <row r="1939" spans="54:55" x14ac:dyDescent="0.2">
      <c r="BB1939" s="1" t="s">
        <v>2820</v>
      </c>
      <c r="BC1939" s="1" t="s">
        <v>878</v>
      </c>
    </row>
    <row r="1940" spans="54:55" x14ac:dyDescent="0.2">
      <c r="BB1940" s="1" t="s">
        <v>2821</v>
      </c>
      <c r="BC1940" s="1" t="s">
        <v>878</v>
      </c>
    </row>
    <row r="1941" spans="54:55" x14ac:dyDescent="0.2">
      <c r="BB1941" s="1" t="s">
        <v>2822</v>
      </c>
      <c r="BC1941" s="1" t="s">
        <v>878</v>
      </c>
    </row>
    <row r="1942" spans="54:55" x14ac:dyDescent="0.2">
      <c r="BB1942" s="1" t="s">
        <v>2823</v>
      </c>
      <c r="BC1942" s="1" t="s">
        <v>883</v>
      </c>
    </row>
    <row r="1943" spans="54:55" x14ac:dyDescent="0.2">
      <c r="BB1943" s="1" t="s">
        <v>2824</v>
      </c>
      <c r="BC1943" s="1" t="s">
        <v>881</v>
      </c>
    </row>
    <row r="1944" spans="54:55" x14ac:dyDescent="0.2">
      <c r="BB1944" s="1" t="s">
        <v>2825</v>
      </c>
      <c r="BC1944" s="1" t="s">
        <v>878</v>
      </c>
    </row>
    <row r="1945" spans="54:55" x14ac:dyDescent="0.2">
      <c r="BB1945" s="1" t="s">
        <v>2826</v>
      </c>
      <c r="BC1945" s="1" t="s">
        <v>878</v>
      </c>
    </row>
    <row r="1946" spans="54:55" x14ac:dyDescent="0.2">
      <c r="BB1946" s="1" t="s">
        <v>2827</v>
      </c>
      <c r="BC1946" s="1" t="s">
        <v>878</v>
      </c>
    </row>
    <row r="1947" spans="54:55" x14ac:dyDescent="0.2">
      <c r="BB1947" s="1" t="s">
        <v>2828</v>
      </c>
      <c r="BC1947" s="1" t="s">
        <v>878</v>
      </c>
    </row>
    <row r="1948" spans="54:55" x14ac:dyDescent="0.2">
      <c r="BB1948" s="1" t="s">
        <v>2829</v>
      </c>
      <c r="BC1948" s="1" t="s">
        <v>887</v>
      </c>
    </row>
    <row r="1949" spans="54:55" x14ac:dyDescent="0.2">
      <c r="BB1949" s="1" t="s">
        <v>2830</v>
      </c>
      <c r="BC1949" s="1" t="s">
        <v>885</v>
      </c>
    </row>
    <row r="1950" spans="54:55" x14ac:dyDescent="0.2">
      <c r="BB1950" s="1" t="s">
        <v>2831</v>
      </c>
      <c r="BC1950" s="1" t="s">
        <v>878</v>
      </c>
    </row>
    <row r="1951" spans="54:55" x14ac:dyDescent="0.2">
      <c r="BB1951" s="1" t="s">
        <v>2832</v>
      </c>
      <c r="BC1951" s="1" t="s">
        <v>878</v>
      </c>
    </row>
    <row r="1952" spans="54:55" x14ac:dyDescent="0.2">
      <c r="BB1952" s="1" t="s">
        <v>2833</v>
      </c>
      <c r="BC1952" s="1" t="s">
        <v>878</v>
      </c>
    </row>
    <row r="1953" spans="54:55" x14ac:dyDescent="0.2">
      <c r="BB1953" s="1" t="s">
        <v>2834</v>
      </c>
      <c r="BC1953" s="1" t="s">
        <v>878</v>
      </c>
    </row>
    <row r="1954" spans="54:55" x14ac:dyDescent="0.2">
      <c r="BB1954" s="1" t="s">
        <v>2835</v>
      </c>
      <c r="BC1954" s="1" t="s">
        <v>878</v>
      </c>
    </row>
    <row r="1955" spans="54:55" x14ac:dyDescent="0.2">
      <c r="BB1955" s="1" t="s">
        <v>2836</v>
      </c>
      <c r="BC1955" s="1" t="s">
        <v>878</v>
      </c>
    </row>
    <row r="1956" spans="54:55" x14ac:dyDescent="0.2">
      <c r="BB1956" s="1" t="s">
        <v>2837</v>
      </c>
      <c r="BC1956" s="1" t="s">
        <v>878</v>
      </c>
    </row>
    <row r="1957" spans="54:55" x14ac:dyDescent="0.2">
      <c r="BB1957" s="1" t="s">
        <v>2838</v>
      </c>
      <c r="BC1957" s="1" t="s">
        <v>878</v>
      </c>
    </row>
    <row r="1958" spans="54:55" x14ac:dyDescent="0.2">
      <c r="BB1958" s="1" t="s">
        <v>2839</v>
      </c>
      <c r="BC1958" s="1" t="s">
        <v>887</v>
      </c>
    </row>
    <row r="1959" spans="54:55" x14ac:dyDescent="0.2">
      <c r="BB1959" s="1" t="s">
        <v>2840</v>
      </c>
      <c r="BC1959" s="1" t="s">
        <v>878</v>
      </c>
    </row>
    <row r="1960" spans="54:55" x14ac:dyDescent="0.2">
      <c r="BB1960" s="1" t="s">
        <v>2841</v>
      </c>
      <c r="BC1960" s="1" t="s">
        <v>878</v>
      </c>
    </row>
    <row r="1961" spans="54:55" x14ac:dyDescent="0.2">
      <c r="BB1961" s="1" t="s">
        <v>2842</v>
      </c>
      <c r="BC1961" s="1" t="s">
        <v>887</v>
      </c>
    </row>
    <row r="1962" spans="54:55" x14ac:dyDescent="0.2">
      <c r="BB1962" s="1" t="s">
        <v>2843</v>
      </c>
      <c r="BC1962" s="1" t="s">
        <v>878</v>
      </c>
    </row>
    <row r="1963" spans="54:55" x14ac:dyDescent="0.2">
      <c r="BB1963" s="1" t="s">
        <v>2844</v>
      </c>
      <c r="BC1963" s="1" t="s">
        <v>883</v>
      </c>
    </row>
    <row r="1964" spans="54:55" x14ac:dyDescent="0.2">
      <c r="BB1964" s="1" t="s">
        <v>2845</v>
      </c>
      <c r="BC1964" s="1" t="s">
        <v>878</v>
      </c>
    </row>
    <row r="1965" spans="54:55" x14ac:dyDescent="0.2">
      <c r="BB1965" s="1" t="s">
        <v>2846</v>
      </c>
      <c r="BC1965" s="1" t="s">
        <v>887</v>
      </c>
    </row>
    <row r="1966" spans="54:55" x14ac:dyDescent="0.2">
      <c r="BB1966" s="1" t="s">
        <v>2847</v>
      </c>
      <c r="BC1966" s="1" t="s">
        <v>878</v>
      </c>
    </row>
    <row r="1967" spans="54:55" x14ac:dyDescent="0.2">
      <c r="BB1967" s="1" t="s">
        <v>2848</v>
      </c>
      <c r="BC1967" s="1" t="s">
        <v>878</v>
      </c>
    </row>
    <row r="1968" spans="54:55" x14ac:dyDescent="0.2">
      <c r="BB1968" s="1" t="s">
        <v>2849</v>
      </c>
      <c r="BC1968" s="1" t="s">
        <v>878</v>
      </c>
    </row>
    <row r="1969" spans="54:55" x14ac:dyDescent="0.2">
      <c r="BB1969" s="1" t="s">
        <v>2850</v>
      </c>
      <c r="BC1969" s="1" t="s">
        <v>878</v>
      </c>
    </row>
    <row r="1970" spans="54:55" x14ac:dyDescent="0.2">
      <c r="BB1970" s="1" t="s">
        <v>2851</v>
      </c>
      <c r="BC1970" s="1" t="s">
        <v>883</v>
      </c>
    </row>
    <row r="1971" spans="54:55" x14ac:dyDescent="0.2">
      <c r="BB1971" s="1" t="s">
        <v>2852</v>
      </c>
      <c r="BC1971" s="1" t="s">
        <v>887</v>
      </c>
    </row>
    <row r="1972" spans="54:55" x14ac:dyDescent="0.2">
      <c r="BB1972" s="1" t="s">
        <v>2853</v>
      </c>
      <c r="BC1972" s="1" t="s">
        <v>878</v>
      </c>
    </row>
    <row r="1973" spans="54:55" x14ac:dyDescent="0.2">
      <c r="BB1973" s="1" t="s">
        <v>2854</v>
      </c>
      <c r="BC1973" s="1" t="s">
        <v>883</v>
      </c>
    </row>
    <row r="1974" spans="54:55" x14ac:dyDescent="0.2">
      <c r="BB1974" s="1" t="s">
        <v>2855</v>
      </c>
      <c r="BC1974" s="1" t="s">
        <v>887</v>
      </c>
    </row>
    <row r="1975" spans="54:55" x14ac:dyDescent="0.2">
      <c r="BB1975" s="1" t="s">
        <v>2856</v>
      </c>
      <c r="BC1975" s="1" t="s">
        <v>881</v>
      </c>
    </row>
    <row r="1976" spans="54:55" x14ac:dyDescent="0.2">
      <c r="BB1976" s="589" t="s">
        <v>2857</v>
      </c>
      <c r="BC1976" s="589" t="s">
        <v>883</v>
      </c>
    </row>
  </sheetData>
  <sortState ref="Z4:AA6">
    <sortCondition ref="Z4"/>
  </sortState>
  <mergeCells count="14">
    <mergeCell ref="A2:F2"/>
    <mergeCell ref="I2:N2"/>
    <mergeCell ref="P2:T2"/>
    <mergeCell ref="A1:F1"/>
    <mergeCell ref="V1:X1"/>
    <mergeCell ref="V2:X2"/>
    <mergeCell ref="AD2:AF2"/>
    <mergeCell ref="AH2:AI2"/>
    <mergeCell ref="I1:T1"/>
    <mergeCell ref="AY1:AZ1"/>
    <mergeCell ref="AK2:AL2"/>
    <mergeCell ref="AN2:AQ2"/>
    <mergeCell ref="Z1:AB1"/>
    <mergeCell ref="Z2:AB2"/>
  </mergeCells>
  <conditionalFormatting sqref="A6:A9 B6:B13 C6:F9 A4:F5 L4:N6 I4:J6 O2:P2 G2:I2 A1:I1 I27:N1048576 K22:N26 A15:H20 A26:H1048576 A21:D25 G21:H25 I19:N21 I7:N8 M13:N15 I9:L10 N9:N12 I12:L15 A3:T3 O4:O1048576 P25:T1048576 Q6:S12 Q19:T24 U1:X1048576">
    <cfRule type="expression" dxfId="42" priority="27">
      <formula>_xlfn.ISFORMULA(INDIRECT(ADDRESS(ROW(),COLUMN())))</formula>
    </cfRule>
  </conditionalFormatting>
  <conditionalFormatting sqref="Z1:AB6">
    <cfRule type="expression" dxfId="41" priority="26">
      <formula>_xlfn.ISFORMULA(INDIRECT(ADDRESS(ROW(),COLUMN())))</formula>
    </cfRule>
  </conditionalFormatting>
  <conditionalFormatting sqref="AD3:AE3">
    <cfRule type="expression" dxfId="40" priority="25">
      <formula>_xlfn.ISFORMULA(INDIRECT(ADDRESS(ROW(),COLUMN())))</formula>
    </cfRule>
  </conditionalFormatting>
  <conditionalFormatting sqref="A11:A12 C11:F12">
    <cfRule type="expression" dxfId="39" priority="24">
      <formula>_xlfn.ISFORMULA(INDIRECT(ADDRESS(ROW(),COLUMN())))</formula>
    </cfRule>
  </conditionalFormatting>
  <conditionalFormatting sqref="A13 C13:F13">
    <cfRule type="expression" dxfId="38" priority="22">
      <formula>_xlfn.ISFORMULA(INDIRECT(ADDRESS(ROW(),COLUMN())))</formula>
    </cfRule>
  </conditionalFormatting>
  <conditionalFormatting sqref="A10 C10:F10">
    <cfRule type="expression" dxfId="37" priority="21">
      <formula>_xlfn.ISFORMULA(INDIRECT(ADDRESS(ROW(),COLUMN())))</formula>
    </cfRule>
  </conditionalFormatting>
  <conditionalFormatting sqref="K4:K6">
    <cfRule type="expression" dxfId="36" priority="19">
      <formula>_xlfn.ISFORMULA(INDIRECT(ADDRESS(ROW(),COLUMN())))</formula>
    </cfRule>
  </conditionalFormatting>
  <conditionalFormatting sqref="Q4:T5 T6:T15">
    <cfRule type="expression" dxfId="35" priority="18">
      <formula>_xlfn.ISFORMULA(INDIRECT(ADDRESS(ROW(),COLUMN())))</formula>
    </cfRule>
  </conditionalFormatting>
  <conditionalFormatting sqref="P11 P4:P5">
    <cfRule type="expression" dxfId="34" priority="17">
      <formula>_xlfn.ISFORMULA(INDIRECT(ADDRESS(ROW(),COLUMN())))</formula>
    </cfRule>
  </conditionalFormatting>
  <conditionalFormatting sqref="M14 M9:M12">
    <cfRule type="expression" dxfId="33" priority="14">
      <formula>_xlfn.ISFORMULA(INDIRECT(ADDRESS(ROW(),COLUMN())))</formula>
    </cfRule>
  </conditionalFormatting>
  <conditionalFormatting sqref="I11:L11">
    <cfRule type="expression" dxfId="32" priority="15">
      <formula>_xlfn.ISFORMULA(INDIRECT(ADDRESS(ROW(),COLUMN())))</formula>
    </cfRule>
  </conditionalFormatting>
  <conditionalFormatting sqref="M11">
    <cfRule type="expression" dxfId="31" priority="13">
      <formula>_xlfn.ISFORMULA(INDIRECT(ADDRESS(ROW(),COLUMN())))</formula>
    </cfRule>
  </conditionalFormatting>
  <conditionalFormatting sqref="P6:P7">
    <cfRule type="expression" dxfId="30" priority="12">
      <formula>_xlfn.ISFORMULA(INDIRECT(ADDRESS(ROW(),COLUMN())))</formula>
    </cfRule>
  </conditionalFormatting>
  <conditionalFormatting sqref="P8">
    <cfRule type="expression" dxfId="29" priority="11">
      <formula>_xlfn.ISFORMULA(INDIRECT(ADDRESS(ROW(),COLUMN())))</formula>
    </cfRule>
  </conditionalFormatting>
  <conditionalFormatting sqref="P9:P10">
    <cfRule type="expression" dxfId="28" priority="10">
      <formula>_xlfn.ISFORMULA(INDIRECT(ADDRESS(ROW(),COLUMN())))</formula>
    </cfRule>
  </conditionalFormatting>
  <conditionalFormatting sqref="Q13:S14">
    <cfRule type="expression" dxfId="27" priority="7">
      <formula>_xlfn.ISFORMULA(INDIRECT(ADDRESS(ROW(),COLUMN())))</formula>
    </cfRule>
  </conditionalFormatting>
  <conditionalFormatting sqref="P12:P14">
    <cfRule type="expression" dxfId="26" priority="8">
      <formula>_xlfn.ISFORMULA(INDIRECT(ADDRESS(ROW(),COLUMN())))</formula>
    </cfRule>
  </conditionalFormatting>
  <conditionalFormatting sqref="J16:N16">
    <cfRule type="expression" dxfId="25" priority="6">
      <formula>_xlfn.ISFORMULA(INDIRECT(ADDRESS(ROW(),COLUMN())))</formula>
    </cfRule>
  </conditionalFormatting>
  <conditionalFormatting sqref="J17:N18">
    <cfRule type="expression" dxfId="24" priority="5">
      <formula>_xlfn.ISFORMULA(INDIRECT(ADDRESS(ROW(),COLUMN())))</formula>
    </cfRule>
  </conditionalFormatting>
  <conditionalFormatting sqref="Q15 S15">
    <cfRule type="expression" dxfId="23" priority="4">
      <formula>_xlfn.ISFORMULA(INDIRECT(ADDRESS(ROW(),COLUMN())))</formula>
    </cfRule>
  </conditionalFormatting>
  <conditionalFormatting sqref="Q16:Q18 S16:T18">
    <cfRule type="expression" dxfId="22" priority="3">
      <formula>_xlfn.ISFORMULA(INDIRECT(ADDRESS(ROW(),COLUMN())))</formula>
    </cfRule>
  </conditionalFormatting>
  <conditionalFormatting sqref="R15">
    <cfRule type="expression" dxfId="21" priority="2">
      <formula>_xlfn.ISFORMULA(INDIRECT(ADDRESS(ROW(),COLUMN())))</formula>
    </cfRule>
  </conditionalFormatting>
  <conditionalFormatting sqref="R16:R18">
    <cfRule type="expression" dxfId="20"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theme="1"/>
  </sheetPr>
  <dimension ref="B4:W20"/>
  <sheetViews>
    <sheetView showGridLines="0" showZeros="0" showOutlineSymbols="0" workbookViewId="0">
      <selection activeCell="B6" sqref="B6"/>
    </sheetView>
  </sheetViews>
  <sheetFormatPr defaultColWidth="12" defaultRowHeight="12.75" x14ac:dyDescent="0.2"/>
  <cols>
    <col min="1" max="1" width="2.85546875" style="28" customWidth="1"/>
    <col min="2" max="5" width="15.7109375" style="28" customWidth="1"/>
    <col min="6" max="6" width="11.85546875" style="28" bestFit="1" customWidth="1"/>
    <col min="7" max="9" width="15.7109375" style="28" customWidth="1"/>
    <col min="10" max="10" width="17.7109375" style="28" bestFit="1" customWidth="1"/>
    <col min="11" max="11" width="16.7109375" style="28" bestFit="1" customWidth="1"/>
    <col min="12" max="23" width="15.7109375" style="28" customWidth="1"/>
    <col min="24" max="236" width="9.140625" style="28" customWidth="1"/>
    <col min="237" max="238" width="1.28515625" style="28" customWidth="1"/>
    <col min="239" max="239" width="9.140625" style="28" customWidth="1"/>
    <col min="240" max="240" width="10.140625" style="28" customWidth="1"/>
    <col min="241" max="241" width="15.5703125" style="28" bestFit="1" customWidth="1"/>
    <col min="242" max="242" width="6.140625" style="28" bestFit="1" customWidth="1"/>
    <col min="243" max="243" width="9" style="28" bestFit="1" customWidth="1"/>
    <col min="244" max="245" width="9.140625" style="28" customWidth="1"/>
    <col min="246" max="246" width="12" style="28" bestFit="1" customWidth="1"/>
    <col min="247" max="247" width="1.140625" style="28" customWidth="1"/>
    <col min="248" max="248" width="1.5703125" style="28" customWidth="1"/>
    <col min="249" max="249" width="1.140625" style="28" customWidth="1"/>
    <col min="250" max="251" width="9.140625" style="28" customWidth="1"/>
    <col min="252" max="252" width="13.42578125" style="28" bestFit="1" customWidth="1"/>
    <col min="253" max="253" width="5.28515625" style="28" bestFit="1" customWidth="1"/>
    <col min="254" max="254" width="9" style="28" bestFit="1" customWidth="1"/>
    <col min="255" max="256" width="8.5703125" style="28" bestFit="1" customWidth="1"/>
    <col min="257" max="16384" width="12" style="28"/>
  </cols>
  <sheetData>
    <row r="4" spans="2:23" ht="16.5" customHeight="1" x14ac:dyDescent="0.2">
      <c r="B4" s="739" t="s">
        <v>261</v>
      </c>
      <c r="C4" s="739"/>
      <c r="D4" s="739"/>
      <c r="E4" s="739"/>
      <c r="F4" s="739"/>
      <c r="G4" s="739"/>
      <c r="H4" s="739"/>
      <c r="I4" s="739"/>
      <c r="J4" s="739"/>
      <c r="K4" s="739"/>
      <c r="L4" s="739"/>
      <c r="M4" s="739"/>
      <c r="N4" s="739"/>
      <c r="O4" s="739"/>
      <c r="P4" s="739"/>
      <c r="Q4" s="739"/>
      <c r="R4" s="739"/>
      <c r="S4" s="739"/>
      <c r="T4" s="739"/>
      <c r="U4" s="739"/>
      <c r="V4" s="739"/>
      <c r="W4" s="739"/>
    </row>
    <row r="5" spans="2:23" s="167" customFormat="1" ht="30" customHeight="1" x14ac:dyDescent="0.2">
      <c r="B5" s="512" t="s">
        <v>749</v>
      </c>
      <c r="C5" s="512" t="s">
        <v>750</v>
      </c>
      <c r="D5" s="512" t="s">
        <v>751</v>
      </c>
      <c r="E5" s="512" t="s">
        <v>172</v>
      </c>
      <c r="F5" s="512" t="s">
        <v>173</v>
      </c>
      <c r="G5" s="512" t="s">
        <v>178</v>
      </c>
      <c r="H5" s="512" t="s">
        <v>177</v>
      </c>
      <c r="I5" s="512" t="s">
        <v>752</v>
      </c>
      <c r="J5" s="512" t="s">
        <v>183</v>
      </c>
      <c r="K5" s="512" t="s">
        <v>184</v>
      </c>
      <c r="L5" s="512" t="s">
        <v>870</v>
      </c>
      <c r="M5" s="512" t="s">
        <v>869</v>
      </c>
      <c r="N5" s="659" t="s">
        <v>868</v>
      </c>
      <c r="O5" s="512" t="s">
        <v>182</v>
      </c>
      <c r="P5" s="512" t="s">
        <v>181</v>
      </c>
      <c r="Q5" s="512" t="s">
        <v>180</v>
      </c>
      <c r="R5" s="512" t="s">
        <v>179</v>
      </c>
      <c r="S5" s="512" t="s">
        <v>176</v>
      </c>
      <c r="T5" s="512" t="s">
        <v>174</v>
      </c>
      <c r="U5" s="512" t="s">
        <v>572</v>
      </c>
      <c r="V5" s="567" t="s">
        <v>793</v>
      </c>
      <c r="W5" s="512" t="s">
        <v>175</v>
      </c>
    </row>
    <row r="6" spans="2:23" x14ac:dyDescent="0.2">
      <c r="B6" s="660"/>
      <c r="C6" s="570">
        <v>200</v>
      </c>
      <c r="D6" s="570">
        <v>60</v>
      </c>
      <c r="E6" s="570"/>
      <c r="F6" s="377"/>
      <c r="G6" s="570"/>
      <c r="H6" s="570"/>
      <c r="I6" s="364">
        <f>ROUND((PI()*(C6/1000/2)^2)*(D6/1000)*(F6)*7850,3)</f>
        <v>0</v>
      </c>
      <c r="J6" s="508">
        <v>2200</v>
      </c>
      <c r="K6" s="508">
        <v>4850</v>
      </c>
      <c r="L6" s="508">
        <v>35</v>
      </c>
      <c r="M6" s="508">
        <v>11</v>
      </c>
      <c r="N6" s="508">
        <v>2000</v>
      </c>
      <c r="O6" s="511">
        <f>I6*L6</f>
        <v>0</v>
      </c>
      <c r="P6" s="511">
        <f>I6*0.8*M6</f>
        <v>0</v>
      </c>
      <c r="Q6" s="511">
        <f>F6*N6</f>
        <v>0</v>
      </c>
      <c r="R6" s="511">
        <f>G6*J6+H6*K6</f>
        <v>0</v>
      </c>
      <c r="S6" s="508">
        <v>50000</v>
      </c>
      <c r="T6" s="508">
        <v>10000</v>
      </c>
      <c r="U6" s="508">
        <v>2400</v>
      </c>
      <c r="V6" s="569">
        <v>1</v>
      </c>
      <c r="W6" s="568">
        <f>SUM(O6,P6,Q6,R6,S6,T6,U6*V6)</f>
        <v>62400</v>
      </c>
    </row>
    <row r="9" spans="2:23" ht="15.75" customHeight="1" x14ac:dyDescent="0.2">
      <c r="B9" s="739" t="s">
        <v>262</v>
      </c>
      <c r="C9" s="739"/>
      <c r="D9" s="739"/>
      <c r="E9" s="739"/>
      <c r="F9" s="739"/>
      <c r="G9" s="739"/>
      <c r="H9" s="739"/>
      <c r="I9" s="739"/>
      <c r="J9" s="739"/>
      <c r="K9" s="739"/>
      <c r="L9" s="739"/>
      <c r="M9" s="739"/>
      <c r="N9" s="739"/>
      <c r="O9" s="739"/>
      <c r="P9" s="739"/>
      <c r="Q9" s="739"/>
      <c r="R9" s="739"/>
      <c r="S9" s="739"/>
      <c r="T9" s="739"/>
      <c r="U9" s="739"/>
      <c r="V9" s="739"/>
      <c r="W9" s="739"/>
    </row>
    <row r="10" spans="2:23" s="167" customFormat="1" ht="42" customHeight="1" x14ac:dyDescent="0.2">
      <c r="B10" s="512" t="s">
        <v>749</v>
      </c>
      <c r="D10" s="512" t="s">
        <v>753</v>
      </c>
      <c r="E10" s="512" t="s">
        <v>263</v>
      </c>
      <c r="F10" s="512" t="s">
        <v>754</v>
      </c>
      <c r="H10" s="512" t="s">
        <v>753</v>
      </c>
      <c r="I10" s="512" t="s">
        <v>266</v>
      </c>
      <c r="J10" s="512" t="s">
        <v>755</v>
      </c>
      <c r="L10" s="512" t="s">
        <v>753</v>
      </c>
      <c r="M10" s="512" t="s">
        <v>265</v>
      </c>
      <c r="N10" s="512" t="s">
        <v>264</v>
      </c>
      <c r="P10" s="512" t="s">
        <v>753</v>
      </c>
      <c r="Q10" s="512" t="s">
        <v>267</v>
      </c>
      <c r="R10" s="512" t="s">
        <v>268</v>
      </c>
      <c r="T10" s="512" t="s">
        <v>269</v>
      </c>
      <c r="W10" s="512" t="s">
        <v>175</v>
      </c>
    </row>
    <row r="11" spans="2:23" x14ac:dyDescent="0.2">
      <c r="B11" s="507" t="s">
        <v>116</v>
      </c>
      <c r="C11" s="117" t="s">
        <v>272</v>
      </c>
      <c r="D11" s="365"/>
      <c r="E11" s="508">
        <v>12000</v>
      </c>
      <c r="F11" s="364">
        <f>D11*E11</f>
        <v>0</v>
      </c>
      <c r="G11" s="117" t="s">
        <v>272</v>
      </c>
      <c r="H11" s="365"/>
      <c r="I11" s="508">
        <v>10000</v>
      </c>
      <c r="J11" s="364">
        <f>H11*I11</f>
        <v>0</v>
      </c>
      <c r="K11" s="117" t="s">
        <v>270</v>
      </c>
      <c r="L11" s="365"/>
      <c r="M11" s="508">
        <v>9000</v>
      </c>
      <c r="N11" s="364">
        <f>L11*M11</f>
        <v>0</v>
      </c>
      <c r="O11" s="117" t="s">
        <v>270</v>
      </c>
      <c r="P11" s="365"/>
      <c r="Q11" s="508">
        <v>50000</v>
      </c>
      <c r="R11" s="509">
        <f>P11*Q11</f>
        <v>0</v>
      </c>
      <c r="T11" s="510"/>
      <c r="W11" s="568">
        <f>SUM(F11:F12)+SUM(J11:J12)+SUM(N11:N12)+SUM(R11:R12)+T11</f>
        <v>0</v>
      </c>
    </row>
    <row r="12" spans="2:23" x14ac:dyDescent="0.2">
      <c r="C12" s="117" t="s">
        <v>273</v>
      </c>
      <c r="D12" s="461"/>
      <c r="E12" s="504">
        <v>20000</v>
      </c>
      <c r="F12" s="356">
        <f>D12*E12</f>
        <v>0</v>
      </c>
      <c r="G12" s="117" t="s">
        <v>273</v>
      </c>
      <c r="H12" s="461"/>
      <c r="I12" s="504">
        <v>15000</v>
      </c>
      <c r="J12" s="356">
        <f>H12*I12</f>
        <v>0</v>
      </c>
      <c r="K12" s="117" t="s">
        <v>271</v>
      </c>
      <c r="L12" s="461"/>
      <c r="M12" s="504">
        <v>14000</v>
      </c>
      <c r="N12" s="356">
        <f>L12*M12</f>
        <v>0</v>
      </c>
      <c r="O12" s="117" t="s">
        <v>271</v>
      </c>
      <c r="P12" s="461"/>
      <c r="Q12" s="504">
        <v>80000</v>
      </c>
      <c r="R12" s="505">
        <f>P12*Q12</f>
        <v>0</v>
      </c>
    </row>
    <row r="13" spans="2:23" x14ac:dyDescent="0.2">
      <c r="N13" s="118"/>
      <c r="R13" s="118"/>
    </row>
    <row r="16" spans="2:23" x14ac:dyDescent="0.2">
      <c r="B16" s="467"/>
      <c r="C16" s="28" t="s">
        <v>425</v>
      </c>
    </row>
    <row r="17" spans="2:3" x14ac:dyDescent="0.2">
      <c r="B17" s="461"/>
      <c r="C17" s="28" t="s">
        <v>421</v>
      </c>
    </row>
    <row r="18" spans="2:3" x14ac:dyDescent="0.2">
      <c r="B18" s="468"/>
      <c r="C18" s="28" t="s">
        <v>424</v>
      </c>
    </row>
    <row r="19" spans="2:3" x14ac:dyDescent="0.2">
      <c r="B19" s="356"/>
      <c r="C19" s="28" t="s">
        <v>422</v>
      </c>
    </row>
    <row r="20" spans="2:3" x14ac:dyDescent="0.2">
      <c r="B20" s="506"/>
      <c r="C20" s="28" t="s">
        <v>423</v>
      </c>
    </row>
  </sheetData>
  <mergeCells count="2">
    <mergeCell ref="B4:W4"/>
    <mergeCell ref="B9:W9"/>
  </mergeCells>
  <conditionalFormatting sqref="R11">
    <cfRule type="containsErrors" dxfId="14" priority="8">
      <formula>ISERROR(R11)</formula>
    </cfRule>
  </conditionalFormatting>
  <conditionalFormatting sqref="R12">
    <cfRule type="containsErrors" dxfId="13" priority="7">
      <formula>ISERROR(R12)</formula>
    </cfRule>
  </conditionalFormatting>
  <conditionalFormatting sqref="F12">
    <cfRule type="containsErrors" dxfId="12" priority="5">
      <formula>ISERROR(F12)</formula>
    </cfRule>
  </conditionalFormatting>
  <conditionalFormatting sqref="J12">
    <cfRule type="containsErrors" dxfId="11" priority="4">
      <formula>ISERROR(J12)</formula>
    </cfRule>
  </conditionalFormatting>
  <conditionalFormatting sqref="B20">
    <cfRule type="containsErrors" dxfId="10" priority="3">
      <formula>ISERROR(B20)</formula>
    </cfRule>
  </conditionalFormatting>
  <conditionalFormatting sqref="W6">
    <cfRule type="containsErrors" dxfId="9" priority="2">
      <formula>ISERROR(W6)</formula>
    </cfRule>
  </conditionalFormatting>
  <conditionalFormatting sqref="W11">
    <cfRule type="containsErrors" dxfId="8"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HOME!$D$5:$D$29</xm:f>
          </x14:formula1>
          <xm:sqref>B6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27"/>
    <col min="15" max="15" width="9.5703125" style="227" customWidth="1"/>
    <col min="16" max="31" width="9.140625" style="227"/>
    <col min="32" max="16384" width="9.140625" style="2"/>
  </cols>
  <sheetData>
    <row r="1" spans="2:17" ht="10.5" customHeight="1" x14ac:dyDescent="0.2"/>
    <row r="3" spans="2:17" ht="13.5" thickBot="1" x14ac:dyDescent="0.25"/>
    <row r="4" spans="2:17" ht="5.25" customHeight="1" thickTop="1" x14ac:dyDescent="0.2">
      <c r="B4" s="197"/>
      <c r="C4" s="198"/>
      <c r="D4" s="198"/>
      <c r="E4" s="198"/>
      <c r="F4" s="198"/>
      <c r="G4" s="198"/>
      <c r="H4" s="198"/>
      <c r="I4" s="199"/>
    </row>
    <row r="5" spans="2:17" ht="15" x14ac:dyDescent="0.25">
      <c r="B5" s="200"/>
      <c r="C5" s="826" t="s">
        <v>274</v>
      </c>
      <c r="D5" s="826"/>
      <c r="E5" s="826"/>
      <c r="F5" s="826"/>
      <c r="G5" s="826"/>
      <c r="H5" s="826"/>
      <c r="I5" s="201"/>
    </row>
    <row r="6" spans="2:17" ht="3.75" customHeight="1" x14ac:dyDescent="0.2">
      <c r="B6" s="200"/>
      <c r="C6" s="50"/>
      <c r="D6" s="187"/>
      <c r="E6" s="50"/>
      <c r="F6" s="50"/>
      <c r="G6" s="50"/>
      <c r="H6" s="50"/>
      <c r="I6" s="201"/>
    </row>
    <row r="7" spans="2:17" x14ac:dyDescent="0.2">
      <c r="B7" s="200"/>
      <c r="C7" s="121" t="s">
        <v>95</v>
      </c>
      <c r="D7" s="202">
        <v>2</v>
      </c>
      <c r="E7" s="50" t="s">
        <v>9</v>
      </c>
      <c r="F7" s="50"/>
      <c r="G7" s="50"/>
      <c r="H7" s="50"/>
      <c r="I7" s="201"/>
    </row>
    <row r="8" spans="2:17" ht="3" customHeight="1" x14ac:dyDescent="0.2">
      <c r="B8" s="200"/>
      <c r="C8" s="121"/>
      <c r="D8" s="187"/>
      <c r="E8" s="50"/>
      <c r="F8" s="50"/>
      <c r="G8" s="50"/>
      <c r="H8" s="50"/>
      <c r="I8" s="201"/>
    </row>
    <row r="9" spans="2:17" ht="15" x14ac:dyDescent="0.25">
      <c r="B9" s="200"/>
      <c r="C9" s="826" t="s">
        <v>275</v>
      </c>
      <c r="D9" s="826"/>
      <c r="E9" s="826"/>
      <c r="F9" s="826"/>
      <c r="G9" s="826"/>
      <c r="H9" s="826"/>
      <c r="I9" s="201"/>
    </row>
    <row r="10" spans="2:17" ht="3.75" customHeight="1" x14ac:dyDescent="0.2">
      <c r="B10" s="200"/>
      <c r="C10" s="121"/>
      <c r="D10" s="187"/>
      <c r="E10" s="50"/>
      <c r="F10" s="50"/>
      <c r="G10" s="50"/>
      <c r="H10" s="50"/>
      <c r="I10" s="201"/>
    </row>
    <row r="11" spans="2:17" x14ac:dyDescent="0.2">
      <c r="B11" s="200"/>
      <c r="C11" s="121" t="s">
        <v>276</v>
      </c>
      <c r="D11" s="202">
        <v>5</v>
      </c>
      <c r="E11" s="50" t="s">
        <v>9</v>
      </c>
      <c r="F11" s="50"/>
      <c r="G11" s="50"/>
      <c r="H11" s="50"/>
      <c r="I11" s="201"/>
    </row>
    <row r="12" spans="2:17" x14ac:dyDescent="0.2">
      <c r="B12" s="200"/>
      <c r="C12" s="121" t="s">
        <v>277</v>
      </c>
      <c r="D12" s="202">
        <v>4</v>
      </c>
      <c r="E12" s="50" t="s">
        <v>9</v>
      </c>
      <c r="F12" s="50"/>
      <c r="G12" s="50"/>
      <c r="H12" s="50"/>
      <c r="I12" s="201"/>
    </row>
    <row r="13" spans="2:17" x14ac:dyDescent="0.2">
      <c r="B13" s="200"/>
      <c r="C13" s="121" t="s">
        <v>431</v>
      </c>
      <c r="D13" s="203">
        <f>D11+D12</f>
        <v>9</v>
      </c>
      <c r="E13" s="50" t="s">
        <v>9</v>
      </c>
      <c r="F13" s="50"/>
      <c r="G13" s="50"/>
      <c r="H13" s="50"/>
      <c r="I13" s="201"/>
    </row>
    <row r="14" spans="2:17" ht="3" customHeight="1" x14ac:dyDescent="0.2">
      <c r="B14" s="200"/>
      <c r="C14" s="121"/>
      <c r="D14" s="187"/>
      <c r="E14" s="50"/>
      <c r="F14" s="50"/>
      <c r="G14" s="50"/>
      <c r="H14" s="50"/>
      <c r="I14" s="201"/>
    </row>
    <row r="15" spans="2:17" ht="15" x14ac:dyDescent="0.25">
      <c r="B15" s="200"/>
      <c r="C15" s="824" t="s">
        <v>293</v>
      </c>
      <c r="D15" s="824"/>
      <c r="E15" s="824"/>
      <c r="F15" s="824"/>
      <c r="G15" s="824"/>
      <c r="H15" s="824"/>
      <c r="I15" s="201"/>
      <c r="L15" s="225"/>
      <c r="M15" s="225"/>
      <c r="N15" s="225"/>
      <c r="O15" s="225"/>
      <c r="P15" s="225"/>
      <c r="Q15" s="225"/>
    </row>
    <row r="16" spans="2:17" ht="3" customHeight="1" x14ac:dyDescent="0.2">
      <c r="B16" s="200"/>
      <c r="C16" s="50"/>
      <c r="D16" s="187"/>
      <c r="E16" s="50"/>
      <c r="F16" s="50"/>
      <c r="G16" s="50"/>
      <c r="H16" s="50"/>
      <c r="I16" s="201"/>
      <c r="L16" s="225"/>
      <c r="M16" s="225"/>
      <c r="N16" s="225"/>
      <c r="O16" s="225"/>
      <c r="P16" s="225"/>
      <c r="Q16" s="225"/>
    </row>
    <row r="17" spans="2:31" x14ac:dyDescent="0.2">
      <c r="B17" s="200"/>
      <c r="C17" s="121" t="s">
        <v>434</v>
      </c>
      <c r="D17" s="204">
        <v>120</v>
      </c>
      <c r="E17" s="50" t="s">
        <v>279</v>
      </c>
      <c r="F17" s="50"/>
      <c r="G17" s="50"/>
      <c r="H17" s="50"/>
      <c r="I17" s="201"/>
      <c r="L17" s="121"/>
      <c r="M17" s="121"/>
      <c r="N17" s="230"/>
      <c r="O17" s="225"/>
      <c r="P17" s="225"/>
      <c r="Q17" s="225"/>
      <c r="R17" s="823"/>
      <c r="S17" s="235"/>
      <c r="T17" s="230"/>
      <c r="V17" s="121"/>
      <c r="W17" s="225"/>
      <c r="X17" s="225"/>
    </row>
    <row r="18" spans="2:31" ht="15" customHeight="1" x14ac:dyDescent="0.2">
      <c r="B18" s="200"/>
      <c r="C18" s="121" t="s">
        <v>438</v>
      </c>
      <c r="D18" s="204">
        <v>50</v>
      </c>
      <c r="E18" s="50" t="s">
        <v>9</v>
      </c>
      <c r="F18" s="50"/>
      <c r="G18" s="50"/>
      <c r="H18" s="50"/>
      <c r="I18" s="201"/>
      <c r="L18" s="121"/>
      <c r="M18" s="121"/>
      <c r="N18" s="230"/>
      <c r="O18" s="236"/>
      <c r="P18" s="230"/>
      <c r="Q18" s="225"/>
      <c r="R18" s="823"/>
      <c r="S18" s="203"/>
      <c r="T18" s="230"/>
    </row>
    <row r="19" spans="2:31" x14ac:dyDescent="0.2">
      <c r="B19" s="200"/>
      <c r="C19" s="121" t="s">
        <v>439</v>
      </c>
      <c r="D19" s="204">
        <v>40</v>
      </c>
      <c r="E19" s="50" t="s">
        <v>281</v>
      </c>
      <c r="F19" s="236">
        <f>D19/60</f>
        <v>0.66666666666666663</v>
      </c>
      <c r="G19" s="230" t="s">
        <v>394</v>
      </c>
      <c r="H19" s="50"/>
      <c r="I19" s="201"/>
      <c r="L19" s="121"/>
      <c r="M19" s="121"/>
      <c r="N19" s="230"/>
      <c r="O19" s="225"/>
      <c r="P19" s="225"/>
      <c r="Q19" s="225"/>
    </row>
    <row r="20" spans="2:31" ht="15" customHeight="1" x14ac:dyDescent="0.25">
      <c r="B20" s="200"/>
      <c r="C20" s="121" t="s">
        <v>440</v>
      </c>
      <c r="D20" s="204">
        <v>10</v>
      </c>
      <c r="E20" s="50" t="s">
        <v>446</v>
      </c>
      <c r="F20" s="50"/>
      <c r="G20" s="50"/>
      <c r="H20" s="50"/>
      <c r="I20" s="201"/>
      <c r="L20" s="121"/>
      <c r="M20" s="121"/>
      <c r="N20" s="230"/>
      <c r="O20" s="225"/>
      <c r="P20" s="225"/>
      <c r="Q20" s="225"/>
    </row>
    <row r="21" spans="2:31" x14ac:dyDescent="0.2">
      <c r="B21" s="200"/>
      <c r="C21" s="121" t="s">
        <v>464</v>
      </c>
      <c r="D21" s="204">
        <v>50</v>
      </c>
      <c r="E21" s="50" t="s">
        <v>292</v>
      </c>
      <c r="F21" s="50"/>
      <c r="G21" s="50"/>
      <c r="H21" s="50"/>
      <c r="I21" s="201"/>
      <c r="L21" s="121"/>
      <c r="M21" s="236"/>
      <c r="N21" s="230"/>
      <c r="O21" s="225"/>
      <c r="P21" s="225"/>
      <c r="Q21" s="225"/>
    </row>
    <row r="22" spans="2:31" ht="4.5" customHeight="1" x14ac:dyDescent="0.2">
      <c r="B22" s="200"/>
      <c r="C22" s="121"/>
      <c r="D22" s="187"/>
      <c r="E22" s="50"/>
      <c r="F22" s="50"/>
      <c r="G22" s="50"/>
      <c r="H22" s="50"/>
      <c r="I22" s="201"/>
      <c r="L22" s="225"/>
      <c r="M22" s="225"/>
      <c r="N22" s="225"/>
      <c r="O22" s="225"/>
      <c r="P22" s="225"/>
      <c r="Q22" s="225"/>
    </row>
    <row r="23" spans="2:31" ht="13.5" customHeight="1" x14ac:dyDescent="0.2">
      <c r="B23" s="200"/>
      <c r="C23" s="121" t="s">
        <v>286</v>
      </c>
      <c r="D23" s="213">
        <v>152</v>
      </c>
      <c r="E23" s="50" t="s">
        <v>9</v>
      </c>
      <c r="F23" s="50"/>
      <c r="G23" s="50"/>
      <c r="H23" s="50"/>
      <c r="I23" s="201"/>
      <c r="L23" s="121"/>
      <c r="M23" s="225"/>
      <c r="N23" s="225"/>
      <c r="O23" s="121"/>
      <c r="P23" s="230"/>
      <c r="Q23" s="225"/>
    </row>
    <row r="24" spans="2:31" ht="3.75" customHeight="1" x14ac:dyDescent="0.2">
      <c r="B24" s="200"/>
      <c r="C24" s="121"/>
      <c r="D24" s="187"/>
      <c r="E24" s="50"/>
      <c r="F24" s="50"/>
      <c r="G24" s="50"/>
      <c r="H24" s="50"/>
      <c r="I24" s="201"/>
    </row>
    <row r="25" spans="2:31" x14ac:dyDescent="0.2">
      <c r="B25" s="200"/>
      <c r="C25" s="205" t="s">
        <v>282</v>
      </c>
      <c r="D25" s="205"/>
      <c r="E25" s="205"/>
      <c r="F25" s="205"/>
      <c r="G25" s="205"/>
      <c r="H25" s="205"/>
      <c r="I25" s="201"/>
    </row>
    <row r="26" spans="2:31" ht="5.25" customHeight="1" x14ac:dyDescent="0.2">
      <c r="B26" s="200"/>
      <c r="C26" s="121"/>
      <c r="D26" s="187"/>
      <c r="E26" s="50"/>
      <c r="F26" s="50"/>
      <c r="G26" s="50"/>
      <c r="H26" s="50"/>
      <c r="I26" s="201"/>
    </row>
    <row r="27" spans="2:31" ht="15.75" thickBot="1" x14ac:dyDescent="0.3">
      <c r="B27" s="200"/>
      <c r="C27" s="121" t="s">
        <v>283</v>
      </c>
      <c r="D27" s="206">
        <f>(D17/60)^-1</f>
        <v>0.5</v>
      </c>
      <c r="E27" s="188" t="s">
        <v>292</v>
      </c>
      <c r="F27" s="188" t="s">
        <v>432</v>
      </c>
      <c r="G27" s="188" t="s">
        <v>433</v>
      </c>
      <c r="H27" s="238"/>
      <c r="I27" s="201"/>
      <c r="L27" s="234"/>
      <c r="M27" s="225"/>
      <c r="N27" s="225"/>
      <c r="O27" s="225"/>
      <c r="P27" s="225"/>
      <c r="Q27" s="225"/>
      <c r="R27" s="225"/>
      <c r="S27" s="225"/>
      <c r="T27" s="225"/>
      <c r="U27" s="225"/>
      <c r="V27" s="225"/>
      <c r="W27" s="225"/>
      <c r="X27" s="42"/>
      <c r="Z27" s="42"/>
      <c r="AB27" s="42"/>
      <c r="AD27" s="42"/>
    </row>
    <row r="28" spans="2:31" ht="16.5" thickTop="1" thickBot="1" x14ac:dyDescent="0.3">
      <c r="B28" s="200"/>
      <c r="C28" s="220" t="s">
        <v>285</v>
      </c>
      <c r="D28" s="206">
        <f>D27-D29</f>
        <v>0.41000000000000003</v>
      </c>
      <c r="E28" s="189">
        <f>D28/D27</f>
        <v>0.82000000000000006</v>
      </c>
      <c r="F28" s="190">
        <f>E28*360</f>
        <v>295.20000000000005</v>
      </c>
      <c r="G28" s="191">
        <f>E28*$D$18</f>
        <v>41</v>
      </c>
      <c r="H28" s="239"/>
      <c r="I28" s="201"/>
      <c r="L28" s="234"/>
      <c r="M28" s="233"/>
      <c r="N28" s="233"/>
      <c r="O28" s="233"/>
      <c r="P28" s="233"/>
      <c r="Q28" s="233"/>
      <c r="R28" s="233"/>
      <c r="S28" s="233"/>
      <c r="T28" s="233"/>
      <c r="U28" s="233"/>
      <c r="V28" s="233"/>
      <c r="W28" s="233"/>
      <c r="X28" s="228"/>
      <c r="Y28" s="228"/>
      <c r="Z28" s="228"/>
      <c r="AA28" s="228"/>
      <c r="AB28" s="228"/>
      <c r="AC28" s="228"/>
      <c r="AD28" s="228"/>
      <c r="AE28" s="228"/>
    </row>
    <row r="29" spans="2:31" ht="16.5" thickTop="1" thickBot="1" x14ac:dyDescent="0.3">
      <c r="B29" s="200"/>
      <c r="C29" s="219" t="s">
        <v>284</v>
      </c>
      <c r="D29" s="224">
        <f>D13/D18*D27</f>
        <v>0.09</v>
      </c>
      <c r="E29" s="192">
        <f>D29/D27</f>
        <v>0.18</v>
      </c>
      <c r="F29" s="193">
        <f>E29*360</f>
        <v>64.8</v>
      </c>
      <c r="G29" s="194">
        <f>E29*$D$18</f>
        <v>9</v>
      </c>
      <c r="H29" s="239"/>
      <c r="I29" s="201"/>
      <c r="L29" s="121"/>
      <c r="M29" s="203"/>
      <c r="N29" s="203"/>
      <c r="O29" s="203"/>
      <c r="P29" s="203"/>
      <c r="Q29" s="203"/>
      <c r="R29" s="203"/>
      <c r="S29" s="203"/>
      <c r="T29" s="203"/>
      <c r="U29" s="203"/>
      <c r="V29" s="203"/>
      <c r="W29" s="203"/>
    </row>
    <row r="30" spans="2:31" ht="6" customHeight="1" thickTop="1" x14ac:dyDescent="0.2">
      <c r="B30" s="200"/>
      <c r="C30" s="121"/>
      <c r="D30" s="172"/>
      <c r="E30" s="50"/>
      <c r="F30" s="50"/>
      <c r="G30" s="50"/>
      <c r="H30" s="50"/>
      <c r="I30" s="201"/>
    </row>
    <row r="31" spans="2:31" x14ac:dyDescent="0.2">
      <c r="B31" s="200"/>
      <c r="C31" s="823" t="s">
        <v>441</v>
      </c>
      <c r="D31" s="218">
        <f>180+(F29/2)</f>
        <v>212.4</v>
      </c>
      <c r="E31" s="50" t="s">
        <v>442</v>
      </c>
      <c r="F31" s="50"/>
      <c r="G31" s="50"/>
      <c r="H31" s="50"/>
      <c r="I31" s="201"/>
    </row>
    <row r="32" spans="2:31" x14ac:dyDescent="0.2">
      <c r="B32" s="200"/>
      <c r="C32" s="823"/>
      <c r="D32" s="218">
        <f>180-(F29/2)</f>
        <v>147.6</v>
      </c>
      <c r="E32" s="50" t="s">
        <v>443</v>
      </c>
      <c r="F32" s="50"/>
      <c r="G32" s="50"/>
      <c r="H32" s="50"/>
      <c r="I32" s="201"/>
      <c r="L32" s="226"/>
      <c r="M32" s="203"/>
      <c r="N32" s="230"/>
      <c r="O32" s="235"/>
      <c r="P32" s="230"/>
      <c r="Q32" s="172"/>
      <c r="R32" s="230"/>
    </row>
    <row r="33" spans="2:21" x14ac:dyDescent="0.2">
      <c r="B33" s="200"/>
      <c r="C33" s="121"/>
      <c r="D33" s="172"/>
      <c r="E33" s="50"/>
      <c r="F33" s="50"/>
      <c r="G33" s="50">
        <f>D17</f>
        <v>120</v>
      </c>
      <c r="H33" s="50" t="s">
        <v>279</v>
      </c>
      <c r="I33" s="201"/>
      <c r="L33" s="226"/>
      <c r="M33" s="203"/>
      <c r="N33" s="230"/>
      <c r="O33" s="235"/>
      <c r="P33" s="230"/>
      <c r="Q33" s="172"/>
      <c r="R33" s="230"/>
    </row>
    <row r="34" spans="2:21" x14ac:dyDescent="0.2">
      <c r="B34" s="200"/>
      <c r="C34" s="121"/>
      <c r="D34" s="172"/>
      <c r="E34" s="50"/>
      <c r="F34" s="50"/>
      <c r="G34" s="50"/>
      <c r="H34" s="50"/>
      <c r="I34" s="201"/>
      <c r="L34" s="226"/>
      <c r="M34" s="171"/>
      <c r="N34" s="230"/>
      <c r="O34" s="235"/>
      <c r="P34" s="230"/>
      <c r="Q34" s="172"/>
      <c r="R34" s="230"/>
    </row>
    <row r="35" spans="2:21" ht="15" x14ac:dyDescent="0.25">
      <c r="B35" s="200"/>
      <c r="C35" s="121"/>
      <c r="D35" s="172"/>
      <c r="E35" s="50"/>
      <c r="F35" s="50"/>
      <c r="G35" s="50"/>
      <c r="H35" s="50"/>
      <c r="I35" s="201"/>
      <c r="U35" s="232"/>
    </row>
    <row r="36" spans="2:21" ht="15" x14ac:dyDescent="0.25">
      <c r="B36" s="200"/>
      <c r="C36" s="121"/>
      <c r="D36" s="172"/>
      <c r="E36" s="50"/>
      <c r="F36" s="50"/>
      <c r="G36" s="50"/>
      <c r="H36" s="50"/>
      <c r="I36" s="201"/>
      <c r="S36" s="231"/>
    </row>
    <row r="37" spans="2:21" ht="15" x14ac:dyDescent="0.25">
      <c r="B37" s="200"/>
      <c r="E37" s="221">
        <f>F28/2</f>
        <v>147.60000000000002</v>
      </c>
      <c r="F37" s="222">
        <f>F29</f>
        <v>64.8</v>
      </c>
      <c r="G37" s="223">
        <f>F28/2</f>
        <v>147.60000000000002</v>
      </c>
      <c r="H37" s="50"/>
      <c r="I37" s="201"/>
      <c r="S37" s="231"/>
      <c r="T37" s="42"/>
    </row>
    <row r="38" spans="2:21" ht="15" x14ac:dyDescent="0.25">
      <c r="B38" s="200"/>
      <c r="E38" s="50"/>
      <c r="F38" s="50"/>
      <c r="G38" s="50">
        <f>D19</f>
        <v>40</v>
      </c>
      <c r="H38" s="50" t="s">
        <v>281</v>
      </c>
      <c r="I38" s="201"/>
      <c r="S38" s="231"/>
      <c r="T38" s="42"/>
    </row>
    <row r="39" spans="2:21" ht="15" customHeight="1" x14ac:dyDescent="0.25">
      <c r="B39" s="200"/>
      <c r="F39" s="50"/>
      <c r="G39" s="21">
        <f>D20</f>
        <v>10</v>
      </c>
      <c r="H39" s="21" t="s">
        <v>467</v>
      </c>
      <c r="I39" s="201"/>
      <c r="S39" s="231"/>
      <c r="T39" s="42"/>
    </row>
    <row r="40" spans="2:21" ht="15" x14ac:dyDescent="0.25">
      <c r="B40" s="200"/>
      <c r="C40" s="121" t="s">
        <v>447</v>
      </c>
      <c r="D40" s="235">
        <f>(F19^2-0^2)/(2*D20)</f>
        <v>2.222222222222222E-2</v>
      </c>
      <c r="E40" s="50" t="s">
        <v>391</v>
      </c>
      <c r="I40" s="201"/>
      <c r="S40" s="231"/>
      <c r="T40" s="42"/>
    </row>
    <row r="41" spans="2:21" ht="15" x14ac:dyDescent="0.25">
      <c r="B41" s="200"/>
      <c r="C41" s="121" t="s">
        <v>448</v>
      </c>
      <c r="D41" s="172">
        <f>SQRT(D40/(0.5*D20))</f>
        <v>6.6666666666666666E-2</v>
      </c>
      <c r="E41" s="50" t="s">
        <v>187</v>
      </c>
      <c r="I41" s="201"/>
      <c r="S41" s="231"/>
      <c r="T41" s="42"/>
    </row>
    <row r="42" spans="2:21" ht="15" x14ac:dyDescent="0.25">
      <c r="B42" s="200"/>
      <c r="C42" s="121" t="s">
        <v>449</v>
      </c>
      <c r="D42" s="235">
        <f>D23/1000-2*D40</f>
        <v>0.10755555555555556</v>
      </c>
      <c r="E42" s="50" t="s">
        <v>391</v>
      </c>
      <c r="I42" s="201"/>
      <c r="S42" s="231"/>
      <c r="T42" s="42"/>
    </row>
    <row r="43" spans="2:21" ht="15" x14ac:dyDescent="0.25">
      <c r="B43" s="200"/>
      <c r="C43" s="121" t="s">
        <v>450</v>
      </c>
      <c r="D43" s="172">
        <f>(D19/D42)^(-1)*60</f>
        <v>0.16133333333333336</v>
      </c>
      <c r="E43" s="50" t="s">
        <v>187</v>
      </c>
      <c r="I43" s="201"/>
      <c r="S43" s="231"/>
      <c r="T43" s="42"/>
    </row>
    <row r="44" spans="2:21" ht="15" x14ac:dyDescent="0.25">
      <c r="B44" s="200"/>
      <c r="C44" s="121"/>
      <c r="D44" s="172"/>
      <c r="E44" s="50"/>
      <c r="I44" s="201"/>
      <c r="S44" s="231"/>
      <c r="T44" s="42"/>
    </row>
    <row r="45" spans="2:21" ht="15" x14ac:dyDescent="0.25">
      <c r="B45" s="200"/>
      <c r="C45" s="121" t="s">
        <v>466</v>
      </c>
      <c r="D45" s="172">
        <f>D41*2+D43</f>
        <v>0.29466666666666669</v>
      </c>
      <c r="E45" s="50" t="s">
        <v>187</v>
      </c>
      <c r="F45" s="50"/>
      <c r="G45" s="50"/>
      <c r="H45" s="50"/>
      <c r="I45" s="201"/>
      <c r="S45" s="231"/>
      <c r="T45" s="42"/>
    </row>
    <row r="46" spans="2:21" ht="15" x14ac:dyDescent="0.25">
      <c r="B46" s="200"/>
      <c r="C46" s="121" t="s">
        <v>463</v>
      </c>
      <c r="D46" s="250">
        <v>0.16</v>
      </c>
      <c r="E46" s="249" t="s">
        <v>187</v>
      </c>
      <c r="F46" s="254" t="s">
        <v>461</v>
      </c>
      <c r="G46" s="50"/>
      <c r="H46" s="50"/>
      <c r="I46" s="201"/>
      <c r="K46" s="248" t="s">
        <v>461</v>
      </c>
      <c r="L46" s="247" t="s">
        <v>462</v>
      </c>
      <c r="S46" s="231"/>
      <c r="T46" s="42"/>
    </row>
    <row r="47" spans="2:21" ht="15" x14ac:dyDescent="0.25">
      <c r="B47" s="200"/>
      <c r="C47" s="121" t="s">
        <v>465</v>
      </c>
      <c r="D47" s="172">
        <f>IF(F46=K46,D45+D46,D45)</f>
        <v>0.45466666666666666</v>
      </c>
      <c r="E47" s="50" t="s">
        <v>187</v>
      </c>
      <c r="F47" s="50"/>
      <c r="G47" s="50"/>
      <c r="H47" s="50"/>
      <c r="I47" s="201"/>
      <c r="K47" s="248"/>
      <c r="L47" s="247"/>
      <c r="S47" s="231"/>
      <c r="T47" s="42"/>
    </row>
    <row r="48" spans="2:21" ht="15" x14ac:dyDescent="0.25">
      <c r="B48" s="200"/>
      <c r="C48" s="121" t="s">
        <v>451</v>
      </c>
      <c r="D48" s="203">
        <f>IF(F46=K46,(D23/1000)/((D45+D46)/60),(D23/1000)/(D45/60))</f>
        <v>20.058651026392962</v>
      </c>
      <c r="E48" s="50" t="s">
        <v>281</v>
      </c>
      <c r="F48" s="50"/>
      <c r="G48" s="50"/>
      <c r="H48" s="50"/>
      <c r="I48" s="201"/>
      <c r="S48" s="231"/>
      <c r="T48" s="42"/>
    </row>
    <row r="49" spans="2:20" ht="15" x14ac:dyDescent="0.25">
      <c r="B49" s="200"/>
      <c r="C49" s="121" t="s">
        <v>457</v>
      </c>
      <c r="D49" s="246">
        <f>D48/D19</f>
        <v>0.50146627565982405</v>
      </c>
      <c r="E49" s="50"/>
      <c r="F49" s="50"/>
      <c r="G49" s="50"/>
      <c r="H49" s="50"/>
      <c r="I49" s="201"/>
      <c r="S49" s="231"/>
      <c r="T49" s="42"/>
    </row>
    <row r="50" spans="2:20" ht="15" x14ac:dyDescent="0.25">
      <c r="B50" s="200"/>
      <c r="C50" s="121"/>
      <c r="D50" s="172"/>
      <c r="E50" s="50"/>
      <c r="F50" s="188" t="s">
        <v>456</v>
      </c>
      <c r="G50" s="188" t="s">
        <v>444</v>
      </c>
      <c r="H50" s="188" t="s">
        <v>445</v>
      </c>
      <c r="I50" s="201"/>
      <c r="S50" s="231"/>
      <c r="T50" s="42"/>
    </row>
    <row r="51" spans="2:20" ht="18" x14ac:dyDescent="0.35">
      <c r="B51" s="200"/>
      <c r="C51" s="121"/>
      <c r="D51" s="172"/>
      <c r="E51" s="237" t="s">
        <v>452</v>
      </c>
      <c r="F51" s="243">
        <v>0</v>
      </c>
      <c r="G51" s="243">
        <v>0</v>
      </c>
      <c r="H51" s="243">
        <v>0</v>
      </c>
      <c r="I51" s="201"/>
      <c r="S51" s="231"/>
      <c r="T51" s="42"/>
    </row>
    <row r="52" spans="2:20" ht="18" x14ac:dyDescent="0.35">
      <c r="B52" s="200"/>
      <c r="C52" s="121"/>
      <c r="D52" s="172"/>
      <c r="E52" s="237" t="s">
        <v>453</v>
      </c>
      <c r="F52" s="244">
        <f>D40*1000</f>
        <v>22.222222222222218</v>
      </c>
      <c r="G52" s="240">
        <f>D41</f>
        <v>6.6666666666666666E-2</v>
      </c>
      <c r="H52" s="241">
        <f>D19</f>
        <v>40</v>
      </c>
      <c r="I52" s="201"/>
      <c r="S52" s="231"/>
      <c r="T52" s="42"/>
    </row>
    <row r="53" spans="2:20" ht="18" x14ac:dyDescent="0.35">
      <c r="B53" s="200"/>
      <c r="C53" s="121"/>
      <c r="D53" s="172"/>
      <c r="E53" s="237" t="s">
        <v>454</v>
      </c>
      <c r="F53" s="245">
        <f>(D40+D42)*1000</f>
        <v>129.77777777777777</v>
      </c>
      <c r="G53" s="242">
        <f>G52+D43</f>
        <v>0.22800000000000004</v>
      </c>
      <c r="H53" s="243">
        <f>D19</f>
        <v>40</v>
      </c>
      <c r="I53" s="201"/>
      <c r="S53" s="231"/>
      <c r="T53" s="42"/>
    </row>
    <row r="54" spans="2:20" ht="18" x14ac:dyDescent="0.35">
      <c r="B54" s="200"/>
      <c r="C54" s="121"/>
      <c r="D54" s="172"/>
      <c r="E54" s="237" t="s">
        <v>455</v>
      </c>
      <c r="F54" s="244">
        <f>(D40+D42+D40)*1000</f>
        <v>152</v>
      </c>
      <c r="G54" s="240">
        <f>G53+D41</f>
        <v>0.29466666666666669</v>
      </c>
      <c r="H54" s="241">
        <v>0</v>
      </c>
      <c r="I54" s="201"/>
      <c r="S54" s="231"/>
      <c r="T54" s="42"/>
    </row>
    <row r="55" spans="2:20" ht="15" x14ac:dyDescent="0.25">
      <c r="B55" s="200"/>
      <c r="C55" s="121"/>
      <c r="D55" s="172"/>
      <c r="I55" s="201"/>
      <c r="S55" s="231"/>
      <c r="T55" s="42"/>
    </row>
    <row r="56" spans="2:20" ht="15" x14ac:dyDescent="0.25">
      <c r="B56" s="200"/>
      <c r="C56" s="121"/>
      <c r="D56" s="172"/>
      <c r="E56" s="50"/>
      <c r="F56" s="50"/>
      <c r="G56" s="50"/>
      <c r="H56" s="50"/>
      <c r="I56" s="201"/>
      <c r="S56" s="231"/>
      <c r="T56" s="42"/>
    </row>
    <row r="57" spans="2:20" ht="15" x14ac:dyDescent="0.25">
      <c r="B57" s="200"/>
      <c r="C57" s="121" t="s">
        <v>287</v>
      </c>
      <c r="D57" s="172">
        <f>IF(F57=K57,D23/((D19*(D21/100)/60)*1000),D47)</f>
        <v>0.45466666666666666</v>
      </c>
      <c r="E57" s="50" t="s">
        <v>187</v>
      </c>
      <c r="F57" s="249" t="s">
        <v>460</v>
      </c>
      <c r="G57" s="50"/>
      <c r="H57" s="50"/>
      <c r="I57" s="201"/>
      <c r="K57" s="247" t="s">
        <v>459</v>
      </c>
      <c r="L57" s="247" t="s">
        <v>460</v>
      </c>
      <c r="S57" s="231"/>
      <c r="T57" s="42"/>
    </row>
    <row r="58" spans="2:20" ht="15" customHeight="1" x14ac:dyDescent="0.2">
      <c r="B58" s="200"/>
      <c r="C58" s="121" t="s">
        <v>284</v>
      </c>
      <c r="D58" s="172">
        <f>D29</f>
        <v>0.09</v>
      </c>
      <c r="E58" s="50" t="s">
        <v>187</v>
      </c>
      <c r="F58" s="50"/>
      <c r="G58" s="50"/>
      <c r="H58" s="50"/>
      <c r="I58" s="201"/>
    </row>
    <row r="59" spans="2:20" ht="15" x14ac:dyDescent="0.25">
      <c r="B59" s="200"/>
      <c r="C59" s="121" t="s">
        <v>458</v>
      </c>
      <c r="D59" s="172">
        <f>D57+D58</f>
        <v>0.54466666666666663</v>
      </c>
      <c r="E59" s="50" t="s">
        <v>187</v>
      </c>
      <c r="F59" s="50"/>
      <c r="G59" s="50"/>
      <c r="H59" s="50"/>
      <c r="I59" s="201"/>
      <c r="S59" s="231"/>
      <c r="T59" s="229"/>
    </row>
    <row r="60" spans="2:20" ht="3.75" customHeight="1" x14ac:dyDescent="0.2">
      <c r="B60" s="200"/>
      <c r="C60" s="121"/>
      <c r="D60" s="172"/>
      <c r="E60" s="50"/>
      <c r="F60" s="50"/>
      <c r="G60" s="50"/>
      <c r="H60" s="50"/>
      <c r="I60" s="201"/>
    </row>
    <row r="61" spans="2:20" ht="15" customHeight="1" x14ac:dyDescent="0.2">
      <c r="B61" s="200"/>
      <c r="C61" s="214" t="s">
        <v>436</v>
      </c>
      <c r="D61" s="215">
        <f>(D59/60)^-1</f>
        <v>110.1591187270502</v>
      </c>
      <c r="E61" s="216" t="s">
        <v>279</v>
      </c>
      <c r="F61" s="50"/>
      <c r="G61" s="50"/>
      <c r="H61" s="50"/>
      <c r="I61" s="201"/>
    </row>
    <row r="62" spans="2:20" ht="15" customHeight="1" x14ac:dyDescent="0.2">
      <c r="B62" s="200"/>
      <c r="C62" s="217" t="s">
        <v>437</v>
      </c>
      <c r="D62" s="215">
        <f>IF(D57&gt;D28,D61,D17)</f>
        <v>110.1591187270502</v>
      </c>
      <c r="E62" s="216" t="s">
        <v>279</v>
      </c>
      <c r="F62" s="50"/>
      <c r="G62" s="50"/>
      <c r="H62" s="50"/>
      <c r="I62" s="201"/>
    </row>
    <row r="63" spans="2:20" ht="3" customHeight="1" x14ac:dyDescent="0.2">
      <c r="B63" s="200"/>
      <c r="C63" s="121"/>
      <c r="D63" s="171"/>
      <c r="E63" s="50"/>
      <c r="F63" s="50"/>
      <c r="G63" s="50"/>
      <c r="H63" s="50"/>
      <c r="I63" s="201"/>
    </row>
    <row r="64" spans="2:20" ht="15" x14ac:dyDescent="0.25">
      <c r="B64" s="200"/>
      <c r="C64" s="121" t="s">
        <v>296</v>
      </c>
      <c r="D64" s="195">
        <f>D62*D23/1000</f>
        <v>16.744186046511629</v>
      </c>
      <c r="E64" s="50" t="s">
        <v>281</v>
      </c>
      <c r="F64" s="50"/>
      <c r="G64" s="50"/>
      <c r="H64" s="50"/>
      <c r="I64" s="201"/>
    </row>
    <row r="65" spans="2:9" ht="5.25" customHeight="1" x14ac:dyDescent="0.2">
      <c r="B65" s="200"/>
      <c r="C65" s="50"/>
      <c r="D65" s="50"/>
      <c r="E65" s="50"/>
      <c r="F65" s="50"/>
      <c r="G65" s="50"/>
      <c r="H65" s="50"/>
      <c r="I65" s="201"/>
    </row>
    <row r="66" spans="2:9" ht="15" x14ac:dyDescent="0.2">
      <c r="B66" s="200"/>
      <c r="C66" s="825" t="s">
        <v>290</v>
      </c>
      <c r="D66" s="825"/>
      <c r="E66" s="825"/>
      <c r="F66" s="825"/>
      <c r="G66" s="825"/>
      <c r="H66" s="825"/>
      <c r="I66" s="201"/>
    </row>
    <row r="67" spans="2:9" ht="6" customHeight="1" x14ac:dyDescent="0.2">
      <c r="B67" s="200"/>
      <c r="C67" s="50"/>
      <c r="D67" s="50"/>
      <c r="E67" s="50"/>
      <c r="F67" s="50"/>
      <c r="G67" s="50"/>
      <c r="H67" s="50"/>
      <c r="I67" s="201"/>
    </row>
    <row r="68" spans="2:9" x14ac:dyDescent="0.2">
      <c r="B68" s="200"/>
      <c r="C68" s="121" t="s">
        <v>278</v>
      </c>
      <c r="D68" s="204">
        <v>100</v>
      </c>
      <c r="E68" s="50" t="s">
        <v>279</v>
      </c>
      <c r="F68" s="50"/>
      <c r="G68" s="50"/>
      <c r="H68" s="50"/>
      <c r="I68" s="201"/>
    </row>
    <row r="69" spans="2:9" x14ac:dyDescent="0.2">
      <c r="B69" s="200"/>
      <c r="C69" s="121" t="s">
        <v>280</v>
      </c>
      <c r="D69" s="204">
        <v>40</v>
      </c>
      <c r="E69" s="50" t="s">
        <v>281</v>
      </c>
      <c r="F69" s="50"/>
      <c r="G69" s="50"/>
      <c r="H69" s="50"/>
      <c r="I69" s="201"/>
    </row>
    <row r="70" spans="2:9" ht="4.5" customHeight="1" x14ac:dyDescent="0.2">
      <c r="B70" s="200"/>
      <c r="C70" s="50"/>
      <c r="D70" s="50"/>
      <c r="E70" s="50"/>
      <c r="F70" s="50"/>
      <c r="G70" s="50"/>
      <c r="H70" s="50"/>
      <c r="I70" s="201"/>
    </row>
    <row r="71" spans="2:9" x14ac:dyDescent="0.2">
      <c r="B71" s="200"/>
      <c r="C71" s="121" t="s">
        <v>291</v>
      </c>
      <c r="D71" s="204">
        <v>76</v>
      </c>
      <c r="E71" s="50" t="s">
        <v>9</v>
      </c>
      <c r="F71" s="50"/>
      <c r="G71" s="50"/>
      <c r="H71" s="50"/>
      <c r="I71" s="201"/>
    </row>
    <row r="72" spans="2:9" ht="4.5" customHeight="1" thickBot="1" x14ac:dyDescent="0.25">
      <c r="B72" s="200"/>
      <c r="C72" s="50"/>
      <c r="D72" s="50"/>
      <c r="E72" s="50"/>
      <c r="F72" s="50"/>
      <c r="G72" s="50"/>
      <c r="H72" s="50"/>
      <c r="I72" s="201"/>
    </row>
    <row r="73" spans="2:9" ht="42" customHeight="1" thickBot="1" x14ac:dyDescent="0.25">
      <c r="B73" s="200"/>
      <c r="C73" s="119" t="s">
        <v>294</v>
      </c>
      <c r="D73" s="120" t="s">
        <v>288</v>
      </c>
      <c r="E73" s="120" t="s">
        <v>295</v>
      </c>
      <c r="F73" s="120" t="s">
        <v>299</v>
      </c>
      <c r="G73" s="120" t="s">
        <v>468</v>
      </c>
      <c r="H73" s="120" t="s">
        <v>289</v>
      </c>
      <c r="I73" s="201"/>
    </row>
    <row r="74" spans="2:9" ht="15.75" thickBot="1" x14ac:dyDescent="0.3">
      <c r="B74" s="200"/>
      <c r="C74" s="251">
        <v>1</v>
      </c>
      <c r="D74" s="251">
        <v>152</v>
      </c>
      <c r="E74" s="252">
        <v>1</v>
      </c>
      <c r="F74" s="4">
        <f>D74*E74</f>
        <v>152</v>
      </c>
      <c r="G74" s="4">
        <v>50</v>
      </c>
      <c r="H74" s="253">
        <f>((($D$69*(G74/100))^-1*(D74/1000))+($D$68^-1))*E74</f>
        <v>1.7600000000000001E-2</v>
      </c>
      <c r="I74" s="201"/>
    </row>
    <row r="75" spans="2:9" ht="15.75" thickBot="1" x14ac:dyDescent="0.3">
      <c r="B75" s="200"/>
      <c r="C75" s="251"/>
      <c r="D75" s="251"/>
      <c r="E75" s="252"/>
      <c r="F75" s="4"/>
      <c r="G75" s="4"/>
      <c r="H75" s="253"/>
      <c r="I75" s="201"/>
    </row>
    <row r="76" spans="2:9" ht="15" x14ac:dyDescent="0.25">
      <c r="B76" s="200"/>
      <c r="C76" s="122"/>
      <c r="D76" s="122"/>
      <c r="E76" s="123"/>
      <c r="F76" s="187"/>
      <c r="G76" s="124"/>
      <c r="H76" s="50"/>
      <c r="I76" s="201"/>
    </row>
    <row r="77" spans="2:9" ht="15" x14ac:dyDescent="0.25">
      <c r="B77" s="200"/>
      <c r="C77" s="125" t="s">
        <v>298</v>
      </c>
      <c r="D77" s="122">
        <f>SUM(F74:F76)</f>
        <v>152</v>
      </c>
      <c r="E77" s="126" t="s">
        <v>300</v>
      </c>
      <c r="F77" s="123"/>
      <c r="G77" s="124"/>
      <c r="H77" s="50"/>
      <c r="I77" s="201"/>
    </row>
    <row r="78" spans="2:9" ht="3.75" customHeight="1" x14ac:dyDescent="0.25">
      <c r="B78" s="200"/>
      <c r="C78" s="125"/>
      <c r="D78" s="122"/>
      <c r="E78" s="126"/>
      <c r="F78" s="123"/>
      <c r="G78" s="124"/>
      <c r="H78" s="50"/>
      <c r="I78" s="201"/>
    </row>
    <row r="79" spans="2:9" ht="15" x14ac:dyDescent="0.25">
      <c r="B79" s="200"/>
      <c r="C79" s="121" t="s">
        <v>296</v>
      </c>
      <c r="D79" s="195">
        <f>(SUM(H74:H76)^-1)*($D$77/1000)</f>
        <v>8.6363636363636349</v>
      </c>
      <c r="E79" s="50" t="s">
        <v>297</v>
      </c>
      <c r="F79" s="50"/>
      <c r="G79" s="50"/>
      <c r="H79" s="50"/>
      <c r="I79" s="201"/>
    </row>
    <row r="80" spans="2:9" ht="6.75" customHeight="1" x14ac:dyDescent="0.2">
      <c r="B80" s="200"/>
      <c r="C80" s="50"/>
      <c r="D80" s="50"/>
      <c r="E80" s="50"/>
      <c r="F80" s="50"/>
      <c r="G80" s="50"/>
      <c r="H80" s="50"/>
      <c r="I80" s="201"/>
    </row>
    <row r="81" spans="2:9" ht="15" x14ac:dyDescent="0.25">
      <c r="B81" s="207"/>
      <c r="C81" s="826" t="s">
        <v>302</v>
      </c>
      <c r="D81" s="826"/>
      <c r="E81" s="826"/>
      <c r="F81" s="826"/>
      <c r="G81" s="826"/>
      <c r="H81" s="826"/>
      <c r="I81" s="201"/>
    </row>
    <row r="82" spans="2:9" ht="3" customHeight="1" x14ac:dyDescent="0.2">
      <c r="B82" s="200"/>
      <c r="C82" s="50"/>
      <c r="D82" s="50"/>
      <c r="E82" s="50"/>
      <c r="F82" s="50"/>
      <c r="G82" s="50"/>
      <c r="H82" s="50"/>
      <c r="I82" s="201"/>
    </row>
    <row r="83" spans="2:9" x14ac:dyDescent="0.2">
      <c r="B83" s="200"/>
      <c r="C83" s="121" t="s">
        <v>305</v>
      </c>
      <c r="D83" s="208">
        <v>20000</v>
      </c>
      <c r="E83" s="50" t="s">
        <v>304</v>
      </c>
      <c r="F83" s="50"/>
      <c r="G83" s="50"/>
      <c r="H83" s="50"/>
      <c r="I83" s="201"/>
    </row>
    <row r="84" spans="2:9" x14ac:dyDescent="0.2">
      <c r="B84" s="200"/>
      <c r="C84" s="121" t="s">
        <v>303</v>
      </c>
      <c r="D84" s="204">
        <v>10</v>
      </c>
      <c r="E84" s="50" t="s">
        <v>304</v>
      </c>
      <c r="F84" s="50"/>
      <c r="G84" s="50"/>
      <c r="H84" s="50"/>
      <c r="I84" s="201"/>
    </row>
    <row r="85" spans="2:9" x14ac:dyDescent="0.2">
      <c r="B85" s="200"/>
      <c r="C85" s="121" t="s">
        <v>306</v>
      </c>
      <c r="D85" s="187">
        <v>400</v>
      </c>
      <c r="E85" s="50" t="s">
        <v>9</v>
      </c>
      <c r="F85" s="50"/>
      <c r="G85" s="50"/>
      <c r="H85" s="50"/>
      <c r="I85" s="201"/>
    </row>
    <row r="86" spans="2:9" ht="15" x14ac:dyDescent="0.25">
      <c r="B86" s="200"/>
      <c r="C86" s="121" t="s">
        <v>307</v>
      </c>
      <c r="D86" s="195">
        <f>10/D83*D85</f>
        <v>0.2</v>
      </c>
      <c r="E86" s="50" t="s">
        <v>9</v>
      </c>
      <c r="F86" s="50"/>
      <c r="G86" s="50"/>
      <c r="H86" s="50"/>
      <c r="I86" s="201"/>
    </row>
    <row r="87" spans="2:9" ht="13.5" thickBot="1" x14ac:dyDescent="0.25">
      <c r="B87" s="209"/>
      <c r="C87" s="210"/>
      <c r="D87" s="211"/>
      <c r="E87" s="211"/>
      <c r="F87" s="211"/>
      <c r="G87" s="211"/>
      <c r="H87" s="211"/>
      <c r="I87" s="212"/>
    </row>
    <row r="88" spans="2:9" ht="13.5" thickTop="1" x14ac:dyDescent="0.2"/>
    <row r="89" spans="2:9" x14ac:dyDescent="0.2">
      <c r="C89" s="2" t="s">
        <v>435</v>
      </c>
    </row>
    <row r="90" spans="2:9" x14ac:dyDescent="0.2">
      <c r="C90" s="196">
        <v>41957</v>
      </c>
    </row>
  </sheetData>
  <mergeCells count="7">
    <mergeCell ref="R17:R18"/>
    <mergeCell ref="C15:H15"/>
    <mergeCell ref="C66:H66"/>
    <mergeCell ref="C81:H81"/>
    <mergeCell ref="C5:H5"/>
    <mergeCell ref="C9:H9"/>
    <mergeCell ref="C31:C32"/>
  </mergeCells>
  <conditionalFormatting sqref="D62">
    <cfRule type="cellIs" dxfId="7" priority="4" stopIfTrue="1" operator="equal">
      <formula>$D$17</formula>
    </cfRule>
  </conditionalFormatting>
  <conditionalFormatting sqref="D61">
    <cfRule type="cellIs" dxfId="6" priority="3" stopIfTrue="1" operator="equal">
      <formula>$D$62</formula>
    </cfRule>
  </conditionalFormatting>
  <conditionalFormatting sqref="C62:E62">
    <cfRule type="expression" dxfId="5" priority="2" stopIfTrue="1">
      <formula>$D$62&lt;&gt;$D$17</formula>
    </cfRule>
  </conditionalFormatting>
  <conditionalFormatting sqref="C61:E61">
    <cfRule type="expression" dxfId="4"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topLeftCell="A55" workbookViewId="0"/>
  </sheetViews>
  <sheetFormatPr defaultRowHeight="12.75" x14ac:dyDescent="0.2"/>
  <cols>
    <col min="1" max="1" width="9.140625" style="257"/>
    <col min="2" max="2" width="25.85546875" style="257" customWidth="1"/>
    <col min="3" max="3" width="11.42578125" style="257" customWidth="1"/>
    <col min="4" max="4" width="10.140625" style="257" customWidth="1"/>
    <col min="5" max="5" width="15.5703125" style="257" customWidth="1"/>
    <col min="6" max="6" width="9.140625" style="257"/>
    <col min="7" max="10" width="15.7109375" style="257" hidden="1" customWidth="1"/>
    <col min="11" max="72" width="9.140625" style="257" hidden="1" customWidth="1"/>
    <col min="73" max="74" width="9.140625" style="257" customWidth="1"/>
    <col min="75" max="16384" width="9.140625" style="257"/>
  </cols>
  <sheetData>
    <row r="1" spans="2:75" ht="13.5" thickBot="1" x14ac:dyDescent="0.25"/>
    <row r="2" spans="2:75" ht="15" x14ac:dyDescent="0.25">
      <c r="B2" s="827" t="s">
        <v>470</v>
      </c>
      <c r="C2" s="828"/>
      <c r="D2" s="828"/>
      <c r="E2" s="828"/>
      <c r="F2" s="829"/>
    </row>
    <row r="3" spans="2:75" ht="13.5" thickBot="1" x14ac:dyDescent="0.25">
      <c r="B3" s="259"/>
      <c r="C3" s="260"/>
      <c r="D3" s="260"/>
      <c r="E3" s="260"/>
      <c r="F3" s="261"/>
    </row>
    <row r="4" spans="2:75" ht="15.75" thickBot="1" x14ac:dyDescent="0.3">
      <c r="B4" s="264" t="s">
        <v>473</v>
      </c>
      <c r="C4" s="265">
        <v>10</v>
      </c>
      <c r="D4" s="266" t="s">
        <v>281</v>
      </c>
      <c r="E4" s="260"/>
      <c r="F4" s="261"/>
    </row>
    <row r="5" spans="2:75" ht="15.75" thickBot="1" x14ac:dyDescent="0.25">
      <c r="B5" s="268"/>
      <c r="C5" s="269">
        <f>C4/60</f>
        <v>0.16666666666666666</v>
      </c>
      <c r="D5" s="266" t="s">
        <v>394</v>
      </c>
      <c r="E5" s="260"/>
      <c r="F5" s="261"/>
      <c r="BV5" s="258" t="s">
        <v>471</v>
      </c>
    </row>
    <row r="6" spans="2:75" ht="15.75" thickBot="1" x14ac:dyDescent="0.3">
      <c r="B6" s="264" t="s">
        <v>475</v>
      </c>
      <c r="C6" s="265">
        <v>5</v>
      </c>
      <c r="D6" s="266" t="s">
        <v>476</v>
      </c>
      <c r="E6" s="260"/>
      <c r="F6" s="261"/>
      <c r="BV6" s="262"/>
      <c r="BW6" s="263" t="s">
        <v>472</v>
      </c>
    </row>
    <row r="7" spans="2:75" ht="13.5" thickBot="1" x14ac:dyDescent="0.25">
      <c r="B7" s="259"/>
      <c r="C7" s="260"/>
      <c r="D7" s="260"/>
      <c r="E7" s="260"/>
      <c r="F7" s="261"/>
      <c r="BV7" s="267"/>
      <c r="BW7" s="263" t="s">
        <v>474</v>
      </c>
    </row>
    <row r="8" spans="2:75" ht="15.75" thickBot="1" x14ac:dyDescent="0.3">
      <c r="B8" s="830" t="s">
        <v>477</v>
      </c>
      <c r="C8" s="831"/>
      <c r="D8" s="831"/>
      <c r="E8" s="831"/>
      <c r="F8" s="832"/>
    </row>
    <row r="9" spans="2:75" ht="13.5" thickBot="1" x14ac:dyDescent="0.25">
      <c r="B9" s="270"/>
      <c r="C9" s="271"/>
      <c r="D9" s="271"/>
      <c r="E9" s="271"/>
      <c r="F9" s="272"/>
    </row>
    <row r="10" spans="2:75" ht="15.75" thickBot="1" x14ac:dyDescent="0.3">
      <c r="B10" s="264" t="s">
        <v>286</v>
      </c>
      <c r="C10" s="265">
        <v>50</v>
      </c>
      <c r="D10" s="273" t="s">
        <v>9</v>
      </c>
      <c r="E10" s="260"/>
      <c r="F10" s="261"/>
      <c r="G10" s="274" t="s">
        <v>478</v>
      </c>
      <c r="H10" s="275" t="s">
        <v>479</v>
      </c>
      <c r="I10" s="275" t="s">
        <v>480</v>
      </c>
      <c r="J10" s="275" t="s">
        <v>481</v>
      </c>
      <c r="K10" s="276"/>
      <c r="L10" s="238" t="s">
        <v>456</v>
      </c>
      <c r="M10" s="238" t="s">
        <v>444</v>
      </c>
      <c r="N10" s="238" t="s">
        <v>445</v>
      </c>
    </row>
    <row r="11" spans="2:75" ht="18.75" thickBot="1" x14ac:dyDescent="0.4">
      <c r="B11" s="264" t="s">
        <v>482</v>
      </c>
      <c r="C11" s="277">
        <f>(H11*2+(J11))</f>
        <v>0.33333333333333337</v>
      </c>
      <c r="D11" s="273" t="s">
        <v>187</v>
      </c>
      <c r="E11" s="260"/>
      <c r="F11" s="261"/>
      <c r="G11" s="278">
        <f>(($C$5^2)/(2*$C$6))</f>
        <v>2.7777777777777775E-3</v>
      </c>
      <c r="H11" s="279">
        <f>SQRT(2*G11/$C$6)</f>
        <v>3.3333333333333333E-2</v>
      </c>
      <c r="I11" s="279">
        <f>C10/1000-(2*G11)</f>
        <v>4.4444444444444446E-2</v>
      </c>
      <c r="J11" s="279">
        <f>I11/$C$5</f>
        <v>0.26666666666666672</v>
      </c>
      <c r="K11" s="280" t="s">
        <v>452</v>
      </c>
      <c r="L11" s="243">
        <v>0</v>
      </c>
      <c r="M11" s="243">
        <v>0</v>
      </c>
      <c r="N11" s="243">
        <v>0</v>
      </c>
    </row>
    <row r="12" spans="2:75" ht="18.75" thickBot="1" x14ac:dyDescent="0.4">
      <c r="B12" s="264" t="s">
        <v>483</v>
      </c>
      <c r="C12" s="281">
        <f>(C10/1000)*60/(C11)</f>
        <v>8.9999999999999982</v>
      </c>
      <c r="D12" s="273" t="s">
        <v>281</v>
      </c>
      <c r="E12" s="260"/>
      <c r="F12" s="261"/>
      <c r="K12" s="280" t="s">
        <v>453</v>
      </c>
      <c r="L12" s="244">
        <f>G11*1000</f>
        <v>2.7777777777777772</v>
      </c>
      <c r="M12" s="240">
        <f>H11</f>
        <v>3.3333333333333333E-2</v>
      </c>
      <c r="N12" s="244">
        <f>C4</f>
        <v>10</v>
      </c>
    </row>
    <row r="13" spans="2:75" ht="18" x14ac:dyDescent="0.35">
      <c r="B13" s="259"/>
      <c r="C13" s="260"/>
      <c r="D13" s="260"/>
      <c r="E13" s="260"/>
      <c r="F13" s="261"/>
      <c r="K13" s="280" t="s">
        <v>454</v>
      </c>
      <c r="L13" s="245">
        <f>(G11+I11)*1000</f>
        <v>47.222222222222221</v>
      </c>
      <c r="M13" s="242">
        <f>M12+J11</f>
        <v>0.30000000000000004</v>
      </c>
      <c r="N13" s="245">
        <f>C4</f>
        <v>10</v>
      </c>
    </row>
    <row r="14" spans="2:75" ht="18" x14ac:dyDescent="0.35">
      <c r="B14" s="259"/>
      <c r="C14" s="260"/>
      <c r="D14" s="260"/>
      <c r="E14" s="297" t="s">
        <v>484</v>
      </c>
      <c r="F14" s="323">
        <f>(C4/C12)^-1</f>
        <v>0.8999999999999998</v>
      </c>
      <c r="K14" s="280" t="s">
        <v>455</v>
      </c>
      <c r="L14" s="244">
        <f>L12+L13</f>
        <v>50</v>
      </c>
      <c r="M14" s="240">
        <f>C11</f>
        <v>0.33333333333333337</v>
      </c>
      <c r="N14" s="241">
        <v>0</v>
      </c>
    </row>
    <row r="15" spans="2:75" ht="15" x14ac:dyDescent="0.2">
      <c r="B15" s="259"/>
      <c r="C15" s="260"/>
      <c r="D15" s="260"/>
      <c r="E15" s="300" t="s">
        <v>525</v>
      </c>
      <c r="F15" s="323">
        <f>100%-F14</f>
        <v>0.1000000000000002</v>
      </c>
    </row>
    <row r="16" spans="2:75" ht="15.75" thickBot="1" x14ac:dyDescent="0.25">
      <c r="B16" s="259"/>
      <c r="C16" s="260"/>
      <c r="D16" s="260"/>
      <c r="E16" s="260"/>
      <c r="F16" s="261"/>
      <c r="G16" s="282"/>
    </row>
    <row r="17" spans="2:87" ht="13.5" thickTop="1" x14ac:dyDescent="0.2">
      <c r="B17" s="259"/>
      <c r="C17" s="260"/>
      <c r="D17" s="260"/>
      <c r="E17" s="260"/>
      <c r="F17" s="261"/>
      <c r="BX17" s="283"/>
    </row>
    <row r="18" spans="2:87" x14ac:dyDescent="0.2">
      <c r="B18" s="259"/>
      <c r="C18" s="260"/>
      <c r="D18" s="260"/>
      <c r="E18" s="260"/>
      <c r="F18" s="261"/>
    </row>
    <row r="19" spans="2:87" x14ac:dyDescent="0.2">
      <c r="B19" s="259"/>
      <c r="C19" s="260"/>
      <c r="D19" s="260"/>
      <c r="E19" s="260"/>
      <c r="F19" s="261"/>
    </row>
    <row r="20" spans="2:87" x14ac:dyDescent="0.2">
      <c r="B20" s="259"/>
      <c r="C20" s="260"/>
      <c r="D20" s="260"/>
      <c r="E20" s="260"/>
      <c r="F20" s="261"/>
    </row>
    <row r="21" spans="2:87" x14ac:dyDescent="0.2">
      <c r="B21" s="259"/>
      <c r="C21" s="260"/>
      <c r="D21" s="260"/>
      <c r="E21" s="260"/>
      <c r="F21" s="261"/>
    </row>
    <row r="22" spans="2:87" x14ac:dyDescent="0.2">
      <c r="B22" s="259"/>
      <c r="C22" s="260"/>
      <c r="D22" s="260"/>
      <c r="E22" s="260"/>
      <c r="F22" s="261"/>
    </row>
    <row r="23" spans="2:87" x14ac:dyDescent="0.2">
      <c r="B23" s="259"/>
      <c r="C23" s="260"/>
      <c r="D23" s="260"/>
      <c r="E23" s="260"/>
      <c r="F23" s="261"/>
    </row>
    <row r="24" spans="2:87" ht="13.5" thickBot="1" x14ac:dyDescent="0.25">
      <c r="B24" s="284"/>
      <c r="C24" s="285"/>
      <c r="D24" s="285"/>
      <c r="E24" s="285"/>
      <c r="F24" s="286"/>
    </row>
    <row r="25" spans="2:87" ht="15.75" thickBot="1" x14ac:dyDescent="0.3">
      <c r="B25" s="833" t="s">
        <v>485</v>
      </c>
      <c r="C25" s="834"/>
      <c r="D25" s="834"/>
      <c r="E25" s="834"/>
      <c r="F25" s="835"/>
      <c r="BU25" s="287"/>
      <c r="BV25" s="288"/>
      <c r="BW25" s="288"/>
      <c r="BX25" s="288"/>
      <c r="BY25" s="288"/>
      <c r="BZ25" s="288"/>
      <c r="CA25" s="288"/>
      <c r="CB25" s="288"/>
      <c r="CC25" s="288"/>
      <c r="CD25" s="288"/>
      <c r="CE25" s="288"/>
      <c r="CF25" s="288"/>
      <c r="CG25" s="288"/>
      <c r="CH25" s="288"/>
      <c r="CI25" s="289"/>
    </row>
    <row r="26" spans="2:87" ht="13.5" thickBot="1" x14ac:dyDescent="0.25">
      <c r="B26" s="259"/>
      <c r="C26" s="260"/>
      <c r="D26" s="260"/>
      <c r="E26" s="260"/>
      <c r="F26" s="261"/>
      <c r="BU26" s="259"/>
      <c r="BV26" s="260"/>
      <c r="BW26" s="260"/>
      <c r="BX26" s="260"/>
      <c r="BY26" s="260"/>
      <c r="BZ26" s="260"/>
      <c r="CA26" s="260"/>
      <c r="CB26" s="260"/>
      <c r="CC26" s="260"/>
      <c r="CD26" s="260"/>
      <c r="CE26" s="260"/>
      <c r="CF26" s="260"/>
      <c r="CG26" s="260"/>
      <c r="CH26" s="260"/>
      <c r="CI26" s="261"/>
    </row>
    <row r="27" spans="2:87" ht="26.25" thickBot="1" x14ac:dyDescent="0.25">
      <c r="B27" s="256" t="s">
        <v>294</v>
      </c>
      <c r="C27" s="255" t="s">
        <v>288</v>
      </c>
      <c r="D27" s="255" t="s">
        <v>295</v>
      </c>
      <c r="E27" s="255" t="s">
        <v>299</v>
      </c>
      <c r="F27" s="255" t="s">
        <v>486</v>
      </c>
      <c r="G27" s="274" t="s">
        <v>478</v>
      </c>
      <c r="H27" s="275" t="s">
        <v>479</v>
      </c>
      <c r="I27" s="275" t="s">
        <v>480</v>
      </c>
      <c r="J27" s="275" t="s">
        <v>481</v>
      </c>
      <c r="L27" s="290"/>
      <c r="M27" s="836" t="s">
        <v>487</v>
      </c>
      <c r="N27" s="836"/>
      <c r="O27" s="836"/>
      <c r="P27" s="836" t="s">
        <v>488</v>
      </c>
      <c r="Q27" s="836"/>
      <c r="R27" s="836"/>
      <c r="S27" s="836" t="s">
        <v>489</v>
      </c>
      <c r="T27" s="836"/>
      <c r="U27" s="836"/>
      <c r="V27" s="836" t="s">
        <v>490</v>
      </c>
      <c r="W27" s="836"/>
      <c r="X27" s="836"/>
      <c r="Y27" s="836" t="s">
        <v>491</v>
      </c>
      <c r="Z27" s="836"/>
      <c r="AA27" s="836"/>
      <c r="AB27" s="836" t="s">
        <v>492</v>
      </c>
      <c r="AC27" s="836"/>
      <c r="AD27" s="836"/>
      <c r="AE27" s="836" t="s">
        <v>493</v>
      </c>
      <c r="AF27" s="836"/>
      <c r="AG27" s="836"/>
      <c r="AH27" s="836" t="s">
        <v>494</v>
      </c>
      <c r="AI27" s="836"/>
      <c r="AJ27" s="836"/>
      <c r="AK27" s="836" t="s">
        <v>495</v>
      </c>
      <c r="AL27" s="836"/>
      <c r="AM27" s="836"/>
      <c r="AN27" s="836" t="s">
        <v>496</v>
      </c>
      <c r="AO27" s="836"/>
      <c r="AP27" s="836"/>
      <c r="AQ27" s="836" t="s">
        <v>497</v>
      </c>
      <c r="AR27" s="836"/>
      <c r="AS27" s="836"/>
      <c r="AT27" s="836" t="s">
        <v>498</v>
      </c>
      <c r="AU27" s="836"/>
      <c r="AV27" s="836"/>
      <c r="AW27" s="836" t="s">
        <v>499</v>
      </c>
      <c r="AX27" s="836"/>
      <c r="AY27" s="836"/>
      <c r="AZ27" s="836" t="s">
        <v>500</v>
      </c>
      <c r="BA27" s="836"/>
      <c r="BB27" s="836"/>
      <c r="BC27" s="836" t="s">
        <v>501</v>
      </c>
      <c r="BD27" s="836"/>
      <c r="BE27" s="836"/>
      <c r="BF27" s="836" t="s">
        <v>502</v>
      </c>
      <c r="BG27" s="836"/>
      <c r="BH27" s="836"/>
      <c r="BI27" s="836" t="s">
        <v>503</v>
      </c>
      <c r="BJ27" s="836"/>
      <c r="BK27" s="836"/>
      <c r="BL27" s="836" t="s">
        <v>504</v>
      </c>
      <c r="BM27" s="836"/>
      <c r="BN27" s="836"/>
      <c r="BO27" s="836" t="s">
        <v>505</v>
      </c>
      <c r="BP27" s="836"/>
      <c r="BQ27" s="836"/>
      <c r="BR27" s="836" t="s">
        <v>506</v>
      </c>
      <c r="BS27" s="836"/>
      <c r="BT27" s="836"/>
      <c r="BU27" s="259"/>
      <c r="BV27" s="260"/>
      <c r="BW27" s="260"/>
      <c r="BX27" s="260"/>
      <c r="BY27" s="260"/>
      <c r="BZ27" s="260"/>
      <c r="CA27" s="260"/>
      <c r="CB27" s="260"/>
      <c r="CC27" s="260"/>
      <c r="CD27" s="260"/>
      <c r="CE27" s="260"/>
      <c r="CF27" s="260"/>
      <c r="CG27" s="260"/>
      <c r="CH27" s="260"/>
      <c r="CI27" s="261"/>
    </row>
    <row r="28" spans="2:87" ht="15.75" thickBot="1" x14ac:dyDescent="0.3">
      <c r="B28" s="291">
        <v>1</v>
      </c>
      <c r="C28" s="292">
        <v>100</v>
      </c>
      <c r="D28" s="292">
        <v>1</v>
      </c>
      <c r="E28" s="291">
        <f>C28*D28</f>
        <v>100</v>
      </c>
      <c r="F28" s="291">
        <f>IF(C28&gt;0,(H28*2+(J28)),0)</f>
        <v>0.63333333333333341</v>
      </c>
      <c r="G28" s="278">
        <f>(($C$5^2)/(2*$C$6))</f>
        <v>2.7777777777777775E-3</v>
      </c>
      <c r="H28" s="279">
        <f>SQRT(2*G28/$C$6)</f>
        <v>3.3333333333333333E-2</v>
      </c>
      <c r="I28" s="279">
        <f>C28/1000-(2*G28)</f>
        <v>9.4444444444444456E-2</v>
      </c>
      <c r="J28" s="279">
        <f>I28/$C$5</f>
        <v>0.56666666666666676</v>
      </c>
      <c r="L28" s="276"/>
      <c r="M28" s="238" t="s">
        <v>456</v>
      </c>
      <c r="N28" s="238" t="s">
        <v>444</v>
      </c>
      <c r="O28" s="238" t="s">
        <v>445</v>
      </c>
      <c r="P28" s="238" t="s">
        <v>456</v>
      </c>
      <c r="Q28" s="238" t="s">
        <v>444</v>
      </c>
      <c r="R28" s="238" t="s">
        <v>445</v>
      </c>
      <c r="S28" s="238" t="s">
        <v>456</v>
      </c>
      <c r="T28" s="238" t="s">
        <v>444</v>
      </c>
      <c r="U28" s="238" t="s">
        <v>445</v>
      </c>
      <c r="V28" s="238" t="s">
        <v>456</v>
      </c>
      <c r="W28" s="238" t="s">
        <v>444</v>
      </c>
      <c r="X28" s="238" t="s">
        <v>445</v>
      </c>
      <c r="Y28" s="238" t="s">
        <v>456</v>
      </c>
      <c r="Z28" s="238" t="s">
        <v>444</v>
      </c>
      <c r="AA28" s="238" t="s">
        <v>445</v>
      </c>
      <c r="AB28" s="238" t="s">
        <v>456</v>
      </c>
      <c r="AC28" s="238" t="s">
        <v>444</v>
      </c>
      <c r="AD28" s="238" t="s">
        <v>445</v>
      </c>
      <c r="AE28" s="238" t="s">
        <v>456</v>
      </c>
      <c r="AF28" s="238" t="s">
        <v>444</v>
      </c>
      <c r="AG28" s="238" t="s">
        <v>445</v>
      </c>
      <c r="AH28" s="238" t="s">
        <v>456</v>
      </c>
      <c r="AI28" s="238" t="s">
        <v>444</v>
      </c>
      <c r="AJ28" s="238" t="s">
        <v>445</v>
      </c>
      <c r="AK28" s="238" t="s">
        <v>456</v>
      </c>
      <c r="AL28" s="238" t="s">
        <v>444</v>
      </c>
      <c r="AM28" s="238" t="s">
        <v>445</v>
      </c>
      <c r="AN28" s="238" t="s">
        <v>456</v>
      </c>
      <c r="AO28" s="238" t="s">
        <v>444</v>
      </c>
      <c r="AP28" s="238" t="s">
        <v>445</v>
      </c>
      <c r="AQ28" s="238" t="s">
        <v>456</v>
      </c>
      <c r="AR28" s="238" t="s">
        <v>444</v>
      </c>
      <c r="AS28" s="238" t="s">
        <v>445</v>
      </c>
      <c r="AT28" s="238" t="s">
        <v>456</v>
      </c>
      <c r="AU28" s="238" t="s">
        <v>444</v>
      </c>
      <c r="AV28" s="238" t="s">
        <v>445</v>
      </c>
      <c r="AW28" s="238" t="s">
        <v>456</v>
      </c>
      <c r="AX28" s="238" t="s">
        <v>444</v>
      </c>
      <c r="AY28" s="238" t="s">
        <v>445</v>
      </c>
      <c r="AZ28" s="238" t="s">
        <v>456</v>
      </c>
      <c r="BA28" s="238" t="s">
        <v>444</v>
      </c>
      <c r="BB28" s="238" t="s">
        <v>445</v>
      </c>
      <c r="BC28" s="238" t="s">
        <v>456</v>
      </c>
      <c r="BD28" s="238" t="s">
        <v>444</v>
      </c>
      <c r="BE28" s="238" t="s">
        <v>445</v>
      </c>
      <c r="BF28" s="238" t="s">
        <v>456</v>
      </c>
      <c r="BG28" s="238" t="s">
        <v>444</v>
      </c>
      <c r="BH28" s="238" t="s">
        <v>445</v>
      </c>
      <c r="BI28" s="238" t="s">
        <v>456</v>
      </c>
      <c r="BJ28" s="238" t="s">
        <v>444</v>
      </c>
      <c r="BK28" s="238" t="s">
        <v>445</v>
      </c>
      <c r="BL28" s="238" t="s">
        <v>456</v>
      </c>
      <c r="BM28" s="238" t="s">
        <v>444</v>
      </c>
      <c r="BN28" s="238" t="s">
        <v>445</v>
      </c>
      <c r="BO28" s="238" t="s">
        <v>456</v>
      </c>
      <c r="BP28" s="238" t="s">
        <v>444</v>
      </c>
      <c r="BQ28" s="238" t="s">
        <v>445</v>
      </c>
      <c r="BR28" s="238" t="s">
        <v>456</v>
      </c>
      <c r="BS28" s="238" t="s">
        <v>444</v>
      </c>
      <c r="BT28" s="238" t="s">
        <v>445</v>
      </c>
      <c r="BU28" s="259"/>
      <c r="BV28" s="260"/>
      <c r="BW28" s="260"/>
      <c r="BX28" s="260"/>
      <c r="BY28" s="260"/>
      <c r="BZ28" s="260"/>
      <c r="CA28" s="260"/>
      <c r="CB28" s="260"/>
      <c r="CC28" s="260"/>
      <c r="CD28" s="260"/>
      <c r="CE28" s="260"/>
      <c r="CF28" s="260"/>
      <c r="CG28" s="260"/>
      <c r="CH28" s="260"/>
      <c r="CI28" s="261"/>
    </row>
    <row r="29" spans="2:87" ht="18.75" thickBot="1" x14ac:dyDescent="0.4">
      <c r="B29" s="291">
        <v>2</v>
      </c>
      <c r="C29" s="292">
        <v>342</v>
      </c>
      <c r="D29" s="292">
        <v>1</v>
      </c>
      <c r="E29" s="291">
        <f t="shared" ref="E29:E47" si="0">C29*D29</f>
        <v>342</v>
      </c>
      <c r="F29" s="291">
        <f t="shared" ref="F29:F47" si="1">IF(C29&gt;0,(H29*2+(J29)),0)</f>
        <v>2.0853333333333341</v>
      </c>
      <c r="G29" s="278">
        <f t="shared" ref="G29:G47" si="2">(($C$5^2)/(2*$C$6))</f>
        <v>2.7777777777777775E-3</v>
      </c>
      <c r="H29" s="279">
        <f t="shared" ref="H29:H47" si="3">SQRT(2*G29/$C$6)</f>
        <v>3.3333333333333333E-2</v>
      </c>
      <c r="I29" s="279">
        <f t="shared" ref="I29:I47" si="4">C29/1000-(2*G29)</f>
        <v>0.33644444444444449</v>
      </c>
      <c r="J29" s="279">
        <f t="shared" ref="J29:J47" si="5">I29/$C$5</f>
        <v>2.0186666666666673</v>
      </c>
      <c r="L29" s="280" t="s">
        <v>452</v>
      </c>
      <c r="M29" s="243">
        <v>0</v>
      </c>
      <c r="N29" s="243">
        <v>0</v>
      </c>
      <c r="O29" s="243">
        <v>0</v>
      </c>
      <c r="P29" s="243">
        <v>0</v>
      </c>
      <c r="Q29" s="243">
        <v>0</v>
      </c>
      <c r="R29" s="243">
        <v>0</v>
      </c>
      <c r="S29" s="243">
        <v>0</v>
      </c>
      <c r="T29" s="243">
        <v>0</v>
      </c>
      <c r="U29" s="243">
        <v>0</v>
      </c>
      <c r="V29" s="243">
        <v>0</v>
      </c>
      <c r="W29" s="243">
        <v>0</v>
      </c>
      <c r="X29" s="243">
        <v>0</v>
      </c>
      <c r="Y29" s="243">
        <v>0</v>
      </c>
      <c r="Z29" s="243">
        <v>0</v>
      </c>
      <c r="AA29" s="243">
        <v>0</v>
      </c>
      <c r="AB29" s="243">
        <v>0</v>
      </c>
      <c r="AC29" s="243">
        <v>0</v>
      </c>
      <c r="AD29" s="243">
        <v>0</v>
      </c>
      <c r="AE29" s="243">
        <v>0</v>
      </c>
      <c r="AF29" s="243">
        <v>0</v>
      </c>
      <c r="AG29" s="243">
        <v>0</v>
      </c>
      <c r="AH29" s="243">
        <v>0</v>
      </c>
      <c r="AI29" s="243">
        <v>0</v>
      </c>
      <c r="AJ29" s="243">
        <v>0</v>
      </c>
      <c r="AK29" s="243">
        <v>0</v>
      </c>
      <c r="AL29" s="243">
        <v>0</v>
      </c>
      <c r="AM29" s="243">
        <v>0</v>
      </c>
      <c r="AN29" s="243">
        <v>0</v>
      </c>
      <c r="AO29" s="243">
        <v>0</v>
      </c>
      <c r="AP29" s="243">
        <v>0</v>
      </c>
      <c r="AQ29" s="243">
        <v>0</v>
      </c>
      <c r="AR29" s="243">
        <v>0</v>
      </c>
      <c r="AS29" s="243">
        <v>0</v>
      </c>
      <c r="AT29" s="243">
        <v>0</v>
      </c>
      <c r="AU29" s="243">
        <v>0</v>
      </c>
      <c r="AV29" s="243">
        <v>0</v>
      </c>
      <c r="AW29" s="243">
        <v>0</v>
      </c>
      <c r="AX29" s="243">
        <v>0</v>
      </c>
      <c r="AY29" s="243">
        <v>0</v>
      </c>
      <c r="AZ29" s="243">
        <v>0</v>
      </c>
      <c r="BA29" s="243">
        <v>0</v>
      </c>
      <c r="BB29" s="243">
        <v>0</v>
      </c>
      <c r="BC29" s="243">
        <v>0</v>
      </c>
      <c r="BD29" s="243">
        <v>0</v>
      </c>
      <c r="BE29" s="243">
        <v>0</v>
      </c>
      <c r="BF29" s="243">
        <v>0</v>
      </c>
      <c r="BG29" s="243">
        <v>0</v>
      </c>
      <c r="BH29" s="243">
        <v>0</v>
      </c>
      <c r="BI29" s="243">
        <v>0</v>
      </c>
      <c r="BJ29" s="243">
        <v>0</v>
      </c>
      <c r="BK29" s="243">
        <v>0</v>
      </c>
      <c r="BL29" s="243">
        <v>0</v>
      </c>
      <c r="BM29" s="243">
        <v>0</v>
      </c>
      <c r="BN29" s="243">
        <v>0</v>
      </c>
      <c r="BO29" s="243">
        <v>0</v>
      </c>
      <c r="BP29" s="243">
        <v>0</v>
      </c>
      <c r="BQ29" s="243">
        <v>0</v>
      </c>
      <c r="BR29" s="243">
        <v>0</v>
      </c>
      <c r="BS29" s="243">
        <v>0</v>
      </c>
      <c r="BT29" s="293">
        <v>0</v>
      </c>
      <c r="BU29" s="259"/>
      <c r="BV29" s="260"/>
      <c r="BW29" s="260"/>
      <c r="BX29" s="260"/>
      <c r="BY29" s="260"/>
      <c r="BZ29" s="260"/>
      <c r="CA29" s="260"/>
      <c r="CB29" s="260"/>
      <c r="CC29" s="260"/>
      <c r="CD29" s="260"/>
      <c r="CE29" s="260"/>
      <c r="CF29" s="260"/>
      <c r="CG29" s="260"/>
      <c r="CH29" s="260"/>
      <c r="CI29" s="261"/>
    </row>
    <row r="30" spans="2:87" ht="18.75" thickBot="1" x14ac:dyDescent="0.4">
      <c r="B30" s="291">
        <v>3</v>
      </c>
      <c r="C30" s="292">
        <v>1300</v>
      </c>
      <c r="D30" s="292">
        <v>1</v>
      </c>
      <c r="E30" s="291">
        <f t="shared" si="0"/>
        <v>1300</v>
      </c>
      <c r="F30" s="291">
        <f t="shared" si="1"/>
        <v>7.8333333333333339</v>
      </c>
      <c r="G30" s="278">
        <f t="shared" si="2"/>
        <v>2.7777777777777775E-3</v>
      </c>
      <c r="H30" s="279">
        <f t="shared" si="3"/>
        <v>3.3333333333333333E-2</v>
      </c>
      <c r="I30" s="279">
        <f t="shared" si="4"/>
        <v>1.2944444444444445</v>
      </c>
      <c r="J30" s="279">
        <f t="shared" si="5"/>
        <v>7.7666666666666675</v>
      </c>
      <c r="L30" s="280" t="s">
        <v>453</v>
      </c>
      <c r="M30" s="244">
        <f>G28*1000</f>
        <v>2.7777777777777772</v>
      </c>
      <c r="N30" s="240">
        <f>H28</f>
        <v>3.3333333333333333E-2</v>
      </c>
      <c r="O30" s="244">
        <f>$C$4</f>
        <v>10</v>
      </c>
      <c r="P30" s="244">
        <f>G29*1000</f>
        <v>2.7777777777777772</v>
      </c>
      <c r="Q30" s="240">
        <f>H29</f>
        <v>3.3333333333333333E-2</v>
      </c>
      <c r="R30" s="244">
        <f>$C$4</f>
        <v>10</v>
      </c>
      <c r="S30" s="244">
        <f>$G$30*1000</f>
        <v>2.7777777777777772</v>
      </c>
      <c r="T30" s="240">
        <f>$H$30</f>
        <v>3.3333333333333333E-2</v>
      </c>
      <c r="U30" s="244">
        <f>$C$4</f>
        <v>10</v>
      </c>
      <c r="V30" s="244">
        <f>$G$31*1000</f>
        <v>2.7777777777777772</v>
      </c>
      <c r="W30" s="240">
        <f>$H$31</f>
        <v>3.3333333333333333E-2</v>
      </c>
      <c r="X30" s="244">
        <f>$C$4</f>
        <v>10</v>
      </c>
      <c r="Y30" s="244">
        <f>$G$32*1000</f>
        <v>2.7777777777777772</v>
      </c>
      <c r="Z30" s="240">
        <f>$H$32</f>
        <v>3.3333333333333333E-2</v>
      </c>
      <c r="AA30" s="244">
        <f>$C$4</f>
        <v>10</v>
      </c>
      <c r="AB30" s="244">
        <f>$G$33*1000</f>
        <v>2.7777777777777772</v>
      </c>
      <c r="AC30" s="240">
        <f>$H$33</f>
        <v>3.3333333333333333E-2</v>
      </c>
      <c r="AD30" s="244">
        <f>$C$4</f>
        <v>10</v>
      </c>
      <c r="AE30" s="244">
        <f>$G$34*1000</f>
        <v>2.7777777777777772</v>
      </c>
      <c r="AF30" s="240">
        <f>$H$34</f>
        <v>3.3333333333333333E-2</v>
      </c>
      <c r="AG30" s="244">
        <f>$C$4</f>
        <v>10</v>
      </c>
      <c r="AH30" s="244">
        <f>$G$35*1000</f>
        <v>2.7777777777777772</v>
      </c>
      <c r="AI30" s="240">
        <f>$H$35</f>
        <v>3.3333333333333333E-2</v>
      </c>
      <c r="AJ30" s="244">
        <f>$C$4</f>
        <v>10</v>
      </c>
      <c r="AK30" s="244">
        <f>$G$36*1000</f>
        <v>2.7777777777777772</v>
      </c>
      <c r="AL30" s="240">
        <f>$H$36</f>
        <v>3.3333333333333333E-2</v>
      </c>
      <c r="AM30" s="244">
        <f>$C$4</f>
        <v>10</v>
      </c>
      <c r="AN30" s="244">
        <f>$G$37*1000</f>
        <v>2.7777777777777772</v>
      </c>
      <c r="AO30" s="240">
        <f>$H$37</f>
        <v>3.3333333333333333E-2</v>
      </c>
      <c r="AP30" s="244">
        <f>$C$4</f>
        <v>10</v>
      </c>
      <c r="AQ30" s="244">
        <f>$G$38*1000</f>
        <v>2.7777777777777772</v>
      </c>
      <c r="AR30" s="240">
        <f>$H$38</f>
        <v>3.3333333333333333E-2</v>
      </c>
      <c r="AS30" s="244">
        <f>$C$4</f>
        <v>10</v>
      </c>
      <c r="AT30" s="244">
        <f>$G$39*1000</f>
        <v>2.7777777777777772</v>
      </c>
      <c r="AU30" s="240">
        <f>$H$39</f>
        <v>3.3333333333333333E-2</v>
      </c>
      <c r="AV30" s="244">
        <f>$C$4</f>
        <v>10</v>
      </c>
      <c r="AW30" s="244">
        <f>$G$40*1000</f>
        <v>2.7777777777777772</v>
      </c>
      <c r="AX30" s="240">
        <f>$H$40</f>
        <v>3.3333333333333333E-2</v>
      </c>
      <c r="AY30" s="244">
        <f>$C$4</f>
        <v>10</v>
      </c>
      <c r="AZ30" s="244">
        <f>$G$41*1000</f>
        <v>2.7777777777777772</v>
      </c>
      <c r="BA30" s="240">
        <f>$H$41</f>
        <v>3.3333333333333333E-2</v>
      </c>
      <c r="BB30" s="244">
        <f>$C$4</f>
        <v>10</v>
      </c>
      <c r="BC30" s="244">
        <f>$G$42*1000</f>
        <v>2.7777777777777772</v>
      </c>
      <c r="BD30" s="240">
        <f>$H$42</f>
        <v>3.3333333333333333E-2</v>
      </c>
      <c r="BE30" s="244">
        <f>$C$4</f>
        <v>10</v>
      </c>
      <c r="BF30" s="244">
        <f>$G$43*1000</f>
        <v>2.7777777777777772</v>
      </c>
      <c r="BG30" s="240">
        <f>$H$43</f>
        <v>3.3333333333333333E-2</v>
      </c>
      <c r="BH30" s="244">
        <f>$C$4</f>
        <v>10</v>
      </c>
      <c r="BI30" s="244">
        <f>$G$44*1000</f>
        <v>2.7777777777777772</v>
      </c>
      <c r="BJ30" s="240">
        <f>$H$44</f>
        <v>3.3333333333333333E-2</v>
      </c>
      <c r="BK30" s="244">
        <f>$C$4</f>
        <v>10</v>
      </c>
      <c r="BL30" s="244">
        <f>$G$45*1000</f>
        <v>2.7777777777777772</v>
      </c>
      <c r="BM30" s="240">
        <f>$H$45</f>
        <v>3.3333333333333333E-2</v>
      </c>
      <c r="BN30" s="244">
        <f>$C$4</f>
        <v>10</v>
      </c>
      <c r="BO30" s="244">
        <f>$G$46*1000</f>
        <v>2.7777777777777772</v>
      </c>
      <c r="BP30" s="240">
        <f>$H$46</f>
        <v>3.3333333333333333E-2</v>
      </c>
      <c r="BQ30" s="244">
        <f>$C$4</f>
        <v>10</v>
      </c>
      <c r="BR30" s="244">
        <f>$G$47*1000</f>
        <v>2.7777777777777772</v>
      </c>
      <c r="BS30" s="240">
        <f>$H$47</f>
        <v>3.3333333333333333E-2</v>
      </c>
      <c r="BT30" s="294">
        <f>$C$4</f>
        <v>10</v>
      </c>
      <c r="BU30" s="259"/>
      <c r="BV30" s="260"/>
      <c r="BW30" s="260"/>
      <c r="BX30" s="260"/>
      <c r="BY30" s="260"/>
      <c r="BZ30" s="260"/>
      <c r="CA30" s="260"/>
      <c r="CB30" s="260"/>
      <c r="CC30" s="260"/>
      <c r="CD30" s="260"/>
      <c r="CE30" s="260"/>
      <c r="CF30" s="260"/>
      <c r="CG30" s="260"/>
      <c r="CH30" s="260"/>
      <c r="CI30" s="261"/>
    </row>
    <row r="31" spans="2:87" ht="18.75" thickBot="1" x14ac:dyDescent="0.4">
      <c r="B31" s="291">
        <v>4</v>
      </c>
      <c r="C31" s="292">
        <v>661</v>
      </c>
      <c r="D31" s="292">
        <v>1</v>
      </c>
      <c r="E31" s="291">
        <f t="shared" si="0"/>
        <v>661</v>
      </c>
      <c r="F31" s="291">
        <f t="shared" si="1"/>
        <v>3.9993333333333339</v>
      </c>
      <c r="G31" s="278">
        <f t="shared" si="2"/>
        <v>2.7777777777777775E-3</v>
      </c>
      <c r="H31" s="279">
        <f t="shared" si="3"/>
        <v>3.3333333333333333E-2</v>
      </c>
      <c r="I31" s="279">
        <f t="shared" si="4"/>
        <v>0.6554444444444445</v>
      </c>
      <c r="J31" s="279">
        <f t="shared" si="5"/>
        <v>3.932666666666667</v>
      </c>
      <c r="L31" s="280" t="s">
        <v>454</v>
      </c>
      <c r="M31" s="245">
        <f>(G28+I28)*1000</f>
        <v>97.222222222222243</v>
      </c>
      <c r="N31" s="242">
        <f>N30+J28</f>
        <v>0.60000000000000009</v>
      </c>
      <c r="O31" s="245">
        <f>$C$4</f>
        <v>10</v>
      </c>
      <c r="P31" s="245">
        <f>(G29+N29)*1000</f>
        <v>2.7777777777777772</v>
      </c>
      <c r="Q31" s="242">
        <f>Q30+J29</f>
        <v>2.0520000000000005</v>
      </c>
      <c r="R31" s="245">
        <f>$C$4</f>
        <v>10</v>
      </c>
      <c r="S31" s="245">
        <f>($G$30+$I$30)*1000</f>
        <v>1297.2222222222222</v>
      </c>
      <c r="T31" s="242">
        <f>T30+$J$30</f>
        <v>7.8000000000000007</v>
      </c>
      <c r="U31" s="245">
        <f>$C$4</f>
        <v>10</v>
      </c>
      <c r="V31" s="245">
        <f>($G$31+$I$31)*1000</f>
        <v>658.22222222222229</v>
      </c>
      <c r="W31" s="242">
        <f>W30+$J$31</f>
        <v>3.9660000000000002</v>
      </c>
      <c r="X31" s="245">
        <f>$C$4</f>
        <v>10</v>
      </c>
      <c r="Y31" s="245">
        <f>($G$32+$I$32)*1000</f>
        <v>1028.2222222222222</v>
      </c>
      <c r="Z31" s="242">
        <f>Z30+$J$32</f>
        <v>6.1859999999999999</v>
      </c>
      <c r="AA31" s="245">
        <f>$C$4</f>
        <v>10</v>
      </c>
      <c r="AB31" s="245">
        <f>($G$33+$I$33)*1000</f>
        <v>266.22222222222223</v>
      </c>
      <c r="AC31" s="242">
        <f>AC30+$J$33</f>
        <v>1.6140000000000003</v>
      </c>
      <c r="AD31" s="245">
        <f>$C$4</f>
        <v>10</v>
      </c>
      <c r="AE31" s="245">
        <f>($G$34+$I$34)*1000</f>
        <v>658.22222222222229</v>
      </c>
      <c r="AF31" s="242">
        <f>AF30+$J$34</f>
        <v>3.9660000000000002</v>
      </c>
      <c r="AG31" s="245">
        <f>$C$4</f>
        <v>10</v>
      </c>
      <c r="AH31" s="245">
        <f>($G$35+$I$35)*1000</f>
        <v>1297.2222222222222</v>
      </c>
      <c r="AI31" s="242">
        <f>AI30+$J$35</f>
        <v>7.8000000000000007</v>
      </c>
      <c r="AJ31" s="245">
        <f>$C$4</f>
        <v>10</v>
      </c>
      <c r="AK31" s="245">
        <f>($G$36+$I$36)*1000</f>
        <v>658.22222222222229</v>
      </c>
      <c r="AL31" s="242">
        <f>AL30+$J$36</f>
        <v>3.9660000000000002</v>
      </c>
      <c r="AM31" s="245">
        <f>$C$4</f>
        <v>10</v>
      </c>
      <c r="AN31" s="245">
        <f>($G$37+$I$37)*1000</f>
        <v>731.22222222222217</v>
      </c>
      <c r="AO31" s="242">
        <f>AO30+$J$37</f>
        <v>4.4039999999999999</v>
      </c>
      <c r="AP31" s="245">
        <f>$C$4</f>
        <v>10</v>
      </c>
      <c r="AQ31" s="245">
        <f>($G$38+$I$38)*1000</f>
        <v>563.22222222222217</v>
      </c>
      <c r="AR31" s="242">
        <f>AR30+$J$38</f>
        <v>3.3959999999999999</v>
      </c>
      <c r="AS31" s="245">
        <f>$C$4</f>
        <v>10</v>
      </c>
      <c r="AT31" s="245">
        <f>($G$39+$I$39)*1000</f>
        <v>658.22222222222229</v>
      </c>
      <c r="AU31" s="242">
        <f>AU30+$J$39</f>
        <v>3.9660000000000002</v>
      </c>
      <c r="AV31" s="245">
        <f>$C$4</f>
        <v>10</v>
      </c>
      <c r="AW31" s="245">
        <f>($G$40+$I$40)*1000</f>
        <v>1297.2222222222222</v>
      </c>
      <c r="AX31" s="242">
        <f>AX30+$J$40</f>
        <v>7.8000000000000007</v>
      </c>
      <c r="AY31" s="245">
        <f>$C$4</f>
        <v>10</v>
      </c>
      <c r="AZ31" s="245">
        <f>($G$41+$I$41)*1000</f>
        <v>1306.7222222222224</v>
      </c>
      <c r="BA31" s="242">
        <f>BA30+$J$41</f>
        <v>7.8570000000000011</v>
      </c>
      <c r="BB31" s="245">
        <f>$C$4</f>
        <v>10</v>
      </c>
      <c r="BC31" s="245">
        <f>($G$42+$I$42)*1000</f>
        <v>-2.7777777777777772</v>
      </c>
      <c r="BD31" s="242">
        <f>BD30+$J$42</f>
        <v>0</v>
      </c>
      <c r="BE31" s="245">
        <f>$C$4</f>
        <v>10</v>
      </c>
      <c r="BF31" s="245">
        <f>($G$43+$I$43)*1000</f>
        <v>-2.7777777777777772</v>
      </c>
      <c r="BG31" s="242">
        <f>BG30+$J$43</f>
        <v>0</v>
      </c>
      <c r="BH31" s="245">
        <f>$C$4</f>
        <v>10</v>
      </c>
      <c r="BI31" s="245">
        <f>($G$44+$I$44)*1000</f>
        <v>-2.7777777777777772</v>
      </c>
      <c r="BJ31" s="242">
        <f>BJ30+$J$44</f>
        <v>0</v>
      </c>
      <c r="BK31" s="245">
        <f>$C$4</f>
        <v>10</v>
      </c>
      <c r="BL31" s="245">
        <f>($G$45+$I$45)*1000</f>
        <v>-2.7777777777777772</v>
      </c>
      <c r="BM31" s="242">
        <f>BM30+$J$45</f>
        <v>0</v>
      </c>
      <c r="BN31" s="245">
        <f>$C$4</f>
        <v>10</v>
      </c>
      <c r="BO31" s="245">
        <f>($G$46+$I$46)*1000</f>
        <v>-2.7777777777777772</v>
      </c>
      <c r="BP31" s="242">
        <f>BP30+$J$46</f>
        <v>0</v>
      </c>
      <c r="BQ31" s="245">
        <f>$C$4</f>
        <v>10</v>
      </c>
      <c r="BR31" s="245">
        <f>($G$47+$I$47)*1000</f>
        <v>-2.7777777777777772</v>
      </c>
      <c r="BS31" s="242">
        <f>BS30+$J$47</f>
        <v>0</v>
      </c>
      <c r="BT31" s="295">
        <f>$C$4</f>
        <v>10</v>
      </c>
      <c r="BU31" s="259"/>
      <c r="BV31" s="260"/>
      <c r="BW31" s="260"/>
      <c r="BX31" s="260"/>
      <c r="BY31" s="260"/>
      <c r="BZ31" s="260"/>
      <c r="CA31" s="260"/>
      <c r="CB31" s="260"/>
      <c r="CC31" s="260"/>
      <c r="CD31" s="296"/>
      <c r="CE31" s="297" t="s">
        <v>484</v>
      </c>
      <c r="CF31" s="298">
        <f>(C4/E51)^-1</f>
        <v>0.99291207428146133</v>
      </c>
      <c r="CG31" s="296"/>
      <c r="CH31" s="260"/>
      <c r="CI31" s="261"/>
    </row>
    <row r="32" spans="2:87" ht="18.75" thickBot="1" x14ac:dyDescent="0.4">
      <c r="B32" s="291">
        <v>5</v>
      </c>
      <c r="C32" s="292">
        <v>1031</v>
      </c>
      <c r="D32" s="292">
        <v>1</v>
      </c>
      <c r="E32" s="291">
        <f t="shared" si="0"/>
        <v>1031</v>
      </c>
      <c r="F32" s="291">
        <f t="shared" si="1"/>
        <v>6.2193333333333332</v>
      </c>
      <c r="G32" s="278">
        <f t="shared" si="2"/>
        <v>2.7777777777777775E-3</v>
      </c>
      <c r="H32" s="279">
        <f t="shared" si="3"/>
        <v>3.3333333333333333E-2</v>
      </c>
      <c r="I32" s="279">
        <f t="shared" si="4"/>
        <v>1.0254444444444444</v>
      </c>
      <c r="J32" s="279">
        <f t="shared" si="5"/>
        <v>6.1526666666666667</v>
      </c>
      <c r="L32" s="280" t="s">
        <v>455</v>
      </c>
      <c r="M32" s="244">
        <f>M30+M31</f>
        <v>100.00000000000001</v>
      </c>
      <c r="N32" s="240">
        <f>F28</f>
        <v>0.63333333333333341</v>
      </c>
      <c r="O32" s="241">
        <v>0</v>
      </c>
      <c r="P32" s="244">
        <f>P30+P31</f>
        <v>5.5555555555555545</v>
      </c>
      <c r="Q32" s="240">
        <f>F29</f>
        <v>2.0853333333333341</v>
      </c>
      <c r="R32" s="241">
        <v>0</v>
      </c>
      <c r="S32" s="244">
        <f>S30+S31</f>
        <v>1300</v>
      </c>
      <c r="T32" s="240">
        <f>$F$30</f>
        <v>7.8333333333333339</v>
      </c>
      <c r="U32" s="241">
        <v>0</v>
      </c>
      <c r="V32" s="244">
        <f>V30+V31</f>
        <v>661.00000000000011</v>
      </c>
      <c r="W32" s="240">
        <f>$F$31</f>
        <v>3.9993333333333339</v>
      </c>
      <c r="X32" s="241">
        <v>0</v>
      </c>
      <c r="Y32" s="244">
        <f>Y30+Y31</f>
        <v>1031</v>
      </c>
      <c r="Z32" s="240">
        <f>$F$32</f>
        <v>6.2193333333333332</v>
      </c>
      <c r="AA32" s="241">
        <v>0</v>
      </c>
      <c r="AB32" s="244">
        <f>AB30+AB31</f>
        <v>269</v>
      </c>
      <c r="AC32" s="240">
        <f>$F$33</f>
        <v>1.6473333333333335</v>
      </c>
      <c r="AD32" s="241">
        <v>0</v>
      </c>
      <c r="AE32" s="244">
        <f>AE30+AE31</f>
        <v>661.00000000000011</v>
      </c>
      <c r="AF32" s="240">
        <f>$F$34</f>
        <v>3.9993333333333339</v>
      </c>
      <c r="AG32" s="241">
        <v>0</v>
      </c>
      <c r="AH32" s="244">
        <f>AH30+AH31</f>
        <v>1300</v>
      </c>
      <c r="AI32" s="240">
        <f>$F$35</f>
        <v>7.8333333333333339</v>
      </c>
      <c r="AJ32" s="241">
        <v>0</v>
      </c>
      <c r="AK32" s="244">
        <f>AK30+AK31</f>
        <v>661.00000000000011</v>
      </c>
      <c r="AL32" s="240">
        <f>$F$36</f>
        <v>3.9993333333333339</v>
      </c>
      <c r="AM32" s="241">
        <v>0</v>
      </c>
      <c r="AN32" s="244">
        <f>AN30+AN31</f>
        <v>734</v>
      </c>
      <c r="AO32" s="240">
        <f>$F$37</f>
        <v>4.4373333333333331</v>
      </c>
      <c r="AP32" s="241">
        <v>0</v>
      </c>
      <c r="AQ32" s="244">
        <f>AQ30+AQ31</f>
        <v>566</v>
      </c>
      <c r="AR32" s="240">
        <f>$F$38</f>
        <v>3.4293333333333336</v>
      </c>
      <c r="AS32" s="241">
        <v>0</v>
      </c>
      <c r="AT32" s="244">
        <f>AT30+AT31</f>
        <v>661.00000000000011</v>
      </c>
      <c r="AU32" s="240">
        <f>$F$39</f>
        <v>3.9993333333333339</v>
      </c>
      <c r="AV32" s="241">
        <v>0</v>
      </c>
      <c r="AW32" s="244">
        <f>AW30+AW31</f>
        <v>1300</v>
      </c>
      <c r="AX32" s="240">
        <f>$F$40</f>
        <v>7.8333333333333339</v>
      </c>
      <c r="AY32" s="241">
        <v>0</v>
      </c>
      <c r="AZ32" s="244">
        <f>AZ30+AZ31</f>
        <v>1309.5000000000002</v>
      </c>
      <c r="BA32" s="240">
        <f>$F$41</f>
        <v>7.8903333333333343</v>
      </c>
      <c r="BB32" s="241">
        <v>0</v>
      </c>
      <c r="BC32" s="244">
        <f>BC30+BC31</f>
        <v>0</v>
      </c>
      <c r="BD32" s="240">
        <f>$F$42</f>
        <v>0</v>
      </c>
      <c r="BE32" s="241">
        <v>0</v>
      </c>
      <c r="BF32" s="244">
        <f>BF30+BF31</f>
        <v>0</v>
      </c>
      <c r="BG32" s="240">
        <f>$F$43</f>
        <v>0</v>
      </c>
      <c r="BH32" s="241">
        <v>0</v>
      </c>
      <c r="BI32" s="244">
        <f>BI30+BI31</f>
        <v>0</v>
      </c>
      <c r="BJ32" s="240">
        <f>$F$44</f>
        <v>0</v>
      </c>
      <c r="BK32" s="241">
        <v>0</v>
      </c>
      <c r="BL32" s="244">
        <f>BL30+BL31</f>
        <v>0</v>
      </c>
      <c r="BM32" s="240">
        <f>$F$45</f>
        <v>0</v>
      </c>
      <c r="BN32" s="241">
        <v>0</v>
      </c>
      <c r="BO32" s="244">
        <f>BO30+BO31</f>
        <v>0</v>
      </c>
      <c r="BP32" s="240">
        <f>$F$46</f>
        <v>0</v>
      </c>
      <c r="BQ32" s="241">
        <v>0</v>
      </c>
      <c r="BR32" s="244">
        <f>BR30+BR31</f>
        <v>0</v>
      </c>
      <c r="BS32" s="240">
        <f>$F$47</f>
        <v>0</v>
      </c>
      <c r="BT32" s="299">
        <v>0</v>
      </c>
      <c r="BU32" s="259"/>
      <c r="BV32" s="260"/>
      <c r="BW32" s="260"/>
      <c r="BX32" s="260"/>
      <c r="BY32" s="260"/>
      <c r="BZ32" s="260"/>
      <c r="CA32" s="260"/>
      <c r="CB32" s="260"/>
      <c r="CC32" s="260"/>
      <c r="CD32" s="296"/>
      <c r="CE32" s="300" t="s">
        <v>507</v>
      </c>
      <c r="CF32" s="298">
        <f>100%-CF31</f>
        <v>7.0879257185386679E-3</v>
      </c>
      <c r="CG32" s="296"/>
      <c r="CH32" s="260"/>
      <c r="CI32" s="261"/>
    </row>
    <row r="33" spans="2:87" ht="15.75" thickBot="1" x14ac:dyDescent="0.25">
      <c r="B33" s="291">
        <v>6</v>
      </c>
      <c r="C33" s="292">
        <v>269</v>
      </c>
      <c r="D33" s="292">
        <v>1</v>
      </c>
      <c r="E33" s="291">
        <f t="shared" si="0"/>
        <v>269</v>
      </c>
      <c r="F33" s="291">
        <f t="shared" si="1"/>
        <v>1.6473333333333335</v>
      </c>
      <c r="G33" s="278">
        <f t="shared" si="2"/>
        <v>2.7777777777777775E-3</v>
      </c>
      <c r="H33" s="279">
        <f t="shared" si="3"/>
        <v>3.3333333333333333E-2</v>
      </c>
      <c r="I33" s="279">
        <f t="shared" si="4"/>
        <v>0.26344444444444448</v>
      </c>
      <c r="J33" s="279">
        <f t="shared" si="5"/>
        <v>1.5806666666666669</v>
      </c>
      <c r="BU33" s="259"/>
      <c r="BV33" s="260"/>
      <c r="BW33" s="260"/>
      <c r="BX33" s="260"/>
      <c r="BY33" s="260"/>
      <c r="BZ33" s="260"/>
      <c r="CA33" s="260"/>
      <c r="CB33" s="260"/>
      <c r="CC33" s="260"/>
      <c r="CD33" s="296"/>
      <c r="CE33" s="296"/>
      <c r="CF33" s="296"/>
      <c r="CG33" s="296"/>
      <c r="CH33" s="260"/>
      <c r="CI33" s="261"/>
    </row>
    <row r="34" spans="2:87" ht="13.5" thickBot="1" x14ac:dyDescent="0.25">
      <c r="B34" s="291">
        <v>7</v>
      </c>
      <c r="C34" s="292">
        <v>661</v>
      </c>
      <c r="D34" s="292">
        <v>1</v>
      </c>
      <c r="E34" s="291">
        <f t="shared" si="0"/>
        <v>661</v>
      </c>
      <c r="F34" s="291">
        <f t="shared" si="1"/>
        <v>3.9993333333333339</v>
      </c>
      <c r="G34" s="278">
        <f t="shared" si="2"/>
        <v>2.7777777777777775E-3</v>
      </c>
      <c r="H34" s="279">
        <f t="shared" si="3"/>
        <v>3.3333333333333333E-2</v>
      </c>
      <c r="I34" s="279">
        <f t="shared" si="4"/>
        <v>0.6554444444444445</v>
      </c>
      <c r="J34" s="279">
        <f t="shared" si="5"/>
        <v>3.932666666666667</v>
      </c>
      <c r="BU34" s="259"/>
      <c r="BV34" s="260"/>
      <c r="BW34" s="260"/>
      <c r="BX34" s="260"/>
      <c r="BY34" s="260"/>
      <c r="BZ34" s="260"/>
      <c r="CA34" s="260"/>
      <c r="CB34" s="260"/>
      <c r="CC34" s="260"/>
      <c r="CD34" s="260"/>
      <c r="CE34" s="260"/>
      <c r="CF34" s="260"/>
      <c r="CG34" s="260"/>
      <c r="CH34" s="260"/>
      <c r="CI34" s="261"/>
    </row>
    <row r="35" spans="2:87" ht="13.5" thickBot="1" x14ac:dyDescent="0.25">
      <c r="B35" s="291">
        <v>8</v>
      </c>
      <c r="C35" s="292">
        <v>1300</v>
      </c>
      <c r="D35" s="292">
        <v>1</v>
      </c>
      <c r="E35" s="291">
        <f t="shared" si="0"/>
        <v>1300</v>
      </c>
      <c r="F35" s="291">
        <f t="shared" si="1"/>
        <v>7.8333333333333339</v>
      </c>
      <c r="G35" s="278">
        <f t="shared" si="2"/>
        <v>2.7777777777777775E-3</v>
      </c>
      <c r="H35" s="279">
        <f t="shared" si="3"/>
        <v>3.3333333333333333E-2</v>
      </c>
      <c r="I35" s="279">
        <f t="shared" si="4"/>
        <v>1.2944444444444445</v>
      </c>
      <c r="J35" s="279">
        <f t="shared" si="5"/>
        <v>7.7666666666666675</v>
      </c>
      <c r="BU35" s="259"/>
      <c r="BV35" s="260"/>
      <c r="BW35" s="260"/>
      <c r="BX35" s="260"/>
      <c r="BY35" s="260"/>
      <c r="BZ35" s="260"/>
      <c r="CA35" s="260"/>
      <c r="CB35" s="260"/>
      <c r="CC35" s="260"/>
      <c r="CD35" s="260"/>
      <c r="CE35" s="260"/>
      <c r="CF35" s="260"/>
      <c r="CG35" s="260"/>
      <c r="CH35" s="260"/>
      <c r="CI35" s="261"/>
    </row>
    <row r="36" spans="2:87" ht="13.5" thickBot="1" x14ac:dyDescent="0.25">
      <c r="B36" s="291">
        <v>9</v>
      </c>
      <c r="C36" s="292">
        <v>661</v>
      </c>
      <c r="D36" s="292">
        <v>1</v>
      </c>
      <c r="E36" s="291">
        <f t="shared" si="0"/>
        <v>661</v>
      </c>
      <c r="F36" s="291">
        <f t="shared" si="1"/>
        <v>3.9993333333333339</v>
      </c>
      <c r="G36" s="278">
        <f t="shared" si="2"/>
        <v>2.7777777777777775E-3</v>
      </c>
      <c r="H36" s="279">
        <f t="shared" si="3"/>
        <v>3.3333333333333333E-2</v>
      </c>
      <c r="I36" s="279">
        <f t="shared" si="4"/>
        <v>0.6554444444444445</v>
      </c>
      <c r="J36" s="279">
        <f t="shared" si="5"/>
        <v>3.932666666666667</v>
      </c>
      <c r="BU36" s="259"/>
      <c r="BV36" s="260"/>
      <c r="BW36" s="260"/>
      <c r="BX36" s="260"/>
      <c r="BY36" s="260"/>
      <c r="BZ36" s="260"/>
      <c r="CA36" s="260"/>
      <c r="CB36" s="260"/>
      <c r="CC36" s="260"/>
      <c r="CD36" s="260"/>
      <c r="CE36" s="260"/>
      <c r="CF36" s="260"/>
      <c r="CG36" s="260"/>
      <c r="CH36" s="260"/>
      <c r="CI36" s="261"/>
    </row>
    <row r="37" spans="2:87" ht="13.5" thickBot="1" x14ac:dyDescent="0.25">
      <c r="B37" s="291">
        <v>10</v>
      </c>
      <c r="C37" s="292">
        <v>734</v>
      </c>
      <c r="D37" s="292">
        <v>1</v>
      </c>
      <c r="E37" s="291">
        <f t="shared" si="0"/>
        <v>734</v>
      </c>
      <c r="F37" s="291">
        <f t="shared" si="1"/>
        <v>4.4373333333333331</v>
      </c>
      <c r="G37" s="278">
        <f t="shared" si="2"/>
        <v>2.7777777777777775E-3</v>
      </c>
      <c r="H37" s="279">
        <f t="shared" si="3"/>
        <v>3.3333333333333333E-2</v>
      </c>
      <c r="I37" s="279">
        <f t="shared" si="4"/>
        <v>0.72844444444444445</v>
      </c>
      <c r="J37" s="279">
        <f t="shared" si="5"/>
        <v>4.3706666666666667</v>
      </c>
      <c r="BU37" s="259"/>
      <c r="BV37" s="260"/>
      <c r="BW37" s="260"/>
      <c r="BX37" s="260"/>
      <c r="BY37" s="260"/>
      <c r="BZ37" s="260"/>
      <c r="CA37" s="260"/>
      <c r="CB37" s="260"/>
      <c r="CC37" s="260"/>
      <c r="CD37" s="260"/>
      <c r="CE37" s="260"/>
      <c r="CF37" s="260"/>
      <c r="CG37" s="260"/>
      <c r="CH37" s="260"/>
      <c r="CI37" s="261"/>
    </row>
    <row r="38" spans="2:87" ht="13.5" thickBot="1" x14ac:dyDescent="0.25">
      <c r="B38" s="291">
        <v>11</v>
      </c>
      <c r="C38" s="292">
        <v>566</v>
      </c>
      <c r="D38" s="292">
        <v>1</v>
      </c>
      <c r="E38" s="291">
        <f t="shared" si="0"/>
        <v>566</v>
      </c>
      <c r="F38" s="291">
        <f t="shared" si="1"/>
        <v>3.4293333333333336</v>
      </c>
      <c r="G38" s="278">
        <f t="shared" si="2"/>
        <v>2.7777777777777775E-3</v>
      </c>
      <c r="H38" s="279">
        <f t="shared" si="3"/>
        <v>3.3333333333333333E-2</v>
      </c>
      <c r="I38" s="279">
        <f t="shared" si="4"/>
        <v>0.56044444444444441</v>
      </c>
      <c r="J38" s="279">
        <f t="shared" si="5"/>
        <v>3.3626666666666667</v>
      </c>
      <c r="BU38" s="259"/>
      <c r="BV38" s="260"/>
      <c r="BW38" s="260"/>
      <c r="BX38" s="260"/>
      <c r="BY38" s="260"/>
      <c r="BZ38" s="260"/>
      <c r="CA38" s="260"/>
      <c r="CB38" s="260"/>
      <c r="CC38" s="260"/>
      <c r="CD38" s="260"/>
      <c r="CE38" s="260"/>
      <c r="CF38" s="260"/>
      <c r="CG38" s="260"/>
      <c r="CH38" s="260"/>
      <c r="CI38" s="261"/>
    </row>
    <row r="39" spans="2:87" ht="13.5" thickBot="1" x14ac:dyDescent="0.25">
      <c r="B39" s="291">
        <v>12</v>
      </c>
      <c r="C39" s="292">
        <v>661</v>
      </c>
      <c r="D39" s="292">
        <v>1</v>
      </c>
      <c r="E39" s="291">
        <f t="shared" si="0"/>
        <v>661</v>
      </c>
      <c r="F39" s="291">
        <f t="shared" si="1"/>
        <v>3.9993333333333339</v>
      </c>
      <c r="G39" s="278">
        <f t="shared" si="2"/>
        <v>2.7777777777777775E-3</v>
      </c>
      <c r="H39" s="279">
        <f t="shared" si="3"/>
        <v>3.3333333333333333E-2</v>
      </c>
      <c r="I39" s="279">
        <f t="shared" si="4"/>
        <v>0.6554444444444445</v>
      </c>
      <c r="J39" s="279">
        <f t="shared" si="5"/>
        <v>3.932666666666667</v>
      </c>
      <c r="BU39" s="259"/>
      <c r="BV39" s="260"/>
      <c r="BW39" s="260"/>
      <c r="BX39" s="260"/>
      <c r="BY39" s="260"/>
      <c r="BZ39" s="260"/>
      <c r="CA39" s="260"/>
      <c r="CB39" s="260"/>
      <c r="CC39" s="260"/>
      <c r="CD39" s="260"/>
      <c r="CE39" s="260"/>
      <c r="CF39" s="260"/>
      <c r="CG39" s="260"/>
      <c r="CH39" s="260"/>
      <c r="CI39" s="261"/>
    </row>
    <row r="40" spans="2:87" ht="13.5" thickBot="1" x14ac:dyDescent="0.25">
      <c r="B40" s="291">
        <v>13</v>
      </c>
      <c r="C40" s="292">
        <v>1300</v>
      </c>
      <c r="D40" s="292">
        <v>1</v>
      </c>
      <c r="E40" s="291">
        <f t="shared" si="0"/>
        <v>1300</v>
      </c>
      <c r="F40" s="291">
        <f t="shared" si="1"/>
        <v>7.8333333333333339</v>
      </c>
      <c r="G40" s="278">
        <f t="shared" si="2"/>
        <v>2.7777777777777775E-3</v>
      </c>
      <c r="H40" s="279">
        <f t="shared" si="3"/>
        <v>3.3333333333333333E-2</v>
      </c>
      <c r="I40" s="279">
        <f t="shared" si="4"/>
        <v>1.2944444444444445</v>
      </c>
      <c r="J40" s="279">
        <f t="shared" si="5"/>
        <v>7.7666666666666675</v>
      </c>
      <c r="BU40" s="259"/>
      <c r="BV40" s="260"/>
      <c r="BW40" s="260"/>
      <c r="BX40" s="260"/>
      <c r="BY40" s="260"/>
      <c r="BZ40" s="260"/>
      <c r="CA40" s="260"/>
      <c r="CB40" s="260"/>
      <c r="CC40" s="260"/>
      <c r="CD40" s="260"/>
      <c r="CE40" s="260"/>
      <c r="CF40" s="260"/>
      <c r="CG40" s="260"/>
      <c r="CH40" s="260"/>
      <c r="CI40" s="261"/>
    </row>
    <row r="41" spans="2:87" ht="13.5" thickBot="1" x14ac:dyDescent="0.25">
      <c r="B41" s="291">
        <v>14</v>
      </c>
      <c r="C41" s="292">
        <v>1309.5</v>
      </c>
      <c r="D41" s="292">
        <v>1</v>
      </c>
      <c r="E41" s="291">
        <f t="shared" si="0"/>
        <v>1309.5</v>
      </c>
      <c r="F41" s="291">
        <f t="shared" si="1"/>
        <v>7.8903333333333343</v>
      </c>
      <c r="G41" s="278">
        <f t="shared" si="2"/>
        <v>2.7777777777777775E-3</v>
      </c>
      <c r="H41" s="279">
        <f t="shared" si="3"/>
        <v>3.3333333333333333E-2</v>
      </c>
      <c r="I41" s="279">
        <f t="shared" si="4"/>
        <v>1.3039444444444446</v>
      </c>
      <c r="J41" s="279">
        <f t="shared" si="5"/>
        <v>7.8236666666666679</v>
      </c>
      <c r="BU41" s="259"/>
      <c r="BV41" s="260"/>
      <c r="BW41" s="260"/>
      <c r="BX41" s="260"/>
      <c r="BY41" s="260"/>
      <c r="BZ41" s="260"/>
      <c r="CA41" s="260"/>
      <c r="CB41" s="260"/>
      <c r="CC41" s="260"/>
      <c r="CD41" s="260"/>
      <c r="CE41" s="260"/>
      <c r="CF41" s="260"/>
      <c r="CG41" s="260"/>
      <c r="CH41" s="260"/>
      <c r="CI41" s="261"/>
    </row>
    <row r="42" spans="2:87" ht="13.5" thickBot="1" x14ac:dyDescent="0.25">
      <c r="B42" s="291">
        <v>15</v>
      </c>
      <c r="C42" s="292">
        <v>0</v>
      </c>
      <c r="D42" s="292">
        <v>0</v>
      </c>
      <c r="E42" s="291">
        <f t="shared" si="0"/>
        <v>0</v>
      </c>
      <c r="F42" s="291">
        <f t="shared" si="1"/>
        <v>0</v>
      </c>
      <c r="G42" s="278">
        <f t="shared" si="2"/>
        <v>2.7777777777777775E-3</v>
      </c>
      <c r="H42" s="279">
        <f t="shared" si="3"/>
        <v>3.3333333333333333E-2</v>
      </c>
      <c r="I42" s="279">
        <f t="shared" si="4"/>
        <v>-5.5555555555555549E-3</v>
      </c>
      <c r="J42" s="279">
        <f t="shared" si="5"/>
        <v>-3.3333333333333333E-2</v>
      </c>
      <c r="BU42" s="259"/>
      <c r="BV42" s="260"/>
      <c r="BW42" s="260"/>
      <c r="BX42" s="260"/>
      <c r="BY42" s="260"/>
      <c r="BZ42" s="260"/>
      <c r="CA42" s="260"/>
      <c r="CB42" s="260"/>
      <c r="CC42" s="260"/>
      <c r="CD42" s="260"/>
      <c r="CE42" s="260"/>
      <c r="CF42" s="260"/>
      <c r="CG42" s="260"/>
      <c r="CH42" s="260"/>
      <c r="CI42" s="261"/>
    </row>
    <row r="43" spans="2:87" ht="13.5" thickBot="1" x14ac:dyDescent="0.25">
      <c r="B43" s="291">
        <v>16</v>
      </c>
      <c r="C43" s="292">
        <v>0</v>
      </c>
      <c r="D43" s="292">
        <v>0</v>
      </c>
      <c r="E43" s="291">
        <f t="shared" si="0"/>
        <v>0</v>
      </c>
      <c r="F43" s="291">
        <f t="shared" si="1"/>
        <v>0</v>
      </c>
      <c r="G43" s="278">
        <f t="shared" si="2"/>
        <v>2.7777777777777775E-3</v>
      </c>
      <c r="H43" s="279">
        <f t="shared" si="3"/>
        <v>3.3333333333333333E-2</v>
      </c>
      <c r="I43" s="279">
        <f t="shared" si="4"/>
        <v>-5.5555555555555549E-3</v>
      </c>
      <c r="J43" s="279">
        <f t="shared" si="5"/>
        <v>-3.3333333333333333E-2</v>
      </c>
      <c r="BU43" s="259"/>
      <c r="BV43" s="260"/>
      <c r="BW43" s="260"/>
      <c r="BX43" s="260"/>
      <c r="BY43" s="260"/>
      <c r="BZ43" s="260"/>
      <c r="CA43" s="260"/>
      <c r="CB43" s="260"/>
      <c r="CC43" s="260"/>
      <c r="CD43" s="260"/>
      <c r="CE43" s="260"/>
      <c r="CF43" s="260"/>
      <c r="CG43" s="260"/>
      <c r="CH43" s="260"/>
      <c r="CI43" s="261"/>
    </row>
    <row r="44" spans="2:87" ht="13.5" thickBot="1" x14ac:dyDescent="0.25">
      <c r="B44" s="291">
        <v>17</v>
      </c>
      <c r="C44" s="292">
        <v>0</v>
      </c>
      <c r="D44" s="292">
        <v>0</v>
      </c>
      <c r="E44" s="291">
        <f t="shared" si="0"/>
        <v>0</v>
      </c>
      <c r="F44" s="291">
        <f t="shared" si="1"/>
        <v>0</v>
      </c>
      <c r="G44" s="278">
        <f t="shared" si="2"/>
        <v>2.7777777777777775E-3</v>
      </c>
      <c r="H44" s="279">
        <f t="shared" si="3"/>
        <v>3.3333333333333333E-2</v>
      </c>
      <c r="I44" s="279">
        <f t="shared" si="4"/>
        <v>-5.5555555555555549E-3</v>
      </c>
      <c r="J44" s="279">
        <f t="shared" si="5"/>
        <v>-3.3333333333333333E-2</v>
      </c>
      <c r="BU44" s="259"/>
      <c r="BV44" s="260"/>
      <c r="BW44" s="260"/>
      <c r="BX44" s="260"/>
      <c r="BY44" s="260"/>
      <c r="BZ44" s="260"/>
      <c r="CA44" s="260"/>
      <c r="CB44" s="260"/>
      <c r="CC44" s="260"/>
      <c r="CD44" s="260"/>
      <c r="CE44" s="260"/>
      <c r="CF44" s="260"/>
      <c r="CG44" s="260"/>
      <c r="CH44" s="260"/>
      <c r="CI44" s="261"/>
    </row>
    <row r="45" spans="2:87" ht="13.5" thickBot="1" x14ac:dyDescent="0.25">
      <c r="B45" s="291">
        <v>18</v>
      </c>
      <c r="C45" s="292">
        <v>0</v>
      </c>
      <c r="D45" s="292">
        <v>0</v>
      </c>
      <c r="E45" s="291">
        <f t="shared" si="0"/>
        <v>0</v>
      </c>
      <c r="F45" s="291">
        <f t="shared" si="1"/>
        <v>0</v>
      </c>
      <c r="G45" s="278">
        <f t="shared" si="2"/>
        <v>2.7777777777777775E-3</v>
      </c>
      <c r="H45" s="279">
        <f t="shared" si="3"/>
        <v>3.3333333333333333E-2</v>
      </c>
      <c r="I45" s="279">
        <f t="shared" si="4"/>
        <v>-5.5555555555555549E-3</v>
      </c>
      <c r="J45" s="279">
        <f t="shared" si="5"/>
        <v>-3.3333333333333333E-2</v>
      </c>
      <c r="BU45" s="259"/>
      <c r="BV45" s="260"/>
      <c r="BW45" s="260"/>
      <c r="BX45" s="260"/>
      <c r="BY45" s="260"/>
      <c r="BZ45" s="260"/>
      <c r="CA45" s="260"/>
      <c r="CB45" s="260"/>
      <c r="CC45" s="260"/>
      <c r="CD45" s="260"/>
      <c r="CE45" s="260"/>
      <c r="CF45" s="260"/>
      <c r="CG45" s="260"/>
      <c r="CH45" s="260"/>
      <c r="CI45" s="261"/>
    </row>
    <row r="46" spans="2:87" ht="13.5" thickBot="1" x14ac:dyDescent="0.25">
      <c r="B46" s="291">
        <v>19</v>
      </c>
      <c r="C46" s="292">
        <v>0</v>
      </c>
      <c r="D46" s="292">
        <v>0</v>
      </c>
      <c r="E46" s="291">
        <f t="shared" si="0"/>
        <v>0</v>
      </c>
      <c r="F46" s="291">
        <f t="shared" si="1"/>
        <v>0</v>
      </c>
      <c r="G46" s="278">
        <f t="shared" si="2"/>
        <v>2.7777777777777775E-3</v>
      </c>
      <c r="H46" s="279">
        <f t="shared" si="3"/>
        <v>3.3333333333333333E-2</v>
      </c>
      <c r="I46" s="279">
        <f t="shared" si="4"/>
        <v>-5.5555555555555549E-3</v>
      </c>
      <c r="J46" s="279">
        <f t="shared" si="5"/>
        <v>-3.3333333333333333E-2</v>
      </c>
      <c r="BU46" s="259"/>
      <c r="BV46" s="260"/>
      <c r="BW46" s="260"/>
      <c r="BX46" s="260"/>
      <c r="BY46" s="260"/>
      <c r="BZ46" s="260"/>
      <c r="CA46" s="260"/>
      <c r="CB46" s="260"/>
      <c r="CC46" s="260"/>
      <c r="CD46" s="260"/>
      <c r="CE46" s="260"/>
      <c r="CF46" s="260"/>
      <c r="CG46" s="260"/>
      <c r="CH46" s="260"/>
      <c r="CI46" s="261"/>
    </row>
    <row r="47" spans="2:87" ht="13.5" thickBot="1" x14ac:dyDescent="0.25">
      <c r="B47" s="291">
        <v>20</v>
      </c>
      <c r="C47" s="292">
        <v>0</v>
      </c>
      <c r="D47" s="292">
        <v>0</v>
      </c>
      <c r="E47" s="291">
        <f t="shared" si="0"/>
        <v>0</v>
      </c>
      <c r="F47" s="291">
        <f t="shared" si="1"/>
        <v>0</v>
      </c>
      <c r="G47" s="278">
        <f t="shared" si="2"/>
        <v>2.7777777777777775E-3</v>
      </c>
      <c r="H47" s="279">
        <f t="shared" si="3"/>
        <v>3.3333333333333333E-2</v>
      </c>
      <c r="I47" s="279">
        <f t="shared" si="4"/>
        <v>-5.5555555555555549E-3</v>
      </c>
      <c r="J47" s="279">
        <f t="shared" si="5"/>
        <v>-3.3333333333333333E-2</v>
      </c>
      <c r="BU47" s="259"/>
      <c r="BV47" s="260"/>
      <c r="BW47" s="260"/>
      <c r="BX47" s="260"/>
      <c r="BY47" s="260"/>
      <c r="BZ47" s="260"/>
      <c r="CA47" s="260"/>
      <c r="CB47" s="260"/>
      <c r="CC47" s="260"/>
      <c r="CD47" s="260"/>
      <c r="CE47" s="260"/>
      <c r="CF47" s="260"/>
      <c r="CG47" s="260"/>
      <c r="CH47" s="260"/>
      <c r="CI47" s="261"/>
    </row>
    <row r="48" spans="2:87" ht="13.5" thickBot="1" x14ac:dyDescent="0.25">
      <c r="B48" s="259"/>
      <c r="C48" s="260"/>
      <c r="D48" s="260"/>
      <c r="E48" s="260"/>
      <c r="F48" s="261"/>
      <c r="BU48" s="259"/>
      <c r="BV48" s="260"/>
      <c r="BW48" s="260"/>
      <c r="BX48" s="260"/>
      <c r="BY48" s="260"/>
      <c r="BZ48" s="260"/>
      <c r="CA48" s="260"/>
      <c r="CB48" s="260"/>
      <c r="CC48" s="260"/>
      <c r="CD48" s="260"/>
      <c r="CE48" s="260"/>
      <c r="CF48" s="260"/>
      <c r="CG48" s="260"/>
      <c r="CH48" s="260"/>
      <c r="CI48" s="261"/>
    </row>
    <row r="49" spans="2:87" ht="15.75" thickBot="1" x14ac:dyDescent="0.3">
      <c r="B49" s="259"/>
      <c r="C49" s="837" t="s">
        <v>508</v>
      </c>
      <c r="D49" s="837"/>
      <c r="E49" s="301">
        <f>SUM(E28:E47)</f>
        <v>10895.5</v>
      </c>
      <c r="F49" s="302" t="s">
        <v>9</v>
      </c>
      <c r="BU49" s="259"/>
      <c r="BV49" s="260"/>
      <c r="BW49" s="260"/>
      <c r="BX49" s="260"/>
      <c r="BY49" s="260"/>
      <c r="BZ49" s="260"/>
      <c r="CA49" s="260"/>
      <c r="CB49" s="260"/>
      <c r="CC49" s="260"/>
      <c r="CD49" s="260"/>
      <c r="CE49" s="260"/>
      <c r="CF49" s="260"/>
      <c r="CG49" s="260"/>
      <c r="CH49" s="260"/>
      <c r="CI49" s="261"/>
    </row>
    <row r="50" spans="2:87" ht="15.75" thickBot="1" x14ac:dyDescent="0.3">
      <c r="B50" s="259"/>
      <c r="C50" s="837" t="s">
        <v>509</v>
      </c>
      <c r="D50" s="837"/>
      <c r="E50" s="303">
        <f>(SUM(F28:F47))/60</f>
        <v>1.0973277777777779</v>
      </c>
      <c r="F50" s="302" t="s">
        <v>510</v>
      </c>
      <c r="BU50" s="259"/>
      <c r="BV50" s="260"/>
      <c r="BW50" s="260"/>
      <c r="BX50" s="260"/>
      <c r="BY50" s="260"/>
      <c r="BZ50" s="260"/>
      <c r="CA50" s="260"/>
      <c r="CB50" s="260"/>
      <c r="CC50" s="260"/>
      <c r="CD50" s="260"/>
      <c r="CE50" s="260"/>
      <c r="CF50" s="260"/>
      <c r="CG50" s="260"/>
      <c r="CH50" s="260"/>
      <c r="CI50" s="261"/>
    </row>
    <row r="51" spans="2:87" ht="15.75" thickBot="1" x14ac:dyDescent="0.3">
      <c r="B51" s="259"/>
      <c r="C51" s="837" t="s">
        <v>511</v>
      </c>
      <c r="D51" s="837"/>
      <c r="E51" s="301">
        <f>(E49/1000)/E50</f>
        <v>9.9291207428146144</v>
      </c>
      <c r="F51" s="302" t="s">
        <v>281</v>
      </c>
      <c r="BU51" s="259"/>
      <c r="BV51" s="260"/>
      <c r="BW51" s="260"/>
      <c r="BX51" s="260"/>
      <c r="BY51" s="260"/>
      <c r="BZ51" s="260"/>
      <c r="CA51" s="260"/>
      <c r="CB51" s="260"/>
      <c r="CC51" s="260"/>
      <c r="CD51" s="260"/>
      <c r="CE51" s="260"/>
      <c r="CF51" s="260"/>
      <c r="CG51" s="260"/>
      <c r="CH51" s="260"/>
      <c r="CI51" s="261"/>
    </row>
    <row r="52" spans="2:87" ht="13.5" thickBot="1" x14ac:dyDescent="0.25">
      <c r="B52" s="259"/>
      <c r="C52" s="260"/>
      <c r="D52" s="260"/>
      <c r="E52" s="260"/>
      <c r="F52" s="261"/>
      <c r="BU52" s="259"/>
      <c r="BV52" s="260"/>
      <c r="BW52" s="260"/>
      <c r="BX52" s="260"/>
      <c r="BY52" s="260"/>
      <c r="BZ52" s="260"/>
      <c r="CA52" s="260"/>
      <c r="CB52" s="260"/>
      <c r="CC52" s="260"/>
      <c r="CD52" s="260"/>
      <c r="CE52" s="260"/>
      <c r="CF52" s="260"/>
      <c r="CG52" s="260"/>
      <c r="CH52" s="260"/>
      <c r="CI52" s="261"/>
    </row>
    <row r="53" spans="2:87" ht="15.75" thickBot="1" x14ac:dyDescent="0.3">
      <c r="B53" s="839" t="s">
        <v>512</v>
      </c>
      <c r="C53" s="840"/>
      <c r="D53" s="840"/>
      <c r="E53" s="840"/>
      <c r="F53" s="841"/>
      <c r="BU53" s="304"/>
      <c r="BV53" s="305"/>
      <c r="BW53" s="305"/>
      <c r="BX53" s="305"/>
      <c r="BY53" s="305"/>
      <c r="BZ53" s="305"/>
      <c r="CA53" s="305"/>
      <c r="CB53" s="305"/>
      <c r="CC53" s="305"/>
      <c r="CD53" s="305"/>
      <c r="CE53" s="305"/>
      <c r="CF53" s="305"/>
      <c r="CG53" s="305"/>
      <c r="CH53" s="305"/>
      <c r="CI53" s="306"/>
    </row>
    <row r="54" spans="2:87" ht="13.5" thickBot="1" x14ac:dyDescent="0.25">
      <c r="B54" s="307"/>
      <c r="C54" s="308"/>
      <c r="D54" s="308"/>
      <c r="E54" s="308"/>
      <c r="F54" s="309"/>
      <c r="BU54" s="270"/>
      <c r="BV54" s="271"/>
      <c r="BW54" s="271"/>
      <c r="BX54" s="271"/>
      <c r="BY54" s="271"/>
      <c r="BZ54" s="271"/>
      <c r="CA54" s="271"/>
      <c r="CB54" s="271"/>
      <c r="CC54" s="271"/>
      <c r="CD54" s="271"/>
      <c r="CE54" s="271"/>
      <c r="CF54" s="271"/>
      <c r="CG54" s="271"/>
      <c r="CH54" s="271"/>
      <c r="CI54" s="272"/>
    </row>
    <row r="55" spans="2:87" ht="15.75" thickBot="1" x14ac:dyDescent="0.3">
      <c r="B55" s="830" t="s">
        <v>513</v>
      </c>
      <c r="C55" s="831"/>
      <c r="D55" s="831"/>
      <c r="E55" s="831"/>
      <c r="F55" s="832"/>
      <c r="BU55" s="259"/>
      <c r="BV55" s="260"/>
      <c r="BW55" s="260"/>
      <c r="BX55" s="260"/>
      <c r="BY55" s="260"/>
      <c r="BZ55" s="260"/>
      <c r="CA55" s="260"/>
      <c r="CB55" s="260"/>
      <c r="CC55" s="260"/>
      <c r="CD55" s="260"/>
      <c r="CE55" s="260"/>
      <c r="CF55" s="260"/>
      <c r="CG55" s="260"/>
      <c r="CH55" s="260"/>
      <c r="CI55" s="261"/>
    </row>
    <row r="56" spans="2:87" ht="13.5" thickBot="1" x14ac:dyDescent="0.25">
      <c r="B56" s="259"/>
      <c r="C56" s="260"/>
      <c r="D56" s="260"/>
      <c r="E56" s="260"/>
      <c r="F56" s="261"/>
      <c r="BU56" s="259"/>
      <c r="BV56" s="260"/>
      <c r="BW56" s="260"/>
      <c r="BX56" s="260"/>
      <c r="BY56" s="260"/>
      <c r="BZ56" s="260"/>
      <c r="CA56" s="260"/>
      <c r="CB56" s="260"/>
      <c r="CC56" s="260"/>
      <c r="CD56" s="260"/>
      <c r="CE56" s="260"/>
      <c r="CF56" s="260"/>
      <c r="CG56" s="260"/>
      <c r="CH56" s="260"/>
      <c r="CI56" s="261"/>
    </row>
    <row r="57" spans="2:87" ht="15.75" thickBot="1" x14ac:dyDescent="0.3">
      <c r="B57" s="310" t="s">
        <v>514</v>
      </c>
      <c r="C57" s="311">
        <f>(60/C62)</f>
        <v>41.142857142857139</v>
      </c>
      <c r="D57" s="312" t="s">
        <v>279</v>
      </c>
      <c r="E57" s="260"/>
      <c r="F57" s="261"/>
      <c r="BU57" s="259"/>
      <c r="BV57" s="260"/>
      <c r="BW57" s="260"/>
      <c r="BX57" s="260"/>
      <c r="BY57" s="260"/>
      <c r="BZ57" s="260"/>
      <c r="CA57" s="260"/>
      <c r="CB57" s="260"/>
      <c r="CC57" s="260"/>
      <c r="CD57" s="260"/>
      <c r="CE57" s="260"/>
      <c r="CF57" s="260"/>
      <c r="CG57" s="260"/>
      <c r="CH57" s="260"/>
      <c r="CI57" s="261"/>
    </row>
    <row r="58" spans="2:87" ht="13.5" thickBot="1" x14ac:dyDescent="0.25">
      <c r="B58" s="310" t="s">
        <v>438</v>
      </c>
      <c r="C58" s="313">
        <v>20</v>
      </c>
      <c r="D58" s="312" t="s">
        <v>9</v>
      </c>
      <c r="E58" s="260"/>
      <c r="F58" s="261"/>
      <c r="BU58" s="259"/>
      <c r="BV58" s="260"/>
      <c r="BW58" s="260"/>
      <c r="BX58" s="260"/>
      <c r="BY58" s="260"/>
      <c r="BZ58" s="260"/>
      <c r="CA58" s="260"/>
      <c r="CB58" s="260"/>
      <c r="CC58" s="260"/>
      <c r="CD58" s="260"/>
      <c r="CE58" s="260"/>
      <c r="CF58" s="260"/>
      <c r="CG58" s="260"/>
      <c r="CH58" s="260"/>
      <c r="CI58" s="261"/>
    </row>
    <row r="59" spans="2:87" ht="13.5" thickBot="1" x14ac:dyDescent="0.25">
      <c r="B59" s="259"/>
      <c r="C59" s="260"/>
      <c r="D59" s="314"/>
      <c r="E59" s="260"/>
      <c r="F59" s="261"/>
      <c r="BU59" s="259"/>
      <c r="BV59" s="260"/>
      <c r="BW59" s="260"/>
      <c r="BX59" s="260"/>
      <c r="BY59" s="260"/>
      <c r="BZ59" s="260"/>
      <c r="CA59" s="260"/>
      <c r="CB59" s="260"/>
      <c r="CC59" s="260"/>
      <c r="CD59" s="260"/>
      <c r="CE59" s="260"/>
      <c r="CF59" s="260"/>
      <c r="CG59" s="260"/>
      <c r="CH59" s="260"/>
      <c r="CI59" s="261"/>
    </row>
    <row r="60" spans="2:87" ht="15.75" thickBot="1" x14ac:dyDescent="0.3">
      <c r="B60" s="315" t="s">
        <v>515</v>
      </c>
      <c r="C60" s="316">
        <f>(C58/1000)/0.02</f>
        <v>1</v>
      </c>
      <c r="D60" s="302" t="s">
        <v>187</v>
      </c>
      <c r="E60" s="260"/>
      <c r="F60" s="261"/>
      <c r="BU60" s="259"/>
      <c r="BV60" s="260"/>
      <c r="BW60" s="260"/>
      <c r="BX60" s="260"/>
      <c r="BY60" s="260"/>
      <c r="BZ60" s="260"/>
      <c r="CA60" s="260"/>
      <c r="CB60" s="260"/>
      <c r="CC60" s="260"/>
      <c r="CD60" s="260"/>
      <c r="CE60" s="260"/>
      <c r="CF60" s="260"/>
      <c r="CG60" s="260"/>
      <c r="CH60" s="260"/>
      <c r="CI60" s="261"/>
    </row>
    <row r="61" spans="2:87" ht="15.75" thickBot="1" x14ac:dyDescent="0.3">
      <c r="B61" s="315" t="s">
        <v>516</v>
      </c>
      <c r="C61" s="317">
        <f>C11</f>
        <v>0.33333333333333337</v>
      </c>
      <c r="D61" s="302" t="s">
        <v>187</v>
      </c>
      <c r="E61" s="260"/>
      <c r="F61" s="261"/>
      <c r="BU61" s="259"/>
      <c r="BV61" s="260"/>
      <c r="BW61" s="260"/>
      <c r="BX61" s="260"/>
      <c r="BY61" s="260"/>
      <c r="BZ61" s="260"/>
      <c r="CA61" s="260"/>
      <c r="CB61" s="260"/>
      <c r="CC61" s="260"/>
      <c r="CD61" s="260"/>
      <c r="CE61" s="260"/>
      <c r="CF61" s="260"/>
      <c r="CG61" s="260"/>
      <c r="CH61" s="260"/>
      <c r="CI61" s="261"/>
    </row>
    <row r="62" spans="2:87" ht="15.75" thickBot="1" x14ac:dyDescent="0.25">
      <c r="B62" s="318" t="s">
        <v>517</v>
      </c>
      <c r="C62" s="317">
        <f>(C60+C61)+(C63/100)</f>
        <v>1.4583333333333335</v>
      </c>
      <c r="D62" s="302" t="s">
        <v>187</v>
      </c>
      <c r="E62" s="260"/>
      <c r="F62" s="261"/>
      <c r="BU62" s="259"/>
      <c r="BV62" s="260"/>
      <c r="BW62" s="260"/>
      <c r="BX62" s="260"/>
      <c r="BY62" s="260"/>
      <c r="BZ62" s="260"/>
      <c r="CA62" s="260"/>
      <c r="CB62" s="260"/>
      <c r="CC62" s="260"/>
      <c r="CD62" s="260"/>
      <c r="CE62" s="260"/>
      <c r="CF62" s="260"/>
      <c r="CG62" s="260"/>
      <c r="CH62" s="260"/>
      <c r="CI62" s="261"/>
    </row>
    <row r="63" spans="2:87" ht="15.75" thickBot="1" x14ac:dyDescent="0.3">
      <c r="B63" s="315" t="s">
        <v>518</v>
      </c>
      <c r="C63" s="319">
        <f>IF($C$6=2.5,17,IF($C$6=5,12.5,IF($C$6&gt;=7.5,10)))</f>
        <v>12.5</v>
      </c>
      <c r="D63" s="302" t="s">
        <v>292</v>
      </c>
      <c r="E63" s="260"/>
      <c r="F63" s="261"/>
      <c r="BU63" s="259"/>
      <c r="BV63" s="260"/>
      <c r="BW63" s="260"/>
      <c r="BX63" s="260"/>
      <c r="BY63" s="260"/>
      <c r="BZ63" s="260"/>
      <c r="CA63" s="260"/>
      <c r="CB63" s="260"/>
      <c r="CC63" s="260"/>
      <c r="CD63" s="260"/>
      <c r="CE63" s="260"/>
      <c r="CF63" s="260"/>
      <c r="CG63" s="260"/>
      <c r="CH63" s="260"/>
      <c r="CI63" s="261"/>
    </row>
    <row r="64" spans="2:87" ht="13.5" thickBot="1" x14ac:dyDescent="0.25">
      <c r="B64" s="320" t="s">
        <v>519</v>
      </c>
      <c r="C64" s="321">
        <f>C62-(C60+C61)</f>
        <v>0.125</v>
      </c>
      <c r="D64" s="302" t="s">
        <v>187</v>
      </c>
      <c r="E64" s="260"/>
      <c r="F64" s="261"/>
      <c r="BU64" s="259"/>
      <c r="BV64" s="260"/>
      <c r="BW64" s="260"/>
      <c r="BX64" s="260"/>
      <c r="BY64" s="260"/>
      <c r="BZ64" s="260"/>
      <c r="CA64" s="260"/>
      <c r="CB64" s="260"/>
      <c r="CC64" s="260"/>
      <c r="CD64" s="260"/>
      <c r="CE64" s="260"/>
      <c r="CF64" s="260"/>
      <c r="CG64" s="260"/>
      <c r="CH64" s="260"/>
      <c r="CI64" s="261"/>
    </row>
    <row r="65" spans="2:87" ht="13.5" thickBot="1" x14ac:dyDescent="0.25">
      <c r="B65" s="259"/>
      <c r="C65" s="260"/>
      <c r="D65" s="260"/>
      <c r="E65" s="260"/>
      <c r="F65" s="261"/>
      <c r="BU65" s="259"/>
      <c r="BV65" s="260"/>
      <c r="BW65" s="260"/>
      <c r="BX65" s="260"/>
      <c r="BY65" s="260"/>
      <c r="BZ65" s="260"/>
      <c r="CA65" s="260"/>
      <c r="CB65" s="260"/>
      <c r="CC65" s="260"/>
      <c r="CD65" s="260"/>
      <c r="CE65" s="260"/>
      <c r="CF65" s="260"/>
      <c r="CG65" s="260"/>
      <c r="CH65" s="260"/>
      <c r="CI65" s="261"/>
    </row>
    <row r="66" spans="2:87" ht="15.75" thickBot="1" x14ac:dyDescent="0.3">
      <c r="B66" s="830" t="s">
        <v>520</v>
      </c>
      <c r="C66" s="831"/>
      <c r="D66" s="831"/>
      <c r="E66" s="831"/>
      <c r="F66" s="832"/>
      <c r="BU66" s="259"/>
      <c r="BV66" s="260"/>
      <c r="BW66" s="260"/>
      <c r="BX66" s="260"/>
      <c r="BY66" s="260"/>
      <c r="BZ66" s="260"/>
      <c r="CA66" s="260"/>
      <c r="CB66" s="260"/>
      <c r="CC66" s="260"/>
      <c r="CD66" s="260"/>
      <c r="CE66" s="260"/>
      <c r="CF66" s="260"/>
      <c r="CG66" s="260"/>
      <c r="CH66" s="260"/>
      <c r="CI66" s="261"/>
    </row>
    <row r="67" spans="2:87" ht="13.5" thickBot="1" x14ac:dyDescent="0.25">
      <c r="B67" s="259"/>
      <c r="C67" s="260"/>
      <c r="D67" s="260"/>
      <c r="E67" s="260"/>
      <c r="F67" s="261"/>
      <c r="BU67" s="259"/>
      <c r="BV67" s="260"/>
      <c r="BW67" s="260"/>
      <c r="BX67" s="260"/>
      <c r="BY67" s="260"/>
      <c r="BZ67" s="260"/>
      <c r="CA67" s="260"/>
      <c r="CB67" s="260"/>
      <c r="CC67" s="260"/>
      <c r="CD67" s="260"/>
      <c r="CE67" s="260"/>
      <c r="CF67" s="260"/>
      <c r="CG67" s="260"/>
      <c r="CH67" s="260"/>
      <c r="CI67" s="261"/>
    </row>
    <row r="68" spans="2:87" ht="15.75" thickBot="1" x14ac:dyDescent="0.3">
      <c r="B68" s="310" t="s">
        <v>514</v>
      </c>
      <c r="C68" s="311">
        <f>60/(C73/(SUM(D28:D47)))</f>
        <v>10.5046395491342</v>
      </c>
      <c r="D68" s="312" t="s">
        <v>279</v>
      </c>
      <c r="E68" s="260"/>
      <c r="F68" s="261"/>
      <c r="BU68" s="259"/>
      <c r="BV68" s="260"/>
      <c r="BW68" s="260"/>
      <c r="BX68" s="260"/>
      <c r="BY68" s="260"/>
      <c r="BZ68" s="260"/>
      <c r="CA68" s="260"/>
      <c r="CB68" s="260"/>
      <c r="CC68" s="260"/>
      <c r="CD68" s="260"/>
      <c r="CE68" s="260"/>
      <c r="CF68" s="260"/>
      <c r="CG68" s="260"/>
      <c r="CH68" s="260"/>
      <c r="CI68" s="261"/>
    </row>
    <row r="69" spans="2:87" ht="13.5" thickBot="1" x14ac:dyDescent="0.25">
      <c r="B69" s="310" t="s">
        <v>438</v>
      </c>
      <c r="C69" s="313">
        <v>20</v>
      </c>
      <c r="D69" s="312" t="s">
        <v>9</v>
      </c>
      <c r="E69" s="260"/>
      <c r="F69" s="261"/>
      <c r="BU69" s="259"/>
      <c r="BV69" s="260"/>
      <c r="BW69" s="260"/>
      <c r="BX69" s="260"/>
      <c r="BY69" s="260"/>
      <c r="BZ69" s="260"/>
      <c r="CA69" s="260"/>
      <c r="CB69" s="260"/>
      <c r="CC69" s="260"/>
      <c r="CD69" s="260"/>
      <c r="CE69" s="260"/>
      <c r="CF69" s="260"/>
      <c r="CG69" s="260"/>
      <c r="CH69" s="260"/>
      <c r="CI69" s="261"/>
    </row>
    <row r="70" spans="2:87" ht="13.5" thickBot="1" x14ac:dyDescent="0.25">
      <c r="B70" s="259"/>
      <c r="C70" s="260"/>
      <c r="D70" s="314"/>
      <c r="E70" s="260"/>
      <c r="F70" s="261"/>
      <c r="BU70" s="259"/>
      <c r="BV70" s="260"/>
      <c r="BW70" s="260"/>
      <c r="BX70" s="260"/>
      <c r="BY70" s="260"/>
      <c r="BZ70" s="260"/>
      <c r="CA70" s="260"/>
      <c r="CB70" s="260"/>
      <c r="CC70" s="260"/>
      <c r="CD70" s="260"/>
      <c r="CE70" s="260"/>
      <c r="CF70" s="260"/>
      <c r="CG70" s="260"/>
      <c r="CH70" s="260"/>
      <c r="CI70" s="261"/>
    </row>
    <row r="71" spans="2:87" ht="15.75" thickBot="1" x14ac:dyDescent="0.3">
      <c r="B71" s="315" t="s">
        <v>515</v>
      </c>
      <c r="C71" s="316">
        <f>(C69/1000)/0.02</f>
        <v>1</v>
      </c>
      <c r="D71" s="302" t="s">
        <v>187</v>
      </c>
      <c r="E71" s="260"/>
      <c r="F71" s="261"/>
      <c r="BU71" s="259"/>
      <c r="BV71" s="260"/>
      <c r="BW71" s="260"/>
      <c r="BX71" s="260"/>
      <c r="BY71" s="260"/>
      <c r="BZ71" s="260"/>
      <c r="CA71" s="260"/>
      <c r="CB71" s="260"/>
      <c r="CC71" s="260"/>
      <c r="CD71" s="260"/>
      <c r="CE71" s="260"/>
      <c r="CF71" s="260"/>
      <c r="CG71" s="260"/>
      <c r="CH71" s="260"/>
      <c r="CI71" s="261"/>
    </row>
    <row r="72" spans="2:87" ht="15.75" thickBot="1" x14ac:dyDescent="0.3">
      <c r="B72" s="315" t="s">
        <v>516</v>
      </c>
      <c r="C72" s="317">
        <f>SUM(F28:F47)</f>
        <v>65.839666666666673</v>
      </c>
      <c r="D72" s="302" t="s">
        <v>187</v>
      </c>
      <c r="E72" s="260"/>
      <c r="F72" s="261"/>
      <c r="BU72" s="259"/>
      <c r="BV72" s="260"/>
      <c r="BW72" s="260"/>
      <c r="BX72" s="260"/>
      <c r="BY72" s="260"/>
      <c r="BZ72" s="260"/>
      <c r="CA72" s="260"/>
      <c r="CB72" s="260"/>
      <c r="CC72" s="260"/>
      <c r="CD72" s="260"/>
      <c r="CE72" s="260"/>
      <c r="CF72" s="260"/>
      <c r="CG72" s="260"/>
      <c r="CH72" s="260"/>
      <c r="CI72" s="261"/>
    </row>
    <row r="73" spans="2:87" ht="15.75" thickBot="1" x14ac:dyDescent="0.25">
      <c r="B73" s="318" t="s">
        <v>517</v>
      </c>
      <c r="C73" s="317">
        <f>SUM(D28:D47)*C71+C72+(C74/100)</f>
        <v>79.964666666666673</v>
      </c>
      <c r="D73" s="302" t="s">
        <v>187</v>
      </c>
      <c r="E73" s="260"/>
      <c r="F73" s="261"/>
      <c r="BU73" s="259"/>
      <c r="BV73" s="260"/>
      <c r="BW73" s="260"/>
      <c r="BX73" s="260"/>
      <c r="BY73" s="260"/>
      <c r="BZ73" s="260"/>
      <c r="CA73" s="260"/>
      <c r="CB73" s="260"/>
      <c r="CC73" s="260"/>
      <c r="CD73" s="260"/>
      <c r="CE73" s="260"/>
      <c r="CF73" s="260"/>
      <c r="CG73" s="260"/>
      <c r="CH73" s="260"/>
      <c r="CI73" s="261"/>
    </row>
    <row r="74" spans="2:87" ht="15.75" thickBot="1" x14ac:dyDescent="0.3">
      <c r="B74" s="315" t="s">
        <v>518</v>
      </c>
      <c r="C74" s="319">
        <f>IF(C6=2.5,17,IF(C6=5,12.5,IF(C6&gt;=7.5,10)))</f>
        <v>12.5</v>
      </c>
      <c r="D74" s="302" t="s">
        <v>292</v>
      </c>
      <c r="E74" s="260"/>
      <c r="F74" s="261"/>
      <c r="BU74" s="259"/>
      <c r="BV74" s="260"/>
      <c r="BW74" s="260"/>
      <c r="BX74" s="260"/>
      <c r="BY74" s="260"/>
      <c r="BZ74" s="260"/>
      <c r="CA74" s="260"/>
      <c r="CB74" s="260"/>
      <c r="CC74" s="260"/>
      <c r="CD74" s="260"/>
      <c r="CE74" s="260"/>
      <c r="CF74" s="260"/>
      <c r="CG74" s="260"/>
      <c r="CH74" s="260"/>
      <c r="CI74" s="261"/>
    </row>
    <row r="75" spans="2:87" ht="15.75" thickBot="1" x14ac:dyDescent="0.25">
      <c r="B75" s="318" t="s">
        <v>519</v>
      </c>
      <c r="C75" s="321">
        <f>C73-(C71+C72)</f>
        <v>13.125</v>
      </c>
      <c r="D75" s="302" t="s">
        <v>187</v>
      </c>
      <c r="E75" s="260"/>
      <c r="F75" s="261"/>
      <c r="BU75" s="259"/>
      <c r="BV75" s="260"/>
      <c r="BW75" s="260"/>
      <c r="BX75" s="260"/>
      <c r="BY75" s="260"/>
      <c r="BZ75" s="260"/>
      <c r="CA75" s="260"/>
      <c r="CB75" s="260"/>
      <c r="CC75" s="260"/>
      <c r="CD75" s="260"/>
      <c r="CE75" s="260"/>
      <c r="CF75" s="260"/>
      <c r="CG75" s="260"/>
      <c r="CH75" s="260"/>
      <c r="CI75" s="261"/>
    </row>
    <row r="76" spans="2:87" ht="13.5" thickBot="1" x14ac:dyDescent="0.25">
      <c r="B76" s="259"/>
      <c r="C76" s="260"/>
      <c r="D76" s="260"/>
      <c r="E76" s="260"/>
      <c r="F76" s="261"/>
      <c r="BU76" s="284"/>
      <c r="BV76" s="285"/>
      <c r="BW76" s="285"/>
      <c r="BX76" s="285"/>
      <c r="BY76" s="285"/>
      <c r="BZ76" s="285"/>
      <c r="CA76" s="285"/>
      <c r="CB76" s="285"/>
      <c r="CC76" s="285"/>
      <c r="CD76" s="285"/>
      <c r="CE76" s="285"/>
      <c r="CF76" s="285"/>
      <c r="CG76" s="285"/>
      <c r="CH76" s="285"/>
      <c r="CI76" s="286"/>
    </row>
    <row r="77" spans="2:87" ht="15.75" thickBot="1" x14ac:dyDescent="0.3">
      <c r="B77" s="839" t="s">
        <v>58</v>
      </c>
      <c r="C77" s="840"/>
      <c r="D77" s="840"/>
      <c r="E77" s="840"/>
      <c r="F77" s="841"/>
      <c r="BU77" s="304"/>
      <c r="BV77" s="305"/>
      <c r="BW77" s="305"/>
      <c r="BX77" s="305"/>
      <c r="BY77" s="305"/>
      <c r="BZ77" s="305"/>
      <c r="CA77" s="305"/>
      <c r="CB77" s="305"/>
      <c r="CC77" s="305"/>
      <c r="CD77" s="305"/>
      <c r="CE77" s="305"/>
      <c r="CF77" s="305"/>
      <c r="CG77" s="305"/>
      <c r="CH77" s="305"/>
      <c r="CI77" s="306"/>
    </row>
    <row r="78" spans="2:87" ht="13.5" thickBot="1" x14ac:dyDescent="0.25">
      <c r="B78" s="259"/>
      <c r="C78" s="260"/>
      <c r="D78" s="260"/>
      <c r="E78" s="260"/>
      <c r="F78" s="261"/>
    </row>
    <row r="79" spans="2:87" ht="15.75" thickBot="1" x14ac:dyDescent="0.3">
      <c r="B79" s="830" t="s">
        <v>477</v>
      </c>
      <c r="C79" s="831"/>
      <c r="D79" s="831"/>
      <c r="E79" s="831"/>
      <c r="F79" s="832"/>
    </row>
    <row r="80" spans="2:87" ht="13.5" thickBot="1" x14ac:dyDescent="0.25">
      <c r="B80" s="259"/>
      <c r="C80" s="260"/>
      <c r="D80" s="260"/>
      <c r="E80" s="260"/>
      <c r="F80" s="261"/>
    </row>
    <row r="81" spans="2:6" ht="15.75" thickBot="1" x14ac:dyDescent="0.3">
      <c r="B81" s="310" t="s">
        <v>521</v>
      </c>
      <c r="C81" s="322">
        <f>(C10*C57)/1000</f>
        <v>2.0571428571428569</v>
      </c>
      <c r="D81" s="312" t="s">
        <v>281</v>
      </c>
      <c r="E81" s="260"/>
      <c r="F81" s="261"/>
    </row>
    <row r="82" spans="2:6" ht="13.5" thickBot="1" x14ac:dyDescent="0.25">
      <c r="B82" s="259"/>
      <c r="C82" s="260"/>
      <c r="D82" s="260"/>
      <c r="E82" s="260"/>
      <c r="F82" s="261"/>
    </row>
    <row r="83" spans="2:6" ht="15.75" thickBot="1" x14ac:dyDescent="0.3">
      <c r="B83" s="830" t="s">
        <v>485</v>
      </c>
      <c r="C83" s="831"/>
      <c r="D83" s="831"/>
      <c r="E83" s="831"/>
      <c r="F83" s="832"/>
    </row>
    <row r="84" spans="2:6" ht="13.5" thickBot="1" x14ac:dyDescent="0.25">
      <c r="B84" s="259"/>
      <c r="C84" s="260"/>
      <c r="D84" s="260"/>
      <c r="E84" s="260"/>
      <c r="F84" s="261"/>
    </row>
    <row r="85" spans="2:6" ht="15.75" thickBot="1" x14ac:dyDescent="0.3">
      <c r="B85" s="310" t="s">
        <v>521</v>
      </c>
      <c r="C85" s="322">
        <f>((E49/1000)/(C73/60))*0.85</f>
        <v>6.9489503697466368</v>
      </c>
      <c r="D85" s="312" t="s">
        <v>281</v>
      </c>
      <c r="E85" s="260"/>
      <c r="F85" s="261"/>
    </row>
    <row r="86" spans="2:6" ht="13.5" thickBot="1" x14ac:dyDescent="0.25">
      <c r="B86" s="284"/>
      <c r="C86" s="285"/>
      <c r="D86" s="285"/>
      <c r="E86" s="285"/>
      <c r="F86" s="286"/>
    </row>
    <row r="89" spans="2:6" x14ac:dyDescent="0.2">
      <c r="B89" s="842" t="s">
        <v>522</v>
      </c>
      <c r="C89" s="842"/>
    </row>
    <row r="90" spans="2:6" x14ac:dyDescent="0.2">
      <c r="B90" s="843" t="s">
        <v>523</v>
      </c>
      <c r="C90" s="843"/>
    </row>
    <row r="91" spans="2:6" x14ac:dyDescent="0.2">
      <c r="B91" s="838" t="s">
        <v>524</v>
      </c>
      <c r="C91" s="838"/>
    </row>
    <row r="92" spans="2:6" x14ac:dyDescent="0.2">
      <c r="B92" s="838" t="s">
        <v>523</v>
      </c>
      <c r="C92" s="838"/>
    </row>
  </sheetData>
  <mergeCells count="36">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2:F2"/>
    <mergeCell ref="B8:F8"/>
    <mergeCell ref="B25:F25"/>
    <mergeCell ref="M27:O27"/>
    <mergeCell ref="P27:R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384" customWidth="1"/>
    <col min="2" max="2" width="10.7109375" style="384" bestFit="1" customWidth="1"/>
    <col min="3" max="3" width="9.85546875" style="384" bestFit="1" customWidth="1"/>
    <col min="4" max="4" width="11.140625" style="384" bestFit="1" customWidth="1"/>
    <col min="5" max="5" width="6.7109375" style="384" bestFit="1" customWidth="1"/>
    <col min="6" max="6" width="11.7109375" style="384" bestFit="1" customWidth="1"/>
    <col min="7" max="16384" width="9.140625" style="384"/>
  </cols>
  <sheetData>
    <row r="2" spans="2:6" s="527" customFormat="1" ht="75" x14ac:dyDescent="0.2">
      <c r="B2" s="528" t="s">
        <v>759</v>
      </c>
      <c r="C2" s="528" t="s">
        <v>760</v>
      </c>
      <c r="D2" s="528" t="s">
        <v>761</v>
      </c>
      <c r="E2" s="528" t="s">
        <v>762</v>
      </c>
      <c r="F2" s="528" t="s">
        <v>763</v>
      </c>
    </row>
    <row r="3" spans="2:6" s="385" customFormat="1" x14ac:dyDescent="0.2">
      <c r="B3" s="377" t="s">
        <v>764</v>
      </c>
      <c r="C3" s="377">
        <v>0.95</v>
      </c>
      <c r="D3" s="377">
        <v>3.85</v>
      </c>
      <c r="E3" s="377">
        <v>1.5</v>
      </c>
      <c r="F3" s="377">
        <v>0.08</v>
      </c>
    </row>
    <row r="4" spans="2:6" s="385" customFormat="1" x14ac:dyDescent="0.2">
      <c r="B4" s="377" t="s">
        <v>765</v>
      </c>
      <c r="C4" s="377">
        <v>0.35</v>
      </c>
      <c r="D4" s="377">
        <v>2.95</v>
      </c>
      <c r="E4" s="377">
        <v>2.5</v>
      </c>
      <c r="F4" s="377">
        <v>5.5E-2</v>
      </c>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election sqref="A1:Y3505"/>
    </sheetView>
  </sheetViews>
  <sheetFormatPr defaultRowHeight="12.75" x14ac:dyDescent="0.2"/>
  <cols>
    <col min="1" max="1" width="2.85546875" style="28" customWidth="1"/>
    <col min="2" max="2" width="14" style="28" customWidth="1"/>
    <col min="3" max="3" width="15.5703125" style="28" customWidth="1"/>
    <col min="4" max="4" width="16" style="28" customWidth="1"/>
    <col min="5" max="5" width="19.5703125" style="28" customWidth="1"/>
    <col min="6" max="6" width="10" style="28" customWidth="1"/>
    <col min="7" max="7" width="14.7109375" style="28" customWidth="1"/>
    <col min="8" max="8" width="19" style="28" customWidth="1"/>
    <col min="9" max="9" width="13.5703125" style="28" customWidth="1"/>
    <col min="10" max="11" width="18.28515625" style="28" customWidth="1"/>
    <col min="12" max="12" width="20.7109375" style="28" customWidth="1"/>
    <col min="13" max="228" width="9.140625" style="28"/>
    <col min="229" max="230" width="1.28515625" style="28" customWidth="1"/>
    <col min="231" max="231" width="9.140625" style="28"/>
    <col min="232" max="232" width="10.140625" style="28" customWidth="1"/>
    <col min="233" max="233" width="15.5703125" style="28" bestFit="1" customWidth="1"/>
    <col min="234" max="234" width="6.140625" style="28" bestFit="1" customWidth="1"/>
    <col min="235" max="235" width="9" style="28" bestFit="1" customWidth="1"/>
    <col min="236" max="237" width="9.140625" style="28"/>
    <col min="238" max="238" width="12" style="28" bestFit="1" customWidth="1"/>
    <col min="239" max="239" width="1.140625" style="28" customWidth="1"/>
    <col min="240" max="240" width="1.5703125" style="28" customWidth="1"/>
    <col min="241" max="241" width="1.140625" style="28" customWidth="1"/>
    <col min="242" max="243" width="9.140625" style="28"/>
    <col min="244" max="244" width="13.42578125" style="28" bestFit="1" customWidth="1"/>
    <col min="245" max="245" width="5.28515625" style="28" bestFit="1" customWidth="1"/>
    <col min="246" max="246" width="9" style="28" bestFit="1" customWidth="1"/>
    <col min="247" max="248" width="8.5703125" style="28" bestFit="1" customWidth="1"/>
    <col min="249" max="249" width="12" style="28" bestFit="1" customWidth="1"/>
    <col min="250" max="250" width="9.140625" style="28"/>
    <col min="251" max="251" width="1.42578125" style="28" customWidth="1"/>
    <col min="252" max="16384" width="9.140625" style="28"/>
  </cols>
  <sheetData>
    <row r="3" spans="2:12" ht="13.5" thickBot="1" x14ac:dyDescent="0.25"/>
    <row r="4" spans="2:12" ht="5.0999999999999996" customHeight="1" thickBot="1" x14ac:dyDescent="0.25">
      <c r="B4" s="769"/>
      <c r="C4" s="770"/>
      <c r="D4" s="770"/>
      <c r="E4" s="770"/>
      <c r="F4" s="770"/>
      <c r="G4" s="770"/>
      <c r="H4" s="770"/>
      <c r="I4" s="770"/>
      <c r="J4" s="770"/>
      <c r="K4" s="770"/>
      <c r="L4" s="847"/>
    </row>
    <row r="5" spans="2:12" ht="18" customHeight="1" thickBot="1" x14ac:dyDescent="0.25">
      <c r="B5" s="844" t="s">
        <v>131</v>
      </c>
      <c r="C5" s="845"/>
      <c r="D5" s="845"/>
      <c r="E5" s="845"/>
      <c r="F5" s="845"/>
      <c r="G5" s="845"/>
      <c r="H5" s="845"/>
      <c r="I5" s="845"/>
      <c r="J5" s="845"/>
      <c r="K5" s="845"/>
      <c r="L5" s="846"/>
    </row>
    <row r="6" spans="2:12" ht="27.75" thickBot="1" x14ac:dyDescent="0.25">
      <c r="B6" s="29" t="s">
        <v>132</v>
      </c>
      <c r="C6" s="29" t="s">
        <v>133</v>
      </c>
      <c r="D6" s="29" t="s">
        <v>134</v>
      </c>
      <c r="E6" s="47" t="s">
        <v>141</v>
      </c>
      <c r="F6" s="29" t="s">
        <v>135</v>
      </c>
      <c r="G6" s="29" t="s">
        <v>138</v>
      </c>
      <c r="H6" s="29" t="s">
        <v>140</v>
      </c>
      <c r="I6" s="29" t="s">
        <v>136</v>
      </c>
      <c r="J6" s="29" t="s">
        <v>137</v>
      </c>
      <c r="K6" s="29" t="s">
        <v>139</v>
      </c>
      <c r="L6" s="29" t="s">
        <v>142</v>
      </c>
    </row>
    <row r="7" spans="2:12" ht="13.5" thickBot="1" x14ac:dyDescent="0.25">
      <c r="B7" s="30"/>
      <c r="C7" s="46"/>
      <c r="D7" s="46"/>
      <c r="E7" s="46"/>
      <c r="F7" s="44">
        <f>E7*(B7/1000*C7/1000*D7/1000)</f>
        <v>0</v>
      </c>
      <c r="G7" s="46"/>
      <c r="H7" s="46"/>
      <c r="I7" s="43">
        <v>21</v>
      </c>
      <c r="J7" s="45">
        <f>H7*I7</f>
        <v>0</v>
      </c>
      <c r="K7" s="45" t="e">
        <f>(F7*G7)/(J7/1000)</f>
        <v>#DIV/0!</v>
      </c>
      <c r="L7" s="31" t="e">
        <f>K7*(J7/1000)</f>
        <v>#DIV/0!</v>
      </c>
    </row>
  </sheetData>
  <mergeCells count="2">
    <mergeCell ref="B5:L5"/>
    <mergeCell ref="B4:L4"/>
  </mergeCells>
  <conditionalFormatting sqref="L7">
    <cfRule type="containsErrors" dxfId="3" priority="2">
      <formula>ISERROR(L7)</formula>
    </cfRule>
  </conditionalFormatting>
  <conditionalFormatting sqref="K7">
    <cfRule type="containsErrors" dxfId="2"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28" customWidth="1"/>
    <col min="2" max="2" width="29.28515625" style="28" customWidth="1"/>
    <col min="3" max="3" width="14" style="28" customWidth="1"/>
    <col min="4" max="4" width="16" style="28" customWidth="1"/>
    <col min="5" max="5" width="13.28515625" style="28" customWidth="1"/>
    <col min="6" max="6" width="14" style="28" customWidth="1"/>
    <col min="7" max="218" width="9.140625" style="28"/>
    <col min="219" max="220" width="1.28515625" style="28" customWidth="1"/>
    <col min="221" max="221" width="9.140625" style="28"/>
    <col min="222" max="222" width="10.140625" style="28" customWidth="1"/>
    <col min="223" max="223" width="15.5703125" style="28" bestFit="1" customWidth="1"/>
    <col min="224" max="224" width="6.140625" style="28" bestFit="1" customWidth="1"/>
    <col min="225" max="225" width="9" style="28" bestFit="1" customWidth="1"/>
    <col min="226" max="227" width="9.140625" style="28"/>
    <col min="228" max="228" width="12" style="28" bestFit="1" customWidth="1"/>
    <col min="229" max="229" width="1.140625" style="28" customWidth="1"/>
    <col min="230" max="230" width="1.5703125" style="28" customWidth="1"/>
    <col min="231" max="231" width="1.140625" style="28" customWidth="1"/>
    <col min="232" max="233" width="9.140625" style="28"/>
    <col min="234" max="234" width="13.42578125" style="28" bestFit="1" customWidth="1"/>
    <col min="235" max="235" width="5.28515625" style="28" bestFit="1" customWidth="1"/>
    <col min="236" max="236" width="9" style="28" bestFit="1" customWidth="1"/>
    <col min="237" max="238" width="8.5703125" style="28" bestFit="1" customWidth="1"/>
    <col min="239" max="239" width="12" style="28" bestFit="1" customWidth="1"/>
    <col min="240" max="240" width="9.140625" style="28"/>
    <col min="241" max="241" width="1.42578125" style="28" customWidth="1"/>
    <col min="242" max="16384" width="9.140625" style="28"/>
  </cols>
  <sheetData>
    <row r="3" spans="2:12" ht="13.5" thickBot="1" x14ac:dyDescent="0.25"/>
    <row r="4" spans="2:12" ht="5.0999999999999996" customHeight="1" thickBot="1" x14ac:dyDescent="0.25">
      <c r="B4" s="850"/>
      <c r="C4" s="850"/>
      <c r="D4" s="850"/>
      <c r="E4" s="850"/>
      <c r="F4" s="850"/>
    </row>
    <row r="5" spans="2:12" ht="18" customHeight="1" thickBot="1" x14ac:dyDescent="0.25">
      <c r="B5" s="849" t="s">
        <v>129</v>
      </c>
      <c r="C5" s="849"/>
      <c r="D5" s="849"/>
      <c r="E5" s="849"/>
      <c r="F5" s="849"/>
      <c r="H5" s="849" t="s">
        <v>426</v>
      </c>
      <c r="I5" s="849"/>
      <c r="J5" s="849"/>
      <c r="K5" s="849"/>
      <c r="L5" s="849"/>
    </row>
    <row r="6" spans="2:12" ht="18" customHeight="1" thickBot="1" x14ac:dyDescent="0.25">
      <c r="B6" s="851" t="s">
        <v>254</v>
      </c>
      <c r="C6" s="851"/>
      <c r="D6" s="851"/>
      <c r="E6" s="851"/>
      <c r="F6" s="851"/>
    </row>
    <row r="7" spans="2:12" ht="18" customHeight="1" thickBot="1" x14ac:dyDescent="0.25">
      <c r="B7" s="33" t="s">
        <v>242</v>
      </c>
      <c r="C7" s="35"/>
      <c r="E7" s="35"/>
      <c r="F7" s="35"/>
    </row>
    <row r="8" spans="2:12" ht="18" customHeight="1" thickBot="1" x14ac:dyDescent="0.25">
      <c r="B8" s="36" t="s">
        <v>241</v>
      </c>
      <c r="C8" s="79">
        <v>22</v>
      </c>
      <c r="E8" s="35"/>
      <c r="F8" s="35"/>
    </row>
    <row r="9" spans="2:12" ht="18" customHeight="1" thickBot="1" x14ac:dyDescent="0.25">
      <c r="B9" s="36" t="s">
        <v>125</v>
      </c>
      <c r="C9" s="79">
        <v>8</v>
      </c>
      <c r="E9" s="35"/>
      <c r="F9" s="35"/>
    </row>
    <row r="10" spans="2:12" ht="18" customHeight="1" thickBot="1" x14ac:dyDescent="0.25">
      <c r="B10" s="36" t="s">
        <v>126</v>
      </c>
      <c r="C10" s="79">
        <v>1</v>
      </c>
      <c r="D10" s="38"/>
      <c r="E10" s="35"/>
      <c r="F10" s="35"/>
    </row>
    <row r="11" spans="2:12" ht="18" customHeight="1" thickBot="1" x14ac:dyDescent="0.25">
      <c r="B11" s="36" t="s">
        <v>243</v>
      </c>
      <c r="C11" s="79">
        <v>1</v>
      </c>
      <c r="D11" s="38"/>
      <c r="E11" s="80"/>
      <c r="F11" s="35"/>
    </row>
    <row r="12" spans="2:12" ht="18" customHeight="1" thickBot="1" x14ac:dyDescent="0.25">
      <c r="B12" s="88"/>
      <c r="C12" s="89"/>
      <c r="D12" s="90"/>
      <c r="E12" s="80"/>
      <c r="F12" s="91"/>
    </row>
    <row r="13" spans="2:12" ht="18" customHeight="1" thickBot="1" x14ac:dyDescent="0.25">
      <c r="B13" s="94" t="s">
        <v>252</v>
      </c>
      <c r="C13" s="86"/>
      <c r="D13" s="87"/>
      <c r="E13" s="95"/>
      <c r="F13" s="85">
        <f>F15+F21</f>
        <v>7826.666666666667</v>
      </c>
    </row>
    <row r="14" spans="2:12" ht="18" customHeight="1" thickBot="1" x14ac:dyDescent="0.25">
      <c r="B14" s="92"/>
      <c r="C14" s="92"/>
      <c r="D14" s="93"/>
      <c r="F14" s="93"/>
    </row>
    <row r="15" spans="2:12" ht="18" customHeight="1" thickBot="1" x14ac:dyDescent="0.25">
      <c r="B15" s="75" t="s">
        <v>49</v>
      </c>
      <c r="C15" s="76"/>
      <c r="D15" s="76"/>
      <c r="E15" s="76"/>
      <c r="F15" s="77">
        <f>C19/12</f>
        <v>1666.6666666666667</v>
      </c>
    </row>
    <row r="16" spans="2:12" ht="13.5" thickBot="1" x14ac:dyDescent="0.25">
      <c r="B16" s="36" t="s">
        <v>123</v>
      </c>
      <c r="C16" s="34">
        <v>200000</v>
      </c>
      <c r="E16" s="35"/>
      <c r="F16" s="35"/>
    </row>
    <row r="17" spans="2:8" ht="13.5" thickBot="1" x14ac:dyDescent="0.25">
      <c r="B17" s="36" t="s">
        <v>237</v>
      </c>
      <c r="C17" s="34">
        <v>0</v>
      </c>
      <c r="E17" s="35"/>
      <c r="F17" s="35"/>
    </row>
    <row r="18" spans="2:8" ht="13.5" thickBot="1" x14ac:dyDescent="0.25">
      <c r="B18" s="36" t="s">
        <v>251</v>
      </c>
      <c r="C18" s="79">
        <v>10</v>
      </c>
      <c r="D18" s="78"/>
      <c r="E18" s="35"/>
      <c r="F18" s="35"/>
    </row>
    <row r="19" spans="2:8" ht="13.5" thickBot="1" x14ac:dyDescent="0.25">
      <c r="B19" s="36" t="s">
        <v>248</v>
      </c>
      <c r="C19" s="35">
        <f>C18/100*(C16+C17)</f>
        <v>20000</v>
      </c>
      <c r="D19" s="169">
        <f>C19/12</f>
        <v>1666.6666666666667</v>
      </c>
      <c r="E19" s="35"/>
      <c r="F19" s="35"/>
    </row>
    <row r="20" spans="2:8" ht="13.5" thickBot="1" x14ac:dyDescent="0.25"/>
    <row r="21" spans="2:8" ht="13.5" thickBot="1" x14ac:dyDescent="0.25">
      <c r="B21" s="75" t="s">
        <v>233</v>
      </c>
      <c r="C21" s="76"/>
      <c r="D21" s="76"/>
      <c r="E21" s="76"/>
      <c r="F21" s="77">
        <f>C22</f>
        <v>6160</v>
      </c>
    </row>
    <row r="22" spans="2:8" ht="15.75" thickBot="1" x14ac:dyDescent="0.3">
      <c r="B22" s="36" t="s">
        <v>244</v>
      </c>
      <c r="C22" s="83">
        <f>35*C9*C10*C8</f>
        <v>6160</v>
      </c>
      <c r="D22" s="32"/>
      <c r="E22" s="32"/>
      <c r="F22" s="32"/>
      <c r="H22" s="28" t="s">
        <v>427</v>
      </c>
    </row>
    <row r="24" spans="2:8" ht="13.5" thickBot="1" x14ac:dyDescent="0.25"/>
    <row r="25" spans="2:8" ht="13.5" thickBot="1" x14ac:dyDescent="0.25">
      <c r="B25" s="94" t="s">
        <v>253</v>
      </c>
      <c r="C25" s="86"/>
      <c r="D25" s="87"/>
      <c r="E25" s="95"/>
      <c r="F25" s="85">
        <f>F27+F33+F37</f>
        <v>2071.0128000000004</v>
      </c>
    </row>
    <row r="26" spans="2:8" ht="13.5" thickBot="1" x14ac:dyDescent="0.25">
      <c r="B26" s="36"/>
      <c r="C26" s="32"/>
      <c r="D26" s="38"/>
      <c r="E26" s="35"/>
      <c r="F26" s="35"/>
    </row>
    <row r="27" spans="2:8" ht="13.5" thickBot="1" x14ac:dyDescent="0.25">
      <c r="B27" s="75" t="s">
        <v>124</v>
      </c>
      <c r="C27" s="76"/>
      <c r="D27" s="76"/>
      <c r="E27" s="76"/>
      <c r="F27" s="77">
        <f>(C29*C30*C31)*C9*C10*C28*C8</f>
        <v>143.45759999999999</v>
      </c>
    </row>
    <row r="28" spans="2:8" ht="15.75" thickBot="1" x14ac:dyDescent="0.3">
      <c r="B28" s="36" t="s">
        <v>250</v>
      </c>
      <c r="C28" s="84">
        <v>0.22</v>
      </c>
      <c r="D28" s="37"/>
      <c r="E28" s="32"/>
      <c r="F28" s="32"/>
    </row>
    <row r="29" spans="2:8" ht="15.75" thickBot="1" x14ac:dyDescent="0.3">
      <c r="B29" s="36" t="s">
        <v>249</v>
      </c>
      <c r="C29" s="79">
        <v>9.5</v>
      </c>
      <c r="D29" s="37"/>
      <c r="E29" s="32"/>
      <c r="F29" s="32"/>
    </row>
    <row r="30" spans="2:8" ht="15.75" thickBot="1" x14ac:dyDescent="0.3">
      <c r="B30" s="36" t="s">
        <v>238</v>
      </c>
      <c r="C30" s="81">
        <v>0.65</v>
      </c>
      <c r="D30" s="37"/>
      <c r="E30" s="32"/>
      <c r="F30" s="32"/>
    </row>
    <row r="31" spans="2:8" ht="15.75" thickBot="1" x14ac:dyDescent="0.3">
      <c r="B31" s="36" t="s">
        <v>239</v>
      </c>
      <c r="C31" s="81">
        <v>0.6</v>
      </c>
      <c r="D31" s="37"/>
      <c r="E31" s="32"/>
      <c r="F31" s="32"/>
    </row>
    <row r="32" spans="2:8" ht="13.5" thickBot="1" x14ac:dyDescent="0.25">
      <c r="B32" s="36"/>
      <c r="C32" s="16"/>
      <c r="D32" s="32"/>
      <c r="E32" s="32"/>
      <c r="F32" s="32"/>
    </row>
    <row r="33" spans="2:8" ht="13.5" thickBot="1" x14ac:dyDescent="0.25">
      <c r="B33" s="75" t="s">
        <v>127</v>
      </c>
      <c r="C33" s="76"/>
      <c r="D33" s="76"/>
      <c r="E33" s="76"/>
      <c r="F33" s="77">
        <f>C11*C34*C9*C10*C8</f>
        <v>1477.5552000000002</v>
      </c>
    </row>
    <row r="34" spans="2:8" ht="13.5" thickBot="1" x14ac:dyDescent="0.25">
      <c r="B34" s="36" t="s">
        <v>240</v>
      </c>
      <c r="C34" s="84">
        <f>0.33*25.44</f>
        <v>8.3952000000000009</v>
      </c>
      <c r="D34" s="32"/>
      <c r="E34" s="32"/>
      <c r="F34" s="32"/>
      <c r="H34" s="28" t="s">
        <v>429</v>
      </c>
    </row>
    <row r="35" spans="2:8" ht="13.5" thickBot="1" x14ac:dyDescent="0.25">
      <c r="B35" s="36" t="s">
        <v>247</v>
      </c>
      <c r="C35" s="39">
        <f>F33/(C11*C10)</f>
        <v>1477.5552000000002</v>
      </c>
      <c r="D35" s="32"/>
      <c r="E35" s="32"/>
      <c r="F35" s="32"/>
    </row>
    <row r="36" spans="2:8" ht="13.5" thickBot="1" x14ac:dyDescent="0.25">
      <c r="B36" s="36"/>
      <c r="C36" s="39"/>
      <c r="D36" s="74"/>
      <c r="E36" s="32"/>
      <c r="F36" s="32"/>
    </row>
    <row r="37" spans="2:8" ht="13.5" thickBot="1" x14ac:dyDescent="0.25">
      <c r="B37" s="75" t="s">
        <v>234</v>
      </c>
      <c r="C37" s="76"/>
      <c r="D37" s="76"/>
      <c r="E37" s="76"/>
      <c r="F37" s="77">
        <f>C38+C39</f>
        <v>450</v>
      </c>
    </row>
    <row r="38" spans="2:8" ht="15.75" thickBot="1" x14ac:dyDescent="0.3">
      <c r="B38" s="36" t="s">
        <v>235</v>
      </c>
      <c r="C38" s="83">
        <v>400</v>
      </c>
      <c r="D38" s="32"/>
      <c r="E38" s="32"/>
      <c r="F38" s="32"/>
      <c r="H38" s="28" t="s">
        <v>428</v>
      </c>
    </row>
    <row r="39" spans="2:8" ht="15.75" thickBot="1" x14ac:dyDescent="0.3">
      <c r="B39" s="36" t="s">
        <v>236</v>
      </c>
      <c r="C39" s="83">
        <v>50</v>
      </c>
      <c r="D39" s="32"/>
      <c r="E39" s="32"/>
      <c r="F39" s="32"/>
    </row>
    <row r="40" spans="2:8" ht="13.5" thickBot="1" x14ac:dyDescent="0.25">
      <c r="B40" s="36"/>
      <c r="C40" s="39"/>
      <c r="D40" s="32"/>
      <c r="E40" s="32"/>
      <c r="F40" s="32"/>
    </row>
    <row r="41" spans="2:8" ht="13.5" thickBot="1" x14ac:dyDescent="0.25">
      <c r="B41" s="94" t="s">
        <v>255</v>
      </c>
      <c r="C41" s="86"/>
      <c r="D41" s="87"/>
      <c r="E41" s="95"/>
      <c r="F41" s="85">
        <f>F13+F25</f>
        <v>9897.6794666666683</v>
      </c>
    </row>
    <row r="42" spans="2:8" ht="13.5" thickBot="1" x14ac:dyDescent="0.25">
      <c r="B42" s="32"/>
      <c r="C42" s="32"/>
      <c r="D42" s="32"/>
      <c r="E42" s="32"/>
      <c r="F42" s="32"/>
    </row>
    <row r="43" spans="2:8" ht="13.5" thickBot="1" x14ac:dyDescent="0.25">
      <c r="B43" s="848" t="s">
        <v>128</v>
      </c>
      <c r="C43" s="848"/>
      <c r="D43" s="848"/>
      <c r="E43" s="848"/>
      <c r="F43" s="96">
        <f>F41/(C8*C9*C10)</f>
        <v>56.23681515151516</v>
      </c>
    </row>
    <row r="44" spans="2:8" ht="13.5" thickBot="1" x14ac:dyDescent="0.25">
      <c r="E44" s="36" t="s">
        <v>245</v>
      </c>
      <c r="F44" s="82">
        <f>(F13)/(C8*C9*C10)</f>
        <v>44.469696969696969</v>
      </c>
    </row>
    <row r="45" spans="2:8" ht="13.5" thickBot="1" x14ac:dyDescent="0.25">
      <c r="E45" s="36" t="s">
        <v>246</v>
      </c>
      <c r="F45" s="82">
        <f>(F25)/(C8*C9*C10)</f>
        <v>11.767118181818184</v>
      </c>
    </row>
  </sheetData>
  <mergeCells count="5">
    <mergeCell ref="B43:E43"/>
    <mergeCell ref="B5:F5"/>
    <mergeCell ref="B4:F4"/>
    <mergeCell ref="B6:F6"/>
    <mergeCell ref="H5:L5"/>
  </mergeCells>
  <conditionalFormatting sqref="F43">
    <cfRule type="containsErrors" dxfId="1"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473" customWidth="1"/>
    <col min="2" max="2" width="4.28515625" style="471" customWidth="1"/>
    <col min="3" max="3" width="7.42578125" style="472" customWidth="1"/>
    <col min="4" max="4" width="2.28515625" style="472" customWidth="1"/>
    <col min="5" max="5" width="7.140625" style="472" customWidth="1"/>
    <col min="6" max="6" width="1.85546875" style="472" customWidth="1"/>
    <col min="7" max="7" width="33.140625" style="472" customWidth="1"/>
    <col min="8" max="8" width="3" style="472" hidden="1" customWidth="1"/>
    <col min="9" max="9" width="13.7109375" style="472" customWidth="1"/>
    <col min="10" max="10" width="4.42578125" style="472" customWidth="1"/>
    <col min="11" max="11" width="1.7109375" style="472" customWidth="1"/>
    <col min="12" max="12" width="2.5703125" style="472" customWidth="1"/>
    <col min="13" max="13" width="6.85546875" style="472" customWidth="1"/>
    <col min="14" max="14" width="10.42578125" style="472" customWidth="1"/>
    <col min="15" max="15" width="20.42578125" style="472" customWidth="1"/>
    <col min="16" max="16" width="9" style="472" customWidth="1"/>
    <col min="17" max="17" width="4.28515625" style="472" customWidth="1"/>
    <col min="18" max="16384" width="9.140625" style="472"/>
  </cols>
  <sheetData>
    <row r="1" spans="1:17" ht="23.25" customHeight="1" thickBot="1" x14ac:dyDescent="0.25">
      <c r="A1" s="470"/>
      <c r="G1" s="472" t="s">
        <v>330</v>
      </c>
    </row>
    <row r="2" spans="1:17" ht="13.5" thickTop="1" x14ac:dyDescent="0.2">
      <c r="B2" s="474"/>
      <c r="C2" s="475"/>
      <c r="D2" s="475"/>
      <c r="E2" s="476"/>
      <c r="G2" s="597" t="s">
        <v>331</v>
      </c>
      <c r="H2" s="598"/>
      <c r="I2" s="599">
        <v>76.2</v>
      </c>
      <c r="J2" s="582" t="s">
        <v>9</v>
      </c>
      <c r="L2" s="579" t="s">
        <v>166</v>
      </c>
      <c r="M2" s="580">
        <v>60</v>
      </c>
      <c r="N2" s="855" t="s">
        <v>331</v>
      </c>
      <c r="O2" s="855"/>
      <c r="P2" s="581">
        <f>(2*3.14159265359*M4+2*(M2-2*M4)+2*(M3-2*M4))/3.14159265359</f>
        <v>60.929581789403152</v>
      </c>
      <c r="Q2" s="582" t="s">
        <v>9</v>
      </c>
    </row>
    <row r="3" spans="1:17" x14ac:dyDescent="0.2">
      <c r="B3" s="852" t="s">
        <v>332</v>
      </c>
      <c r="C3" s="853"/>
      <c r="D3" s="853"/>
      <c r="E3" s="854"/>
      <c r="G3" s="583" t="s">
        <v>333</v>
      </c>
      <c r="H3" s="477"/>
      <c r="I3" s="600">
        <v>2.7</v>
      </c>
      <c r="J3" s="585" t="s">
        <v>9</v>
      </c>
      <c r="L3" s="583" t="s">
        <v>167</v>
      </c>
      <c r="M3" s="584">
        <v>40</v>
      </c>
      <c r="N3" s="856" t="s">
        <v>334</v>
      </c>
      <c r="O3" s="856"/>
      <c r="P3" s="401">
        <f>(2*3.14159265359*M4+2*(M2-2*M4)+2*(M3-2*M4))</f>
        <v>191.41592653589998</v>
      </c>
      <c r="Q3" s="585" t="s">
        <v>9</v>
      </c>
    </row>
    <row r="4" spans="1:17" ht="13.5" thickBot="1" x14ac:dyDescent="0.25">
      <c r="B4" s="481"/>
      <c r="C4" s="482"/>
      <c r="D4" s="482"/>
      <c r="E4" s="480"/>
      <c r="G4" s="583" t="s">
        <v>335</v>
      </c>
      <c r="H4" s="483" t="s">
        <v>336</v>
      </c>
      <c r="I4" s="401">
        <f>VLOOKUP(H4,A6:B22,2,0)</f>
        <v>5</v>
      </c>
      <c r="J4" s="585"/>
      <c r="L4" s="588" t="s">
        <v>337</v>
      </c>
      <c r="M4" s="589">
        <v>5</v>
      </c>
      <c r="N4" s="590">
        <f>M4/I3</f>
        <v>1.8518518518518516</v>
      </c>
      <c r="O4" s="596" t="s">
        <v>405</v>
      </c>
      <c r="P4" s="591">
        <v>0.02</v>
      </c>
      <c r="Q4" s="592"/>
    </row>
    <row r="5" spans="1:17" ht="14.25" thickTop="1" thickBot="1" x14ac:dyDescent="0.25">
      <c r="B5" s="481"/>
      <c r="C5" s="484" t="s">
        <v>338</v>
      </c>
      <c r="D5" s="485"/>
      <c r="E5" s="478" t="s">
        <v>339</v>
      </c>
      <c r="G5" s="601" t="s">
        <v>340</v>
      </c>
      <c r="H5" s="602"/>
      <c r="I5" s="603">
        <f>IF(I3&lt;=1,2,IF(I3&lt;=1.5,1.5,IF(I3&lt;=2.5,1.2,1)))</f>
        <v>1</v>
      </c>
      <c r="J5" s="587"/>
      <c r="L5" s="593" t="s">
        <v>341</v>
      </c>
      <c r="M5" s="594">
        <f>P3*(1+P4)</f>
        <v>195.24424506661799</v>
      </c>
      <c r="N5" s="857" t="s">
        <v>331</v>
      </c>
      <c r="O5" s="857"/>
      <c r="P5" s="594">
        <f>M5/3.14159265359</f>
        <v>62.148173425191217</v>
      </c>
      <c r="Q5" s="595" t="s">
        <v>9</v>
      </c>
    </row>
    <row r="6" spans="1:17" ht="14.25" thickTop="1" thickBot="1" x14ac:dyDescent="0.25">
      <c r="A6" s="486" t="str">
        <f>CONCATENATE(IF($I$3&gt;=C6,"&gt;",""),IF($I$3&lt;=E6,"&gt;",""))</f>
        <v>&gt;</v>
      </c>
      <c r="B6" s="487">
        <v>0</v>
      </c>
      <c r="C6" s="479">
        <v>0.6</v>
      </c>
      <c r="D6" s="485" t="s">
        <v>116</v>
      </c>
      <c r="E6" s="488">
        <v>1.06</v>
      </c>
    </row>
    <row r="7" spans="1:17" ht="13.5" thickTop="1" x14ac:dyDescent="0.2">
      <c r="A7" s="486" t="str">
        <f t="shared" ref="A7:A22" si="0">CONCATENATE(IF($I$3&gt;=C7,"&gt;",""),IF($I$3&lt;=E7,"&gt;",""))</f>
        <v>&gt;</v>
      </c>
      <c r="B7" s="487">
        <v>1</v>
      </c>
      <c r="C7" s="479">
        <v>1.2</v>
      </c>
      <c r="D7" s="485" t="s">
        <v>116</v>
      </c>
      <c r="E7" s="488">
        <v>1.35</v>
      </c>
      <c r="G7" s="579" t="s">
        <v>334</v>
      </c>
      <c r="H7" s="604"/>
      <c r="I7" s="581">
        <f>I2*3.14159265359</f>
        <v>239.38936020355803</v>
      </c>
      <c r="J7" s="582" t="s">
        <v>9</v>
      </c>
    </row>
    <row r="8" spans="1:17" x14ac:dyDescent="0.2">
      <c r="A8" s="486" t="str">
        <f t="shared" si="0"/>
        <v>&gt;</v>
      </c>
      <c r="B8" s="487">
        <v>2</v>
      </c>
      <c r="C8" s="479">
        <v>1.5</v>
      </c>
      <c r="D8" s="485" t="s">
        <v>116</v>
      </c>
      <c r="E8" s="488">
        <v>1.55</v>
      </c>
      <c r="G8" s="583" t="s">
        <v>342</v>
      </c>
      <c r="H8" s="489"/>
      <c r="I8" s="401">
        <f>(I2-I3)*3.14159265359</f>
        <v>230.90706003886501</v>
      </c>
      <c r="J8" s="585" t="s">
        <v>9</v>
      </c>
      <c r="L8" s="490"/>
      <c r="M8" s="491"/>
      <c r="N8" s="491"/>
      <c r="O8" s="490"/>
      <c r="P8" s="492"/>
      <c r="Q8" s="491"/>
    </row>
    <row r="9" spans="1:17" x14ac:dyDescent="0.2">
      <c r="A9" s="486" t="str">
        <f t="shared" si="0"/>
        <v>&gt;</v>
      </c>
      <c r="B9" s="487">
        <v>3</v>
      </c>
      <c r="C9" s="479">
        <v>1.8</v>
      </c>
      <c r="D9" s="485" t="s">
        <v>116</v>
      </c>
      <c r="E9" s="488">
        <v>2</v>
      </c>
      <c r="G9" s="605" t="s">
        <v>343</v>
      </c>
      <c r="H9" s="493"/>
      <c r="I9" s="401">
        <f>(I2-I3+0.7)*3.14159265359+1.2</f>
        <v>234.306174896378</v>
      </c>
      <c r="J9" s="585" t="s">
        <v>9</v>
      </c>
      <c r="L9" s="490"/>
      <c r="M9" s="494"/>
      <c r="N9" s="494"/>
      <c r="O9" s="490"/>
      <c r="P9" s="490"/>
      <c r="Q9" s="490"/>
    </row>
    <row r="10" spans="1:17" x14ac:dyDescent="0.2">
      <c r="A10" s="486" t="str">
        <f t="shared" si="0"/>
        <v>&gt;</v>
      </c>
      <c r="B10" s="487">
        <v>4</v>
      </c>
      <c r="C10" s="479">
        <v>2.25</v>
      </c>
      <c r="D10" s="485" t="s">
        <v>116</v>
      </c>
      <c r="E10" s="488">
        <v>2.2999999999999998</v>
      </c>
      <c r="G10" s="605" t="s">
        <v>344</v>
      </c>
      <c r="H10" s="493"/>
      <c r="I10" s="401">
        <f>(I2-I3+1.2)*3.14159265359+1.9</f>
        <v>236.57697122317302</v>
      </c>
      <c r="J10" s="585" t="s">
        <v>9</v>
      </c>
      <c r="L10" s="490"/>
      <c r="M10" s="494"/>
      <c r="N10" s="494"/>
      <c r="O10" s="490"/>
      <c r="P10" s="490"/>
      <c r="Q10" s="490"/>
    </row>
    <row r="11" spans="1:17" x14ac:dyDescent="0.2">
      <c r="A11" s="486" t="str">
        <f t="shared" si="0"/>
        <v>&gt;&gt;</v>
      </c>
      <c r="B11" s="487">
        <v>5</v>
      </c>
      <c r="C11" s="479">
        <v>2.65</v>
      </c>
      <c r="D11" s="485" t="s">
        <v>116</v>
      </c>
      <c r="E11" s="488">
        <v>2.7</v>
      </c>
      <c r="G11" s="583" t="s">
        <v>345</v>
      </c>
      <c r="H11" s="489"/>
      <c r="I11" s="401">
        <f>I2*3.14159265359-I4</f>
        <v>234.38936020355803</v>
      </c>
      <c r="J11" s="585" t="s">
        <v>9</v>
      </c>
      <c r="L11" s="490"/>
      <c r="M11" s="494"/>
      <c r="N11" s="494"/>
      <c r="O11" s="490"/>
      <c r="P11" s="490"/>
      <c r="Q11" s="490"/>
    </row>
    <row r="12" spans="1:17" ht="13.5" thickBot="1" x14ac:dyDescent="0.25">
      <c r="A12" s="486" t="str">
        <f t="shared" si="0"/>
        <v>&gt;</v>
      </c>
      <c r="B12" s="487">
        <v>6</v>
      </c>
      <c r="C12" s="479">
        <v>3</v>
      </c>
      <c r="D12" s="485" t="s">
        <v>116</v>
      </c>
      <c r="E12" s="488">
        <v>3</v>
      </c>
      <c r="G12" s="586" t="s">
        <v>346</v>
      </c>
      <c r="H12" s="606"/>
      <c r="I12" s="603">
        <f>(I2-(I3/2))*3.14159265359</f>
        <v>235.14821012121152</v>
      </c>
      <c r="J12" s="587" t="s">
        <v>9</v>
      </c>
      <c r="L12" s="495"/>
      <c r="M12" s="495"/>
      <c r="N12" s="495"/>
      <c r="O12" s="495"/>
      <c r="P12" s="495"/>
      <c r="Q12" s="495"/>
    </row>
    <row r="13" spans="1:17" ht="13.5" thickTop="1" x14ac:dyDescent="0.2">
      <c r="A13" s="486" t="str">
        <f t="shared" si="0"/>
        <v>&gt;</v>
      </c>
      <c r="B13" s="487">
        <v>7</v>
      </c>
      <c r="C13" s="479">
        <v>3.35</v>
      </c>
      <c r="D13" s="485" t="s">
        <v>116</v>
      </c>
      <c r="E13" s="488">
        <v>3.35</v>
      </c>
      <c r="G13" s="597" t="s">
        <v>807</v>
      </c>
      <c r="H13" s="607"/>
      <c r="I13" s="581">
        <f>(I2*3.14159265359)-(1.5*I3)</f>
        <v>235.33936020355802</v>
      </c>
      <c r="J13" s="582" t="s">
        <v>9</v>
      </c>
    </row>
    <row r="14" spans="1:17" x14ac:dyDescent="0.2">
      <c r="A14" s="486" t="str">
        <f t="shared" si="0"/>
        <v>&gt;</v>
      </c>
      <c r="B14" s="487">
        <v>8</v>
      </c>
      <c r="C14" s="479">
        <v>3.75</v>
      </c>
      <c r="D14" s="485" t="s">
        <v>116</v>
      </c>
      <c r="E14" s="488">
        <v>3.75</v>
      </c>
      <c r="G14" s="605" t="s">
        <v>808</v>
      </c>
      <c r="H14" s="496"/>
      <c r="I14" s="401">
        <f>(I2*3.14159265359)-(2.5*I3)</f>
        <v>232.63936020355803</v>
      </c>
      <c r="J14" s="585" t="s">
        <v>9</v>
      </c>
    </row>
    <row r="15" spans="1:17" x14ac:dyDescent="0.2">
      <c r="A15" s="486" t="str">
        <f>CONCATENATE(IF($I$3&gt;=C15,"&gt;",""),IF($I$3&lt;=E15,"&gt;",""))</f>
        <v>&gt;</v>
      </c>
      <c r="B15" s="487">
        <v>9</v>
      </c>
      <c r="C15" s="479">
        <v>4.25</v>
      </c>
      <c r="D15" s="485" t="s">
        <v>116</v>
      </c>
      <c r="E15" s="488">
        <v>4.25</v>
      </c>
      <c r="G15" s="583" t="s">
        <v>809</v>
      </c>
      <c r="H15" s="497"/>
      <c r="I15" s="401">
        <f>(M2*2)+(M3*2)-1.5*I3</f>
        <v>195.95</v>
      </c>
      <c r="J15" s="585" t="s">
        <v>9</v>
      </c>
    </row>
    <row r="16" spans="1:17" x14ac:dyDescent="0.2">
      <c r="A16" s="486" t="str">
        <f t="shared" si="0"/>
        <v>&gt;</v>
      </c>
      <c r="B16" s="487">
        <v>10</v>
      </c>
      <c r="C16" s="479">
        <v>4.75</v>
      </c>
      <c r="D16" s="485" t="s">
        <v>116</v>
      </c>
      <c r="E16" s="488">
        <v>4.75</v>
      </c>
      <c r="G16" s="583" t="s">
        <v>810</v>
      </c>
      <c r="H16" s="497"/>
      <c r="I16" s="401">
        <f>(M2*2)+(M3*2)-2.5*I3</f>
        <v>193.25</v>
      </c>
      <c r="J16" s="585" t="s">
        <v>9</v>
      </c>
    </row>
    <row r="17" spans="1:16" x14ac:dyDescent="0.2">
      <c r="A17" s="486" t="str">
        <f t="shared" si="0"/>
        <v>&gt;</v>
      </c>
      <c r="B17" s="487">
        <v>11</v>
      </c>
      <c r="C17" s="479">
        <v>5.4</v>
      </c>
      <c r="D17" s="485" t="s">
        <v>116</v>
      </c>
      <c r="E17" s="488">
        <v>5.4</v>
      </c>
      <c r="G17" s="605" t="s">
        <v>811</v>
      </c>
      <c r="H17" s="496"/>
      <c r="I17" s="401">
        <f>(I2-I3)*3.14159265359+I5*I3</f>
        <v>233.607060038865</v>
      </c>
      <c r="J17" s="585" t="s">
        <v>9</v>
      </c>
    </row>
    <row r="18" spans="1:16" ht="13.5" thickBot="1" x14ac:dyDescent="0.25">
      <c r="A18" s="486" t="str">
        <f t="shared" si="0"/>
        <v>&gt;</v>
      </c>
      <c r="B18" s="487">
        <v>12</v>
      </c>
      <c r="C18" s="479">
        <v>6.3</v>
      </c>
      <c r="D18" s="485" t="s">
        <v>116</v>
      </c>
      <c r="E18" s="488">
        <v>6.3</v>
      </c>
      <c r="G18" s="586" t="s">
        <v>347</v>
      </c>
      <c r="H18" s="608"/>
      <c r="I18" s="609"/>
      <c r="J18" s="587" t="s">
        <v>9</v>
      </c>
    </row>
    <row r="19" spans="1:16" ht="13.5" thickTop="1" x14ac:dyDescent="0.2">
      <c r="A19" s="486" t="str">
        <f t="shared" si="0"/>
        <v>&gt;</v>
      </c>
      <c r="B19" s="487">
        <v>13</v>
      </c>
      <c r="C19" s="479">
        <v>7</v>
      </c>
      <c r="D19" s="485" t="s">
        <v>116</v>
      </c>
      <c r="E19" s="488">
        <v>7</v>
      </c>
      <c r="I19" s="498"/>
      <c r="J19" s="499"/>
      <c r="K19" s="500"/>
      <c r="L19" s="500"/>
      <c r="M19" s="500"/>
      <c r="N19" s="500"/>
      <c r="O19" s="500"/>
      <c r="P19" s="500"/>
    </row>
    <row r="20" spans="1:16" x14ac:dyDescent="0.2">
      <c r="A20" s="486" t="str">
        <f t="shared" si="0"/>
        <v>&gt;</v>
      </c>
      <c r="B20" s="487">
        <v>14</v>
      </c>
      <c r="C20" s="479">
        <v>8</v>
      </c>
      <c r="D20" s="485" t="s">
        <v>116</v>
      </c>
      <c r="E20" s="488">
        <v>8</v>
      </c>
      <c r="O20" s="500"/>
      <c r="P20" s="500"/>
    </row>
    <row r="21" spans="1:16" x14ac:dyDescent="0.2">
      <c r="A21" s="486" t="str">
        <f t="shared" si="0"/>
        <v>&gt;</v>
      </c>
      <c r="B21" s="487">
        <v>15</v>
      </c>
      <c r="C21" s="479">
        <v>9.5</v>
      </c>
      <c r="D21" s="485" t="s">
        <v>116</v>
      </c>
      <c r="E21" s="488">
        <v>9.5</v>
      </c>
      <c r="O21" s="500"/>
      <c r="P21" s="500"/>
    </row>
    <row r="22" spans="1:16" ht="13.5" thickBot="1" x14ac:dyDescent="0.25">
      <c r="A22" s="486" t="str">
        <f t="shared" si="0"/>
        <v>&gt;</v>
      </c>
      <c r="B22" s="501"/>
      <c r="C22" s="502"/>
      <c r="D22" s="502"/>
      <c r="E22" s="503"/>
      <c r="O22" s="500"/>
      <c r="P22" s="500"/>
    </row>
    <row r="23" spans="1:16" ht="13.5" thickTop="1" x14ac:dyDescent="0.2">
      <c r="O23" s="500"/>
      <c r="P23" s="500"/>
    </row>
    <row r="24" spans="1:16" x14ac:dyDescent="0.2">
      <c r="B24" s="472"/>
    </row>
  </sheetData>
  <mergeCells count="4">
    <mergeCell ref="B3:E3"/>
    <mergeCell ref="N2:O2"/>
    <mergeCell ref="N3:O3"/>
    <mergeCell ref="N5:O5"/>
  </mergeCells>
  <conditionalFormatting sqref="A6:A22">
    <cfRule type="cellIs" dxfId="0"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28" customWidth="1"/>
    <col min="2" max="2" width="16.140625" style="28" customWidth="1"/>
    <col min="3" max="3" width="16.42578125" style="28" customWidth="1"/>
    <col min="4" max="4" width="14.7109375" style="28" customWidth="1"/>
    <col min="5" max="5" width="15.5703125" style="28" customWidth="1"/>
    <col min="6" max="217" width="9.140625" style="28"/>
    <col min="218" max="219" width="1.28515625" style="28" customWidth="1"/>
    <col min="220" max="220" width="9.140625" style="28"/>
    <col min="221" max="221" width="10.140625" style="28" customWidth="1"/>
    <col min="222" max="222" width="15.5703125" style="28" bestFit="1" customWidth="1"/>
    <col min="223" max="223" width="6.140625" style="28" bestFit="1" customWidth="1"/>
    <col min="224" max="224" width="9" style="28" bestFit="1" customWidth="1"/>
    <col min="225" max="226" width="9.140625" style="28"/>
    <col min="227" max="227" width="12" style="28" bestFit="1" customWidth="1"/>
    <col min="228" max="228" width="1.140625" style="28" customWidth="1"/>
    <col min="229" max="229" width="1.5703125" style="28" customWidth="1"/>
    <col min="230" max="230" width="1.140625" style="28" customWidth="1"/>
    <col min="231" max="232" width="9.140625" style="28"/>
    <col min="233" max="233" width="13.42578125" style="28" bestFit="1" customWidth="1"/>
    <col min="234" max="234" width="5.28515625" style="28" bestFit="1" customWidth="1"/>
    <col min="235" max="235" width="9" style="28" bestFit="1" customWidth="1"/>
    <col min="236" max="237" width="8.5703125" style="28" bestFit="1" customWidth="1"/>
    <col min="238" max="238" width="12" style="28" bestFit="1" customWidth="1"/>
    <col min="239" max="239" width="9.140625" style="28"/>
    <col min="240" max="240" width="1.42578125" style="28" customWidth="1"/>
    <col min="241" max="16384" width="9.140625" style="28"/>
  </cols>
  <sheetData>
    <row r="3" spans="2:5" ht="13.5" thickBot="1" x14ac:dyDescent="0.25"/>
    <row r="4" spans="2:5" ht="3.75" customHeight="1" thickBot="1" x14ac:dyDescent="0.25">
      <c r="B4" s="850"/>
      <c r="C4" s="850"/>
      <c r="D4" s="850"/>
      <c r="E4" s="850"/>
    </row>
    <row r="5" spans="2:5" ht="16.5" customHeight="1" thickBot="1" x14ac:dyDescent="0.25">
      <c r="B5" s="844" t="s">
        <v>193</v>
      </c>
      <c r="C5" s="845"/>
      <c r="D5" s="845"/>
      <c r="E5" s="845"/>
    </row>
    <row r="6" spans="2:5" ht="30" customHeight="1" thickBot="1" x14ac:dyDescent="0.25">
      <c r="B6" s="858" t="s">
        <v>189</v>
      </c>
      <c r="C6" s="859"/>
      <c r="D6" s="858" t="s">
        <v>190</v>
      </c>
      <c r="E6" s="859"/>
    </row>
    <row r="7" spans="2:5" ht="13.5" thickBot="1" x14ac:dyDescent="0.25">
      <c r="B7" s="60" t="s">
        <v>192</v>
      </c>
      <c r="C7" s="60" t="s">
        <v>191</v>
      </c>
      <c r="D7" s="60" t="s">
        <v>192</v>
      </c>
      <c r="E7" s="60" t="s">
        <v>191</v>
      </c>
    </row>
    <row r="8" spans="2:5" ht="13.5" thickBot="1" x14ac:dyDescent="0.25">
      <c r="B8" s="52" t="s">
        <v>194</v>
      </c>
      <c r="C8" s="52" t="s">
        <v>200</v>
      </c>
      <c r="D8" s="52" t="s">
        <v>207</v>
      </c>
      <c r="E8" s="52" t="s">
        <v>208</v>
      </c>
    </row>
    <row r="9" spans="2:5" ht="13.5" thickBot="1" x14ac:dyDescent="0.25">
      <c r="B9" s="52" t="s">
        <v>195</v>
      </c>
      <c r="C9" s="52" t="s">
        <v>203</v>
      </c>
      <c r="D9" s="52" t="s">
        <v>208</v>
      </c>
      <c r="E9" s="52" t="s">
        <v>214</v>
      </c>
    </row>
    <row r="10" spans="2:5" ht="13.5" thickBot="1" x14ac:dyDescent="0.25">
      <c r="B10" s="52" t="s">
        <v>196</v>
      </c>
      <c r="C10" s="52" t="s">
        <v>202</v>
      </c>
      <c r="D10" s="52" t="s">
        <v>209</v>
      </c>
      <c r="E10" s="52" t="s">
        <v>215</v>
      </c>
    </row>
    <row r="11" spans="2:5" ht="13.5" thickBot="1" x14ac:dyDescent="0.25">
      <c r="B11" s="52" t="s">
        <v>197</v>
      </c>
      <c r="C11" s="52" t="s">
        <v>199</v>
      </c>
      <c r="D11" s="52" t="s">
        <v>210</v>
      </c>
      <c r="E11" s="52" t="s">
        <v>216</v>
      </c>
    </row>
    <row r="12" spans="2:5" ht="13.5" thickBot="1" x14ac:dyDescent="0.25">
      <c r="B12" s="52" t="s">
        <v>200</v>
      </c>
      <c r="C12" s="52" t="s">
        <v>204</v>
      </c>
      <c r="D12" s="52" t="s">
        <v>211</v>
      </c>
      <c r="E12" s="52" t="s">
        <v>217</v>
      </c>
    </row>
    <row r="13" spans="2:5" ht="13.5" thickBot="1" x14ac:dyDescent="0.25">
      <c r="B13" s="52" t="s">
        <v>198</v>
      </c>
      <c r="C13" s="52" t="s">
        <v>201</v>
      </c>
      <c r="D13" s="52" t="s">
        <v>212</v>
      </c>
    </row>
    <row r="14" spans="2:5" ht="13.5" thickBot="1" x14ac:dyDescent="0.25">
      <c r="B14" s="52" t="s">
        <v>199</v>
      </c>
      <c r="C14" s="52" t="s">
        <v>205</v>
      </c>
      <c r="D14" s="52" t="s">
        <v>213</v>
      </c>
    </row>
    <row r="15" spans="2:5" ht="13.5" thickBot="1" x14ac:dyDescent="0.25">
      <c r="B15" s="52" t="s">
        <v>201</v>
      </c>
      <c r="C15" s="52" t="s">
        <v>206</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28" customWidth="1"/>
    <col min="2" max="2" width="17.5703125" style="28" customWidth="1"/>
    <col min="3" max="3" width="12.140625" style="28" customWidth="1"/>
    <col min="4" max="4" width="16" style="28" customWidth="1"/>
    <col min="5" max="5" width="12.140625" style="28" customWidth="1"/>
    <col min="6" max="6" width="9.140625" style="28"/>
    <col min="7" max="7" width="12.140625" style="28" customWidth="1"/>
    <col min="8" max="221" width="9.140625" style="28"/>
    <col min="222" max="223" width="1.28515625" style="28" customWidth="1"/>
    <col min="224" max="224" width="9.140625" style="28"/>
    <col min="225" max="225" width="10.140625" style="28" customWidth="1"/>
    <col min="226" max="226" width="15.5703125" style="28" bestFit="1" customWidth="1"/>
    <col min="227" max="227" width="6.140625" style="28" bestFit="1" customWidth="1"/>
    <col min="228" max="228" width="9" style="28" bestFit="1" customWidth="1"/>
    <col min="229" max="230" width="9.140625" style="28"/>
    <col min="231" max="231" width="12" style="28" bestFit="1" customWidth="1"/>
    <col min="232" max="232" width="1.140625" style="28" customWidth="1"/>
    <col min="233" max="233" width="1.5703125" style="28" customWidth="1"/>
    <col min="234" max="234" width="1.140625" style="28" customWidth="1"/>
    <col min="235" max="236" width="9.140625" style="28"/>
    <col min="237" max="237" width="13.42578125" style="28" bestFit="1" customWidth="1"/>
    <col min="238" max="238" width="5.28515625" style="28" bestFit="1" customWidth="1"/>
    <col min="239" max="239" width="9" style="28" bestFit="1" customWidth="1"/>
    <col min="240" max="241" width="8.5703125" style="28" bestFit="1" customWidth="1"/>
    <col min="242" max="242" width="12" style="28" bestFit="1" customWidth="1"/>
    <col min="243" max="243" width="9.140625" style="28"/>
    <col min="244" max="244" width="1.42578125" style="28" customWidth="1"/>
    <col min="245" max="16384" width="9.140625" style="28"/>
  </cols>
  <sheetData>
    <row r="3" spans="2:7" ht="13.5" thickBot="1" x14ac:dyDescent="0.25"/>
    <row r="4" spans="2:7" ht="5.0999999999999996" customHeight="1" thickBot="1" x14ac:dyDescent="0.25">
      <c r="B4" s="769"/>
      <c r="C4" s="770"/>
      <c r="D4" s="770"/>
      <c r="E4" s="770"/>
      <c r="F4" s="770"/>
      <c r="G4" s="770"/>
    </row>
    <row r="5" spans="2:7" ht="18" customHeight="1" thickBot="1" x14ac:dyDescent="0.25">
      <c r="B5" s="844" t="s">
        <v>420</v>
      </c>
      <c r="C5" s="845"/>
      <c r="D5" s="845"/>
      <c r="E5" s="845"/>
      <c r="F5" s="845"/>
      <c r="G5" s="846"/>
    </row>
    <row r="6" spans="2:7" ht="18" customHeight="1" thickBot="1" x14ac:dyDescent="0.25">
      <c r="B6" s="864"/>
      <c r="C6" s="865"/>
      <c r="D6" s="865"/>
      <c r="E6" s="865"/>
      <c r="F6" s="865"/>
      <c r="G6" s="866"/>
    </row>
    <row r="7" spans="2:7" ht="13.5" thickBot="1" x14ac:dyDescent="0.25">
      <c r="B7" s="32"/>
      <c r="C7" s="32"/>
      <c r="D7" s="71" t="s">
        <v>9</v>
      </c>
      <c r="E7" s="71" t="s">
        <v>232</v>
      </c>
      <c r="F7" s="71" t="s">
        <v>50</v>
      </c>
      <c r="G7" s="71" t="s">
        <v>231</v>
      </c>
    </row>
    <row r="8" spans="2:7" ht="15.75" customHeight="1" thickBot="1" x14ac:dyDescent="0.25">
      <c r="B8" s="862" t="s">
        <v>230</v>
      </c>
      <c r="C8" s="863"/>
      <c r="D8" s="68">
        <v>596</v>
      </c>
    </row>
    <row r="9" spans="2:7" ht="15.75" customHeight="1" thickBot="1" x14ac:dyDescent="0.25">
      <c r="B9" s="862" t="s">
        <v>229</v>
      </c>
      <c r="C9" s="863"/>
      <c r="D9" s="68">
        <v>8</v>
      </c>
    </row>
    <row r="10" spans="2:7" ht="13.5" thickBot="1" x14ac:dyDescent="0.25">
      <c r="B10" s="862" t="s">
        <v>228</v>
      </c>
      <c r="C10" s="863"/>
      <c r="D10" s="68">
        <v>2</v>
      </c>
    </row>
    <row r="11" spans="2:7" ht="13.5" thickBot="1" x14ac:dyDescent="0.25">
      <c r="B11" s="862" t="s">
        <v>227</v>
      </c>
      <c r="C11" s="863"/>
      <c r="D11" s="70">
        <f>6*D9</f>
        <v>48</v>
      </c>
      <c r="E11" s="168" t="s">
        <v>406</v>
      </c>
    </row>
    <row r="12" spans="2:7" ht="13.5" thickBot="1" x14ac:dyDescent="0.25">
      <c r="B12" s="69"/>
      <c r="C12" s="69"/>
    </row>
    <row r="13" spans="2:7" ht="13.5" thickBot="1" x14ac:dyDescent="0.25">
      <c r="B13" s="860" t="s">
        <v>226</v>
      </c>
      <c r="C13" s="867"/>
      <c r="D13" s="68">
        <v>1200</v>
      </c>
      <c r="E13" s="66"/>
      <c r="F13" s="73">
        <f>(D13-($D$10*$D$8))/D13</f>
        <v>6.6666666666666671E-3</v>
      </c>
      <c r="G13" s="65">
        <f>E13*F13+E13</f>
        <v>0</v>
      </c>
    </row>
    <row r="14" spans="2:7" ht="13.5" thickBot="1" x14ac:dyDescent="0.25">
      <c r="B14" s="860" t="s">
        <v>225</v>
      </c>
      <c r="C14" s="861"/>
      <c r="D14" s="67">
        <f>D8*D10+D11</f>
        <v>1240</v>
      </c>
      <c r="E14" s="66"/>
      <c r="F14" s="73">
        <f>(D14-($D$10*$D$8))/D14</f>
        <v>3.870967741935484E-2</v>
      </c>
      <c r="G14" s="65">
        <f>E14*F14+E14</f>
        <v>0</v>
      </c>
    </row>
    <row r="18" spans="4:4" ht="15" x14ac:dyDescent="0.25">
      <c r="D18" s="72"/>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28" customWidth="1"/>
    <col min="2" max="2" width="27.28515625" style="133" customWidth="1"/>
    <col min="3" max="3" width="12.7109375" style="28" customWidth="1"/>
    <col min="4" max="4" width="16" style="28" customWidth="1"/>
    <col min="5" max="5" width="2.28515625" style="28" customWidth="1"/>
    <col min="6" max="218" width="9.140625" style="28"/>
    <col min="219" max="220" width="1.28515625" style="28" customWidth="1"/>
    <col min="221" max="221" width="9.140625" style="28"/>
    <col min="222" max="222" width="10.140625" style="28" customWidth="1"/>
    <col min="223" max="223" width="15.5703125" style="28" bestFit="1" customWidth="1"/>
    <col min="224" max="224" width="6.140625" style="28" bestFit="1" customWidth="1"/>
    <col min="225" max="225" width="9" style="28" bestFit="1" customWidth="1"/>
    <col min="226" max="227" width="9.140625" style="28"/>
    <col min="228" max="228" width="12" style="28" bestFit="1" customWidth="1"/>
    <col min="229" max="229" width="1.140625" style="28" customWidth="1"/>
    <col min="230" max="230" width="1.5703125" style="28" customWidth="1"/>
    <col min="231" max="231" width="1.140625" style="28" customWidth="1"/>
    <col min="232" max="233" width="9.140625" style="28"/>
    <col min="234" max="234" width="13.42578125" style="28" bestFit="1" customWidth="1"/>
    <col min="235" max="235" width="5.28515625" style="28" bestFit="1" customWidth="1"/>
    <col min="236" max="236" width="9" style="28" bestFit="1" customWidth="1"/>
    <col min="237" max="238" width="8.5703125" style="28" bestFit="1" customWidth="1"/>
    <col min="239" max="239" width="12" style="28" bestFit="1" customWidth="1"/>
    <col min="240" max="240" width="9.140625" style="28"/>
    <col min="241" max="241" width="1.42578125" style="28" customWidth="1"/>
    <col min="242" max="16384" width="9.140625" style="28"/>
  </cols>
  <sheetData>
    <row r="3" spans="2:10" ht="13.5" thickBot="1" x14ac:dyDescent="0.25"/>
    <row r="4" spans="2:10" ht="5.0999999999999996" customHeight="1" thickBot="1" x14ac:dyDescent="0.25">
      <c r="B4" s="769"/>
      <c r="C4" s="770"/>
      <c r="D4" s="770"/>
    </row>
    <row r="5" spans="2:10" ht="18" customHeight="1" thickBot="1" x14ac:dyDescent="0.25">
      <c r="B5" s="844" t="s">
        <v>308</v>
      </c>
      <c r="C5" s="845"/>
      <c r="D5" s="845"/>
    </row>
    <row r="6" spans="2:10" ht="13.5" thickBot="1" x14ac:dyDescent="0.25">
      <c r="B6" s="134"/>
      <c r="C6" s="32"/>
      <c r="D6" s="71"/>
    </row>
    <row r="7" spans="2:10" ht="15.75" customHeight="1" thickBot="1" x14ac:dyDescent="0.25">
      <c r="B7" s="130" t="s">
        <v>314</v>
      </c>
      <c r="C7" s="131" t="s">
        <v>430</v>
      </c>
    </row>
    <row r="8" spans="2:10" ht="15.75" customHeight="1" thickBot="1" x14ac:dyDescent="0.25">
      <c r="B8" s="132" t="s">
        <v>95</v>
      </c>
      <c r="C8" s="127">
        <v>2.75</v>
      </c>
      <c r="D8" s="28" t="s">
        <v>9</v>
      </c>
    </row>
    <row r="9" spans="2:10" ht="15.75" customHeight="1" thickBot="1" x14ac:dyDescent="0.25">
      <c r="B9" s="132" t="s">
        <v>312</v>
      </c>
      <c r="C9" s="129">
        <v>98</v>
      </c>
      <c r="D9" s="28" t="s">
        <v>9</v>
      </c>
    </row>
    <row r="10" spans="2:10" ht="13.5" thickBot="1" x14ac:dyDescent="0.25">
      <c r="B10" s="132" t="s">
        <v>309</v>
      </c>
      <c r="C10" s="128">
        <v>100</v>
      </c>
      <c r="D10" s="28" t="s">
        <v>310</v>
      </c>
    </row>
    <row r="11" spans="2:10" ht="13.5" thickBot="1" x14ac:dyDescent="0.25">
      <c r="B11" s="132" t="s">
        <v>311</v>
      </c>
      <c r="C11" s="129">
        <f>C10*(C9*C8)/1000</f>
        <v>26.95</v>
      </c>
      <c r="D11" s="28" t="s">
        <v>313</v>
      </c>
    </row>
    <row r="12" spans="2:10" ht="13.5" thickBot="1" x14ac:dyDescent="0.25"/>
    <row r="13" spans="2:10" ht="15.75" customHeight="1" thickBot="1" x14ac:dyDescent="0.25">
      <c r="B13" s="130" t="s">
        <v>315</v>
      </c>
      <c r="C13" s="131" t="s">
        <v>430</v>
      </c>
      <c r="F13" s="868"/>
      <c r="G13" s="868"/>
      <c r="H13" s="868"/>
      <c r="I13" s="868"/>
      <c r="J13" s="868"/>
    </row>
    <row r="14" spans="2:10" ht="13.5" customHeight="1" thickBot="1" x14ac:dyDescent="0.25">
      <c r="B14" s="132" t="s">
        <v>95</v>
      </c>
      <c r="C14" s="127">
        <v>3</v>
      </c>
      <c r="D14" s="28" t="s">
        <v>9</v>
      </c>
      <c r="F14" s="868"/>
      <c r="G14" s="868"/>
      <c r="H14" s="868"/>
      <c r="I14" s="868"/>
      <c r="J14" s="868"/>
    </row>
    <row r="15" spans="2:10" ht="13.5" thickBot="1" x14ac:dyDescent="0.25">
      <c r="B15" s="132" t="s">
        <v>312</v>
      </c>
      <c r="C15" s="129">
        <v>98</v>
      </c>
      <c r="D15" s="28" t="s">
        <v>9</v>
      </c>
      <c r="F15" s="868"/>
      <c r="G15" s="868"/>
      <c r="H15" s="868"/>
      <c r="I15" s="868"/>
      <c r="J15" s="868"/>
    </row>
    <row r="16" spans="2:10" ht="13.5" thickBot="1" x14ac:dyDescent="0.25">
      <c r="B16" s="132" t="s">
        <v>309</v>
      </c>
      <c r="C16" s="128">
        <v>100</v>
      </c>
      <c r="D16" s="28" t="s">
        <v>310</v>
      </c>
      <c r="F16" s="868"/>
      <c r="G16" s="868"/>
      <c r="H16" s="868"/>
      <c r="I16" s="868"/>
      <c r="J16" s="868"/>
    </row>
    <row r="17" spans="2:4" ht="13.5" thickBot="1" x14ac:dyDescent="0.25">
      <c r="B17" s="132" t="s">
        <v>311</v>
      </c>
      <c r="C17" s="129">
        <f>C16*(C15*C14)/1000</f>
        <v>29.4</v>
      </c>
      <c r="D17" s="28" t="s">
        <v>313</v>
      </c>
    </row>
    <row r="19" spans="2:4" x14ac:dyDescent="0.2">
      <c r="C19" s="174">
        <f>1-C17/C11</f>
        <v>-9.0909090909090828E-2</v>
      </c>
    </row>
    <row r="20" spans="2:4" ht="13.5" thickBot="1" x14ac:dyDescent="0.25"/>
    <row r="21" spans="2:4" ht="3.75" customHeight="1" thickBot="1" x14ac:dyDescent="0.25">
      <c r="B21" s="769"/>
      <c r="C21" s="770"/>
      <c r="D21" s="770"/>
    </row>
    <row r="22" spans="2:4" ht="13.5" thickBot="1" x14ac:dyDescent="0.25">
      <c r="B22" s="844" t="s">
        <v>325</v>
      </c>
      <c r="C22" s="845"/>
      <c r="D22" s="845"/>
    </row>
    <row r="23" spans="2:4" ht="13.5" thickBot="1" x14ac:dyDescent="0.25"/>
    <row r="24" spans="2:4" ht="13.5" thickBot="1" x14ac:dyDescent="0.25">
      <c r="B24" s="130" t="s">
        <v>316</v>
      </c>
      <c r="C24" s="131" t="s">
        <v>317</v>
      </c>
    </row>
    <row r="25" spans="2:4" x14ac:dyDescent="0.2">
      <c r="B25" s="133" t="s">
        <v>318</v>
      </c>
      <c r="C25" s="28">
        <v>470699</v>
      </c>
      <c r="D25" s="28" t="s">
        <v>319</v>
      </c>
    </row>
    <row r="26" spans="2:4" x14ac:dyDescent="0.2">
      <c r="B26" s="133" t="s">
        <v>309</v>
      </c>
      <c r="C26" s="28">
        <v>460</v>
      </c>
      <c r="D26" s="28" t="s">
        <v>310</v>
      </c>
    </row>
    <row r="27" spans="2:4" x14ac:dyDescent="0.2">
      <c r="B27" s="133" t="s">
        <v>322</v>
      </c>
      <c r="C27" s="28">
        <v>60</v>
      </c>
      <c r="D27" s="28" t="s">
        <v>9</v>
      </c>
    </row>
    <row r="28" spans="2:4" x14ac:dyDescent="0.2">
      <c r="B28" s="133" t="s">
        <v>95</v>
      </c>
      <c r="C28" s="28">
        <v>4</v>
      </c>
      <c r="D28" s="28" t="s">
        <v>9</v>
      </c>
    </row>
    <row r="29" spans="2:4" x14ac:dyDescent="0.2">
      <c r="B29" s="133" t="s">
        <v>324</v>
      </c>
      <c r="C29" s="28">
        <v>423</v>
      </c>
      <c r="D29" s="28" t="s">
        <v>9</v>
      </c>
    </row>
    <row r="30" spans="2:4" x14ac:dyDescent="0.2">
      <c r="B30" s="133" t="s">
        <v>323</v>
      </c>
      <c r="C30" s="135">
        <f>(C26*C25)/(C27/2*C29/2)/1000</f>
        <v>34.124750197005518</v>
      </c>
      <c r="D30" s="28" t="s">
        <v>313</v>
      </c>
    </row>
    <row r="31" spans="2:4" ht="13.5" thickBot="1" x14ac:dyDescent="0.25"/>
    <row r="32" spans="2:4" ht="13.5" thickBot="1" x14ac:dyDescent="0.25">
      <c r="B32" s="130" t="s">
        <v>321</v>
      </c>
      <c r="C32" s="131" t="s">
        <v>320</v>
      </c>
    </row>
    <row r="33" spans="2:4" x14ac:dyDescent="0.2">
      <c r="B33" s="133" t="s">
        <v>318</v>
      </c>
      <c r="C33" s="28">
        <v>767659</v>
      </c>
      <c r="D33" s="28" t="s">
        <v>319</v>
      </c>
    </row>
    <row r="34" spans="2:4" x14ac:dyDescent="0.2">
      <c r="B34" s="133" t="s">
        <v>309</v>
      </c>
      <c r="C34" s="28">
        <v>275</v>
      </c>
      <c r="D34" s="28" t="s">
        <v>310</v>
      </c>
    </row>
    <row r="35" spans="2:4" x14ac:dyDescent="0.2">
      <c r="B35" s="133" t="s">
        <v>322</v>
      </c>
      <c r="C35" s="28">
        <v>60</v>
      </c>
      <c r="D35" s="28" t="s">
        <v>9</v>
      </c>
    </row>
    <row r="36" spans="2:4" x14ac:dyDescent="0.2">
      <c r="B36" s="133" t="s">
        <v>95</v>
      </c>
      <c r="C36" s="28">
        <v>8</v>
      </c>
      <c r="D36" s="28" t="s">
        <v>9</v>
      </c>
    </row>
    <row r="37" spans="2:4" x14ac:dyDescent="0.2">
      <c r="B37" s="133" t="s">
        <v>324</v>
      </c>
      <c r="C37" s="28">
        <v>423</v>
      </c>
      <c r="D37" s="28" t="s">
        <v>9</v>
      </c>
    </row>
    <row r="38" spans="2:4" x14ac:dyDescent="0.2">
      <c r="B38" s="133" t="s">
        <v>323</v>
      </c>
      <c r="C38" s="135">
        <f>(C34*C33)/(C35/2*C37/2)/1000</f>
        <v>33.271272655634355</v>
      </c>
      <c r="D38" s="28" t="s">
        <v>313</v>
      </c>
    </row>
    <row r="40" spans="2:4" x14ac:dyDescent="0.2">
      <c r="C40" s="136">
        <f>1-C38/C30</f>
        <v>2.501051396549292E-2</v>
      </c>
    </row>
    <row r="42" spans="2:4" ht="13.5" thickBot="1" x14ac:dyDescent="0.25"/>
    <row r="43" spans="2:4" ht="4.5" customHeight="1" thickBot="1" x14ac:dyDescent="0.25">
      <c r="B43" s="769"/>
      <c r="C43" s="770"/>
      <c r="D43" s="770"/>
    </row>
    <row r="44" spans="2:4" ht="13.5" thickBot="1" x14ac:dyDescent="0.25">
      <c r="B44" s="844" t="s">
        <v>326</v>
      </c>
      <c r="C44" s="845"/>
      <c r="D44" s="845"/>
    </row>
    <row r="46" spans="2:4" x14ac:dyDescent="0.2">
      <c r="B46" s="133" t="s">
        <v>309</v>
      </c>
      <c r="C46" s="28">
        <v>460</v>
      </c>
      <c r="D46" s="28" t="s">
        <v>310</v>
      </c>
    </row>
    <row r="47" spans="2:4" x14ac:dyDescent="0.2">
      <c r="B47" s="133" t="s">
        <v>95</v>
      </c>
      <c r="C47" s="137">
        <v>4</v>
      </c>
      <c r="D47" s="28" t="s">
        <v>9</v>
      </c>
    </row>
    <row r="48" spans="2:4" x14ac:dyDescent="0.2">
      <c r="B48" s="133" t="s">
        <v>327</v>
      </c>
      <c r="C48" s="28">
        <v>60</v>
      </c>
      <c r="D48" s="28" t="s">
        <v>9</v>
      </c>
    </row>
    <row r="49" spans="2:4" x14ac:dyDescent="0.2">
      <c r="B49" s="133" t="s">
        <v>328</v>
      </c>
      <c r="C49" s="28">
        <v>10</v>
      </c>
      <c r="D49" s="28" t="s">
        <v>9</v>
      </c>
    </row>
    <row r="50" spans="2:4" x14ac:dyDescent="0.2">
      <c r="B50" s="133" t="s">
        <v>318</v>
      </c>
      <c r="C50" s="138">
        <f>1/12*C49*C47^3</f>
        <v>53.333333333333329</v>
      </c>
      <c r="D50" s="28" t="s">
        <v>319</v>
      </c>
    </row>
    <row r="51" spans="2:4" x14ac:dyDescent="0.2">
      <c r="B51" s="133" t="s">
        <v>326</v>
      </c>
      <c r="C51" s="138">
        <f>C46*C50/C48</f>
        <v>408.88888888888886</v>
      </c>
      <c r="D51" s="28" t="s">
        <v>329</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election activeCell="D29" sqref="D29"/>
    </sheetView>
  </sheetViews>
  <sheetFormatPr defaultRowHeight="12.75" x14ac:dyDescent="0.2"/>
  <cols>
    <col min="1" max="1" width="2.42578125" style="139" customWidth="1"/>
    <col min="2" max="2" width="9.28515625" style="139" customWidth="1"/>
    <col min="3" max="3" width="9.42578125" style="139" customWidth="1"/>
    <col min="4" max="6" width="9.85546875" style="139" customWidth="1"/>
    <col min="7" max="10" width="10.85546875" style="139" customWidth="1"/>
    <col min="11" max="12" width="11.28515625" style="139" customWidth="1"/>
    <col min="13" max="16384" width="9.140625" style="139"/>
  </cols>
  <sheetData>
    <row r="1" spans="2:13" ht="13.5" thickBot="1" x14ac:dyDescent="0.25"/>
    <row r="2" spans="2:13" ht="19.5" thickBot="1" x14ac:dyDescent="0.25">
      <c r="B2" s="625" t="s">
        <v>419</v>
      </c>
      <c r="C2" s="626" t="s">
        <v>351</v>
      </c>
      <c r="D2" s="627" t="s">
        <v>15</v>
      </c>
      <c r="E2" s="627" t="s">
        <v>23</v>
      </c>
      <c r="F2" s="627" t="s">
        <v>27</v>
      </c>
      <c r="G2" s="627" t="s">
        <v>30</v>
      </c>
      <c r="H2" s="627" t="s">
        <v>32</v>
      </c>
      <c r="I2" s="627" t="s">
        <v>34</v>
      </c>
      <c r="J2" s="627" t="s">
        <v>352</v>
      </c>
      <c r="K2" s="627" t="s">
        <v>353</v>
      </c>
      <c r="L2" s="628" t="s">
        <v>354</v>
      </c>
      <c r="M2" s="621"/>
    </row>
    <row r="3" spans="2:13" s="154" customFormat="1" ht="14.25" x14ac:dyDescent="0.2">
      <c r="B3" s="629" t="s">
        <v>351</v>
      </c>
      <c r="C3" s="630" t="s">
        <v>116</v>
      </c>
      <c r="D3" s="631">
        <v>25400</v>
      </c>
      <c r="E3" s="631">
        <v>50800</v>
      </c>
      <c r="F3" s="631">
        <v>76200</v>
      </c>
      <c r="G3" s="631">
        <v>101600</v>
      </c>
      <c r="H3" s="630" t="s">
        <v>355</v>
      </c>
      <c r="I3" s="631">
        <v>152400</v>
      </c>
      <c r="J3" s="631">
        <v>177800</v>
      </c>
      <c r="K3" s="631">
        <v>203200</v>
      </c>
      <c r="L3" s="632">
        <v>228600</v>
      </c>
      <c r="M3" s="622"/>
    </row>
    <row r="4" spans="2:13" ht="14.25" x14ac:dyDescent="0.2">
      <c r="B4" s="629"/>
      <c r="C4" s="630"/>
      <c r="D4" s="630"/>
      <c r="E4" s="630"/>
      <c r="F4" s="630"/>
      <c r="G4" s="630"/>
      <c r="H4" s="630"/>
      <c r="I4" s="630"/>
      <c r="J4" s="630"/>
      <c r="K4" s="630"/>
      <c r="L4" s="633"/>
      <c r="M4" s="623"/>
    </row>
    <row r="5" spans="2:13" ht="14.25" x14ac:dyDescent="0.2">
      <c r="B5" s="629" t="s">
        <v>356</v>
      </c>
      <c r="C5" s="630" t="s">
        <v>357</v>
      </c>
      <c r="D5" s="631">
        <v>26194</v>
      </c>
      <c r="E5" s="631">
        <v>51594</v>
      </c>
      <c r="F5" s="631">
        <v>76994</v>
      </c>
      <c r="G5" s="631">
        <v>102394</v>
      </c>
      <c r="H5" s="631">
        <v>127794</v>
      </c>
      <c r="I5" s="631">
        <v>153194</v>
      </c>
      <c r="J5" s="631">
        <v>178594</v>
      </c>
      <c r="K5" s="631">
        <v>203994</v>
      </c>
      <c r="L5" s="632">
        <v>229394</v>
      </c>
      <c r="M5" s="622"/>
    </row>
    <row r="6" spans="2:13" ht="17.25" customHeight="1" x14ac:dyDescent="0.2">
      <c r="B6" s="629" t="s">
        <v>358</v>
      </c>
      <c r="C6" s="631">
        <v>1588</v>
      </c>
      <c r="D6" s="631">
        <v>26988</v>
      </c>
      <c r="E6" s="631">
        <v>52388</v>
      </c>
      <c r="F6" s="631">
        <v>77788</v>
      </c>
      <c r="G6" s="631">
        <v>103188</v>
      </c>
      <c r="H6" s="631">
        <v>128588</v>
      </c>
      <c r="I6" s="631">
        <v>153388</v>
      </c>
      <c r="J6" s="631">
        <v>179388</v>
      </c>
      <c r="K6" s="631">
        <v>204788</v>
      </c>
      <c r="L6" s="632">
        <v>230188</v>
      </c>
      <c r="M6" s="624"/>
    </row>
    <row r="7" spans="2:13" ht="14.25" x14ac:dyDescent="0.2">
      <c r="B7" s="629" t="s">
        <v>359</v>
      </c>
      <c r="C7" s="631">
        <v>2381</v>
      </c>
      <c r="D7" s="631">
        <v>27781</v>
      </c>
      <c r="E7" s="631">
        <v>53181</v>
      </c>
      <c r="F7" s="631">
        <v>78581</v>
      </c>
      <c r="G7" s="631">
        <v>103981</v>
      </c>
      <c r="H7" s="631">
        <v>129381</v>
      </c>
      <c r="I7" s="631">
        <v>154781</v>
      </c>
      <c r="J7" s="631">
        <v>180181</v>
      </c>
      <c r="K7" s="631">
        <v>205581</v>
      </c>
      <c r="L7" s="632">
        <v>230981</v>
      </c>
      <c r="M7" s="624"/>
    </row>
    <row r="8" spans="2:13" ht="14.25" x14ac:dyDescent="0.2">
      <c r="B8" s="629" t="s">
        <v>360</v>
      </c>
      <c r="C8" s="631">
        <v>3175</v>
      </c>
      <c r="D8" s="631">
        <v>28575</v>
      </c>
      <c r="E8" s="631">
        <v>53975</v>
      </c>
      <c r="F8" s="631">
        <v>79375</v>
      </c>
      <c r="G8" s="631">
        <v>104775</v>
      </c>
      <c r="H8" s="631">
        <v>130175</v>
      </c>
      <c r="I8" s="631">
        <v>155575</v>
      </c>
      <c r="J8" s="631">
        <v>180975</v>
      </c>
      <c r="K8" s="631">
        <v>206375</v>
      </c>
      <c r="L8" s="632">
        <v>231775</v>
      </c>
      <c r="M8" s="624"/>
    </row>
    <row r="9" spans="2:13" ht="14.25" x14ac:dyDescent="0.2">
      <c r="B9" s="629"/>
      <c r="C9" s="630"/>
      <c r="D9" s="630"/>
      <c r="E9" s="630"/>
      <c r="F9" s="630"/>
      <c r="G9" s="630"/>
      <c r="H9" s="630"/>
      <c r="I9" s="630"/>
      <c r="J9" s="630"/>
      <c r="K9" s="630"/>
      <c r="L9" s="633"/>
      <c r="M9" s="623"/>
    </row>
    <row r="10" spans="2:13" ht="14.25" x14ac:dyDescent="0.2">
      <c r="B10" s="629" t="s">
        <v>361</v>
      </c>
      <c r="C10" s="631">
        <v>3969</v>
      </c>
      <c r="D10" s="631">
        <v>29369</v>
      </c>
      <c r="E10" s="631">
        <v>54769</v>
      </c>
      <c r="F10" s="631">
        <v>80169</v>
      </c>
      <c r="G10" s="631">
        <v>105569</v>
      </c>
      <c r="H10" s="631">
        <v>130969</v>
      </c>
      <c r="I10" s="631">
        <v>156369</v>
      </c>
      <c r="J10" s="631">
        <v>181769</v>
      </c>
      <c r="K10" s="631">
        <v>207169</v>
      </c>
      <c r="L10" s="632">
        <v>232569</v>
      </c>
      <c r="M10" s="622"/>
    </row>
    <row r="11" spans="2:13" ht="14.25" x14ac:dyDescent="0.2">
      <c r="B11" s="629" t="s">
        <v>362</v>
      </c>
      <c r="C11" s="631">
        <v>4763</v>
      </c>
      <c r="D11" s="631">
        <v>30163</v>
      </c>
      <c r="E11" s="631">
        <v>55563</v>
      </c>
      <c r="F11" s="631">
        <v>80963</v>
      </c>
      <c r="G11" s="631">
        <v>106363</v>
      </c>
      <c r="H11" s="631">
        <v>131763</v>
      </c>
      <c r="I11" s="631">
        <v>157163</v>
      </c>
      <c r="J11" s="631">
        <v>182563</v>
      </c>
      <c r="K11" s="631">
        <v>207963</v>
      </c>
      <c r="L11" s="632">
        <v>233363</v>
      </c>
      <c r="M11" s="624"/>
    </row>
    <row r="12" spans="2:13" ht="14.25" x14ac:dyDescent="0.2">
      <c r="B12" s="629" t="s">
        <v>363</v>
      </c>
      <c r="C12" s="631">
        <v>5556</v>
      </c>
      <c r="D12" s="631">
        <v>30950</v>
      </c>
      <c r="E12" s="631">
        <v>56356</v>
      </c>
      <c r="F12" s="631">
        <v>81756</v>
      </c>
      <c r="G12" s="631">
        <v>107156</v>
      </c>
      <c r="H12" s="631">
        <v>132556</v>
      </c>
      <c r="I12" s="631">
        <v>157956</v>
      </c>
      <c r="J12" s="631">
        <v>183356</v>
      </c>
      <c r="K12" s="631">
        <v>208756</v>
      </c>
      <c r="L12" s="632">
        <v>234156</v>
      </c>
      <c r="M12" s="622"/>
    </row>
    <row r="13" spans="2:13" ht="14.25" x14ac:dyDescent="0.2">
      <c r="B13" s="629" t="s">
        <v>364</v>
      </c>
      <c r="C13" s="631">
        <v>6350</v>
      </c>
      <c r="D13" s="631">
        <v>31750</v>
      </c>
      <c r="E13" s="631">
        <v>57150</v>
      </c>
      <c r="F13" s="631">
        <v>82550</v>
      </c>
      <c r="G13" s="631">
        <v>107950</v>
      </c>
      <c r="H13" s="631">
        <v>133350</v>
      </c>
      <c r="I13" s="631">
        <v>158750</v>
      </c>
      <c r="J13" s="631">
        <v>184150</v>
      </c>
      <c r="K13" s="631">
        <v>209550</v>
      </c>
      <c r="L13" s="632">
        <v>234950</v>
      </c>
      <c r="M13" s="624"/>
    </row>
    <row r="14" spans="2:13" ht="14.25" x14ac:dyDescent="0.2">
      <c r="B14" s="629"/>
      <c r="C14" s="630"/>
      <c r="D14" s="630"/>
      <c r="E14" s="630"/>
      <c r="F14" s="630"/>
      <c r="G14" s="630"/>
      <c r="H14" s="630"/>
      <c r="I14" s="630"/>
      <c r="J14" s="630"/>
      <c r="K14" s="630"/>
      <c r="L14" s="633"/>
      <c r="M14" s="623"/>
    </row>
    <row r="15" spans="2:13" ht="14.25" x14ac:dyDescent="0.2">
      <c r="B15" s="629" t="s">
        <v>365</v>
      </c>
      <c r="C15" s="631">
        <v>7144</v>
      </c>
      <c r="D15" s="631">
        <v>32544</v>
      </c>
      <c r="E15" s="631">
        <v>57944</v>
      </c>
      <c r="F15" s="631">
        <v>83344</v>
      </c>
      <c r="G15" s="631">
        <v>108744</v>
      </c>
      <c r="H15" s="631">
        <v>134144</v>
      </c>
      <c r="I15" s="631">
        <v>159544</v>
      </c>
      <c r="J15" s="631">
        <v>184944</v>
      </c>
      <c r="K15" s="631">
        <v>210344</v>
      </c>
      <c r="L15" s="632">
        <v>235744</v>
      </c>
      <c r="M15" s="622"/>
    </row>
    <row r="16" spans="2:13" ht="14.25" x14ac:dyDescent="0.2">
      <c r="B16" s="629" t="s">
        <v>366</v>
      </c>
      <c r="C16" s="631">
        <v>7938</v>
      </c>
      <c r="D16" s="631">
        <v>33338</v>
      </c>
      <c r="E16" s="631">
        <v>58738</v>
      </c>
      <c r="F16" s="631">
        <v>84138</v>
      </c>
      <c r="G16" s="631">
        <v>109538</v>
      </c>
      <c r="H16" s="631">
        <v>134938</v>
      </c>
      <c r="I16" s="631">
        <v>160388</v>
      </c>
      <c r="J16" s="631">
        <v>185738</v>
      </c>
      <c r="K16" s="631">
        <v>211138</v>
      </c>
      <c r="L16" s="632">
        <v>236538</v>
      </c>
      <c r="M16" s="624"/>
    </row>
    <row r="17" spans="2:13" ht="14.25" x14ac:dyDescent="0.2">
      <c r="B17" s="629" t="s">
        <v>367</v>
      </c>
      <c r="C17" s="631">
        <v>8731</v>
      </c>
      <c r="D17" s="631">
        <v>34131</v>
      </c>
      <c r="E17" s="631">
        <v>59531</v>
      </c>
      <c r="F17" s="631">
        <v>84931</v>
      </c>
      <c r="G17" s="631">
        <v>110331</v>
      </c>
      <c r="H17" s="631">
        <v>135731</v>
      </c>
      <c r="I17" s="631">
        <v>161131</v>
      </c>
      <c r="J17" s="631">
        <v>186531</v>
      </c>
      <c r="K17" s="631">
        <v>211931</v>
      </c>
      <c r="L17" s="632">
        <v>237331</v>
      </c>
      <c r="M17" s="622"/>
    </row>
    <row r="18" spans="2:13" ht="14.25" x14ac:dyDescent="0.2">
      <c r="B18" s="629" t="s">
        <v>10</v>
      </c>
      <c r="C18" s="631">
        <v>9525</v>
      </c>
      <c r="D18" s="631">
        <v>34925</v>
      </c>
      <c r="E18" s="631">
        <v>60325</v>
      </c>
      <c r="F18" s="631">
        <v>85725</v>
      </c>
      <c r="G18" s="631">
        <v>111125</v>
      </c>
      <c r="H18" s="631">
        <v>136525</v>
      </c>
      <c r="I18" s="631">
        <v>161925</v>
      </c>
      <c r="J18" s="631">
        <v>187325</v>
      </c>
      <c r="K18" s="631">
        <v>212725</v>
      </c>
      <c r="L18" s="632">
        <v>238125</v>
      </c>
      <c r="M18" s="624"/>
    </row>
    <row r="19" spans="2:13" ht="14.25" x14ac:dyDescent="0.2">
      <c r="B19" s="629"/>
      <c r="C19" s="630"/>
      <c r="D19" s="630"/>
      <c r="E19" s="630"/>
      <c r="F19" s="630"/>
      <c r="G19" s="630"/>
      <c r="H19" s="630"/>
      <c r="I19" s="630"/>
      <c r="J19" s="630"/>
      <c r="K19" s="630"/>
      <c r="L19" s="633"/>
      <c r="M19" s="623"/>
    </row>
    <row r="20" spans="2:13" ht="14.25" x14ac:dyDescent="0.2">
      <c r="B20" s="629" t="s">
        <v>368</v>
      </c>
      <c r="C20" s="631">
        <v>10319</v>
      </c>
      <c r="D20" s="631">
        <v>35719</v>
      </c>
      <c r="E20" s="631">
        <v>61119</v>
      </c>
      <c r="F20" s="631">
        <v>86519</v>
      </c>
      <c r="G20" s="631">
        <v>111919</v>
      </c>
      <c r="H20" s="631">
        <v>137319</v>
      </c>
      <c r="I20" s="631">
        <v>162719</v>
      </c>
      <c r="J20" s="631">
        <v>188199</v>
      </c>
      <c r="K20" s="631">
        <v>213519</v>
      </c>
      <c r="L20" s="632">
        <v>238919</v>
      </c>
      <c r="M20" s="622"/>
    </row>
    <row r="21" spans="2:13" ht="14.25" x14ac:dyDescent="0.2">
      <c r="B21" s="629" t="s">
        <v>369</v>
      </c>
      <c r="C21" s="631">
        <v>11113</v>
      </c>
      <c r="D21" s="631">
        <v>36513</v>
      </c>
      <c r="E21" s="631">
        <v>61913</v>
      </c>
      <c r="F21" s="631">
        <v>87313</v>
      </c>
      <c r="G21" s="631">
        <v>112713</v>
      </c>
      <c r="H21" s="631">
        <v>138113</v>
      </c>
      <c r="I21" s="631">
        <v>163513</v>
      </c>
      <c r="J21" s="631">
        <v>188913</v>
      </c>
      <c r="K21" s="631">
        <v>214313</v>
      </c>
      <c r="L21" s="632">
        <v>239713</v>
      </c>
      <c r="M21" s="624"/>
    </row>
    <row r="22" spans="2:13" ht="14.25" x14ac:dyDescent="0.2">
      <c r="B22" s="629" t="s">
        <v>370</v>
      </c>
      <c r="C22" s="631">
        <v>11906</v>
      </c>
      <c r="D22" s="631">
        <v>37306</v>
      </c>
      <c r="E22" s="631">
        <v>62706</v>
      </c>
      <c r="F22" s="631">
        <v>88106</v>
      </c>
      <c r="G22" s="631">
        <v>113506</v>
      </c>
      <c r="H22" s="631">
        <v>138906</v>
      </c>
      <c r="I22" s="631">
        <v>164306</v>
      </c>
      <c r="J22" s="631">
        <v>189706</v>
      </c>
      <c r="K22" s="631">
        <v>215106</v>
      </c>
      <c r="L22" s="632">
        <v>240506</v>
      </c>
      <c r="M22" s="622"/>
    </row>
    <row r="23" spans="2:13" ht="14.25" x14ac:dyDescent="0.2">
      <c r="B23" s="629" t="s">
        <v>11</v>
      </c>
      <c r="C23" s="631">
        <v>12700</v>
      </c>
      <c r="D23" s="631">
        <v>38100</v>
      </c>
      <c r="E23" s="631">
        <v>63500</v>
      </c>
      <c r="F23" s="631">
        <v>88900</v>
      </c>
      <c r="G23" s="631">
        <v>114300</v>
      </c>
      <c r="H23" s="631">
        <v>139700</v>
      </c>
      <c r="I23" s="631">
        <v>165100</v>
      </c>
      <c r="J23" s="631">
        <v>190500</v>
      </c>
      <c r="K23" s="631">
        <v>215900</v>
      </c>
      <c r="L23" s="632">
        <v>241300</v>
      </c>
      <c r="M23" s="624"/>
    </row>
    <row r="24" spans="2:13" ht="14.25" x14ac:dyDescent="0.2">
      <c r="B24" s="629"/>
      <c r="C24" s="630"/>
      <c r="D24" s="630"/>
      <c r="E24" s="630"/>
      <c r="F24" s="630"/>
      <c r="G24" s="630"/>
      <c r="H24" s="630"/>
      <c r="I24" s="630"/>
      <c r="J24" s="630"/>
      <c r="K24" s="630"/>
      <c r="L24" s="633"/>
      <c r="M24" s="623"/>
    </row>
    <row r="25" spans="2:13" ht="14.25" x14ac:dyDescent="0.2">
      <c r="B25" s="629" t="s">
        <v>371</v>
      </c>
      <c r="C25" s="631">
        <v>13494</v>
      </c>
      <c r="D25" s="631">
        <v>38894</v>
      </c>
      <c r="E25" s="631">
        <v>64294</v>
      </c>
      <c r="F25" s="631">
        <v>89694</v>
      </c>
      <c r="G25" s="631">
        <v>115094</v>
      </c>
      <c r="H25" s="631">
        <v>140494</v>
      </c>
      <c r="I25" s="631">
        <v>165894</v>
      </c>
      <c r="J25" s="631">
        <v>191294</v>
      </c>
      <c r="K25" s="631">
        <v>216694</v>
      </c>
      <c r="L25" s="632">
        <v>242094</v>
      </c>
      <c r="M25" s="622"/>
    </row>
    <row r="26" spans="2:13" ht="14.25" x14ac:dyDescent="0.2">
      <c r="B26" s="629" t="s">
        <v>372</v>
      </c>
      <c r="C26" s="631">
        <v>14288</v>
      </c>
      <c r="D26" s="631">
        <v>39688</v>
      </c>
      <c r="E26" s="631">
        <v>65088</v>
      </c>
      <c r="F26" s="631">
        <v>90488</v>
      </c>
      <c r="G26" s="631">
        <v>115888</v>
      </c>
      <c r="H26" s="631">
        <v>141288</v>
      </c>
      <c r="I26" s="631">
        <v>166688</v>
      </c>
      <c r="J26" s="631">
        <v>192088</v>
      </c>
      <c r="K26" s="631">
        <v>217488</v>
      </c>
      <c r="L26" s="632">
        <v>242888</v>
      </c>
      <c r="M26" s="624"/>
    </row>
    <row r="27" spans="2:13" ht="14.25" x14ac:dyDescent="0.2">
      <c r="B27" s="629" t="s">
        <v>373</v>
      </c>
      <c r="C27" s="631">
        <v>15081</v>
      </c>
      <c r="D27" s="631">
        <v>40481</v>
      </c>
      <c r="E27" s="631">
        <v>65881</v>
      </c>
      <c r="F27" s="631">
        <v>91281</v>
      </c>
      <c r="G27" s="631">
        <v>116681</v>
      </c>
      <c r="H27" s="631">
        <v>142081</v>
      </c>
      <c r="I27" s="631">
        <v>167481</v>
      </c>
      <c r="J27" s="631">
        <v>198881</v>
      </c>
      <c r="K27" s="631">
        <v>218281</v>
      </c>
      <c r="L27" s="632">
        <v>243681</v>
      </c>
      <c r="M27" s="622"/>
    </row>
    <row r="28" spans="2:13" ht="14.25" x14ac:dyDescent="0.2">
      <c r="B28" s="629" t="s">
        <v>12</v>
      </c>
      <c r="C28" s="631">
        <v>15875</v>
      </c>
      <c r="D28" s="631">
        <v>41275</v>
      </c>
      <c r="E28" s="631">
        <v>66675</v>
      </c>
      <c r="F28" s="631">
        <v>92075</v>
      </c>
      <c r="G28" s="631">
        <v>117475</v>
      </c>
      <c r="H28" s="631">
        <v>142875</v>
      </c>
      <c r="I28" s="631">
        <v>168275</v>
      </c>
      <c r="J28" s="631">
        <v>193675</v>
      </c>
      <c r="K28" s="631">
        <v>219075</v>
      </c>
      <c r="L28" s="632">
        <v>244475</v>
      </c>
      <c r="M28" s="624"/>
    </row>
    <row r="29" spans="2:13" ht="14.25" x14ac:dyDescent="0.2">
      <c r="B29" s="629"/>
      <c r="C29" s="630"/>
      <c r="D29" s="630"/>
      <c r="E29" s="630"/>
      <c r="F29" s="630"/>
      <c r="G29" s="630"/>
      <c r="H29" s="630"/>
      <c r="I29" s="630"/>
      <c r="J29" s="630"/>
      <c r="K29" s="630"/>
      <c r="L29" s="633"/>
      <c r="M29" s="623"/>
    </row>
    <row r="30" spans="2:13" ht="14.25" x14ac:dyDescent="0.2">
      <c r="B30" s="629" t="s">
        <v>374</v>
      </c>
      <c r="C30" s="631">
        <v>16669</v>
      </c>
      <c r="D30" s="631">
        <v>42069</v>
      </c>
      <c r="E30" s="631">
        <v>67469</v>
      </c>
      <c r="F30" s="631">
        <v>92869</v>
      </c>
      <c r="G30" s="631">
        <v>118269</v>
      </c>
      <c r="H30" s="631">
        <v>143669</v>
      </c>
      <c r="I30" s="631">
        <v>169069</v>
      </c>
      <c r="J30" s="631">
        <v>194469</v>
      </c>
      <c r="K30" s="631">
        <v>219869</v>
      </c>
      <c r="L30" s="632">
        <v>245269</v>
      </c>
      <c r="M30" s="622"/>
    </row>
    <row r="31" spans="2:13" ht="14.25" x14ac:dyDescent="0.2">
      <c r="B31" s="629" t="s">
        <v>375</v>
      </c>
      <c r="C31" s="631">
        <v>17463</v>
      </c>
      <c r="D31" s="631">
        <v>42863</v>
      </c>
      <c r="E31" s="631">
        <v>68263</v>
      </c>
      <c r="F31" s="631">
        <v>93663</v>
      </c>
      <c r="G31" s="631">
        <v>119063</v>
      </c>
      <c r="H31" s="631">
        <v>144463</v>
      </c>
      <c r="I31" s="631">
        <v>169863</v>
      </c>
      <c r="J31" s="631">
        <v>195263</v>
      </c>
      <c r="K31" s="631">
        <v>220663</v>
      </c>
      <c r="L31" s="632">
        <v>246063</v>
      </c>
      <c r="M31" s="624"/>
    </row>
    <row r="32" spans="2:13" ht="14.25" x14ac:dyDescent="0.2">
      <c r="B32" s="629" t="s">
        <v>376</v>
      </c>
      <c r="C32" s="631">
        <v>18256</v>
      </c>
      <c r="D32" s="631">
        <v>43656</v>
      </c>
      <c r="E32" s="631">
        <v>69056</v>
      </c>
      <c r="F32" s="631">
        <v>94456</v>
      </c>
      <c r="G32" s="631">
        <v>119856</v>
      </c>
      <c r="H32" s="631">
        <v>145656</v>
      </c>
      <c r="I32" s="631">
        <v>170656</v>
      </c>
      <c r="J32" s="631">
        <v>196056</v>
      </c>
      <c r="K32" s="631">
        <v>221456</v>
      </c>
      <c r="L32" s="632">
        <v>246856</v>
      </c>
      <c r="M32" s="622"/>
    </row>
    <row r="33" spans="2:13" ht="14.25" x14ac:dyDescent="0.2">
      <c r="B33" s="629" t="s">
        <v>13</v>
      </c>
      <c r="C33" s="631">
        <v>19050</v>
      </c>
      <c r="D33" s="631">
        <v>44450</v>
      </c>
      <c r="E33" s="631">
        <v>69850</v>
      </c>
      <c r="F33" s="631">
        <v>95250</v>
      </c>
      <c r="G33" s="631">
        <v>120650</v>
      </c>
      <c r="H33" s="631">
        <v>146050</v>
      </c>
      <c r="I33" s="631">
        <v>171450</v>
      </c>
      <c r="J33" s="631">
        <v>196850</v>
      </c>
      <c r="K33" s="631">
        <v>222250</v>
      </c>
      <c r="L33" s="632">
        <v>274650</v>
      </c>
      <c r="M33" s="624"/>
    </row>
    <row r="34" spans="2:13" ht="14.25" x14ac:dyDescent="0.2">
      <c r="B34" s="629"/>
      <c r="C34" s="630"/>
      <c r="D34" s="630"/>
      <c r="E34" s="630"/>
      <c r="F34" s="630"/>
      <c r="G34" s="630"/>
      <c r="H34" s="630"/>
      <c r="I34" s="630"/>
      <c r="J34" s="630"/>
      <c r="K34" s="630"/>
      <c r="L34" s="633"/>
      <c r="M34" s="623"/>
    </row>
    <row r="35" spans="2:13" ht="14.25" x14ac:dyDescent="0.2">
      <c r="B35" s="629" t="s">
        <v>377</v>
      </c>
      <c r="C35" s="631">
        <v>19844</v>
      </c>
      <c r="D35" s="631">
        <v>45244</v>
      </c>
      <c r="E35" s="631">
        <v>70644</v>
      </c>
      <c r="F35" s="631">
        <v>96044</v>
      </c>
      <c r="G35" s="631">
        <v>121444</v>
      </c>
      <c r="H35" s="631">
        <v>146844</v>
      </c>
      <c r="I35" s="631">
        <v>172244</v>
      </c>
      <c r="J35" s="631">
        <v>197644</v>
      </c>
      <c r="K35" s="631">
        <v>223044</v>
      </c>
      <c r="L35" s="632">
        <v>248444</v>
      </c>
      <c r="M35" s="622"/>
    </row>
    <row r="36" spans="2:13" ht="14.25" x14ac:dyDescent="0.2">
      <c r="B36" s="629" t="s">
        <v>378</v>
      </c>
      <c r="C36" s="631">
        <v>20638</v>
      </c>
      <c r="D36" s="631">
        <v>46038</v>
      </c>
      <c r="E36" s="631">
        <v>71438</v>
      </c>
      <c r="F36" s="631">
        <v>96838</v>
      </c>
      <c r="G36" s="631">
        <v>122238</v>
      </c>
      <c r="H36" s="631">
        <v>147638</v>
      </c>
      <c r="I36" s="631">
        <v>173038</v>
      </c>
      <c r="J36" s="631">
        <v>198438</v>
      </c>
      <c r="K36" s="631">
        <v>223838</v>
      </c>
      <c r="L36" s="632">
        <v>249238</v>
      </c>
      <c r="M36" s="624"/>
    </row>
    <row r="37" spans="2:13" ht="14.25" x14ac:dyDescent="0.2">
      <c r="B37" s="629" t="s">
        <v>379</v>
      </c>
      <c r="C37" s="631">
        <v>21431</v>
      </c>
      <c r="D37" s="631">
        <v>46831</v>
      </c>
      <c r="E37" s="631">
        <v>72231</v>
      </c>
      <c r="F37" s="631">
        <v>97631</v>
      </c>
      <c r="G37" s="631">
        <v>123031</v>
      </c>
      <c r="H37" s="631">
        <v>148431</v>
      </c>
      <c r="I37" s="631">
        <v>173831</v>
      </c>
      <c r="J37" s="631">
        <v>199231</v>
      </c>
      <c r="K37" s="631">
        <v>224631</v>
      </c>
      <c r="L37" s="632">
        <v>250031</v>
      </c>
      <c r="M37" s="622"/>
    </row>
    <row r="38" spans="2:13" ht="14.25" x14ac:dyDescent="0.2">
      <c r="B38" s="629" t="s">
        <v>14</v>
      </c>
      <c r="C38" s="631">
        <v>22225</v>
      </c>
      <c r="D38" s="631">
        <v>47625</v>
      </c>
      <c r="E38" s="631">
        <v>73025</v>
      </c>
      <c r="F38" s="631">
        <v>98425</v>
      </c>
      <c r="G38" s="631">
        <v>123825</v>
      </c>
      <c r="H38" s="631">
        <v>149255</v>
      </c>
      <c r="I38" s="631">
        <v>174225</v>
      </c>
      <c r="J38" s="631">
        <v>200025</v>
      </c>
      <c r="K38" s="631">
        <v>225425</v>
      </c>
      <c r="L38" s="632">
        <v>250825</v>
      </c>
      <c r="M38" s="624"/>
    </row>
    <row r="39" spans="2:13" ht="14.25" x14ac:dyDescent="0.2">
      <c r="B39" s="629"/>
      <c r="C39" s="630"/>
      <c r="D39" s="630"/>
      <c r="E39" s="630"/>
      <c r="F39" s="630"/>
      <c r="G39" s="630"/>
      <c r="H39" s="630"/>
      <c r="I39" s="630"/>
      <c r="J39" s="630"/>
      <c r="K39" s="630"/>
      <c r="L39" s="633"/>
      <c r="M39" s="623"/>
    </row>
    <row r="40" spans="2:13" ht="14.25" x14ac:dyDescent="0.2">
      <c r="B40" s="629" t="s">
        <v>380</v>
      </c>
      <c r="C40" s="631">
        <v>23019</v>
      </c>
      <c r="D40" s="631">
        <v>48419</v>
      </c>
      <c r="E40" s="631">
        <v>73819</v>
      </c>
      <c r="F40" s="631">
        <v>99219</v>
      </c>
      <c r="G40" s="631">
        <v>124619</v>
      </c>
      <c r="H40" s="631">
        <v>150019</v>
      </c>
      <c r="I40" s="631">
        <v>175419</v>
      </c>
      <c r="J40" s="631">
        <v>200819</v>
      </c>
      <c r="K40" s="631">
        <v>226219</v>
      </c>
      <c r="L40" s="632">
        <v>251619</v>
      </c>
      <c r="M40" s="622"/>
    </row>
    <row r="41" spans="2:13" ht="14.25" x14ac:dyDescent="0.2">
      <c r="B41" s="629" t="s">
        <v>381</v>
      </c>
      <c r="C41" s="631">
        <v>23813</v>
      </c>
      <c r="D41" s="631">
        <v>49213</v>
      </c>
      <c r="E41" s="631">
        <v>74613</v>
      </c>
      <c r="F41" s="631">
        <v>100013</v>
      </c>
      <c r="G41" s="631">
        <v>125413</v>
      </c>
      <c r="H41" s="631">
        <v>150813</v>
      </c>
      <c r="I41" s="631">
        <v>176213</v>
      </c>
      <c r="J41" s="631">
        <v>201613</v>
      </c>
      <c r="K41" s="631">
        <v>227013</v>
      </c>
      <c r="L41" s="632">
        <v>252413</v>
      </c>
      <c r="M41" s="624"/>
    </row>
    <row r="42" spans="2:13" ht="15" thickBot="1" x14ac:dyDescent="0.25">
      <c r="B42" s="634" t="s">
        <v>831</v>
      </c>
      <c r="C42" s="635">
        <v>24606</v>
      </c>
      <c r="D42" s="635">
        <v>50006</v>
      </c>
      <c r="E42" s="635">
        <v>75406</v>
      </c>
      <c r="F42" s="635">
        <v>100806</v>
      </c>
      <c r="G42" s="635">
        <v>126206</v>
      </c>
      <c r="H42" s="635">
        <v>151606</v>
      </c>
      <c r="I42" s="635">
        <v>177006</v>
      </c>
      <c r="J42" s="635">
        <v>202406</v>
      </c>
      <c r="K42" s="635">
        <v>227806</v>
      </c>
      <c r="L42" s="636">
        <v>253206</v>
      </c>
      <c r="M42" s="624"/>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40" customWidth="1"/>
    <col min="2" max="5" width="3.28515625" style="140" customWidth="1"/>
    <col min="6" max="6" width="2.7109375" style="140" customWidth="1"/>
    <col min="7" max="10" width="3.28515625" style="140" customWidth="1"/>
    <col min="11" max="11" width="3.85546875" style="140" customWidth="1"/>
    <col min="12" max="12" width="3.28515625" style="140" customWidth="1"/>
    <col min="13" max="13" width="3.42578125" style="140" customWidth="1"/>
    <col min="14" max="22" width="3.28515625" style="140" customWidth="1"/>
    <col min="23" max="23" width="3.5703125" style="140" customWidth="1"/>
    <col min="24" max="16384" width="3.28515625" style="140"/>
  </cols>
  <sheetData>
    <row r="1" spans="2:25" ht="13.5" thickBot="1" x14ac:dyDescent="0.25"/>
    <row r="2" spans="2:25" ht="13.5" thickBot="1" x14ac:dyDescent="0.25">
      <c r="B2" s="142"/>
      <c r="C2" s="143"/>
      <c r="D2" s="143"/>
      <c r="E2" s="143"/>
      <c r="F2" s="143"/>
      <c r="G2" s="143"/>
      <c r="H2" s="143"/>
      <c r="I2" s="143"/>
      <c r="J2" s="143"/>
      <c r="K2" s="143"/>
      <c r="L2" s="143"/>
      <c r="M2" s="143"/>
      <c r="N2" s="143"/>
      <c r="O2" s="143"/>
      <c r="P2" s="143"/>
      <c r="Q2" s="143"/>
      <c r="R2" s="143"/>
      <c r="S2" s="143"/>
      <c r="T2" s="143"/>
      <c r="U2" s="143"/>
      <c r="V2" s="143"/>
      <c r="W2" s="143"/>
      <c r="X2" s="143"/>
      <c r="Y2" s="144"/>
    </row>
    <row r="3" spans="2:25" ht="12.75" customHeight="1" x14ac:dyDescent="0.2">
      <c r="B3" s="145"/>
      <c r="C3" s="879"/>
      <c r="D3" s="880"/>
      <c r="E3" s="880"/>
      <c r="F3" s="880"/>
      <c r="G3" s="880"/>
      <c r="H3" s="880"/>
      <c r="I3" s="880"/>
      <c r="J3" s="880"/>
      <c r="K3" s="881"/>
      <c r="L3" s="888" t="s">
        <v>382</v>
      </c>
      <c r="M3" s="889"/>
      <c r="N3" s="889"/>
      <c r="O3" s="889"/>
      <c r="P3" s="889"/>
      <c r="Q3" s="889"/>
      <c r="R3" s="889"/>
      <c r="S3" s="889"/>
      <c r="T3" s="889"/>
      <c r="U3" s="889"/>
      <c r="V3" s="889"/>
      <c r="W3" s="889"/>
      <c r="X3" s="890"/>
      <c r="Y3" s="146"/>
    </row>
    <row r="4" spans="2:25" ht="12.75" customHeight="1" x14ac:dyDescent="0.2">
      <c r="B4" s="145"/>
      <c r="C4" s="882"/>
      <c r="D4" s="883"/>
      <c r="E4" s="883"/>
      <c r="F4" s="883"/>
      <c r="G4" s="883"/>
      <c r="H4" s="883"/>
      <c r="I4" s="883"/>
      <c r="J4" s="883"/>
      <c r="K4" s="884"/>
      <c r="L4" s="891"/>
      <c r="M4" s="892"/>
      <c r="N4" s="892"/>
      <c r="O4" s="892"/>
      <c r="P4" s="892"/>
      <c r="Q4" s="892"/>
      <c r="R4" s="892"/>
      <c r="S4" s="892"/>
      <c r="T4" s="892"/>
      <c r="U4" s="892"/>
      <c r="V4" s="892"/>
      <c r="W4" s="892"/>
      <c r="X4" s="893"/>
      <c r="Y4" s="146"/>
    </row>
    <row r="5" spans="2:25" ht="12.75" customHeight="1" x14ac:dyDescent="0.2">
      <c r="B5" s="145"/>
      <c r="C5" s="882"/>
      <c r="D5" s="883"/>
      <c r="E5" s="883"/>
      <c r="F5" s="883"/>
      <c r="G5" s="883"/>
      <c r="H5" s="883"/>
      <c r="I5" s="883"/>
      <c r="J5" s="883"/>
      <c r="K5" s="884"/>
      <c r="L5" s="891"/>
      <c r="M5" s="892"/>
      <c r="N5" s="892"/>
      <c r="O5" s="892"/>
      <c r="P5" s="892"/>
      <c r="Q5" s="892"/>
      <c r="R5" s="892"/>
      <c r="S5" s="892"/>
      <c r="T5" s="892"/>
      <c r="U5" s="892"/>
      <c r="V5" s="892"/>
      <c r="W5" s="892"/>
      <c r="X5" s="893"/>
      <c r="Y5" s="146"/>
    </row>
    <row r="6" spans="2:25" ht="12.75" customHeight="1" x14ac:dyDescent="0.2">
      <c r="B6" s="145"/>
      <c r="C6" s="882"/>
      <c r="D6" s="883"/>
      <c r="E6" s="883"/>
      <c r="F6" s="883"/>
      <c r="G6" s="883"/>
      <c r="H6" s="883"/>
      <c r="I6" s="883"/>
      <c r="J6" s="883"/>
      <c r="K6" s="884"/>
      <c r="L6" s="891"/>
      <c r="M6" s="892"/>
      <c r="N6" s="892"/>
      <c r="O6" s="892"/>
      <c r="P6" s="892"/>
      <c r="Q6" s="892"/>
      <c r="R6" s="892"/>
      <c r="S6" s="892"/>
      <c r="T6" s="892"/>
      <c r="U6" s="892"/>
      <c r="V6" s="892"/>
      <c r="W6" s="892"/>
      <c r="X6" s="893"/>
      <c r="Y6" s="146"/>
    </row>
    <row r="7" spans="2:25" ht="13.5" customHeight="1" thickBot="1" x14ac:dyDescent="0.25">
      <c r="B7" s="145"/>
      <c r="C7" s="885"/>
      <c r="D7" s="886"/>
      <c r="E7" s="886"/>
      <c r="F7" s="886"/>
      <c r="G7" s="886"/>
      <c r="H7" s="886"/>
      <c r="I7" s="886"/>
      <c r="J7" s="886"/>
      <c r="K7" s="887"/>
      <c r="L7" s="894"/>
      <c r="M7" s="895"/>
      <c r="N7" s="895"/>
      <c r="O7" s="895"/>
      <c r="P7" s="895"/>
      <c r="Q7" s="895"/>
      <c r="R7" s="895"/>
      <c r="S7" s="895"/>
      <c r="T7" s="895"/>
      <c r="U7" s="895"/>
      <c r="V7" s="895"/>
      <c r="W7" s="895"/>
      <c r="X7" s="896"/>
      <c r="Y7" s="146"/>
    </row>
    <row r="8" spans="2:25" x14ac:dyDescent="0.2">
      <c r="B8" s="145"/>
      <c r="C8" s="141"/>
      <c r="D8" s="141"/>
      <c r="E8" s="141"/>
      <c r="F8" s="141"/>
      <c r="G8" s="141"/>
      <c r="H8" s="141"/>
      <c r="I8" s="141"/>
      <c r="J8" s="141"/>
      <c r="K8" s="141"/>
      <c r="L8" s="141"/>
      <c r="M8" s="141"/>
      <c r="N8" s="141"/>
      <c r="O8" s="141"/>
      <c r="P8" s="141"/>
      <c r="Q8" s="141"/>
      <c r="R8" s="141"/>
      <c r="S8" s="141"/>
      <c r="T8" s="141"/>
      <c r="U8" s="141"/>
      <c r="V8" s="141"/>
      <c r="W8" s="141"/>
      <c r="X8" s="141"/>
      <c r="Y8" s="146"/>
    </row>
    <row r="9" spans="2:25" x14ac:dyDescent="0.2">
      <c r="B9" s="145"/>
      <c r="C9" s="872" t="s">
        <v>383</v>
      </c>
      <c r="D9" s="872"/>
      <c r="E9" s="872"/>
      <c r="F9" s="872"/>
      <c r="G9" s="872"/>
      <c r="H9" s="141"/>
      <c r="I9" s="155" t="s">
        <v>382</v>
      </c>
      <c r="J9" s="141"/>
      <c r="K9" s="141"/>
      <c r="L9" s="141"/>
      <c r="M9" s="141"/>
      <c r="N9" s="141"/>
      <c r="O9" s="141"/>
      <c r="P9" s="141"/>
      <c r="Q9" s="141"/>
      <c r="R9" s="141"/>
      <c r="S9" s="141"/>
      <c r="T9" s="141"/>
      <c r="U9" s="141"/>
      <c r="V9" s="141"/>
      <c r="W9" s="141"/>
      <c r="X9" s="141"/>
      <c r="Y9" s="146"/>
    </row>
    <row r="10" spans="2:25" ht="13.5" thickBot="1" x14ac:dyDescent="0.25">
      <c r="B10" s="145"/>
      <c r="C10" s="141"/>
      <c r="D10" s="141"/>
      <c r="E10" s="141"/>
      <c r="F10" s="141"/>
      <c r="G10" s="141"/>
      <c r="H10" s="141"/>
      <c r="I10" s="141"/>
      <c r="J10" s="141"/>
      <c r="K10" s="141"/>
      <c r="L10" s="141"/>
      <c r="M10" s="141"/>
      <c r="N10" s="141"/>
      <c r="O10" s="141"/>
      <c r="P10" s="141"/>
      <c r="Q10" s="141"/>
      <c r="R10" s="141"/>
      <c r="S10" s="141"/>
      <c r="T10" s="141"/>
      <c r="U10" s="141"/>
      <c r="V10" s="141"/>
      <c r="W10" s="141"/>
      <c r="X10" s="141"/>
      <c r="Y10" s="146"/>
    </row>
    <row r="11" spans="2:25" ht="13.5" thickBot="1" x14ac:dyDescent="0.25">
      <c r="B11" s="145"/>
      <c r="C11" s="151" t="s">
        <v>384</v>
      </c>
      <c r="D11" s="873" t="s">
        <v>385</v>
      </c>
      <c r="E11" s="873"/>
      <c r="F11" s="873"/>
      <c r="G11" s="873"/>
      <c r="H11" s="141"/>
      <c r="I11" s="156" t="s">
        <v>384</v>
      </c>
      <c r="J11" s="870">
        <v>762</v>
      </c>
      <c r="K11" s="871"/>
      <c r="L11" s="141"/>
      <c r="M11" s="141"/>
      <c r="N11" s="141"/>
      <c r="O11" s="141"/>
      <c r="P11" s="141"/>
      <c r="Q11" s="141"/>
      <c r="R11" s="141"/>
      <c r="S11" s="141"/>
      <c r="T11" s="141"/>
      <c r="U11" s="141"/>
      <c r="V11" s="141"/>
      <c r="W11" s="141"/>
      <c r="X11" s="141"/>
      <c r="Y11" s="146"/>
    </row>
    <row r="12" spans="2:25" ht="13.5" thickBot="1" x14ac:dyDescent="0.25">
      <c r="B12" s="145"/>
      <c r="C12" s="151" t="s">
        <v>386</v>
      </c>
      <c r="D12" s="873" t="s">
        <v>469</v>
      </c>
      <c r="E12" s="873"/>
      <c r="F12" s="873"/>
      <c r="G12" s="873"/>
      <c r="H12" s="141"/>
      <c r="I12" s="156" t="s">
        <v>386</v>
      </c>
      <c r="J12" s="870">
        <v>1829</v>
      </c>
      <c r="K12" s="871"/>
      <c r="L12" s="141"/>
      <c r="M12" s="141"/>
      <c r="N12" s="878">
        <f>(((PI()*(J12/1000/2)^2)*J13/1000)-((PI()*(J11/1000/2)^2)*J13/1000))*7.85</f>
        <v>20.453734607667172</v>
      </c>
      <c r="O12" s="878"/>
      <c r="P12" s="878"/>
      <c r="Q12" s="157" t="s">
        <v>350</v>
      </c>
      <c r="R12" s="141"/>
      <c r="S12" s="141"/>
      <c r="T12" s="141"/>
      <c r="U12" s="141"/>
      <c r="V12" s="141"/>
      <c r="W12" s="141"/>
      <c r="X12" s="141"/>
      <c r="Y12" s="146"/>
    </row>
    <row r="13" spans="2:25" ht="13.5" thickBot="1" x14ac:dyDescent="0.25">
      <c r="B13" s="145"/>
      <c r="C13" s="141"/>
      <c r="D13" s="141"/>
      <c r="E13" s="141"/>
      <c r="F13" s="141"/>
      <c r="G13" s="141"/>
      <c r="H13" s="141"/>
      <c r="I13" s="149" t="s">
        <v>168</v>
      </c>
      <c r="J13" s="870">
        <v>1200</v>
      </c>
      <c r="K13" s="871"/>
      <c r="L13" s="141"/>
      <c r="M13" s="141"/>
      <c r="N13" s="141"/>
      <c r="O13" s="141"/>
      <c r="P13" s="141"/>
      <c r="Q13" s="141"/>
      <c r="R13" s="141"/>
      <c r="S13" s="141"/>
      <c r="T13" s="141"/>
      <c r="U13" s="141"/>
      <c r="V13" s="141"/>
      <c r="W13" s="141"/>
      <c r="X13" s="141"/>
      <c r="Y13" s="146"/>
    </row>
    <row r="14" spans="2:25" x14ac:dyDescent="0.2">
      <c r="B14" s="145"/>
      <c r="C14" s="141"/>
      <c r="D14" s="141"/>
      <c r="E14" s="141"/>
      <c r="F14" s="141"/>
      <c r="G14" s="141"/>
      <c r="H14" s="141"/>
      <c r="I14" s="141"/>
      <c r="J14" s="141"/>
      <c r="K14" s="141"/>
      <c r="L14" s="141"/>
      <c r="M14" s="141"/>
      <c r="N14" s="141"/>
      <c r="O14" s="141"/>
      <c r="P14" s="141"/>
      <c r="Q14" s="141"/>
      <c r="R14" s="141"/>
      <c r="S14" s="141"/>
      <c r="T14" s="141"/>
      <c r="U14" s="141"/>
      <c r="V14" s="141"/>
      <c r="W14" s="141"/>
      <c r="X14" s="141"/>
      <c r="Y14" s="146"/>
    </row>
    <row r="15" spans="2:25" x14ac:dyDescent="0.2">
      <c r="B15" s="145"/>
      <c r="C15" s="872" t="s">
        <v>387</v>
      </c>
      <c r="D15" s="872"/>
      <c r="E15" s="872"/>
      <c r="F15" s="872"/>
      <c r="G15" s="872"/>
      <c r="H15" s="141"/>
      <c r="I15" s="155" t="s">
        <v>388</v>
      </c>
      <c r="J15" s="141"/>
      <c r="K15" s="141"/>
      <c r="L15" s="141"/>
      <c r="M15" s="141"/>
      <c r="N15" s="141"/>
      <c r="O15" s="141"/>
      <c r="P15" s="141"/>
      <c r="Q15" s="141"/>
      <c r="R15" s="141"/>
      <c r="W15" s="141"/>
      <c r="X15" s="141"/>
      <c r="Y15" s="146"/>
    </row>
    <row r="16" spans="2:25" ht="13.5" thickBot="1" x14ac:dyDescent="0.25">
      <c r="B16" s="145"/>
      <c r="C16" s="158"/>
      <c r="D16" s="158"/>
      <c r="E16" s="158"/>
      <c r="F16" s="158"/>
      <c r="G16" s="158"/>
      <c r="H16" s="141"/>
      <c r="I16" s="155"/>
      <c r="J16" s="141"/>
      <c r="K16" s="141"/>
      <c r="L16" s="141"/>
      <c r="M16" s="141"/>
      <c r="N16" s="141"/>
      <c r="O16" s="141"/>
      <c r="P16" s="141"/>
      <c r="Q16" s="141"/>
      <c r="R16" s="141"/>
      <c r="S16" s="141"/>
      <c r="T16" s="141"/>
      <c r="U16" s="141"/>
      <c r="V16" s="141"/>
      <c r="W16" s="141"/>
      <c r="X16" s="141"/>
      <c r="Y16" s="146"/>
    </row>
    <row r="17" spans="2:25" ht="13.5" thickBot="1" x14ac:dyDescent="0.25">
      <c r="B17" s="145"/>
      <c r="C17" s="151" t="s">
        <v>384</v>
      </c>
      <c r="D17" s="873">
        <v>508</v>
      </c>
      <c r="E17" s="873"/>
      <c r="F17" s="873"/>
      <c r="G17" s="873"/>
      <c r="H17" s="141"/>
      <c r="I17" s="141" t="s">
        <v>85</v>
      </c>
      <c r="J17" s="141"/>
      <c r="K17" s="141"/>
      <c r="L17" s="874">
        <v>0.6</v>
      </c>
      <c r="M17" s="875"/>
      <c r="N17" s="157" t="s">
        <v>350</v>
      </c>
      <c r="O17" s="141"/>
      <c r="P17" s="141"/>
      <c r="Q17" s="141"/>
      <c r="R17" s="141"/>
      <c r="S17" s="141"/>
      <c r="T17" s="141"/>
      <c r="U17" s="141"/>
      <c r="V17" s="141"/>
      <c r="W17" s="141"/>
      <c r="X17" s="141"/>
      <c r="Y17" s="146"/>
    </row>
    <row r="18" spans="2:25" ht="13.5" thickBot="1" x14ac:dyDescent="0.25">
      <c r="B18" s="145"/>
      <c r="C18" s="151" t="s">
        <v>386</v>
      </c>
      <c r="D18" s="873" t="s">
        <v>389</v>
      </c>
      <c r="E18" s="873"/>
      <c r="F18" s="873"/>
      <c r="G18" s="873"/>
      <c r="H18" s="141"/>
      <c r="I18" s="141" t="s">
        <v>390</v>
      </c>
      <c r="J18" s="141"/>
      <c r="K18" s="141"/>
      <c r="L18" s="870">
        <v>109</v>
      </c>
      <c r="M18" s="871"/>
      <c r="N18" s="157" t="s">
        <v>9</v>
      </c>
      <c r="O18" s="141"/>
      <c r="Q18" s="869">
        <f>(L17*1000)/((L19/1000)*(L18/1000)*7850)</f>
        <v>233.74043125109569</v>
      </c>
      <c r="R18" s="869"/>
      <c r="S18" s="869"/>
      <c r="T18" s="157" t="s">
        <v>391</v>
      </c>
      <c r="U18" s="141"/>
      <c r="V18" s="141"/>
      <c r="W18" s="141"/>
      <c r="X18" s="141"/>
      <c r="Y18" s="146"/>
    </row>
    <row r="19" spans="2:25" ht="13.5" thickBot="1" x14ac:dyDescent="0.25">
      <c r="B19" s="145"/>
      <c r="C19" s="151"/>
      <c r="D19" s="159"/>
      <c r="E19" s="159"/>
      <c r="F19" s="159"/>
      <c r="G19" s="159"/>
      <c r="H19" s="141"/>
      <c r="I19" s="160" t="s">
        <v>95</v>
      </c>
      <c r="J19" s="141"/>
      <c r="K19" s="141"/>
      <c r="L19" s="870">
        <v>3</v>
      </c>
      <c r="M19" s="871"/>
      <c r="N19" s="157" t="s">
        <v>9</v>
      </c>
      <c r="O19" s="141"/>
      <c r="P19" s="141"/>
      <c r="Q19" s="141"/>
      <c r="R19" s="141"/>
      <c r="S19" s="141"/>
      <c r="T19" s="141"/>
      <c r="U19" s="141"/>
      <c r="V19" s="141"/>
      <c r="W19" s="141"/>
      <c r="X19" s="141"/>
      <c r="Y19" s="146"/>
    </row>
    <row r="20" spans="2:25" ht="13.5" thickBot="1" x14ac:dyDescent="0.25">
      <c r="B20" s="145"/>
      <c r="C20" s="151"/>
      <c r="D20" s="159"/>
      <c r="E20" s="159"/>
      <c r="F20" s="159"/>
      <c r="G20" s="159"/>
      <c r="H20" s="141"/>
      <c r="I20" s="160"/>
      <c r="J20" s="141"/>
      <c r="K20" s="141"/>
      <c r="L20" s="159"/>
      <c r="M20" s="141"/>
      <c r="N20" s="157"/>
      <c r="O20" s="141"/>
      <c r="P20" s="141"/>
      <c r="Q20" s="141"/>
      <c r="R20" s="141"/>
      <c r="S20" s="141"/>
      <c r="T20" s="141"/>
      <c r="U20" s="141"/>
      <c r="V20" s="141"/>
      <c r="W20" s="141"/>
      <c r="X20" s="141"/>
      <c r="Y20" s="146"/>
    </row>
    <row r="21" spans="2:25" ht="13.5" thickBot="1" x14ac:dyDescent="0.25">
      <c r="B21" s="145"/>
      <c r="C21" s="151"/>
      <c r="D21" s="159"/>
      <c r="E21" s="159"/>
      <c r="F21" s="159"/>
      <c r="G21" s="159"/>
      <c r="H21" s="141"/>
      <c r="I21" s="141" t="s">
        <v>85</v>
      </c>
      <c r="J21" s="141"/>
      <c r="K21" s="141"/>
      <c r="L21" s="874">
        <v>0.6</v>
      </c>
      <c r="M21" s="875"/>
      <c r="N21" s="157" t="s">
        <v>350</v>
      </c>
      <c r="O21" s="141"/>
      <c r="P21" s="141"/>
      <c r="U21" s="141"/>
      <c r="V21" s="141"/>
      <c r="W21" s="141"/>
      <c r="X21" s="141"/>
      <c r="Y21" s="146"/>
    </row>
    <row r="22" spans="2:25" ht="13.5" thickBot="1" x14ac:dyDescent="0.25">
      <c r="B22" s="145"/>
      <c r="C22" s="151"/>
      <c r="D22" s="159"/>
      <c r="E22" s="159"/>
      <c r="F22" s="159"/>
      <c r="G22" s="159"/>
      <c r="H22" s="141"/>
      <c r="O22" s="141"/>
      <c r="P22" s="141"/>
      <c r="Q22" s="869">
        <f>L21*1000/L23</f>
        <v>233.73587845734318</v>
      </c>
      <c r="R22" s="869"/>
      <c r="S22" s="869"/>
      <c r="T22" s="157" t="s">
        <v>391</v>
      </c>
      <c r="U22" s="141"/>
      <c r="V22" s="141"/>
      <c r="W22" s="141"/>
      <c r="X22" s="141"/>
      <c r="Y22" s="146"/>
    </row>
    <row r="23" spans="2:25" ht="13.5" thickBot="1" x14ac:dyDescent="0.25">
      <c r="B23" s="145"/>
      <c r="C23" s="151"/>
      <c r="D23" s="159"/>
      <c r="E23" s="159"/>
      <c r="F23" s="159"/>
      <c r="G23" s="159"/>
      <c r="H23" s="141"/>
      <c r="I23" s="153" t="s">
        <v>392</v>
      </c>
      <c r="J23" s="141"/>
      <c r="K23" s="141"/>
      <c r="L23" s="876">
        <v>2.5670000000000002</v>
      </c>
      <c r="M23" s="877"/>
      <c r="N23" s="157" t="s">
        <v>393</v>
      </c>
      <c r="O23" s="141"/>
      <c r="P23" s="141"/>
      <c r="Q23" s="141"/>
      <c r="R23" s="141"/>
      <c r="S23" s="141"/>
      <c r="T23" s="141"/>
      <c r="U23" s="141"/>
      <c r="V23" s="141"/>
      <c r="W23" s="141"/>
      <c r="X23" s="141"/>
      <c r="Y23" s="146"/>
    </row>
    <row r="24" spans="2:25" x14ac:dyDescent="0.2">
      <c r="B24" s="145"/>
      <c r="C24" s="151"/>
      <c r="D24" s="159"/>
      <c r="E24" s="159"/>
      <c r="F24" s="159"/>
      <c r="G24" s="159"/>
      <c r="H24" s="141"/>
      <c r="I24" s="160"/>
      <c r="J24" s="141"/>
      <c r="K24" s="141"/>
      <c r="L24" s="159"/>
      <c r="M24" s="141"/>
      <c r="N24" s="157"/>
      <c r="O24" s="141"/>
      <c r="P24" s="141"/>
      <c r="Q24" s="141"/>
      <c r="R24" s="141"/>
      <c r="S24" s="141"/>
      <c r="T24" s="141"/>
      <c r="U24" s="141"/>
      <c r="V24" s="141"/>
      <c r="W24" s="141"/>
      <c r="X24" s="141"/>
      <c r="Y24" s="146"/>
    </row>
    <row r="25" spans="2:25" ht="13.5" thickBot="1" x14ac:dyDescent="0.25">
      <c r="B25" s="147"/>
      <c r="C25" s="148"/>
      <c r="D25" s="148"/>
      <c r="E25" s="148"/>
      <c r="F25" s="148"/>
      <c r="G25" s="148"/>
      <c r="H25" s="148"/>
      <c r="I25" s="148"/>
      <c r="J25" s="148"/>
      <c r="K25" s="148"/>
      <c r="L25" s="148"/>
      <c r="M25" s="148"/>
      <c r="N25" s="148"/>
      <c r="O25" s="148"/>
      <c r="P25" s="148"/>
      <c r="Q25" s="148"/>
      <c r="R25" s="148"/>
      <c r="S25" s="148"/>
      <c r="T25" s="148"/>
      <c r="U25" s="148"/>
      <c r="V25" s="148"/>
      <c r="W25" s="148"/>
      <c r="X25" s="148"/>
      <c r="Y25" s="150"/>
    </row>
  </sheetData>
  <mergeCells count="19">
    <mergeCell ref="C3:K7"/>
    <mergeCell ref="L19:M19"/>
    <mergeCell ref="L21:M21"/>
    <mergeCell ref="L3:X7"/>
    <mergeCell ref="C9:G9"/>
    <mergeCell ref="D11:G11"/>
    <mergeCell ref="J11:K11"/>
    <mergeCell ref="L23:M23"/>
    <mergeCell ref="D18:G18"/>
    <mergeCell ref="L18:M18"/>
    <mergeCell ref="J12:K12"/>
    <mergeCell ref="N12:P12"/>
    <mergeCell ref="D12:G12"/>
    <mergeCell ref="Q22:S22"/>
    <mergeCell ref="J13:K13"/>
    <mergeCell ref="C15:G15"/>
    <mergeCell ref="D17:G17"/>
    <mergeCell ref="L17:M17"/>
    <mergeCell ref="Q18:S18"/>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election activeCell="D12" sqref="D12:E12"/>
    </sheetView>
  </sheetViews>
  <sheetFormatPr defaultColWidth="3.28515625" defaultRowHeight="12.75" x14ac:dyDescent="0.2"/>
  <cols>
    <col min="1" max="1" width="2.5703125" style="140" customWidth="1"/>
    <col min="2" max="5" width="3.28515625" style="140" customWidth="1"/>
    <col min="6" max="6" width="2.7109375" style="140" customWidth="1"/>
    <col min="7" max="10" width="3.28515625" style="140" customWidth="1"/>
    <col min="11" max="11" width="3.42578125" style="140" customWidth="1"/>
    <col min="12" max="12" width="3.28515625" style="140" customWidth="1"/>
    <col min="13" max="13" width="3.42578125" style="140" customWidth="1"/>
    <col min="14" max="22" width="3.28515625" style="140" customWidth="1"/>
    <col min="23" max="23" width="3.5703125" style="140" customWidth="1"/>
    <col min="24" max="16384" width="3.28515625" style="140"/>
  </cols>
  <sheetData>
    <row r="1" spans="2:48" ht="13.5" thickBot="1" x14ac:dyDescent="0.25"/>
    <row r="2" spans="2:48" ht="13.5" thickBot="1" x14ac:dyDescent="0.25">
      <c r="B2" s="142"/>
      <c r="C2" s="143"/>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c r="AT2" s="143"/>
      <c r="AU2" s="143"/>
      <c r="AV2" s="144"/>
    </row>
    <row r="3" spans="2:48" ht="12.75" customHeight="1" x14ac:dyDescent="0.2">
      <c r="B3" s="145"/>
      <c r="C3" s="879"/>
      <c r="D3" s="880"/>
      <c r="E3" s="880"/>
      <c r="F3" s="880"/>
      <c r="G3" s="880"/>
      <c r="H3" s="880"/>
      <c r="I3" s="880"/>
      <c r="J3" s="880"/>
      <c r="K3" s="881"/>
      <c r="L3" s="899" t="s">
        <v>395</v>
      </c>
      <c r="M3" s="900"/>
      <c r="N3" s="900"/>
      <c r="O3" s="900"/>
      <c r="P3" s="900"/>
      <c r="Q3" s="900"/>
      <c r="R3" s="900"/>
      <c r="S3" s="900"/>
      <c r="T3" s="900"/>
      <c r="U3" s="900"/>
      <c r="V3" s="900"/>
      <c r="W3" s="900"/>
      <c r="X3" s="900"/>
      <c r="Y3" s="900"/>
      <c r="Z3" s="900"/>
      <c r="AA3" s="900"/>
      <c r="AB3" s="900"/>
      <c r="AC3" s="900"/>
      <c r="AD3" s="900"/>
      <c r="AE3" s="900"/>
      <c r="AF3" s="900"/>
      <c r="AG3" s="900"/>
      <c r="AH3" s="900"/>
      <c r="AI3" s="900"/>
      <c r="AJ3" s="900"/>
      <c r="AK3" s="900"/>
      <c r="AL3" s="900"/>
      <c r="AM3" s="900"/>
      <c r="AN3" s="900"/>
      <c r="AO3" s="900"/>
      <c r="AP3" s="900"/>
      <c r="AQ3" s="900"/>
      <c r="AR3" s="900"/>
      <c r="AS3" s="900"/>
      <c r="AT3" s="900"/>
      <c r="AU3" s="901"/>
      <c r="AV3" s="146"/>
    </row>
    <row r="4" spans="2:48" ht="12.75" customHeight="1" x14ac:dyDescent="0.2">
      <c r="B4" s="145"/>
      <c r="C4" s="882"/>
      <c r="D4" s="883"/>
      <c r="E4" s="883"/>
      <c r="F4" s="883"/>
      <c r="G4" s="883"/>
      <c r="H4" s="883"/>
      <c r="I4" s="883"/>
      <c r="J4" s="883"/>
      <c r="K4" s="884"/>
      <c r="L4" s="902"/>
      <c r="M4" s="903"/>
      <c r="N4" s="903"/>
      <c r="O4" s="903"/>
      <c r="P4" s="903"/>
      <c r="Q4" s="903"/>
      <c r="R4" s="903"/>
      <c r="S4" s="903"/>
      <c r="T4" s="903"/>
      <c r="U4" s="903"/>
      <c r="V4" s="903"/>
      <c r="W4" s="903"/>
      <c r="X4" s="903"/>
      <c r="Y4" s="903"/>
      <c r="Z4" s="903"/>
      <c r="AA4" s="903"/>
      <c r="AB4" s="903"/>
      <c r="AC4" s="903"/>
      <c r="AD4" s="903"/>
      <c r="AE4" s="903"/>
      <c r="AF4" s="903"/>
      <c r="AG4" s="903"/>
      <c r="AH4" s="903"/>
      <c r="AI4" s="903"/>
      <c r="AJ4" s="903"/>
      <c r="AK4" s="903"/>
      <c r="AL4" s="903"/>
      <c r="AM4" s="903"/>
      <c r="AN4" s="903"/>
      <c r="AO4" s="903"/>
      <c r="AP4" s="903"/>
      <c r="AQ4" s="903"/>
      <c r="AR4" s="903"/>
      <c r="AS4" s="903"/>
      <c r="AT4" s="903"/>
      <c r="AU4" s="904"/>
      <c r="AV4" s="146"/>
    </row>
    <row r="5" spans="2:48" ht="12.75" customHeight="1" x14ac:dyDescent="0.2">
      <c r="B5" s="145"/>
      <c r="C5" s="882"/>
      <c r="D5" s="883"/>
      <c r="E5" s="883"/>
      <c r="F5" s="883"/>
      <c r="G5" s="883"/>
      <c r="H5" s="883"/>
      <c r="I5" s="883"/>
      <c r="J5" s="883"/>
      <c r="K5" s="884"/>
      <c r="L5" s="902"/>
      <c r="M5" s="903"/>
      <c r="N5" s="903"/>
      <c r="O5" s="903"/>
      <c r="P5" s="903"/>
      <c r="Q5" s="903"/>
      <c r="R5" s="903"/>
      <c r="S5" s="903"/>
      <c r="T5" s="903"/>
      <c r="U5" s="903"/>
      <c r="V5" s="903"/>
      <c r="W5" s="903"/>
      <c r="X5" s="903"/>
      <c r="Y5" s="903"/>
      <c r="Z5" s="903"/>
      <c r="AA5" s="903"/>
      <c r="AB5" s="903"/>
      <c r="AC5" s="903"/>
      <c r="AD5" s="903"/>
      <c r="AE5" s="903"/>
      <c r="AF5" s="903"/>
      <c r="AG5" s="903"/>
      <c r="AH5" s="903"/>
      <c r="AI5" s="903"/>
      <c r="AJ5" s="903"/>
      <c r="AK5" s="903"/>
      <c r="AL5" s="903"/>
      <c r="AM5" s="903"/>
      <c r="AN5" s="903"/>
      <c r="AO5" s="903"/>
      <c r="AP5" s="903"/>
      <c r="AQ5" s="903"/>
      <c r="AR5" s="903"/>
      <c r="AS5" s="903"/>
      <c r="AT5" s="903"/>
      <c r="AU5" s="904"/>
      <c r="AV5" s="146"/>
    </row>
    <row r="6" spans="2:48" ht="12.75" customHeight="1" x14ac:dyDescent="0.2">
      <c r="B6" s="145"/>
      <c r="C6" s="882"/>
      <c r="D6" s="883"/>
      <c r="E6" s="883"/>
      <c r="F6" s="883"/>
      <c r="G6" s="883"/>
      <c r="H6" s="883"/>
      <c r="I6" s="883"/>
      <c r="J6" s="883"/>
      <c r="K6" s="884"/>
      <c r="L6" s="902"/>
      <c r="M6" s="903"/>
      <c r="N6" s="903"/>
      <c r="O6" s="903"/>
      <c r="P6" s="903"/>
      <c r="Q6" s="903"/>
      <c r="R6" s="903"/>
      <c r="S6" s="903"/>
      <c r="T6" s="903"/>
      <c r="U6" s="903"/>
      <c r="V6" s="903"/>
      <c r="W6" s="903"/>
      <c r="X6" s="903"/>
      <c r="Y6" s="903"/>
      <c r="Z6" s="903"/>
      <c r="AA6" s="903"/>
      <c r="AB6" s="903"/>
      <c r="AC6" s="903"/>
      <c r="AD6" s="903"/>
      <c r="AE6" s="903"/>
      <c r="AF6" s="903"/>
      <c r="AG6" s="903"/>
      <c r="AH6" s="903"/>
      <c r="AI6" s="903"/>
      <c r="AJ6" s="903"/>
      <c r="AK6" s="903"/>
      <c r="AL6" s="903"/>
      <c r="AM6" s="903"/>
      <c r="AN6" s="903"/>
      <c r="AO6" s="903"/>
      <c r="AP6" s="903"/>
      <c r="AQ6" s="903"/>
      <c r="AR6" s="903"/>
      <c r="AS6" s="903"/>
      <c r="AT6" s="903"/>
      <c r="AU6" s="904"/>
      <c r="AV6" s="146"/>
    </row>
    <row r="7" spans="2:48" ht="13.5" customHeight="1" thickBot="1" x14ac:dyDescent="0.25">
      <c r="B7" s="145"/>
      <c r="C7" s="885"/>
      <c r="D7" s="886"/>
      <c r="E7" s="886"/>
      <c r="F7" s="886"/>
      <c r="G7" s="886"/>
      <c r="H7" s="886"/>
      <c r="I7" s="886"/>
      <c r="J7" s="886"/>
      <c r="K7" s="887"/>
      <c r="L7" s="905"/>
      <c r="M7" s="906"/>
      <c r="N7" s="906"/>
      <c r="O7" s="906"/>
      <c r="P7" s="906"/>
      <c r="Q7" s="906"/>
      <c r="R7" s="906"/>
      <c r="S7" s="906"/>
      <c r="T7" s="906"/>
      <c r="U7" s="906"/>
      <c r="V7" s="906"/>
      <c r="W7" s="906"/>
      <c r="X7" s="906"/>
      <c r="Y7" s="906"/>
      <c r="Z7" s="906"/>
      <c r="AA7" s="906"/>
      <c r="AB7" s="906"/>
      <c r="AC7" s="906"/>
      <c r="AD7" s="906"/>
      <c r="AE7" s="906"/>
      <c r="AF7" s="906"/>
      <c r="AG7" s="906"/>
      <c r="AH7" s="906"/>
      <c r="AI7" s="906"/>
      <c r="AJ7" s="906"/>
      <c r="AK7" s="906"/>
      <c r="AL7" s="906"/>
      <c r="AM7" s="906"/>
      <c r="AN7" s="906"/>
      <c r="AO7" s="906"/>
      <c r="AP7" s="906"/>
      <c r="AQ7" s="906"/>
      <c r="AR7" s="906"/>
      <c r="AS7" s="906"/>
      <c r="AT7" s="906"/>
      <c r="AU7" s="907"/>
      <c r="AV7" s="146"/>
    </row>
    <row r="8" spans="2:48" x14ac:dyDescent="0.2">
      <c r="B8" s="145"/>
      <c r="C8" s="141"/>
      <c r="D8" s="141"/>
      <c r="E8" s="141"/>
      <c r="F8" s="141"/>
      <c r="G8" s="141"/>
      <c r="H8" s="141"/>
      <c r="I8" s="141"/>
      <c r="J8" s="141"/>
      <c r="K8" s="141"/>
      <c r="L8" s="141"/>
      <c r="M8" s="141"/>
      <c r="N8" s="141"/>
      <c r="O8" s="141"/>
      <c r="P8" s="141"/>
      <c r="Q8" s="141"/>
      <c r="R8" s="141"/>
      <c r="S8" s="141"/>
      <c r="T8" s="141"/>
      <c r="U8" s="141"/>
      <c r="V8" s="141"/>
      <c r="W8" s="141"/>
      <c r="X8" s="141"/>
      <c r="Y8" s="141"/>
      <c r="Z8" s="141"/>
      <c r="AA8" s="141"/>
      <c r="AB8" s="141"/>
      <c r="AC8" s="141"/>
      <c r="AD8" s="141"/>
      <c r="AE8" s="141"/>
      <c r="AF8" s="141"/>
      <c r="AG8" s="141"/>
      <c r="AH8" s="141"/>
      <c r="AI8" s="141"/>
      <c r="AJ8" s="141"/>
      <c r="AK8" s="141"/>
      <c r="AL8" s="141"/>
      <c r="AM8" s="141"/>
      <c r="AN8" s="141"/>
      <c r="AO8" s="141"/>
      <c r="AP8" s="141"/>
      <c r="AQ8" s="141"/>
      <c r="AR8" s="141"/>
      <c r="AS8" s="141"/>
      <c r="AT8" s="141"/>
      <c r="AU8" s="141"/>
      <c r="AV8" s="146"/>
    </row>
    <row r="9" spans="2:48" x14ac:dyDescent="0.2">
      <c r="B9" s="145"/>
      <c r="C9" s="872" t="s">
        <v>395</v>
      </c>
      <c r="D9" s="872"/>
      <c r="E9" s="872"/>
      <c r="F9" s="872"/>
      <c r="G9" s="872"/>
      <c r="H9" s="872"/>
      <c r="I9" s="872"/>
      <c r="J9" s="872"/>
      <c r="K9" s="878">
        <f>D11+(D12/6)+(D13/15)+(D14/5)+(D15/13)+(D16/4)</f>
        <v>0.16255512820512821</v>
      </c>
      <c r="L9" s="878"/>
      <c r="M9" s="161" t="s">
        <v>292</v>
      </c>
      <c r="N9" s="141"/>
      <c r="O9" s="141"/>
      <c r="P9" s="141"/>
      <c r="Q9" s="141"/>
      <c r="R9" s="141"/>
      <c r="S9" s="141"/>
      <c r="T9" s="141"/>
      <c r="U9" s="141"/>
      <c r="V9" s="141"/>
      <c r="W9" s="141"/>
      <c r="X9" s="141"/>
      <c r="Y9" s="162"/>
      <c r="Z9" s="872" t="s">
        <v>395</v>
      </c>
      <c r="AA9" s="872"/>
      <c r="AB9" s="872"/>
      <c r="AC9" s="872"/>
      <c r="AD9" s="872"/>
      <c r="AE9" s="872"/>
      <c r="AF9" s="872"/>
      <c r="AG9" s="872"/>
      <c r="AH9" s="878">
        <f>AA11+AA12/6+(AA13+AA14+AA15)/5+(AA16+AA17)/15</f>
        <v>0.16283333333333333</v>
      </c>
      <c r="AI9" s="878"/>
      <c r="AJ9" s="161" t="s">
        <v>292</v>
      </c>
      <c r="AK9" s="141"/>
      <c r="AL9" s="141"/>
      <c r="AM9" s="141"/>
      <c r="AN9" s="141"/>
      <c r="AO9" s="141"/>
      <c r="AP9" s="141"/>
      <c r="AQ9" s="141"/>
      <c r="AR9" s="141"/>
      <c r="AS9" s="141"/>
      <c r="AT9" s="141"/>
      <c r="AU9" s="141"/>
      <c r="AV9" s="146"/>
    </row>
    <row r="10" spans="2:48" ht="13.5" thickBot="1" x14ac:dyDescent="0.25">
      <c r="B10" s="145"/>
      <c r="C10" s="141"/>
      <c r="D10" s="141"/>
      <c r="E10" s="141"/>
      <c r="F10" s="141"/>
      <c r="G10" s="141"/>
      <c r="H10" s="141"/>
      <c r="I10" s="141"/>
      <c r="J10" s="141"/>
      <c r="K10" s="141"/>
      <c r="L10" s="141"/>
      <c r="M10" s="141"/>
      <c r="N10" s="141"/>
      <c r="O10" s="141"/>
      <c r="P10" s="141"/>
      <c r="Q10" s="141"/>
      <c r="R10" s="141"/>
      <c r="S10" s="141"/>
      <c r="T10" s="141"/>
      <c r="U10" s="141"/>
      <c r="V10" s="141"/>
      <c r="W10" s="141"/>
      <c r="X10" s="141"/>
      <c r="Y10" s="162"/>
      <c r="Z10" s="141"/>
      <c r="AA10" s="141"/>
      <c r="AB10" s="141"/>
      <c r="AC10" s="141"/>
      <c r="AD10" s="141"/>
      <c r="AE10" s="141"/>
      <c r="AF10" s="141"/>
      <c r="AG10" s="141"/>
      <c r="AH10" s="141"/>
      <c r="AI10" s="141"/>
      <c r="AJ10" s="141"/>
      <c r="AK10" s="141"/>
      <c r="AL10" s="141"/>
      <c r="AM10" s="141"/>
      <c r="AN10" s="141"/>
      <c r="AO10" s="141"/>
      <c r="AP10" s="141"/>
      <c r="AQ10" s="141"/>
      <c r="AR10" s="141"/>
      <c r="AS10" s="141"/>
      <c r="AT10" s="141"/>
      <c r="AU10" s="141"/>
      <c r="AV10" s="146"/>
    </row>
    <row r="11" spans="2:48" ht="14.25" thickTop="1" thickBot="1" x14ac:dyDescent="0.25">
      <c r="B11" s="145"/>
      <c r="C11" s="157" t="s">
        <v>396</v>
      </c>
      <c r="D11" s="897">
        <v>0.08</v>
      </c>
      <c r="E11" s="898"/>
      <c r="F11" s="163" t="s">
        <v>292</v>
      </c>
      <c r="G11" s="141"/>
      <c r="H11" s="141"/>
      <c r="I11" s="141"/>
      <c r="J11" s="141"/>
      <c r="K11" s="141"/>
      <c r="L11" s="141"/>
      <c r="M11" s="141"/>
      <c r="N11" s="141"/>
      <c r="O11" s="141"/>
      <c r="P11" s="141"/>
      <c r="Q11" s="141"/>
      <c r="R11" s="141"/>
      <c r="S11" s="141"/>
      <c r="T11" s="141"/>
      <c r="U11" s="141"/>
      <c r="V11" s="141"/>
      <c r="W11" s="141"/>
      <c r="X11" s="141"/>
      <c r="Y11" s="162"/>
      <c r="Z11" s="157" t="s">
        <v>396</v>
      </c>
      <c r="AA11" s="897">
        <v>0.08</v>
      </c>
      <c r="AB11" s="898"/>
      <c r="AC11" s="163" t="s">
        <v>292</v>
      </c>
      <c r="AD11" s="141"/>
      <c r="AE11" s="141"/>
      <c r="AF11" s="141"/>
      <c r="AG11" s="141"/>
      <c r="AH11" s="141"/>
      <c r="AI11" s="141"/>
      <c r="AJ11" s="141"/>
      <c r="AK11" s="141"/>
      <c r="AL11" s="141"/>
      <c r="AM11" s="141"/>
      <c r="AN11" s="141"/>
      <c r="AO11" s="141"/>
      <c r="AP11" s="141"/>
      <c r="AQ11" s="141"/>
      <c r="AR11" s="141"/>
      <c r="AS11" s="141"/>
      <c r="AT11" s="141"/>
      <c r="AU11" s="141"/>
      <c r="AV11" s="146"/>
    </row>
    <row r="12" spans="2:48" ht="14.25" thickTop="1" thickBot="1" x14ac:dyDescent="0.25">
      <c r="B12" s="145"/>
      <c r="C12" s="157" t="s">
        <v>397</v>
      </c>
      <c r="D12" s="897">
        <v>0.47099999999999997</v>
      </c>
      <c r="E12" s="898"/>
      <c r="F12" s="163" t="s">
        <v>292</v>
      </c>
      <c r="G12" s="141"/>
      <c r="H12" s="141"/>
      <c r="I12" s="141"/>
      <c r="J12" s="141"/>
      <c r="K12" s="141"/>
      <c r="L12" s="141"/>
      <c r="M12" s="141"/>
      <c r="N12" s="141"/>
      <c r="O12" s="141"/>
      <c r="P12" s="141"/>
      <c r="Q12" s="141"/>
      <c r="R12" s="141"/>
      <c r="S12" s="141"/>
      <c r="T12" s="141"/>
      <c r="U12" s="141"/>
      <c r="V12" s="141"/>
      <c r="W12" s="141"/>
      <c r="X12" s="141"/>
      <c r="Y12" s="162"/>
      <c r="Z12" s="157" t="s">
        <v>397</v>
      </c>
      <c r="AA12" s="897">
        <v>0.47099999999999997</v>
      </c>
      <c r="AB12" s="898"/>
      <c r="AC12" s="163" t="s">
        <v>292</v>
      </c>
      <c r="AD12" s="141"/>
      <c r="AE12" s="141"/>
      <c r="AF12" s="141"/>
      <c r="AG12" s="141"/>
      <c r="AH12" s="141"/>
      <c r="AI12" s="141"/>
      <c r="AJ12" s="141"/>
      <c r="AK12" s="141"/>
      <c r="AL12" s="141"/>
      <c r="AM12" s="141"/>
      <c r="AN12" s="141"/>
      <c r="AO12" s="141"/>
      <c r="AP12" s="141"/>
      <c r="AQ12" s="141"/>
      <c r="AR12" s="141"/>
      <c r="AS12" s="141"/>
      <c r="AT12" s="141"/>
      <c r="AU12" s="141"/>
      <c r="AV12" s="146"/>
    </row>
    <row r="13" spans="2:48" ht="14.25" thickTop="1" thickBot="1" x14ac:dyDescent="0.25">
      <c r="B13" s="145"/>
      <c r="C13" s="157" t="s">
        <v>398</v>
      </c>
      <c r="D13" s="897">
        <v>4.0000000000000001E-3</v>
      </c>
      <c r="E13" s="898"/>
      <c r="F13" s="163" t="s">
        <v>292</v>
      </c>
      <c r="G13" s="141"/>
      <c r="H13" s="141"/>
      <c r="I13" s="141"/>
      <c r="J13" s="141"/>
      <c r="K13" s="141"/>
      <c r="L13" s="141"/>
      <c r="M13" s="141"/>
      <c r="N13" s="141"/>
      <c r="O13" s="141"/>
      <c r="P13" s="141"/>
      <c r="Q13" s="141"/>
      <c r="R13" s="141"/>
      <c r="S13" s="141"/>
      <c r="T13" s="141"/>
      <c r="U13" s="141"/>
      <c r="V13" s="141"/>
      <c r="W13" s="141"/>
      <c r="X13" s="141"/>
      <c r="Y13" s="162"/>
      <c r="Z13" s="157" t="s">
        <v>399</v>
      </c>
      <c r="AA13" s="897">
        <v>1.4999999999999999E-2</v>
      </c>
      <c r="AB13" s="898"/>
      <c r="AC13" s="163" t="s">
        <v>292</v>
      </c>
      <c r="AD13" s="141"/>
      <c r="AE13" s="141"/>
      <c r="AF13" s="141"/>
      <c r="AG13" s="141"/>
      <c r="AH13" s="141"/>
      <c r="AI13" s="141"/>
      <c r="AJ13" s="141"/>
      <c r="AK13" s="141"/>
      <c r="AL13" s="141"/>
      <c r="AM13" s="141"/>
      <c r="AN13" s="141"/>
      <c r="AO13" s="141"/>
      <c r="AP13" s="141"/>
      <c r="AQ13" s="141"/>
      <c r="AR13" s="141"/>
      <c r="AS13" s="141"/>
      <c r="AT13" s="141"/>
      <c r="AU13" s="141"/>
      <c r="AV13" s="146"/>
    </row>
    <row r="14" spans="2:48" ht="14.25" thickTop="1" thickBot="1" x14ac:dyDescent="0.25">
      <c r="B14" s="145"/>
      <c r="C14" s="164" t="s">
        <v>399</v>
      </c>
      <c r="D14" s="897">
        <v>1.4999999999999999E-2</v>
      </c>
      <c r="E14" s="898"/>
      <c r="F14" s="163" t="s">
        <v>292</v>
      </c>
      <c r="G14" s="141"/>
      <c r="H14" s="141"/>
      <c r="I14" s="141"/>
      <c r="J14" s="141"/>
      <c r="K14" s="141"/>
      <c r="L14" s="141"/>
      <c r="M14" s="141"/>
      <c r="N14" s="141"/>
      <c r="O14" s="141"/>
      <c r="P14" s="141"/>
      <c r="Q14" s="141"/>
      <c r="R14" s="141"/>
      <c r="S14" s="141"/>
      <c r="T14" s="141"/>
      <c r="U14" s="141"/>
      <c r="V14" s="141"/>
      <c r="W14" s="141"/>
      <c r="X14" s="141"/>
      <c r="Y14" s="162"/>
      <c r="Z14" s="164" t="s">
        <v>400</v>
      </c>
      <c r="AA14" s="897">
        <v>1E-3</v>
      </c>
      <c r="AB14" s="898"/>
      <c r="AC14" s="163" t="s">
        <v>292</v>
      </c>
      <c r="AD14" s="141"/>
      <c r="AE14" s="141"/>
      <c r="AF14" s="141"/>
      <c r="AG14" s="141"/>
      <c r="AH14" s="141"/>
      <c r="AI14" s="141"/>
      <c r="AJ14" s="141"/>
      <c r="AK14" s="141"/>
      <c r="AL14" s="141"/>
      <c r="AM14" s="141"/>
      <c r="AN14" s="141"/>
      <c r="AO14" s="141"/>
      <c r="AP14" s="141"/>
      <c r="AQ14" s="141"/>
      <c r="AR14" s="141"/>
      <c r="AS14" s="141"/>
      <c r="AT14" s="141"/>
      <c r="AU14" s="141"/>
      <c r="AV14" s="146"/>
    </row>
    <row r="15" spans="2:48" ht="14.25" thickTop="1" thickBot="1" x14ac:dyDescent="0.25">
      <c r="B15" s="145"/>
      <c r="C15" s="164" t="s">
        <v>401</v>
      </c>
      <c r="D15" s="897">
        <v>7.0000000000000001E-3</v>
      </c>
      <c r="E15" s="898"/>
      <c r="F15" s="163" t="s">
        <v>292</v>
      </c>
      <c r="G15" s="141"/>
      <c r="H15" s="141"/>
      <c r="I15" s="141"/>
      <c r="J15" s="141"/>
      <c r="K15" s="141"/>
      <c r="L15" s="141"/>
      <c r="M15" s="141"/>
      <c r="N15" s="141"/>
      <c r="O15" s="141"/>
      <c r="P15" s="141"/>
      <c r="Q15" s="141"/>
      <c r="R15" s="141"/>
      <c r="S15" s="141"/>
      <c r="T15" s="141"/>
      <c r="U15" s="141"/>
      <c r="V15" s="141"/>
      <c r="W15" s="141"/>
      <c r="X15" s="141"/>
      <c r="Y15" s="162"/>
      <c r="Z15" s="164" t="s">
        <v>402</v>
      </c>
      <c r="AA15" s="897">
        <v>2E-3</v>
      </c>
      <c r="AB15" s="898"/>
      <c r="AC15" s="163" t="s">
        <v>292</v>
      </c>
      <c r="AD15" s="141"/>
      <c r="AE15" s="141"/>
      <c r="AF15" s="141"/>
      <c r="AG15" s="141"/>
      <c r="AH15" s="141"/>
      <c r="AI15" s="141"/>
      <c r="AJ15" s="141"/>
      <c r="AK15" s="141"/>
      <c r="AL15" s="141"/>
      <c r="AM15" s="141"/>
      <c r="AN15" s="141"/>
      <c r="AO15" s="141"/>
      <c r="AP15" s="141"/>
      <c r="AQ15" s="141"/>
      <c r="AR15" s="141"/>
      <c r="AS15" s="141"/>
      <c r="AT15" s="141"/>
      <c r="AU15" s="141"/>
      <c r="AV15" s="146"/>
    </row>
    <row r="16" spans="2:48" ht="14.25" thickTop="1" thickBot="1" x14ac:dyDescent="0.25">
      <c r="B16" s="145"/>
      <c r="C16" s="164" t="s">
        <v>400</v>
      </c>
      <c r="D16" s="897">
        <v>1E-3</v>
      </c>
      <c r="E16" s="898"/>
      <c r="F16" s="163" t="s">
        <v>292</v>
      </c>
      <c r="G16" s="141"/>
      <c r="H16" s="141"/>
      <c r="I16" s="141"/>
      <c r="J16" s="141"/>
      <c r="K16" s="141"/>
      <c r="L16" s="141"/>
      <c r="M16" s="141"/>
      <c r="N16" s="141"/>
      <c r="O16" s="141"/>
      <c r="P16" s="141"/>
      <c r="Q16" s="141"/>
      <c r="R16" s="141"/>
      <c r="S16" s="141"/>
      <c r="T16" s="141"/>
      <c r="U16" s="141"/>
      <c r="V16" s="141"/>
      <c r="W16" s="141"/>
      <c r="X16" s="141"/>
      <c r="Y16" s="162"/>
      <c r="Z16" s="164" t="s">
        <v>398</v>
      </c>
      <c r="AA16" s="897">
        <v>4.0000000000000001E-3</v>
      </c>
      <c r="AB16" s="898"/>
      <c r="AC16" s="163" t="s">
        <v>292</v>
      </c>
      <c r="AD16" s="141"/>
      <c r="AE16" s="141"/>
      <c r="AF16" s="141"/>
      <c r="AG16" s="141"/>
      <c r="AH16" s="141"/>
      <c r="AI16" s="141"/>
      <c r="AJ16" s="141"/>
      <c r="AK16" s="141"/>
      <c r="AL16" s="141"/>
      <c r="AM16" s="141"/>
      <c r="AN16" s="141"/>
      <c r="AO16" s="141"/>
      <c r="AP16" s="141"/>
      <c r="AQ16" s="141"/>
      <c r="AR16" s="141"/>
      <c r="AS16" s="141"/>
      <c r="AT16" s="141"/>
      <c r="AU16" s="141"/>
      <c r="AV16" s="146"/>
    </row>
    <row r="17" spans="2:48" ht="14.25" thickTop="1" thickBot="1" x14ac:dyDescent="0.25">
      <c r="B17" s="145"/>
      <c r="C17" s="152"/>
      <c r="D17" s="141"/>
      <c r="E17" s="141"/>
      <c r="F17" s="141"/>
      <c r="G17" s="141"/>
      <c r="H17" s="141"/>
      <c r="I17" s="141"/>
      <c r="J17" s="141"/>
      <c r="K17" s="141"/>
      <c r="L17" s="141"/>
      <c r="M17" s="141"/>
      <c r="N17" s="141"/>
      <c r="O17" s="141"/>
      <c r="P17" s="141"/>
      <c r="Q17" s="141"/>
      <c r="R17" s="141"/>
      <c r="S17" s="141"/>
      <c r="T17" s="141"/>
      <c r="U17" s="141"/>
      <c r="V17" s="141"/>
      <c r="W17" s="141"/>
      <c r="X17" s="141"/>
      <c r="Y17" s="162"/>
      <c r="Z17" s="164" t="s">
        <v>401</v>
      </c>
      <c r="AA17" s="897">
        <v>7.0000000000000001E-3</v>
      </c>
      <c r="AB17" s="898"/>
      <c r="AC17" s="163" t="s">
        <v>292</v>
      </c>
      <c r="AD17" s="141"/>
      <c r="AE17" s="141"/>
      <c r="AF17" s="141"/>
      <c r="AG17" s="141"/>
      <c r="AH17" s="141"/>
      <c r="AI17" s="141"/>
      <c r="AJ17" s="141"/>
      <c r="AK17" s="141"/>
      <c r="AL17" s="141"/>
      <c r="AM17" s="141"/>
      <c r="AN17" s="141"/>
      <c r="AO17" s="141"/>
      <c r="AP17" s="141"/>
      <c r="AQ17" s="141"/>
      <c r="AR17" s="141"/>
      <c r="AS17" s="141"/>
      <c r="AT17" s="141"/>
      <c r="AU17" s="141"/>
      <c r="AV17" s="146"/>
    </row>
    <row r="18" spans="2:48" ht="13.5" thickTop="1" x14ac:dyDescent="0.2">
      <c r="B18" s="145"/>
      <c r="C18" s="141"/>
      <c r="D18" s="141"/>
      <c r="E18" s="141"/>
      <c r="F18" s="141"/>
      <c r="G18" s="141"/>
      <c r="H18" s="141"/>
      <c r="I18" s="141"/>
      <c r="J18" s="141"/>
      <c r="K18" s="141"/>
      <c r="L18" s="141"/>
      <c r="M18" s="141"/>
      <c r="N18" s="141"/>
      <c r="O18" s="141"/>
      <c r="P18" s="141"/>
      <c r="Q18" s="141"/>
      <c r="R18" s="141"/>
      <c r="S18" s="141"/>
      <c r="T18" s="141"/>
      <c r="U18" s="141"/>
      <c r="V18" s="141"/>
      <c r="W18" s="141"/>
      <c r="X18" s="141"/>
      <c r="Y18" s="162"/>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6"/>
    </row>
    <row r="19" spans="2:48" x14ac:dyDescent="0.2">
      <c r="B19" s="145"/>
      <c r="C19" s="141"/>
      <c r="D19" s="141"/>
      <c r="E19" s="141"/>
      <c r="F19" s="141"/>
      <c r="G19" s="141"/>
      <c r="H19" s="141"/>
      <c r="I19" s="141"/>
      <c r="J19" s="141"/>
      <c r="K19" s="141"/>
      <c r="L19" s="141"/>
      <c r="M19" s="141"/>
      <c r="N19" s="141"/>
      <c r="O19" s="141"/>
      <c r="P19" s="141"/>
      <c r="Q19" s="141"/>
      <c r="R19" s="141"/>
      <c r="S19" s="141"/>
      <c r="T19" s="141"/>
      <c r="U19" s="141"/>
      <c r="V19" s="141"/>
      <c r="W19" s="141"/>
      <c r="X19" s="141"/>
      <c r="Y19" s="162"/>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6"/>
    </row>
    <row r="20" spans="2:48" x14ac:dyDescent="0.2">
      <c r="B20" s="145"/>
      <c r="C20" s="141"/>
      <c r="D20" s="141"/>
      <c r="E20" s="141"/>
      <c r="F20" s="141"/>
      <c r="G20" s="141"/>
      <c r="H20" s="141"/>
      <c r="I20" s="141"/>
      <c r="J20" s="141"/>
      <c r="K20" s="141"/>
      <c r="L20" s="141"/>
      <c r="M20" s="141"/>
      <c r="N20" s="141"/>
      <c r="O20" s="141"/>
      <c r="P20" s="141"/>
      <c r="Q20" s="141"/>
      <c r="R20" s="141"/>
      <c r="S20" s="141"/>
      <c r="T20" s="141"/>
      <c r="U20" s="141"/>
      <c r="V20" s="141"/>
      <c r="W20" s="141"/>
      <c r="X20" s="141"/>
      <c r="Y20" s="162"/>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6"/>
    </row>
    <row r="21" spans="2:48" x14ac:dyDescent="0.2">
      <c r="B21" s="145"/>
      <c r="C21" s="141"/>
      <c r="D21" s="141"/>
      <c r="E21" s="141"/>
      <c r="F21" s="141"/>
      <c r="G21" s="141"/>
      <c r="H21" s="141"/>
      <c r="I21" s="141"/>
      <c r="J21" s="141"/>
      <c r="K21" s="141"/>
      <c r="L21" s="141"/>
      <c r="M21" s="141"/>
      <c r="N21" s="141"/>
      <c r="O21" s="141"/>
      <c r="P21" s="141"/>
      <c r="Q21" s="141"/>
      <c r="R21" s="141"/>
      <c r="S21" s="141"/>
      <c r="T21" s="141"/>
      <c r="U21" s="141"/>
      <c r="V21" s="141"/>
      <c r="W21" s="141"/>
      <c r="X21" s="141"/>
      <c r="Y21" s="162"/>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6"/>
    </row>
    <row r="22" spans="2:48" x14ac:dyDescent="0.2">
      <c r="B22" s="145"/>
      <c r="C22" s="141"/>
      <c r="D22" s="141"/>
      <c r="E22" s="141"/>
      <c r="F22" s="141"/>
      <c r="G22" s="141"/>
      <c r="H22" s="141"/>
      <c r="I22" s="141"/>
      <c r="J22" s="141"/>
      <c r="K22" s="141"/>
      <c r="L22" s="141"/>
      <c r="M22" s="141"/>
      <c r="N22" s="141"/>
      <c r="O22" s="141"/>
      <c r="P22" s="141"/>
      <c r="Q22" s="141"/>
      <c r="R22" s="141"/>
      <c r="S22" s="141"/>
      <c r="T22" s="141"/>
      <c r="U22" s="141"/>
      <c r="V22" s="141"/>
      <c r="W22" s="141"/>
      <c r="X22" s="141"/>
      <c r="Y22" s="162"/>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6"/>
    </row>
    <row r="23" spans="2:48" x14ac:dyDescent="0.2">
      <c r="B23" s="145"/>
      <c r="C23" s="141"/>
      <c r="D23" s="141"/>
      <c r="E23" s="141"/>
      <c r="F23" s="141"/>
      <c r="G23" s="141"/>
      <c r="H23" s="141"/>
      <c r="I23" s="141"/>
      <c r="J23" s="141"/>
      <c r="K23" s="141"/>
      <c r="L23" s="141"/>
      <c r="M23" s="141"/>
      <c r="N23" s="141"/>
      <c r="O23" s="141"/>
      <c r="P23" s="141"/>
      <c r="Q23" s="141"/>
      <c r="R23" s="141"/>
      <c r="S23" s="141"/>
      <c r="T23" s="141"/>
      <c r="U23" s="141"/>
      <c r="V23" s="141"/>
      <c r="W23" s="141"/>
      <c r="X23" s="141"/>
      <c r="Y23" s="162"/>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6"/>
    </row>
    <row r="24" spans="2:48" x14ac:dyDescent="0.2">
      <c r="B24" s="145"/>
      <c r="C24" s="141"/>
      <c r="D24" s="141"/>
      <c r="E24" s="141"/>
      <c r="F24" s="141"/>
      <c r="G24" s="141"/>
      <c r="H24" s="141"/>
      <c r="I24" s="141"/>
      <c r="J24" s="141"/>
      <c r="K24" s="141"/>
      <c r="L24" s="141"/>
      <c r="M24" s="141"/>
      <c r="N24" s="141"/>
      <c r="O24" s="141"/>
      <c r="P24" s="141"/>
      <c r="Q24" s="141"/>
      <c r="R24" s="141"/>
      <c r="S24" s="141"/>
      <c r="T24" s="141"/>
      <c r="U24" s="141"/>
      <c r="V24" s="141"/>
      <c r="W24" s="141"/>
      <c r="X24" s="141"/>
      <c r="Y24" s="162"/>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6"/>
    </row>
    <row r="25" spans="2:48" x14ac:dyDescent="0.2">
      <c r="B25" s="145"/>
      <c r="C25" s="141"/>
      <c r="D25" s="141"/>
      <c r="E25" s="141"/>
      <c r="F25" s="141"/>
      <c r="G25" s="141"/>
      <c r="H25" s="141"/>
      <c r="I25" s="141"/>
      <c r="J25" s="141"/>
      <c r="K25" s="141"/>
      <c r="L25" s="141"/>
      <c r="M25" s="141"/>
      <c r="N25" s="141"/>
      <c r="O25" s="141"/>
      <c r="P25" s="141"/>
      <c r="Q25" s="141"/>
      <c r="R25" s="141"/>
      <c r="S25" s="141"/>
      <c r="T25" s="141"/>
      <c r="U25" s="141"/>
      <c r="V25" s="141"/>
      <c r="W25" s="141"/>
      <c r="X25" s="141"/>
      <c r="Y25" s="162"/>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6"/>
    </row>
    <row r="26" spans="2:48" x14ac:dyDescent="0.2">
      <c r="B26" s="145"/>
      <c r="C26" s="141"/>
      <c r="D26" s="141"/>
      <c r="E26" s="141"/>
      <c r="F26" s="141"/>
      <c r="G26" s="141"/>
      <c r="H26" s="141"/>
      <c r="I26" s="141"/>
      <c r="J26" s="141"/>
      <c r="K26" s="141"/>
      <c r="L26" s="141"/>
      <c r="M26" s="141"/>
      <c r="N26" s="141"/>
      <c r="O26" s="141"/>
      <c r="P26" s="141"/>
      <c r="Q26" s="141"/>
      <c r="R26" s="141"/>
      <c r="S26" s="141"/>
      <c r="T26" s="141"/>
      <c r="U26" s="141"/>
      <c r="V26" s="141"/>
      <c r="W26" s="141"/>
      <c r="X26" s="141"/>
      <c r="Y26" s="162"/>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6"/>
    </row>
    <row r="27" spans="2:48" x14ac:dyDescent="0.2">
      <c r="B27" s="145"/>
      <c r="C27" s="141"/>
      <c r="D27" s="141"/>
      <c r="E27" s="141"/>
      <c r="F27" s="141"/>
      <c r="G27" s="141"/>
      <c r="H27" s="141"/>
      <c r="I27" s="141"/>
      <c r="J27" s="141"/>
      <c r="K27" s="141"/>
      <c r="L27" s="141"/>
      <c r="M27" s="141"/>
      <c r="N27" s="141"/>
      <c r="O27" s="141"/>
      <c r="P27" s="141"/>
      <c r="Q27" s="141"/>
      <c r="R27" s="141"/>
      <c r="S27" s="141"/>
      <c r="T27" s="141"/>
      <c r="U27" s="141"/>
      <c r="V27" s="141"/>
      <c r="W27" s="141"/>
      <c r="X27" s="141"/>
      <c r="Y27" s="162"/>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6"/>
    </row>
    <row r="28" spans="2:48" x14ac:dyDescent="0.2">
      <c r="B28" s="145"/>
      <c r="C28" s="141"/>
      <c r="D28" s="141"/>
      <c r="E28" s="141"/>
      <c r="F28" s="141"/>
      <c r="G28" s="141"/>
      <c r="H28" s="141"/>
      <c r="I28" s="141"/>
      <c r="J28" s="141"/>
      <c r="K28" s="141"/>
      <c r="L28" s="141"/>
      <c r="M28" s="141"/>
      <c r="N28" s="141"/>
      <c r="O28" s="141"/>
      <c r="P28" s="141"/>
      <c r="Q28" s="141"/>
      <c r="R28" s="141"/>
      <c r="S28" s="141"/>
      <c r="T28" s="141"/>
      <c r="U28" s="141"/>
      <c r="V28" s="141"/>
      <c r="W28" s="141"/>
      <c r="X28" s="141"/>
      <c r="Y28" s="162"/>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6"/>
    </row>
    <row r="29" spans="2:48" x14ac:dyDescent="0.2">
      <c r="B29" s="145"/>
      <c r="C29" s="141"/>
      <c r="D29" s="141"/>
      <c r="E29" s="141"/>
      <c r="F29" s="141"/>
      <c r="G29" s="141"/>
      <c r="H29" s="141"/>
      <c r="I29" s="141"/>
      <c r="J29" s="141"/>
      <c r="K29" s="141"/>
      <c r="L29" s="141"/>
      <c r="M29" s="141"/>
      <c r="N29" s="141"/>
      <c r="O29" s="141"/>
      <c r="P29" s="141"/>
      <c r="Q29" s="141"/>
      <c r="R29" s="141"/>
      <c r="S29" s="141"/>
      <c r="T29" s="141"/>
      <c r="U29" s="141"/>
      <c r="V29" s="141"/>
      <c r="W29" s="141"/>
      <c r="X29" s="141"/>
      <c r="Y29" s="162"/>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6"/>
    </row>
    <row r="30" spans="2:48" x14ac:dyDescent="0.2">
      <c r="B30" s="145"/>
      <c r="C30" s="141"/>
      <c r="D30" s="141"/>
      <c r="E30" s="141"/>
      <c r="F30" s="141"/>
      <c r="G30" s="141"/>
      <c r="H30" s="141"/>
      <c r="I30" s="141"/>
      <c r="J30" s="141"/>
      <c r="K30" s="141"/>
      <c r="L30" s="141"/>
      <c r="M30" s="141"/>
      <c r="N30" s="141"/>
      <c r="O30" s="141"/>
      <c r="P30" s="141"/>
      <c r="Q30" s="141"/>
      <c r="R30" s="141"/>
      <c r="S30" s="141"/>
      <c r="T30" s="141"/>
      <c r="U30" s="141"/>
      <c r="V30" s="141"/>
      <c r="W30" s="141"/>
      <c r="X30" s="141"/>
      <c r="Y30" s="162"/>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6"/>
    </row>
    <row r="31" spans="2:48" x14ac:dyDescent="0.2">
      <c r="B31" s="145"/>
      <c r="C31" s="141"/>
      <c r="D31" s="141"/>
      <c r="E31" s="141"/>
      <c r="F31" s="141"/>
      <c r="G31" s="141"/>
      <c r="H31" s="141"/>
      <c r="I31" s="141"/>
      <c r="J31" s="141"/>
      <c r="K31" s="141"/>
      <c r="L31" s="141"/>
      <c r="M31" s="141"/>
      <c r="N31" s="141"/>
      <c r="O31" s="141"/>
      <c r="P31" s="141"/>
      <c r="Q31" s="141"/>
      <c r="R31" s="141"/>
      <c r="S31" s="141"/>
      <c r="T31" s="141"/>
      <c r="U31" s="141"/>
      <c r="V31" s="141"/>
      <c r="W31" s="141"/>
      <c r="X31" s="141"/>
      <c r="Y31" s="162"/>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6"/>
    </row>
    <row r="32" spans="2:48" x14ac:dyDescent="0.2">
      <c r="B32" s="145"/>
      <c r="C32" s="141"/>
      <c r="D32" s="141"/>
      <c r="E32" s="141"/>
      <c r="F32" s="141"/>
      <c r="G32" s="141"/>
      <c r="H32" s="141"/>
      <c r="I32" s="141"/>
      <c r="J32" s="141"/>
      <c r="K32" s="141"/>
      <c r="L32" s="141"/>
      <c r="M32" s="141"/>
      <c r="N32" s="141"/>
      <c r="O32" s="141"/>
      <c r="P32" s="141"/>
      <c r="Q32" s="141"/>
      <c r="R32" s="141"/>
      <c r="S32" s="141"/>
      <c r="T32" s="141"/>
      <c r="U32" s="141"/>
      <c r="V32" s="141"/>
      <c r="W32" s="141"/>
      <c r="X32" s="141"/>
      <c r="Y32" s="162"/>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6"/>
    </row>
    <row r="33" spans="2:48" ht="13.5" thickBot="1" x14ac:dyDescent="0.25">
      <c r="B33" s="147"/>
      <c r="C33" s="148"/>
      <c r="D33" s="148"/>
      <c r="E33" s="148"/>
      <c r="F33" s="148"/>
      <c r="G33" s="148"/>
      <c r="H33" s="148"/>
      <c r="I33" s="148"/>
      <c r="J33" s="148"/>
      <c r="K33" s="165" t="s">
        <v>403</v>
      </c>
      <c r="L33" s="148"/>
      <c r="M33" s="148"/>
      <c r="N33" s="148"/>
      <c r="O33" s="148"/>
      <c r="Q33" s="148"/>
      <c r="R33" s="148"/>
      <c r="S33" s="148"/>
      <c r="T33" s="148"/>
      <c r="U33" s="148"/>
      <c r="V33" s="148"/>
      <c r="W33" s="148"/>
      <c r="X33" s="148"/>
      <c r="Y33" s="148"/>
      <c r="Z33" s="166" t="s">
        <v>404</v>
      </c>
      <c r="AA33" s="148"/>
      <c r="AB33" s="148"/>
      <c r="AC33" s="148"/>
      <c r="AD33" s="148"/>
      <c r="AE33" s="148"/>
      <c r="AF33" s="148"/>
      <c r="AH33" s="148"/>
      <c r="AI33" s="148"/>
      <c r="AJ33" s="148"/>
      <c r="AK33" s="148"/>
      <c r="AL33" s="148"/>
      <c r="AM33" s="148"/>
      <c r="AN33" s="148"/>
      <c r="AO33" s="148"/>
      <c r="AP33" s="148"/>
      <c r="AQ33" s="148"/>
      <c r="AR33" s="148"/>
      <c r="AS33" s="148"/>
      <c r="AT33" s="148"/>
      <c r="AU33" s="148"/>
      <c r="AV33" s="150"/>
    </row>
  </sheetData>
  <mergeCells count="19">
    <mergeCell ref="D16:E16"/>
    <mergeCell ref="AA16:AB16"/>
    <mergeCell ref="AA17:AB17"/>
    <mergeCell ref="D12:E12"/>
    <mergeCell ref="AA12:AB12"/>
    <mergeCell ref="D13:E13"/>
    <mergeCell ref="AA13:AB13"/>
    <mergeCell ref="D15:E15"/>
    <mergeCell ref="AA15:AB15"/>
    <mergeCell ref="D14:E14"/>
    <mergeCell ref="AA14:AB14"/>
    <mergeCell ref="D11:E11"/>
    <mergeCell ref="AA11:AB11"/>
    <mergeCell ref="C3:K7"/>
    <mergeCell ref="L3:AU7"/>
    <mergeCell ref="C9:J9"/>
    <mergeCell ref="K9:L9"/>
    <mergeCell ref="Z9:AG9"/>
    <mergeCell ref="AH9:AI9"/>
  </mergeCells>
  <printOptions horizontalCentered="1"/>
  <pageMargins left="0.78740157480314965" right="0.78740157480314965" top="0.98425196850393704" bottom="0.98425196850393704" header="0.51181102362204722" footer="0.51181102362204722"/>
  <pageSetup paperSize="9" scale="55"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08"/>
      <c r="C2" s="908"/>
      <c r="D2" s="908"/>
      <c r="E2" s="908"/>
      <c r="Q2" s="739" t="s">
        <v>560</v>
      </c>
      <c r="R2" s="739"/>
      <c r="S2" s="739"/>
      <c r="T2" s="739"/>
      <c r="U2" s="739"/>
      <c r="V2" s="739"/>
      <c r="W2" s="739"/>
      <c r="X2" s="739"/>
    </row>
    <row r="3" spans="2:24" ht="19.5" thickBot="1" x14ac:dyDescent="0.25">
      <c r="B3" s="739" t="s">
        <v>571</v>
      </c>
      <c r="C3" s="739"/>
      <c r="D3" s="739"/>
      <c r="E3" s="739"/>
    </row>
    <row r="4" spans="2:24" ht="7.5" customHeight="1" thickBot="1" x14ac:dyDescent="0.25">
      <c r="B4" s="32"/>
      <c r="C4" s="32"/>
      <c r="D4" s="32"/>
      <c r="E4" s="71"/>
    </row>
    <row r="5" spans="2:24" x14ac:dyDescent="0.2">
      <c r="B5" s="462"/>
      <c r="C5" s="463" t="s">
        <v>561</v>
      </c>
      <c r="D5" s="464">
        <v>150</v>
      </c>
      <c r="E5" s="28" t="s">
        <v>9</v>
      </c>
      <c r="G5">
        <v>82.688702386860399</v>
      </c>
    </row>
    <row r="6" spans="2:24" x14ac:dyDescent="0.2">
      <c r="B6" s="462"/>
      <c r="C6" s="463" t="s">
        <v>562</v>
      </c>
      <c r="D6" s="464">
        <v>84</v>
      </c>
      <c r="E6" s="28" t="s">
        <v>563</v>
      </c>
      <c r="G6">
        <v>32.194127845257697</v>
      </c>
    </row>
    <row r="7" spans="2:24" x14ac:dyDescent="0.2">
      <c r="B7" s="462"/>
      <c r="C7" s="463" t="s">
        <v>564</v>
      </c>
      <c r="D7" s="465">
        <v>480</v>
      </c>
      <c r="E7" s="28" t="s">
        <v>310</v>
      </c>
      <c r="G7">
        <v>15.1011245789048</v>
      </c>
    </row>
    <row r="8" spans="2:24" ht="15" x14ac:dyDescent="0.25">
      <c r="B8" s="462"/>
      <c r="C8" s="463" t="s">
        <v>565</v>
      </c>
      <c r="D8" s="466">
        <v>520990</v>
      </c>
      <c r="E8" s="28" t="s">
        <v>319</v>
      </c>
      <c r="G8">
        <v>3.2768125708321098E-2</v>
      </c>
      <c r="H8" s="350" t="s">
        <v>566</v>
      </c>
    </row>
    <row r="9" spans="2:24" x14ac:dyDescent="0.2">
      <c r="B9" s="462"/>
      <c r="C9" s="463" t="s">
        <v>567</v>
      </c>
      <c r="D9" s="356">
        <f>D5*G5+D6*G6+D7*G7+D8*G8-G9</f>
        <v>9436.7540819842179</v>
      </c>
      <c r="E9" s="28" t="s">
        <v>568</v>
      </c>
      <c r="G9">
        <v>29991.263625699001</v>
      </c>
    </row>
    <row r="10" spans="2:24" x14ac:dyDescent="0.2">
      <c r="B10" s="407"/>
      <c r="C10" s="133"/>
      <c r="D10" s="28"/>
      <c r="E10" s="28"/>
    </row>
    <row r="12" spans="2:24" ht="18.75" x14ac:dyDescent="0.2">
      <c r="B12" s="739" t="s">
        <v>569</v>
      </c>
      <c r="C12" s="739"/>
      <c r="D12" s="739"/>
    </row>
    <row r="13" spans="2:24" ht="7.5" customHeight="1" x14ac:dyDescent="0.2"/>
    <row r="14" spans="2:24" x14ac:dyDescent="0.2">
      <c r="B14" s="463" t="s">
        <v>408</v>
      </c>
      <c r="C14" s="466">
        <v>50000</v>
      </c>
      <c r="D14" s="444" t="s">
        <v>568</v>
      </c>
    </row>
    <row r="15" spans="2:24" x14ac:dyDescent="0.2">
      <c r="B15" s="463" t="s">
        <v>409</v>
      </c>
      <c r="C15" s="466">
        <v>75000</v>
      </c>
      <c r="D15" s="444" t="s">
        <v>568</v>
      </c>
    </row>
    <row r="35" spans="17:24" x14ac:dyDescent="0.2">
      <c r="Q35" s="909" t="s">
        <v>570</v>
      </c>
      <c r="R35" s="909"/>
      <c r="S35" s="909"/>
      <c r="T35" s="909"/>
      <c r="U35" s="909"/>
      <c r="V35" s="909"/>
      <c r="W35" s="909"/>
      <c r="X35" s="909"/>
    </row>
  </sheetData>
  <mergeCells count="5">
    <mergeCell ref="B2:E2"/>
    <mergeCell ref="Q2:X2"/>
    <mergeCell ref="B3:E3"/>
    <mergeCell ref="B12:D12"/>
    <mergeCell ref="Q35:X35"/>
  </mergeCells>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ecaoquadrada" Type="http://schemas.openxmlformats.org/officeDocument/2006/relationships/image" Target="images/secaoquadrada.png"/><Relationship Id="tubes" Type="http://schemas.openxmlformats.org/officeDocument/2006/relationships/image" Target="images/tubes.png"/><Relationship Id="KFactor" Type="http://schemas.openxmlformats.org/officeDocument/2006/relationships/image" Target="images/KFactor.png"/><Relationship Id="width" Type="http://schemas.openxmlformats.org/officeDocument/2006/relationships/image" Target="images/width.png"/><Relationship Id="soldagem" Type="http://schemas.openxmlformats.org/officeDocument/2006/relationships/image" Target="images/soldagem.png"/></Relationships>
</file>

<file path=customUI/customUI14.xml><?xml version="1.0" encoding="utf-8"?>
<customUI xmlns="http://schemas.microsoft.com/office/2009/07/customui" onLoad="ribbonLoaded">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normal" onAction="MyRibbon.btn4"/>
          <button id="btn-id5" label="Listas de Dados" imageMso="DataFormSource" size="normal" onAction="MyRibbon.btn5"/>
          <button id="btn-id6" label="Investimentos" imageMso="AccountingFormat" size="normal" onAction="MyRibbon.btn6"/>
          <separator id="separator-a"/>
          <button id="btn-std1" getLabel="GetButtonLabelSTD1" getEnabled="IsButtonEnabledSTD1" onAction="MyRibbon.AtivarProjetoBTN"/>
          <button id="btn-std2" getLabel="GetButtonLabelSTD2" getEnabled="IsButtonEnabledSTD2" onAction="MyRibbon.AtivarProjetoBTN"/>
          <button id="btn-std3" getLabel="GetButtonLabelSTD3" getEnabled="IsButtonEnabledSTD3" onAction="MyRibbon.AtivarProjetoBTN"/>
          <button id="btn-std4" getLabel="GetButtonLabelSTD4" getEnabled="IsButtonEnabledSTD4" onAction="MyRibbon.AtivarProjetoBTN"/>
          <button id="btn-std5" getLabel="GetButtonLabelSTD5" getEnabled="IsButtonEnabledSTD5" onAction="MyRibbon.AtivarProjetoBTN"/>
          <button id="btn-std6" getLabel="GetButtonLabelSTD6" getEnabled="IsButtonEnabledSTD6" onAction="MyRibbon.AtivarProjetoBTN"/>
          <button id="btn-std7" getLabel="GetButtonLabelSTD7" getEnabled="IsButtonEnabledSTD7" onAction="MyRibbon.AtivarProjetoBTN"/>
          <button id="btn-std8" getLabel="GetButtonLabelSTD8" getEnabled="IsButtonEnabledSTD8" onAction="MyRibbon.AtivarProjetoBTN"/>
          <button id="btn-std9" getLabel="GetButtonLabelSTD9" getEnabled="IsButtonEnabledSTD9" onAction="MyRibbon.AtivarProjetoBTN"/>
          <button id="btn-std10" getLabel="GetButtonLabelSTD10" getEnabled="IsButtonEnabledSTD10" onAction="MyRibbon.AtivarProjetoBTN"/>
          <button id="btn-std11" getLabel="GetButtonLabelSTD11" getEnabled="IsButtonEnabledSTD11" onAction="MyRibbon.AtivarProjetoBTN"/>
          <button id="btn-std12" getLabel="GetButtonLabelSTD12" getEnabled="IsButtonEnabledSTD12" onAction="MyRibbon.AtivarProjetoBTN"/>
          <button id="btn-std13" getLabel="GetButtonLabelSTD13" getEnabled="IsButtonEnabledSTD13" onAction="MyRibbon.AtivarProjetoBTN"/>
          <button id="btn-std14" getLabel="GetButtonLabelSTD14" getEnabled="IsButtonEnabledSTD14" onAction="MyRibbon.AtivarProjetoBTN"/>
          <button id="btn-std15" getLabel="GetButtonLabelSTD15" getEnabled="IsButtonEnabledSTD15" onAction="MyRibbon.AtivarProjetoBTN"/>
          <button id="btn-std16" getLabel="GetButtonLabelSTD16" getEnabled="IsButtonEnabledSTD16" onAction="MyRibbon.AtivarProjetoBTN"/>
          <button id="btn-std17" getLabel="GetButtonLabelSTD17" getEnabled="IsButtonEnabledSTD17" onAction="MyRibbon.AtivarProjetoBTN"/>
          <button id="btn-std18" getLabel="GetButtonLabelSTD18" getEnabled="IsButtonEnabledSTD18" onAction="MyRibbon.AtivarProjetoBTN"/>
          <separator id="separator-b"/>
          <button id="btn-id9" label="Pre Punching PF1" size="normal" onAction="MyRibbon.btn9"/>
          <button id="btn-id10" label="Pre Punching PF3" size="normal" onAction="MyRibbon.btn10"/>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GroupCalculation" label="Auxílio">
          <button id="TempoCorteSerra" label="Tempo Corte Serra" imageMso="HeaderFooterCurrentTimeInsert" size="normal" onAction="MyRibbon.btn7"/>
          <button id="BitolaOrigem" label="Bitola de Origem" size="normal" image="tubes" onAction="MyRibbon.bitolaorigembtn"/>
          <button id="mmxinches" label="mm X Polegadas" size="normal" imageMso="FormattingUnique" onAction="MyRibbon.mmxinchesbtn"/>
          <button id="speedconvert" label="Converter Velocidades" size="normal" imageMso="CircularReferences" onAction="MyRibbon.speedconvertbtn"/>
          <button id="KFactor" label="Fator de Dobra k" size="normal" image="KFactor" onAction="MyRibbon.KFactorbtn"/>
          <button id="ProfileSheet" label="Tira de Perfis" size="normal" image="width" onAction="MyRibbon.ProfileSheetbtn"/>
        </group>
        <group id="GroupStudy" label="Estudos">
          <splitButton id="splitButton1" size="large">
            <button id="NewStudyBTN" label="Novo Estudo" imageMso="DatasheetColumnLookup" onAction="MyRibbon.btn2"/>
            <menu id="NewStudyMenu" label="Acomapanhamento" itemSize="large">
              <menuSeparator id="Menuseparator1" title="Estudos"/>
              <button id="btn-id2" label="RollForming e A.O." screentip="Criar Novo estudo sobre RollForming ou After Operation" image="rollforming" onAction="MyRibbon.btn2"/>
              <button id="btn-id3" label="Conjuntos Soldados" screentip="Criar Novo estudo sobre Conjuntos Soldados" image="soldagem" onAction="MyRibbon.btn3"/>
            </menu>
          </splitButton>
          <button id="btn-DeleteStudy" label="Deletar Estudo" screentip="Deletar todo o estudo atual ou selecionar um estudo a ser deletado" imageMso="ReviewRejectChange" onAction="MyRibbon.btnDeleteStudy"/>
          <button id="btn-ChangeStudy" label="Alterar Estudo" screentip="Alterar o número do estudo atual ou selecionar um estudo a ser alterado" imageMso="ReviewAcceptChange" onAction="MyRibbon.btnChangeStudy"/>
          <button id="btn-CopyStudy" label="Copiar Estudo" screentip="Copiar um estudo para um novo número" imageMso="SharePointListsDiscardAllChanges" onAction="MyRibbon.btnCopyStudy"/>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22</vt:i4>
      </vt:variant>
      <vt:variant>
        <vt:lpstr>Intervalos nomeados</vt:lpstr>
      </vt:variant>
      <vt:variant>
        <vt:i4>8</vt:i4>
      </vt:variant>
    </vt:vector>
  </HeadingPairs>
  <TitlesOfParts>
    <vt:vector size="30" baseType="lpstr">
      <vt:lpstr>PJT XXXX</vt:lpstr>
      <vt:lpstr>(F01 a F06)+AO</vt:lpstr>
      <vt:lpstr>(F07)+AO</vt:lpstr>
      <vt:lpstr>(PF01 e PF02)+AO</vt:lpstr>
      <vt:lpstr>C.S. PJT XXXX</vt:lpstr>
      <vt:lpstr>Conjuntos Soldados</vt:lpstr>
      <vt:lpstr>HOME</vt:lpstr>
      <vt:lpstr>Listas de Dados</vt:lpstr>
      <vt:lpstr>Investimentos</vt:lpstr>
      <vt:lpstr>Pre Punching-PF03</vt:lpstr>
      <vt:lpstr>Pre Punching-PF01</vt:lpstr>
      <vt:lpstr>Dados Slliter</vt:lpstr>
      <vt:lpstr>Embalagem</vt:lpstr>
      <vt:lpstr>Hora-Máquina</vt:lpstr>
      <vt:lpstr>Largura de Tira - Tubo</vt:lpstr>
      <vt:lpstr>Perfil Padrão</vt:lpstr>
      <vt:lpstr>Bobina x tira</vt:lpstr>
      <vt:lpstr>Simuladores</vt:lpstr>
      <vt:lpstr>mm x inches</vt:lpstr>
      <vt:lpstr>Peso de Tira</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2022-03-31T15:45:30Z</cp:lastPrinted>
  <dcterms:created xsi:type="dcterms:W3CDTF">2011-04-12T19:30:48Z</dcterms:created>
  <dcterms:modified xsi:type="dcterms:W3CDTF">2022-04-19T18:41:39Z</dcterms:modified>
</cp:coreProperties>
</file>