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9.xml" ContentType="application/vnd.openxmlformats-officedocument.drawing+xml"/>
  <Override PartName="/xl/comments7.xml" ContentType="application/vnd.openxmlformats-officedocument.spreadsheetml.comments+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comments8.xml" ContentType="application/vnd.openxmlformats-officedocument.spreadsheetml.comment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home.png" ContentType="image/.PNG"/>
  <Override PartName="/customUI/images/rollforming.png" ContentType="image/.PNG"/>
  <Override PartName="/customUI/images/secaoquadrada.png" ContentType="image/.PNG"/>
  <Override PartName="/customUI/images/tubes.png" ContentType="image/.PNG"/>
  <Override PartName="/customUI/images/KFactor.png" ContentType="image/.PNG"/>
  <Override PartName="/customUI/images/width.png" ContentType="image/.PNG"/>
  <Override PartName="/customUI/images/soldagem.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85d7e8a9aa14e38"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EstaPasta_de_trabalho"/>
  <mc:AlternateContent xmlns:mc="http://schemas.openxmlformats.org/markup-compatibility/2006">
    <mc:Choice Requires="x15">
      <x15ac:absPath xmlns:x15ac="http://schemas.microsoft.com/office/spreadsheetml/2010/11/ac" url="Q:\Trabalhos em Andamento\Arthur Boff\19. Programas\22. Cronus\Cronus Prerelease\Excel\Workbooks\Estudos de Viabilidades\Estudos de Viabilidades (RibbonProject)\"/>
    </mc:Choice>
  </mc:AlternateContent>
  <bookViews>
    <workbookView showSheetTabs="0" xWindow="182925" yWindow="210" windowWidth="11340" windowHeight="11460" tabRatio="784" activeTab="6"/>
  </bookViews>
  <sheets>
    <sheet name="PJT XXXX" sheetId="39" r:id="rId1"/>
    <sheet name="(F01 a F06)+AO" sheetId="1" state="hidden" r:id="rId2"/>
    <sheet name="(F07)+AO" sheetId="22" state="hidden" r:id="rId3"/>
    <sheet name="(PF01 e PF02)+AO" sheetId="11" state="hidden" r:id="rId4"/>
    <sheet name="C.S. PJT XXXX" sheetId="43" r:id="rId5"/>
    <sheet name="Conjuntos Soldados" sheetId="36" state="hidden" r:id="rId6"/>
    <sheet name="HOME" sheetId="4" r:id="rId7"/>
    <sheet name="Listas de Dados" sheetId="41" r:id="rId8"/>
    <sheet name="Investimentos" sheetId="19" r:id="rId9"/>
    <sheet name="Pre Punching-PF03" sheetId="26" r:id="rId10"/>
    <sheet name="Pre Punching-PF01" sheetId="35" r:id="rId11"/>
    <sheet name="Dados Slliter" sheetId="42" r:id="rId12"/>
    <sheet name="Embalagem" sheetId="15" r:id="rId13"/>
    <sheet name="Hora-Máquina" sheetId="14" r:id="rId14"/>
    <sheet name="Largura de Tira - Tubo" sheetId="28" r:id="rId15"/>
    <sheet name="Perfil Padrão" sheetId="24" r:id="rId16"/>
    <sheet name="Bobina x tira" sheetId="25" r:id="rId17"/>
    <sheet name="Simuladores" sheetId="27" r:id="rId18"/>
    <sheet name="mm x inches" sheetId="31" state="hidden" r:id="rId19"/>
    <sheet name="Peso de Tira" sheetId="32" r:id="rId20"/>
    <sheet name="Carbono Equivalente" sheetId="34" r:id="rId21"/>
    <sheet name="FORÇA DE DOBRA" sheetId="37" r:id="rId22"/>
  </sheets>
  <functionGroups builtInGroupCount="18"/>
  <externalReferences>
    <externalReference r:id="rId23"/>
    <externalReference r:id="rId24"/>
  </externalReferences>
  <definedNames>
    <definedName name="AfterOperation">Tabela3[Máquinas After Operation]</definedName>
    <definedName name="_xlnm.Print_Area" localSheetId="4">'C.S. PJT XXXX'!$B$2:$Q$81</definedName>
    <definedName name="_xlnm.Print_Area" localSheetId="20">'Carbono Equivalente'!$B$2:$AV$33</definedName>
    <definedName name="_xlnm.Print_Area" localSheetId="18">'mm x inches'!$B$2:$L$42</definedName>
    <definedName name="_xlnm.Print_Area" localSheetId="19">'Peso de Tira'!$B$2:$Y$25</definedName>
    <definedName name="_xlnm.Print_Area" localSheetId="0">'PJT XXXX'!$B$2:$Q$159</definedName>
    <definedName name="CélulasDeSolda">Tabela3[Máquinas Células De Solda]</definedName>
    <definedName name="Conf.Convencional">Tabela3[Máquinas Conf. Convencional]</definedName>
    <definedName name="Conf.Perfis">Tabela3[Máquinas Conf. Perfis]</definedName>
    <definedName name="DirectForming">Tabela3[Máquinas Direct Forming]</definedName>
    <definedName name="Perfis">'Listas de Dados'!#REF!</definedName>
    <definedName name="solver_eng" localSheetId="0" hidden="1">1</definedName>
    <definedName name="solver_neg" localSheetId="0" hidden="1">1</definedName>
    <definedName name="solver_num" localSheetId="0" hidden="1">0</definedName>
    <definedName name="solver_opt" localSheetId="0" hidden="1">'PJT XXXX'!$V$53</definedName>
    <definedName name="solver_typ" localSheetId="0" hidden="1">1</definedName>
    <definedName name="solver_val" localSheetId="0" hidden="1">0</definedName>
    <definedName name="solver_ver" localSheetId="0" hidden="1">3</definedName>
    <definedName name="TubosConf.Convencional">'Listas de Dados'!#REF!</definedName>
    <definedName name="TubosDirectForming">'Listas de Dados'!#REF!</definedName>
  </definedNames>
  <calcPr calcId="162913"/>
</workbook>
</file>

<file path=xl/calcChain.xml><?xml version="1.0" encoding="utf-8"?>
<calcChain xmlns="http://schemas.openxmlformats.org/spreadsheetml/2006/main">
  <c r="K18" i="43" l="1"/>
  <c r="O62" i="39" l="1"/>
  <c r="M62" i="39"/>
  <c r="K62" i="39"/>
  <c r="AF2" i="41" l="1" a="1"/>
  <c r="AF2" i="41" s="1"/>
  <c r="AF3" i="41" a="1"/>
  <c r="AF3" i="41" s="1"/>
  <c r="AF4" i="41" a="1"/>
  <c r="AF4" i="41" s="1"/>
  <c r="AF5" i="41" a="1"/>
  <c r="AF5" i="41" s="1"/>
  <c r="AF6" i="41" a="1"/>
  <c r="AF6" i="41" s="1"/>
  <c r="AF7" i="41" a="1"/>
  <c r="AF7" i="41" s="1"/>
  <c r="AF8" i="41" a="1"/>
  <c r="AF8" i="41" s="1"/>
  <c r="AF9" i="41" a="1"/>
  <c r="AF9" i="41" s="1"/>
  <c r="AF10" i="41" a="1"/>
  <c r="AF10" i="41" s="1"/>
  <c r="AF11" i="41" a="1"/>
  <c r="AF11" i="41" s="1"/>
  <c r="AF12" i="41" a="1"/>
  <c r="AF12" i="41" s="1"/>
  <c r="AF13" i="41" a="1"/>
  <c r="AF13" i="41" s="1"/>
  <c r="AF14" i="41" a="1"/>
  <c r="AF14" i="41" s="1"/>
  <c r="AF15" i="41" a="1"/>
  <c r="AF15" i="41" s="1"/>
  <c r="AF16" i="41" a="1"/>
  <c r="AF16" i="41" s="1"/>
  <c r="AF17" i="41" a="1"/>
  <c r="AF17" i="41" s="1"/>
  <c r="AF18" i="41" a="1"/>
  <c r="AF18" i="41" s="1"/>
  <c r="AF19" i="41" a="1"/>
  <c r="AF19" i="41" s="1"/>
  <c r="AF20" i="41" a="1"/>
  <c r="AF20" i="41" s="1"/>
  <c r="AF21" i="41" a="1"/>
  <c r="AF21" i="41" s="1"/>
  <c r="AF22" i="41" a="1"/>
  <c r="AF22" i="41" s="1"/>
  <c r="AF23" i="41" a="1"/>
  <c r="AF23" i="41" s="1"/>
  <c r="AF24" i="41" a="1"/>
  <c r="AF24" i="41" s="1"/>
  <c r="AF25" i="41" a="1"/>
  <c r="AF25" i="41" s="1"/>
  <c r="AF26" i="41" a="1"/>
  <c r="AF26" i="41" s="1"/>
  <c r="AF27" i="41" a="1"/>
  <c r="AF27" i="41" s="1"/>
  <c r="AF28" i="41" a="1"/>
  <c r="AF28" i="41" s="1"/>
  <c r="AF29" i="41" a="1"/>
  <c r="AF29" i="41" s="1"/>
  <c r="AF30" i="41" a="1"/>
  <c r="AF30" i="41" s="1"/>
  <c r="AF31" i="41" a="1"/>
  <c r="AF31" i="41" s="1"/>
  <c r="AF32" i="41" a="1"/>
  <c r="AF32" i="41" s="1"/>
  <c r="AF33" i="41" a="1"/>
  <c r="AF33" i="41" s="1"/>
  <c r="AF34" i="41" a="1"/>
  <c r="AF34" i="41" s="1"/>
  <c r="AF35" i="41" a="1"/>
  <c r="AF35" i="41" s="1"/>
  <c r="AF36" i="41" a="1"/>
  <c r="AF36" i="41" s="1"/>
  <c r="AF37" i="41" a="1"/>
  <c r="AF37" i="41" s="1"/>
  <c r="AF38" i="41" a="1"/>
  <c r="AF38" i="41" s="1"/>
  <c r="AF39" i="41" a="1"/>
  <c r="AF39" i="41" s="1"/>
  <c r="AF40" i="41" a="1"/>
  <c r="AF40" i="41" s="1"/>
  <c r="AF41" i="41" a="1"/>
  <c r="AF41" i="41" s="1"/>
  <c r="AE2" i="41" a="1"/>
  <c r="AE2" i="41" s="1"/>
  <c r="AE3" i="41" a="1"/>
  <c r="AE3" i="41" s="1"/>
  <c r="AE4" i="41" a="1"/>
  <c r="AE4" i="41" s="1"/>
  <c r="AE5" i="41" a="1"/>
  <c r="AE5" i="41" s="1"/>
  <c r="AE6" i="41" a="1"/>
  <c r="AE6" i="41" s="1"/>
  <c r="AE7" i="41" a="1"/>
  <c r="AE7" i="41" s="1"/>
  <c r="AE8" i="41" a="1"/>
  <c r="AE8" i="41" s="1"/>
  <c r="AE9" i="41" a="1"/>
  <c r="AE9" i="41" s="1"/>
  <c r="AE10" i="41" a="1"/>
  <c r="AE10" i="41" s="1"/>
  <c r="AE11" i="41" a="1"/>
  <c r="AE11" i="41" s="1"/>
  <c r="AE12" i="41" a="1"/>
  <c r="AE12" i="41" s="1"/>
  <c r="AE13" i="41" a="1"/>
  <c r="AE13" i="41" s="1"/>
  <c r="AE14" i="41" a="1"/>
  <c r="AE14" i="41" s="1"/>
  <c r="AE15" i="41" a="1"/>
  <c r="AE15" i="41" s="1"/>
  <c r="AE16" i="41" a="1"/>
  <c r="AE16" i="41" s="1"/>
  <c r="AE17" i="41" a="1"/>
  <c r="AE17" i="41" s="1"/>
  <c r="AE18" i="41" a="1"/>
  <c r="AE18" i="41" s="1"/>
  <c r="AE19" i="41" a="1"/>
  <c r="AE19" i="41" s="1"/>
  <c r="AE20" i="41" a="1"/>
  <c r="AE20" i="41" s="1"/>
  <c r="AE21" i="41" a="1"/>
  <c r="AE21" i="41" s="1"/>
  <c r="AE22" i="41" a="1"/>
  <c r="AE22" i="41" s="1"/>
  <c r="AE23" i="41" a="1"/>
  <c r="AE23" i="41" s="1"/>
  <c r="AE24" i="41" a="1"/>
  <c r="AE24" i="41" s="1"/>
  <c r="AE25" i="41" a="1"/>
  <c r="AE25" i="41" s="1"/>
  <c r="AE26" i="41" a="1"/>
  <c r="AE26" i="41" s="1"/>
  <c r="AE27" i="41" a="1"/>
  <c r="AE27" i="41" s="1"/>
  <c r="AE28" i="41" a="1"/>
  <c r="AE28" i="41" s="1"/>
  <c r="AE29" i="41" a="1"/>
  <c r="AE29" i="41" s="1"/>
  <c r="AE30" i="41" a="1"/>
  <c r="AE30" i="41" s="1"/>
  <c r="AE31" i="41" a="1"/>
  <c r="AE31" i="41" s="1"/>
  <c r="AE32" i="41" a="1"/>
  <c r="AE32" i="41" s="1"/>
  <c r="AE33" i="41" a="1"/>
  <c r="AE33" i="41" s="1"/>
  <c r="AE34" i="41" a="1"/>
  <c r="AE34" i="41" s="1"/>
  <c r="AE35" i="41" a="1"/>
  <c r="AE35" i="41" s="1"/>
  <c r="AE36" i="41" a="1"/>
  <c r="AE36" i="41" s="1"/>
  <c r="AE37" i="41" a="1"/>
  <c r="AE37" i="41" s="1"/>
  <c r="AE38" i="41" a="1"/>
  <c r="AE38" i="41" s="1"/>
  <c r="AE39" i="41" a="1"/>
  <c r="AE39" i="41" s="1"/>
  <c r="AE40" i="41" a="1"/>
  <c r="AE40" i="41" s="1"/>
  <c r="AE41" i="41" a="1"/>
  <c r="AE41" i="41" s="1"/>
  <c r="AD2" i="41" a="1"/>
  <c r="AD2" i="41" s="1"/>
  <c r="AD3" i="41" a="1"/>
  <c r="AD3" i="41" s="1"/>
  <c r="AD4" i="41" a="1"/>
  <c r="AD4" i="41" s="1"/>
  <c r="AD5" i="41" a="1"/>
  <c r="AD5" i="41" s="1"/>
  <c r="AD6" i="41" a="1"/>
  <c r="AD6" i="41" s="1"/>
  <c r="AD7" i="41" a="1"/>
  <c r="AD7" i="41" s="1"/>
  <c r="AD8" i="41" a="1"/>
  <c r="AD8" i="41" s="1"/>
  <c r="AD9" i="41" a="1"/>
  <c r="AD9" i="41" s="1"/>
  <c r="AD10" i="41" a="1"/>
  <c r="AD10" i="41" s="1"/>
  <c r="AD11" i="41" a="1"/>
  <c r="AD11" i="41" s="1"/>
  <c r="AD12" i="41" a="1"/>
  <c r="AD12" i="41" s="1"/>
  <c r="AD13" i="41" a="1"/>
  <c r="AD13" i="41" s="1"/>
  <c r="AD14" i="41" a="1"/>
  <c r="AD14" i="41" s="1"/>
  <c r="AD15" i="41" a="1"/>
  <c r="AD15" i="41" s="1"/>
  <c r="AD16" i="41" a="1"/>
  <c r="AD16" i="41" s="1"/>
  <c r="AD17" i="41" a="1"/>
  <c r="AD17" i="41" s="1"/>
  <c r="AD18" i="41" a="1"/>
  <c r="AD18" i="41" s="1"/>
  <c r="AD19" i="41" a="1"/>
  <c r="AD19" i="41" s="1"/>
  <c r="AD20" i="41" a="1"/>
  <c r="AD20" i="41" s="1"/>
  <c r="AD21" i="41" a="1"/>
  <c r="AD21" i="41" s="1"/>
  <c r="AD22" i="41" a="1"/>
  <c r="AD22" i="41" s="1"/>
  <c r="AD23" i="41" a="1"/>
  <c r="AD23" i="41" s="1"/>
  <c r="AD24" i="41" a="1"/>
  <c r="AD24" i="41" s="1"/>
  <c r="AD25" i="41" a="1"/>
  <c r="AD25" i="41" s="1"/>
  <c r="AD26" i="41" a="1"/>
  <c r="AD26" i="41" s="1"/>
  <c r="AD27" i="41" a="1"/>
  <c r="AD27" i="41" s="1"/>
  <c r="AD28" i="41" a="1"/>
  <c r="AD28" i="41" s="1"/>
  <c r="AD29" i="41" a="1"/>
  <c r="AD29" i="41" s="1"/>
  <c r="AD30" i="41" a="1"/>
  <c r="AD30" i="41" s="1"/>
  <c r="AD31" i="41" a="1"/>
  <c r="AD31" i="41" s="1"/>
  <c r="AD32" i="41" a="1"/>
  <c r="AD32" i="41" s="1"/>
  <c r="AD33" i="41" a="1"/>
  <c r="AD33" i="41" s="1"/>
  <c r="AD34" i="41" a="1"/>
  <c r="AD34" i="41" s="1"/>
  <c r="AD35" i="41" a="1"/>
  <c r="AD35" i="41" s="1"/>
  <c r="AD36" i="41" a="1"/>
  <c r="AD36" i="41" s="1"/>
  <c r="AD37" i="41" a="1"/>
  <c r="AD37" i="41" s="1"/>
  <c r="AD38" i="41" a="1"/>
  <c r="AD38" i="41" s="1"/>
  <c r="AD39" i="41" a="1"/>
  <c r="AD39" i="41" s="1"/>
  <c r="AD40" i="41" a="1"/>
  <c r="AD40" i="41" s="1"/>
  <c r="AD41" i="41" a="1"/>
  <c r="AD41" i="41" s="1"/>
  <c r="AC2" i="41" a="1"/>
  <c r="AC2" i="41" s="1"/>
  <c r="AC3" i="41" a="1"/>
  <c r="AC3" i="41" s="1"/>
  <c r="AC4" i="41" a="1"/>
  <c r="AC4" i="41" s="1"/>
  <c r="AC5" i="41" a="1"/>
  <c r="AC5" i="41" s="1"/>
  <c r="AC6" i="41" a="1"/>
  <c r="AC6" i="41" s="1"/>
  <c r="AC7" i="41" a="1"/>
  <c r="AC7" i="41" s="1"/>
  <c r="AC8" i="41" a="1"/>
  <c r="AC8" i="41" s="1"/>
  <c r="AC9" i="41" a="1"/>
  <c r="AC9" i="41" s="1"/>
  <c r="AC10" i="41" a="1"/>
  <c r="AC10" i="41" s="1"/>
  <c r="AC11" i="41" a="1"/>
  <c r="AC11" i="41" s="1"/>
  <c r="AC12" i="41" a="1"/>
  <c r="AC12" i="41" s="1"/>
  <c r="AC13" i="41" a="1"/>
  <c r="AC13" i="41" s="1"/>
  <c r="AC14" i="41" a="1"/>
  <c r="AC14" i="41" s="1"/>
  <c r="AC15" i="41" a="1"/>
  <c r="AC15" i="41" s="1"/>
  <c r="AC16" i="41" a="1"/>
  <c r="AC16" i="41" s="1"/>
  <c r="AC17" i="41" a="1"/>
  <c r="AC17" i="41" s="1"/>
  <c r="AC18" i="41" a="1"/>
  <c r="AC18" i="41" s="1"/>
  <c r="AC19" i="41" a="1"/>
  <c r="AC19" i="41" s="1"/>
  <c r="AC20" i="41" a="1"/>
  <c r="AC20" i="41" s="1"/>
  <c r="AC21" i="41" a="1"/>
  <c r="AC21" i="41" s="1"/>
  <c r="AC22" i="41" a="1"/>
  <c r="AC22" i="41" s="1"/>
  <c r="AC23" i="41" a="1"/>
  <c r="AC23" i="41" s="1"/>
  <c r="AC24" i="41" a="1"/>
  <c r="AC24" i="41" s="1"/>
  <c r="AC25" i="41" a="1"/>
  <c r="AC25" i="41" s="1"/>
  <c r="AC26" i="41" a="1"/>
  <c r="AC26" i="41" s="1"/>
  <c r="AC27" i="41" a="1"/>
  <c r="AC27" i="41" s="1"/>
  <c r="AC28" i="41" a="1"/>
  <c r="AC28" i="41" s="1"/>
  <c r="AC29" i="41" a="1"/>
  <c r="AC29" i="41" s="1"/>
  <c r="AC30" i="41" a="1"/>
  <c r="AC30" i="41" s="1"/>
  <c r="AC31" i="41" a="1"/>
  <c r="AC31" i="41" s="1"/>
  <c r="AC32" i="41" a="1"/>
  <c r="AC32" i="41" s="1"/>
  <c r="AC33" i="41" a="1"/>
  <c r="AC33" i="41" s="1"/>
  <c r="AC34" i="41" a="1"/>
  <c r="AC34" i="41" s="1"/>
  <c r="AC35" i="41" a="1"/>
  <c r="AC35" i="41" s="1"/>
  <c r="AC36" i="41" a="1"/>
  <c r="AC36" i="41" s="1"/>
  <c r="AC37" i="41" a="1"/>
  <c r="AC37" i="41" s="1"/>
  <c r="AC38" i="41" a="1"/>
  <c r="AC38" i="41" s="1"/>
  <c r="AC39" i="41" a="1"/>
  <c r="AC39" i="41" s="1"/>
  <c r="AC40" i="41" a="1"/>
  <c r="AC40" i="41" s="1"/>
  <c r="AC41" i="41" a="1"/>
  <c r="AC41" i="41" s="1"/>
  <c r="AB2" i="41" a="1"/>
  <c r="AB2" i="41" s="1"/>
  <c r="AB3" i="41" a="1"/>
  <c r="AB3" i="41" s="1"/>
  <c r="AB4" i="41" a="1"/>
  <c r="AB4" i="41" s="1"/>
  <c r="AB5" i="41" a="1"/>
  <c r="AB5" i="41" s="1"/>
  <c r="AB6" i="41" a="1"/>
  <c r="AB6" i="41" s="1"/>
  <c r="AB7" i="41" a="1"/>
  <c r="AB7" i="41" s="1"/>
  <c r="AB8" i="41" a="1"/>
  <c r="AB8" i="41" s="1"/>
  <c r="AB9" i="41" a="1"/>
  <c r="AB9" i="41" s="1"/>
  <c r="AB10" i="41" a="1"/>
  <c r="AB10" i="41" s="1"/>
  <c r="AB11" i="41" a="1"/>
  <c r="AB11" i="41" s="1"/>
  <c r="AB12" i="41" a="1"/>
  <c r="AB12" i="41" s="1"/>
  <c r="AB13" i="41" a="1"/>
  <c r="AB13" i="41" s="1"/>
  <c r="AB14" i="41" a="1"/>
  <c r="AB14" i="41" s="1"/>
  <c r="AB15" i="41" a="1"/>
  <c r="AB15" i="41" s="1"/>
  <c r="AB16" i="41" a="1"/>
  <c r="AB16" i="41" s="1"/>
  <c r="AB17" i="41" a="1"/>
  <c r="AB17" i="41" s="1"/>
  <c r="AB18" i="41" a="1"/>
  <c r="AB18" i="41" s="1"/>
  <c r="AB19" i="41" a="1"/>
  <c r="AB19" i="41" s="1"/>
  <c r="AB20" i="41" a="1"/>
  <c r="AB20" i="41" s="1"/>
  <c r="AB21" i="41" a="1"/>
  <c r="AB21" i="41" s="1"/>
  <c r="AB22" i="41" a="1"/>
  <c r="AB22" i="41" s="1"/>
  <c r="AB23" i="41" a="1"/>
  <c r="AB23" i="41" s="1"/>
  <c r="AB24" i="41" a="1"/>
  <c r="AB24" i="41" s="1"/>
  <c r="AB25" i="41" a="1"/>
  <c r="AB25" i="41" s="1"/>
  <c r="AB26" i="41" a="1"/>
  <c r="AB26" i="41" s="1"/>
  <c r="AB27" i="41" a="1"/>
  <c r="AB27" i="41" s="1"/>
  <c r="AB28" i="41" a="1"/>
  <c r="AB28" i="41" s="1"/>
  <c r="AB29" i="41" a="1"/>
  <c r="AB29" i="41" s="1"/>
  <c r="AB30" i="41" a="1"/>
  <c r="AB30" i="41" s="1"/>
  <c r="AB31" i="41" a="1"/>
  <c r="AB31" i="41" s="1"/>
  <c r="AB32" i="41" a="1"/>
  <c r="AB32" i="41" s="1"/>
  <c r="AB33" i="41" a="1"/>
  <c r="AB33" i="41" s="1"/>
  <c r="AB34" i="41" a="1"/>
  <c r="AB34" i="41" s="1"/>
  <c r="AB35" i="41" a="1"/>
  <c r="AB35" i="41" s="1"/>
  <c r="AB36" i="41" a="1"/>
  <c r="AB36" i="41" s="1"/>
  <c r="AB37" i="41" a="1"/>
  <c r="AB37" i="41" s="1"/>
  <c r="AB38" i="41" a="1"/>
  <c r="AB38" i="41" s="1"/>
  <c r="AB39" i="41" a="1"/>
  <c r="AB39" i="41" s="1"/>
  <c r="AB40" i="41" a="1"/>
  <c r="AB40" i="41" s="1"/>
  <c r="AB41" i="41" a="1"/>
  <c r="AB41" i="41" s="1"/>
  <c r="K69" i="43" l="1"/>
  <c r="I147" i="39" l="1"/>
  <c r="K147" i="39" s="1"/>
  <c r="I144" i="39"/>
  <c r="I131" i="39"/>
  <c r="K131" i="39" s="1"/>
  <c r="I128" i="39"/>
  <c r="I115" i="39"/>
  <c r="K115" i="39" s="1"/>
  <c r="I112" i="39"/>
  <c r="I99" i="39"/>
  <c r="K99" i="39" s="1"/>
  <c r="K53" i="39"/>
  <c r="M44" i="39"/>
  <c r="O41" i="39"/>
  <c r="M41" i="39"/>
  <c r="K41" i="39"/>
  <c r="O42" i="39" l="1"/>
  <c r="D9" i="37" l="1"/>
  <c r="AH9" i="34"/>
  <c r="K9" i="34"/>
  <c r="Q22" i="32"/>
  <c r="Q18" i="32"/>
  <c r="N12" i="32"/>
  <c r="C51" i="27"/>
  <c r="C50" i="27"/>
  <c r="C40" i="27"/>
  <c r="C38" i="27"/>
  <c r="C30" i="27"/>
  <c r="C19" i="27"/>
  <c r="C17" i="27"/>
  <c r="C11" i="27"/>
  <c r="G14" i="25"/>
  <c r="F14" i="25"/>
  <c r="D14" i="25"/>
  <c r="G13" i="25"/>
  <c r="F13" i="25"/>
  <c r="D11" i="25"/>
  <c r="A22" i="28"/>
  <c r="A21" i="28"/>
  <c r="A20" i="28"/>
  <c r="A19" i="28"/>
  <c r="A18" i="28"/>
  <c r="I17" i="28"/>
  <c r="A17" i="28"/>
  <c r="I16" i="28"/>
  <c r="A16" i="28"/>
  <c r="I15" i="28"/>
  <c r="A15" i="28"/>
  <c r="I14" i="28"/>
  <c r="A14" i="28"/>
  <c r="I13" i="28"/>
  <c r="A13" i="28"/>
  <c r="I12" i="28"/>
  <c r="A12" i="28"/>
  <c r="I11" i="28"/>
  <c r="A11" i="28"/>
  <c r="I10" i="28"/>
  <c r="A10" i="28"/>
  <c r="I9" i="28"/>
  <c r="A9" i="28"/>
  <c r="I8" i="28"/>
  <c r="A8" i="28"/>
  <c r="I7" i="28"/>
  <c r="A7" i="28"/>
  <c r="A6" i="28"/>
  <c r="P5" i="28"/>
  <c r="M5" i="28"/>
  <c r="I5" i="28"/>
  <c r="N4" i="28"/>
  <c r="I4" i="28"/>
  <c r="P3" i="28"/>
  <c r="P2" i="28"/>
  <c r="F45" i="14"/>
  <c r="F44" i="14"/>
  <c r="F43" i="14"/>
  <c r="F41" i="14"/>
  <c r="F37" i="14"/>
  <c r="C35" i="14"/>
  <c r="C34" i="14"/>
  <c r="F33" i="14"/>
  <c r="F27" i="14"/>
  <c r="F25" i="14"/>
  <c r="C22" i="14"/>
  <c r="F21" i="14"/>
  <c r="D19" i="14"/>
  <c r="C19" i="14"/>
  <c r="F15" i="14"/>
  <c r="F13" i="14"/>
  <c r="J7" i="15"/>
  <c r="F7" i="15"/>
  <c r="C85" i="35"/>
  <c r="C81" i="35"/>
  <c r="C75" i="35"/>
  <c r="C74" i="35"/>
  <c r="C73" i="35"/>
  <c r="C72" i="35"/>
  <c r="C71" i="35"/>
  <c r="C68" i="35"/>
  <c r="C64" i="35"/>
  <c r="C63" i="35"/>
  <c r="C62" i="35"/>
  <c r="C61" i="35"/>
  <c r="C60" i="35"/>
  <c r="C57" i="35"/>
  <c r="E51" i="35"/>
  <c r="E50" i="35"/>
  <c r="E49" i="35"/>
  <c r="J47" i="35"/>
  <c r="I47" i="35"/>
  <c r="H47" i="35"/>
  <c r="G47" i="35"/>
  <c r="F47" i="35"/>
  <c r="E47" i="35"/>
  <c r="J46" i="35"/>
  <c r="I46" i="35"/>
  <c r="H46" i="35"/>
  <c r="G46" i="35"/>
  <c r="F46" i="35"/>
  <c r="E46" i="35"/>
  <c r="J45" i="35"/>
  <c r="I45" i="35"/>
  <c r="H45" i="35"/>
  <c r="G45" i="35"/>
  <c r="F45" i="35"/>
  <c r="E45" i="35"/>
  <c r="J44" i="35"/>
  <c r="I44" i="35"/>
  <c r="H44" i="35"/>
  <c r="G44" i="35"/>
  <c r="F44" i="35"/>
  <c r="E44" i="35"/>
  <c r="J43" i="35"/>
  <c r="I43" i="35"/>
  <c r="H43" i="35"/>
  <c r="G43" i="35"/>
  <c r="F43" i="35"/>
  <c r="E43" i="35"/>
  <c r="J42" i="35"/>
  <c r="I42" i="35"/>
  <c r="H42" i="35"/>
  <c r="G42" i="35"/>
  <c r="F42" i="35"/>
  <c r="E42" i="35"/>
  <c r="J41" i="35"/>
  <c r="I41" i="35"/>
  <c r="H41" i="35"/>
  <c r="G41" i="35"/>
  <c r="F41" i="35"/>
  <c r="E41" i="35"/>
  <c r="J40" i="35"/>
  <c r="I40" i="35"/>
  <c r="H40" i="35"/>
  <c r="G40" i="35"/>
  <c r="F40" i="35"/>
  <c r="E40" i="35"/>
  <c r="J39" i="35"/>
  <c r="I39" i="35"/>
  <c r="H39" i="35"/>
  <c r="G39" i="35"/>
  <c r="F39" i="35"/>
  <c r="E39" i="35"/>
  <c r="J38" i="35"/>
  <c r="I38" i="35"/>
  <c r="H38" i="35"/>
  <c r="G38" i="35"/>
  <c r="F38" i="35"/>
  <c r="E38" i="35"/>
  <c r="J37" i="35"/>
  <c r="I37" i="35"/>
  <c r="H37" i="35"/>
  <c r="G37" i="35"/>
  <c r="F37" i="35"/>
  <c r="E37" i="35"/>
  <c r="J36" i="35"/>
  <c r="I36" i="35"/>
  <c r="H36" i="35"/>
  <c r="G36" i="35"/>
  <c r="F36" i="35"/>
  <c r="E36" i="35"/>
  <c r="J35" i="35"/>
  <c r="I35" i="35"/>
  <c r="H35" i="35"/>
  <c r="G35" i="35"/>
  <c r="F35" i="35"/>
  <c r="E35" i="35"/>
  <c r="J34" i="35"/>
  <c r="I34" i="35"/>
  <c r="H34" i="35"/>
  <c r="G34" i="35"/>
  <c r="F34" i="35"/>
  <c r="E34" i="35"/>
  <c r="J33" i="35"/>
  <c r="I33" i="35"/>
  <c r="H33" i="35"/>
  <c r="G33" i="35"/>
  <c r="F33" i="35"/>
  <c r="E33" i="35"/>
  <c r="CF32" i="35"/>
  <c r="BS32" i="35"/>
  <c r="BR32" i="35"/>
  <c r="BP32" i="35"/>
  <c r="BO32" i="35"/>
  <c r="BM32" i="35"/>
  <c r="BL32" i="35"/>
  <c r="BJ32" i="35"/>
  <c r="BI32" i="35"/>
  <c r="BG32" i="35"/>
  <c r="BF32" i="35"/>
  <c r="BD32" i="35"/>
  <c r="BC32" i="35"/>
  <c r="BA32" i="35"/>
  <c r="AZ32" i="35"/>
  <c r="AX32" i="35"/>
  <c r="AW32" i="35"/>
  <c r="AU32" i="35"/>
  <c r="AT32" i="35"/>
  <c r="AR32" i="35"/>
  <c r="AQ32" i="35"/>
  <c r="AO32" i="35"/>
  <c r="AN32" i="35"/>
  <c r="AL32" i="35"/>
  <c r="AK32" i="35"/>
  <c r="AI32" i="35"/>
  <c r="AH32" i="35"/>
  <c r="AF32" i="35"/>
  <c r="AE32" i="35"/>
  <c r="AC32" i="35"/>
  <c r="AB32" i="35"/>
  <c r="Z32" i="35"/>
  <c r="Y32" i="35"/>
  <c r="W32" i="35"/>
  <c r="V32" i="35"/>
  <c r="T32" i="35"/>
  <c r="S32" i="35"/>
  <c r="Q32" i="35"/>
  <c r="P32" i="35"/>
  <c r="N32" i="35"/>
  <c r="M32" i="35"/>
  <c r="J32" i="35"/>
  <c r="I32" i="35"/>
  <c r="H32" i="35"/>
  <c r="G32" i="35"/>
  <c r="F32" i="35"/>
  <c r="E32" i="35"/>
  <c r="CF31" i="35"/>
  <c r="BT31" i="35"/>
  <c r="BS31" i="35"/>
  <c r="BR31" i="35"/>
  <c r="BQ31" i="35"/>
  <c r="BP31" i="35"/>
  <c r="BO31" i="35"/>
  <c r="BN31" i="35"/>
  <c r="BM31" i="35"/>
  <c r="BL31" i="35"/>
  <c r="BK31" i="35"/>
  <c r="BJ31" i="35"/>
  <c r="BI31" i="35"/>
  <c r="BH31" i="35"/>
  <c r="BG31" i="35"/>
  <c r="BF31" i="35"/>
  <c r="BE31" i="35"/>
  <c r="BD31" i="35"/>
  <c r="BC31" i="35"/>
  <c r="BB31" i="35"/>
  <c r="BA31" i="35"/>
  <c r="AZ31" i="35"/>
  <c r="AY31" i="35"/>
  <c r="AX31" i="35"/>
  <c r="AW31" i="35"/>
  <c r="AV31" i="35"/>
  <c r="AU31" i="35"/>
  <c r="AT31" i="35"/>
  <c r="AS31" i="35"/>
  <c r="AR31" i="35"/>
  <c r="AQ31" i="35"/>
  <c r="AP31" i="35"/>
  <c r="AO31" i="35"/>
  <c r="AN31" i="35"/>
  <c r="AM31" i="35"/>
  <c r="AL31" i="35"/>
  <c r="AK31" i="35"/>
  <c r="AJ31" i="35"/>
  <c r="AI31" i="35"/>
  <c r="AH31" i="35"/>
  <c r="AG31" i="35"/>
  <c r="AF31" i="35"/>
  <c r="AE31" i="35"/>
  <c r="AD31" i="35"/>
  <c r="AC31" i="35"/>
  <c r="AB31" i="35"/>
  <c r="AA31" i="35"/>
  <c r="Z31" i="35"/>
  <c r="Y31" i="35"/>
  <c r="X31" i="35"/>
  <c r="W31" i="35"/>
  <c r="V31" i="35"/>
  <c r="U31" i="35"/>
  <c r="T31" i="35"/>
  <c r="S31" i="35"/>
  <c r="R31" i="35"/>
  <c r="Q31" i="35"/>
  <c r="P31" i="35"/>
  <c r="O31" i="35"/>
  <c r="N31" i="35"/>
  <c r="M31" i="35"/>
  <c r="J31" i="35"/>
  <c r="I31" i="35"/>
  <c r="H31" i="35"/>
  <c r="G31" i="35"/>
  <c r="F31" i="35"/>
  <c r="E31" i="35"/>
  <c r="BT30" i="35"/>
  <c r="BS30" i="35"/>
  <c r="BR30" i="35"/>
  <c r="BQ30" i="35"/>
  <c r="BP30" i="35"/>
  <c r="BO30" i="35"/>
  <c r="BN30" i="35"/>
  <c r="BM30" i="35"/>
  <c r="BL30" i="35"/>
  <c r="BK30" i="35"/>
  <c r="BJ30" i="35"/>
  <c r="BI30" i="35"/>
  <c r="BH30" i="35"/>
  <c r="BG30" i="35"/>
  <c r="BF30" i="35"/>
  <c r="BE30" i="35"/>
  <c r="BD30" i="35"/>
  <c r="BC30" i="35"/>
  <c r="BB30" i="35"/>
  <c r="BA30" i="35"/>
  <c r="AZ30" i="35"/>
  <c r="AY30" i="35"/>
  <c r="AX30" i="35"/>
  <c r="AW30" i="35"/>
  <c r="AV30" i="35"/>
  <c r="AU30" i="35"/>
  <c r="AT30" i="35"/>
  <c r="AS30" i="35"/>
  <c r="AR30" i="35"/>
  <c r="AQ30" i="35"/>
  <c r="AP30" i="35"/>
  <c r="AO30" i="35"/>
  <c r="AN30" i="35"/>
  <c r="AM30" i="35"/>
  <c r="AL30" i="35"/>
  <c r="AK30" i="35"/>
  <c r="AJ30" i="35"/>
  <c r="AI30" i="35"/>
  <c r="AH30" i="35"/>
  <c r="AG30" i="35"/>
  <c r="AF30" i="35"/>
  <c r="AE30" i="35"/>
  <c r="AD30" i="35"/>
  <c r="AC30" i="35"/>
  <c r="AB30" i="35"/>
  <c r="AA30" i="35"/>
  <c r="Z30" i="35"/>
  <c r="Y30" i="35"/>
  <c r="X30" i="35"/>
  <c r="W30" i="35"/>
  <c r="V30" i="35"/>
  <c r="U30" i="35"/>
  <c r="T30" i="35"/>
  <c r="S30" i="35"/>
  <c r="R30" i="35"/>
  <c r="Q30" i="35"/>
  <c r="P30" i="35"/>
  <c r="O30" i="35"/>
  <c r="N30" i="35"/>
  <c r="M30" i="35"/>
  <c r="J30" i="35"/>
  <c r="I30" i="35"/>
  <c r="H30" i="35"/>
  <c r="G30" i="35"/>
  <c r="F30" i="35"/>
  <c r="E30" i="35"/>
  <c r="J29" i="35"/>
  <c r="I29" i="35"/>
  <c r="H29" i="35"/>
  <c r="G29" i="35"/>
  <c r="F29" i="35"/>
  <c r="E29" i="35"/>
  <c r="J28" i="35"/>
  <c r="I28" i="35"/>
  <c r="H28" i="35"/>
  <c r="G28" i="35"/>
  <c r="F28" i="35"/>
  <c r="E28" i="35"/>
  <c r="F15" i="35"/>
  <c r="M14" i="35"/>
  <c r="L14" i="35"/>
  <c r="F14" i="35"/>
  <c r="N13" i="35"/>
  <c r="M13" i="35"/>
  <c r="L13" i="35"/>
  <c r="N12" i="35"/>
  <c r="M12" i="35"/>
  <c r="L12" i="35"/>
  <c r="C12" i="35"/>
  <c r="J11" i="35"/>
  <c r="I11" i="35"/>
  <c r="H11" i="35"/>
  <c r="G11" i="35"/>
  <c r="C11" i="35"/>
  <c r="C5" i="35"/>
  <c r="D86" i="26"/>
  <c r="D79" i="26"/>
  <c r="D77" i="26"/>
  <c r="H74" i="26"/>
  <c r="F74" i="26"/>
  <c r="D64" i="26"/>
  <c r="D62" i="26"/>
  <c r="D61" i="26"/>
  <c r="D59" i="26"/>
  <c r="D58" i="26"/>
  <c r="D57" i="26"/>
  <c r="G54" i="26"/>
  <c r="F54" i="26"/>
  <c r="H53" i="26"/>
  <c r="G53" i="26"/>
  <c r="F53" i="26"/>
  <c r="H52" i="26"/>
  <c r="G52" i="26"/>
  <c r="F52" i="26"/>
  <c r="D49" i="26"/>
  <c r="D48" i="26"/>
  <c r="D47" i="26"/>
  <c r="D45" i="26"/>
  <c r="D43" i="26"/>
  <c r="D42" i="26"/>
  <c r="D41" i="26"/>
  <c r="D40" i="26"/>
  <c r="G39" i="26"/>
  <c r="G38" i="26"/>
  <c r="G37" i="26"/>
  <c r="F37" i="26"/>
  <c r="E37" i="26"/>
  <c r="G33" i="26"/>
  <c r="D32" i="26"/>
  <c r="D31" i="26"/>
  <c r="G29" i="26"/>
  <c r="F29" i="26"/>
  <c r="E29" i="26"/>
  <c r="D29" i="26"/>
  <c r="G28" i="26"/>
  <c r="F28" i="26"/>
  <c r="E28" i="26"/>
  <c r="D28" i="26"/>
  <c r="D27" i="26"/>
  <c r="F19" i="26"/>
  <c r="D13" i="26"/>
  <c r="R12" i="19"/>
  <c r="N12" i="19"/>
  <c r="J12" i="19"/>
  <c r="F12" i="19"/>
  <c r="W11" i="19"/>
  <c r="R11" i="19"/>
  <c r="N11" i="19"/>
  <c r="J11" i="19"/>
  <c r="F11" i="19"/>
  <c r="W6" i="19"/>
  <c r="R6" i="19"/>
  <c r="Q6" i="19"/>
  <c r="P6" i="19"/>
  <c r="O6" i="19"/>
  <c r="I6" i="19"/>
  <c r="N11" i="36"/>
  <c r="F11" i="36"/>
  <c r="N10" i="36"/>
  <c r="M10" i="36"/>
  <c r="K10" i="36"/>
  <c r="I10" i="36"/>
  <c r="F10" i="36"/>
  <c r="N9" i="36"/>
  <c r="M9" i="36"/>
  <c r="K9" i="36"/>
  <c r="I9" i="36"/>
  <c r="F9" i="36"/>
  <c r="N8" i="36"/>
  <c r="M8" i="36"/>
  <c r="K8" i="36"/>
  <c r="I8" i="36"/>
  <c r="F8" i="36"/>
  <c r="BE7" i="36"/>
  <c r="N7" i="36"/>
  <c r="M7" i="36"/>
  <c r="K7" i="36"/>
  <c r="I7" i="36"/>
  <c r="F7" i="36"/>
  <c r="BJ6" i="36"/>
  <c r="BE6" i="36"/>
  <c r="AT6" i="36"/>
  <c r="AS6" i="36"/>
  <c r="AR6" i="36"/>
  <c r="AQ6" i="36"/>
  <c r="AN6" i="36"/>
  <c r="AM6" i="36"/>
  <c r="AJ6" i="36"/>
  <c r="AI6" i="36"/>
  <c r="AH6" i="36"/>
  <c r="AG6" i="36"/>
  <c r="AF6" i="36"/>
  <c r="AD6" i="36"/>
  <c r="AC6" i="36"/>
  <c r="AB6" i="36"/>
  <c r="V6" i="36"/>
  <c r="Q6" i="36"/>
  <c r="P6" i="36"/>
  <c r="O6" i="36"/>
  <c r="D6" i="36"/>
  <c r="K72" i="43"/>
  <c r="K66" i="43"/>
  <c r="O63" i="43"/>
  <c r="M63" i="43"/>
  <c r="K63" i="43"/>
  <c r="I49" i="43"/>
  <c r="I48" i="43"/>
  <c r="I47" i="43"/>
  <c r="I46" i="43"/>
  <c r="I45" i="43"/>
  <c r="I44" i="43"/>
  <c r="I43" i="43"/>
  <c r="I42" i="43"/>
  <c r="I41" i="43"/>
  <c r="I40" i="43"/>
  <c r="I39" i="43"/>
  <c r="I38" i="43"/>
  <c r="I37" i="43"/>
  <c r="I36" i="43"/>
  <c r="I35" i="43"/>
  <c r="I34" i="43"/>
  <c r="I33" i="43"/>
  <c r="I32" i="43"/>
  <c r="I31" i="43"/>
  <c r="I30" i="43"/>
  <c r="I29" i="43"/>
  <c r="I28" i="43"/>
  <c r="I27" i="43"/>
  <c r="I26" i="43"/>
  <c r="I25" i="43"/>
  <c r="P21" i="43"/>
  <c r="I20" i="43"/>
  <c r="H20" i="43"/>
  <c r="E8" i="43"/>
  <c r="BV12" i="11"/>
  <c r="BU12" i="11"/>
  <c r="BT12" i="11"/>
  <c r="BS12" i="11"/>
  <c r="BP12" i="11"/>
  <c r="BO12" i="11"/>
  <c r="BL12" i="11"/>
  <c r="BK12" i="11"/>
  <c r="BJ12" i="11"/>
  <c r="BI12" i="11"/>
  <c r="BH12" i="11"/>
  <c r="BG12" i="11"/>
  <c r="BF12" i="11"/>
  <c r="BE12" i="11"/>
  <c r="BC12" i="11"/>
  <c r="AZ12" i="11"/>
  <c r="AY12" i="11"/>
  <c r="AX12" i="11"/>
  <c r="AS12" i="11"/>
  <c r="CF11" i="11"/>
  <c r="BV11" i="11"/>
  <c r="BU11" i="11"/>
  <c r="BT11" i="11"/>
  <c r="BS11" i="11"/>
  <c r="BP11" i="11"/>
  <c r="BO11" i="11"/>
  <c r="BL11" i="11"/>
  <c r="BK11" i="11"/>
  <c r="BJ11" i="11"/>
  <c r="BI11" i="11"/>
  <c r="BH11" i="11"/>
  <c r="BG11" i="11"/>
  <c r="BF11" i="11"/>
  <c r="BE11" i="11"/>
  <c r="BC11" i="11"/>
  <c r="AZ11" i="11"/>
  <c r="AY11" i="11"/>
  <c r="AX11" i="11"/>
  <c r="AS11" i="11"/>
  <c r="CF10" i="11"/>
  <c r="BV10" i="11"/>
  <c r="BU10" i="11"/>
  <c r="BT10" i="11"/>
  <c r="BS10" i="11"/>
  <c r="BP10" i="11"/>
  <c r="BO10" i="11"/>
  <c r="BL10" i="11"/>
  <c r="BK10" i="11"/>
  <c r="BJ10" i="11"/>
  <c r="BI10" i="11"/>
  <c r="BH10" i="11"/>
  <c r="BG10" i="11"/>
  <c r="BF10" i="11"/>
  <c r="BE10" i="11"/>
  <c r="BC10" i="11"/>
  <c r="AZ10" i="11"/>
  <c r="AY10" i="11"/>
  <c r="AX10" i="11"/>
  <c r="AS10" i="11"/>
  <c r="CF9" i="11"/>
  <c r="BV9" i="11"/>
  <c r="BU9" i="11"/>
  <c r="BT9" i="11"/>
  <c r="BS9" i="11"/>
  <c r="BP9" i="11"/>
  <c r="BO9" i="11"/>
  <c r="BL9" i="11"/>
  <c r="BK9" i="11"/>
  <c r="BJ9" i="11"/>
  <c r="BI9" i="11"/>
  <c r="BH9" i="11"/>
  <c r="BG9" i="11"/>
  <c r="BF9" i="11"/>
  <c r="BE9" i="11"/>
  <c r="BC9" i="11"/>
  <c r="AZ9" i="11"/>
  <c r="AY9" i="11"/>
  <c r="AX9" i="11"/>
  <c r="AS9" i="11"/>
  <c r="CF8" i="11"/>
  <c r="BV8" i="11"/>
  <c r="BU8" i="11"/>
  <c r="BT8" i="11"/>
  <c r="BS8" i="11"/>
  <c r="BP8" i="11"/>
  <c r="BO8" i="11"/>
  <c r="BL8" i="11"/>
  <c r="BK8" i="11"/>
  <c r="BJ8" i="11"/>
  <c r="BI8" i="11"/>
  <c r="BH8" i="11"/>
  <c r="BF8" i="11"/>
  <c r="BE8" i="11"/>
  <c r="BD8" i="11"/>
  <c r="BC8" i="11"/>
  <c r="AZ8" i="11"/>
  <c r="AY8" i="11"/>
  <c r="AX8" i="11"/>
  <c r="AS8" i="11"/>
  <c r="CK7" i="11"/>
  <c r="CF7" i="11"/>
  <c r="BV7" i="11"/>
  <c r="BU7" i="11"/>
  <c r="BT7" i="11"/>
  <c r="BS7" i="11"/>
  <c r="BP7" i="11"/>
  <c r="BO7" i="11"/>
  <c r="BL7" i="11"/>
  <c r="BK7" i="11"/>
  <c r="BJ7" i="11"/>
  <c r="BI7" i="11"/>
  <c r="BH7" i="11"/>
  <c r="BF7" i="11"/>
  <c r="BE7" i="11"/>
  <c r="BD7" i="11"/>
  <c r="BC7" i="11"/>
  <c r="AZ7" i="11"/>
  <c r="AY7" i="11"/>
  <c r="AX7" i="11"/>
  <c r="AS7" i="11"/>
  <c r="AO7" i="11"/>
  <c r="AN7" i="11"/>
  <c r="AM7" i="11"/>
  <c r="AL7" i="11"/>
  <c r="AI7" i="11"/>
  <c r="AH7" i="11"/>
  <c r="AG7" i="11"/>
  <c r="AF7" i="11"/>
  <c r="AE7" i="11"/>
  <c r="AD7" i="11"/>
  <c r="AC7" i="11"/>
  <c r="AB7" i="11"/>
  <c r="AA7" i="11"/>
  <c r="Y7" i="11"/>
  <c r="V7" i="11"/>
  <c r="U7" i="11"/>
  <c r="O7" i="11"/>
  <c r="N7" i="11"/>
  <c r="L7" i="11"/>
  <c r="K7" i="11"/>
  <c r="J7" i="11"/>
  <c r="H7" i="11"/>
  <c r="G7" i="11"/>
  <c r="BU10" i="22"/>
  <c r="BT10" i="22"/>
  <c r="BS10" i="22"/>
  <c r="BR10" i="22"/>
  <c r="BO10" i="22"/>
  <c r="BN10" i="22"/>
  <c r="BK10" i="22"/>
  <c r="BJ10" i="22"/>
  <c r="BI10" i="22"/>
  <c r="BH10" i="22"/>
  <c r="BG10" i="22"/>
  <c r="BF10" i="22"/>
  <c r="BE10" i="22"/>
  <c r="BD10" i="22"/>
  <c r="BB10" i="22"/>
  <c r="AY10" i="22"/>
  <c r="AX10" i="22"/>
  <c r="AW10" i="22"/>
  <c r="AS10" i="22"/>
  <c r="AR10" i="22"/>
  <c r="BU9" i="22"/>
  <c r="BT9" i="22"/>
  <c r="BS9" i="22"/>
  <c r="BR9" i="22"/>
  <c r="BO9" i="22"/>
  <c r="BN9" i="22"/>
  <c r="BK9" i="22"/>
  <c r="BJ9" i="22"/>
  <c r="BI9" i="22"/>
  <c r="BH9" i="22"/>
  <c r="BG9" i="22"/>
  <c r="BF9" i="22"/>
  <c r="BE9" i="22"/>
  <c r="BD9" i="22"/>
  <c r="BB9" i="22"/>
  <c r="AY9" i="22"/>
  <c r="AX9" i="22"/>
  <c r="AW9" i="22"/>
  <c r="AS9" i="22"/>
  <c r="AR9" i="22"/>
  <c r="BU8" i="22"/>
  <c r="BT8" i="22"/>
  <c r="BS8" i="22"/>
  <c r="BR8" i="22"/>
  <c r="BO8" i="22"/>
  <c r="BN8" i="22"/>
  <c r="BK8" i="22"/>
  <c r="BJ8" i="22"/>
  <c r="BI8" i="22"/>
  <c r="BH8" i="22"/>
  <c r="BG8" i="22"/>
  <c r="BF8" i="22"/>
  <c r="BE8" i="22"/>
  <c r="BD8" i="22"/>
  <c r="BB8" i="22"/>
  <c r="AY8" i="22"/>
  <c r="AX8" i="22"/>
  <c r="AW8" i="22"/>
  <c r="AS8" i="22"/>
  <c r="AR8" i="22"/>
  <c r="BU7" i="22"/>
  <c r="BT7" i="22"/>
  <c r="BS7" i="22"/>
  <c r="BR7" i="22"/>
  <c r="BO7" i="22"/>
  <c r="BN7" i="22"/>
  <c r="BK7" i="22"/>
  <c r="BJ7" i="22"/>
  <c r="BI7" i="22"/>
  <c r="BH7" i="22"/>
  <c r="BG7" i="22"/>
  <c r="BF7" i="22"/>
  <c r="BE7" i="22"/>
  <c r="BD7" i="22"/>
  <c r="BB7" i="22"/>
  <c r="AY7" i="22"/>
  <c r="AX7" i="22"/>
  <c r="AW7" i="22"/>
  <c r="AS7" i="22"/>
  <c r="AR7" i="22"/>
  <c r="W7" i="22"/>
  <c r="U7" i="22"/>
  <c r="CK6" i="22"/>
  <c r="BU6" i="22"/>
  <c r="BT6" i="22"/>
  <c r="BS6" i="22"/>
  <c r="BR6" i="22"/>
  <c r="BO6" i="22"/>
  <c r="BN6" i="22"/>
  <c r="BK6" i="22"/>
  <c r="BJ6" i="22"/>
  <c r="BI6" i="22"/>
  <c r="BH6" i="22"/>
  <c r="BG6" i="22"/>
  <c r="BE6" i="22"/>
  <c r="BD6" i="22"/>
  <c r="BC6" i="22"/>
  <c r="BB6" i="22"/>
  <c r="AY6" i="22"/>
  <c r="AX6" i="22"/>
  <c r="AW6" i="22"/>
  <c r="AR6" i="22"/>
  <c r="CK5" i="22"/>
  <c r="CF5" i="22"/>
  <c r="BU5" i="22"/>
  <c r="BT5" i="22"/>
  <c r="BS5" i="22"/>
  <c r="BR5" i="22"/>
  <c r="BO5" i="22"/>
  <c r="BN5" i="22"/>
  <c r="BK5" i="22"/>
  <c r="BJ5" i="22"/>
  <c r="BI5" i="22"/>
  <c r="BH5" i="22"/>
  <c r="BG5" i="22"/>
  <c r="BE5" i="22"/>
  <c r="BD5" i="22"/>
  <c r="BC5" i="22"/>
  <c r="BB5" i="22"/>
  <c r="AY5" i="22"/>
  <c r="AX5" i="22"/>
  <c r="AW5" i="22"/>
  <c r="AR5" i="22"/>
  <c r="AN5" i="22"/>
  <c r="AM5" i="22"/>
  <c r="AL5" i="22"/>
  <c r="AK5" i="22"/>
  <c r="AH5" i="22"/>
  <c r="AG5" i="22"/>
  <c r="AF5" i="22"/>
  <c r="AE5" i="22"/>
  <c r="AD5" i="22"/>
  <c r="AC5" i="22"/>
  <c r="AB5" i="22"/>
  <c r="AA5" i="22"/>
  <c r="Z5" i="22"/>
  <c r="X5" i="22"/>
  <c r="U5" i="22"/>
  <c r="T5" i="22"/>
  <c r="N5" i="22"/>
  <c r="M5" i="22"/>
  <c r="K5" i="22"/>
  <c r="J5" i="22"/>
  <c r="I5" i="22"/>
  <c r="F5" i="22"/>
  <c r="BP9" i="1"/>
  <c r="BO9" i="1"/>
  <c r="BN9" i="1"/>
  <c r="BM9" i="1"/>
  <c r="BJ9" i="1"/>
  <c r="BI9" i="1"/>
  <c r="BF9" i="1"/>
  <c r="BE9" i="1"/>
  <c r="BD9" i="1"/>
  <c r="BC9" i="1"/>
  <c r="BB9" i="1"/>
  <c r="BA9" i="1"/>
  <c r="AZ9" i="1"/>
  <c r="AY9" i="1"/>
  <c r="AW9" i="1"/>
  <c r="AT9" i="1"/>
  <c r="AS9" i="1"/>
  <c r="AR9" i="1"/>
  <c r="AN9" i="1"/>
  <c r="AM9" i="1"/>
  <c r="BP8" i="1"/>
  <c r="BO8" i="1"/>
  <c r="BN8" i="1"/>
  <c r="BM8" i="1"/>
  <c r="BJ8" i="1"/>
  <c r="BI8" i="1"/>
  <c r="BF8" i="1"/>
  <c r="BE8" i="1"/>
  <c r="BD8" i="1"/>
  <c r="BC8" i="1"/>
  <c r="BA8" i="1"/>
  <c r="AZ8" i="1"/>
  <c r="AY8" i="1"/>
  <c r="AW8" i="1"/>
  <c r="AT8" i="1"/>
  <c r="AS8" i="1"/>
  <c r="AR8" i="1"/>
  <c r="AN8" i="1"/>
  <c r="AM8" i="1"/>
  <c r="BP7" i="1"/>
  <c r="BO7" i="1"/>
  <c r="BN7" i="1"/>
  <c r="BM7" i="1"/>
  <c r="BJ7" i="1"/>
  <c r="BI7" i="1"/>
  <c r="BF7" i="1"/>
  <c r="BE7" i="1"/>
  <c r="BD7" i="1"/>
  <c r="BC7" i="1"/>
  <c r="BB7" i="1"/>
  <c r="BA7" i="1"/>
  <c r="AZ7" i="1"/>
  <c r="AY7" i="1"/>
  <c r="AW7" i="1"/>
  <c r="AT7" i="1"/>
  <c r="AS7" i="1"/>
  <c r="AR7" i="1"/>
  <c r="AN7" i="1"/>
  <c r="AM7" i="1"/>
  <c r="BP6" i="1"/>
  <c r="BO6" i="1"/>
  <c r="BN6" i="1"/>
  <c r="BM6" i="1"/>
  <c r="BJ6" i="1"/>
  <c r="BI6" i="1"/>
  <c r="BF6" i="1"/>
  <c r="BE6" i="1"/>
  <c r="BD6" i="1"/>
  <c r="BC6" i="1"/>
  <c r="BB6" i="1"/>
  <c r="BA6" i="1"/>
  <c r="AZ6" i="1"/>
  <c r="AY6" i="1"/>
  <c r="AW6" i="1"/>
  <c r="AT6" i="1"/>
  <c r="AS6" i="1"/>
  <c r="AR6" i="1"/>
  <c r="AN6" i="1"/>
  <c r="AM6" i="1"/>
  <c r="CC5" i="1"/>
  <c r="BP5" i="1"/>
  <c r="BO5" i="1"/>
  <c r="BN5" i="1"/>
  <c r="BM5" i="1"/>
  <c r="BJ5" i="1"/>
  <c r="BI5" i="1"/>
  <c r="BF5" i="1"/>
  <c r="BE5" i="1"/>
  <c r="BD5" i="1"/>
  <c r="BC5" i="1"/>
  <c r="BB5" i="1"/>
  <c r="AZ5" i="1"/>
  <c r="AY5" i="1"/>
  <c r="AX5" i="1"/>
  <c r="AW5" i="1"/>
  <c r="AT5" i="1"/>
  <c r="AS5" i="1"/>
  <c r="AR5" i="1"/>
  <c r="AM5" i="1"/>
  <c r="CC4" i="1"/>
  <c r="BX4" i="1"/>
  <c r="BP4" i="1"/>
  <c r="BO4" i="1"/>
  <c r="BN4" i="1"/>
  <c r="BM4" i="1"/>
  <c r="BJ4" i="1"/>
  <c r="BI4" i="1"/>
  <c r="BF4" i="1"/>
  <c r="BE4" i="1"/>
  <c r="BD4" i="1"/>
  <c r="BC4" i="1"/>
  <c r="BB4" i="1"/>
  <c r="AZ4" i="1"/>
  <c r="AY4" i="1"/>
  <c r="AX4" i="1"/>
  <c r="AW4" i="1"/>
  <c r="AT4" i="1"/>
  <c r="AS4" i="1"/>
  <c r="AR4" i="1"/>
  <c r="AM4" i="1"/>
  <c r="AI4" i="1"/>
  <c r="AH4" i="1"/>
  <c r="AG4" i="1"/>
  <c r="AF4" i="1"/>
  <c r="AC4" i="1"/>
  <c r="AB4" i="1"/>
  <c r="AA4" i="1"/>
  <c r="Z4" i="1"/>
  <c r="X4" i="1"/>
  <c r="V4" i="1"/>
  <c r="S4" i="1"/>
  <c r="N4" i="1"/>
  <c r="M4" i="1"/>
  <c r="L4" i="1"/>
  <c r="I4" i="1"/>
  <c r="H4" i="1"/>
  <c r="G4" i="1"/>
  <c r="E4" i="1"/>
  <c r="F115" i="39"/>
  <c r="F131" i="39" s="1"/>
  <c r="F147" i="39" s="1"/>
  <c r="F114" i="39"/>
  <c r="F130" i="39" s="1"/>
  <c r="F146" i="39" s="1"/>
  <c r="D114" i="39"/>
  <c r="F105" i="39"/>
  <c r="D105" i="39" s="1"/>
  <c r="M99" i="39"/>
  <c r="I96" i="39"/>
  <c r="D95" i="39"/>
  <c r="F95" i="39" s="1"/>
  <c r="K93" i="39"/>
  <c r="F89" i="39"/>
  <c r="I93" i="39" s="1"/>
  <c r="O59" i="39"/>
  <c r="M59" i="39"/>
  <c r="K59" i="39"/>
  <c r="O53" i="39"/>
  <c r="O47" i="39"/>
  <c r="O44" i="39" s="1"/>
  <c r="M47" i="39"/>
  <c r="K47" i="39"/>
  <c r="Z36" i="39"/>
  <c r="Y36" i="39"/>
  <c r="Z35" i="39"/>
  <c r="Y35" i="39"/>
  <c r="N35" i="39"/>
  <c r="Z34" i="39"/>
  <c r="Y34" i="39"/>
  <c r="Z33" i="39"/>
  <c r="Y33" i="39"/>
  <c r="N32" i="39"/>
  <c r="E24" i="39"/>
  <c r="O19" i="39"/>
  <c r="O18" i="39"/>
  <c r="J18" i="39"/>
  <c r="H18" i="39"/>
  <c r="E8" i="39"/>
  <c r="O71" i="39" s="1"/>
  <c r="O2" i="39"/>
  <c r="O26" i="43" l="1"/>
  <c r="M26" i="43" s="1"/>
  <c r="O30" i="43"/>
  <c r="M30" i="43" s="1"/>
  <c r="O34" i="43"/>
  <c r="M34" i="43" s="1"/>
  <c r="O38" i="43"/>
  <c r="M38" i="43" s="1"/>
  <c r="O42" i="43"/>
  <c r="M42" i="43" s="1"/>
  <c r="O46" i="43"/>
  <c r="M46" i="43" s="1"/>
  <c r="O33" i="43"/>
  <c r="M33" i="43" s="1"/>
  <c r="O18" i="43"/>
  <c r="O45" i="43"/>
  <c r="M45" i="43" s="1"/>
  <c r="O27" i="43"/>
  <c r="M27" i="43" s="1"/>
  <c r="O31" i="43"/>
  <c r="M31" i="43" s="1"/>
  <c r="O35" i="43"/>
  <c r="M35" i="43" s="1"/>
  <c r="O39" i="43"/>
  <c r="M39" i="43" s="1"/>
  <c r="O43" i="43"/>
  <c r="M43" i="43" s="1"/>
  <c r="O47" i="43"/>
  <c r="M47" i="43" s="1"/>
  <c r="M69" i="43"/>
  <c r="O69" i="43" s="1"/>
  <c r="O37" i="43"/>
  <c r="M37" i="43" s="1"/>
  <c r="O28" i="43"/>
  <c r="M28" i="43" s="1"/>
  <c r="O32" i="43"/>
  <c r="M32" i="43" s="1"/>
  <c r="O36" i="43"/>
  <c r="M36" i="43" s="1"/>
  <c r="O40" i="43"/>
  <c r="M40" i="43" s="1"/>
  <c r="O44" i="43"/>
  <c r="M44" i="43" s="1"/>
  <c r="O48" i="43"/>
  <c r="M48" i="43" s="1"/>
  <c r="O25" i="43"/>
  <c r="M25" i="43" s="1"/>
  <c r="O49" i="43"/>
  <c r="M49" i="43" s="1"/>
  <c r="O21" i="43"/>
  <c r="O29" i="43"/>
  <c r="M29" i="43" s="1"/>
  <c r="O41" i="43"/>
  <c r="M41" i="43" s="1"/>
  <c r="M72" i="43"/>
  <c r="D130" i="39"/>
  <c r="D146" i="39" s="1"/>
  <c r="M147" i="39" s="1"/>
  <c r="M115" i="39"/>
  <c r="K109" i="39"/>
  <c r="I109" i="39"/>
  <c r="F121" i="39"/>
  <c r="D121" i="39" s="1"/>
  <c r="F137" i="39" s="1"/>
  <c r="D137" i="39" s="1"/>
  <c r="D111" i="39"/>
  <c r="M93" i="39"/>
  <c r="O93" i="39" s="1"/>
  <c r="M96" i="39"/>
  <c r="K44" i="39"/>
  <c r="M53" i="39" s="1"/>
  <c r="M56" i="39"/>
  <c r="O56" i="39" s="1"/>
  <c r="K56" i="39"/>
  <c r="K7" i="15"/>
  <c r="L7" i="15" s="1"/>
  <c r="K50" i="39"/>
  <c r="O76" i="39"/>
  <c r="O77" i="39"/>
  <c r="O73" i="39"/>
  <c r="O72" i="39"/>
  <c r="O74" i="39"/>
  <c r="O75" i="39"/>
  <c r="K21" i="43" l="1"/>
  <c r="O75" i="43"/>
  <c r="K75" i="43"/>
  <c r="M75" i="43" s="1"/>
  <c r="K125" i="39"/>
  <c r="O96" i="39"/>
  <c r="O99" i="39" s="1"/>
  <c r="K96" i="39" s="1"/>
  <c r="M131" i="39"/>
  <c r="I125" i="39"/>
  <c r="K141" i="39"/>
  <c r="I141" i="39"/>
  <c r="F111" i="39"/>
  <c r="O50" i="39"/>
  <c r="O80" i="39"/>
  <c r="M112" i="39" l="1"/>
  <c r="O112" i="39" s="1"/>
  <c r="O115" i="39" s="1"/>
  <c r="K112" i="39" s="1"/>
  <c r="M109" i="39"/>
  <c r="O109" i="39" s="1"/>
  <c r="D127" i="39"/>
  <c r="F127" i="39" l="1"/>
  <c r="M128" i="39" l="1"/>
  <c r="O128" i="39" s="1"/>
  <c r="O131" i="39" s="1"/>
  <c r="K128" i="39" s="1"/>
  <c r="M125" i="39"/>
  <c r="O125" i="39" s="1"/>
  <c r="D143" i="39"/>
  <c r="F143" i="39" l="1"/>
  <c r="M141" i="39" l="1"/>
  <c r="O141" i="39" s="1"/>
  <c r="M144" i="39"/>
  <c r="O144" i="39" s="1"/>
  <c r="O147" i="39" s="1"/>
  <c r="K144" i="39" s="1"/>
</calcChain>
</file>

<file path=xl/comments1.xml><?xml version="1.0" encoding="utf-8"?>
<comments xmlns="http://schemas.openxmlformats.org/spreadsheetml/2006/main">
  <authors>
    <author>Boff Arthur</author>
    <author>Garcia Cristian</author>
  </authors>
  <commentList>
    <comment ref="E23" authorId="0" shapeId="0">
      <text>
        <r>
          <rPr>
            <b/>
            <sz val="9"/>
            <color indexed="81"/>
            <rFont val="Segoe UI"/>
            <family val="2"/>
          </rPr>
          <t>Boff Arthur:</t>
        </r>
        <r>
          <rPr>
            <sz val="9"/>
            <color indexed="81"/>
            <rFont val="Segoe UI"/>
            <family val="2"/>
          </rPr>
          <t xml:space="preserve">
Largura da tira calculada com base na linha neutra da bitola de origem</t>
        </r>
      </text>
    </comment>
    <comment ref="E27" authorId="1" shapeId="0">
      <text>
        <r>
          <rPr>
            <b/>
            <sz val="9"/>
            <color indexed="81"/>
            <rFont val="Tahoma"/>
            <family val="2"/>
          </rPr>
          <t>F02
F03
F05</t>
        </r>
        <r>
          <rPr>
            <sz val="9"/>
            <color indexed="81"/>
            <rFont val="Tahoma"/>
            <family val="2"/>
          </rPr>
          <t xml:space="preserve">
(Ver IT 3.1.1)</t>
        </r>
      </text>
    </comment>
    <comment ref="G27" authorId="1" shapeId="0">
      <text>
        <r>
          <rPr>
            <b/>
            <sz val="9"/>
            <color indexed="81"/>
            <rFont val="Tahoma"/>
            <family val="2"/>
          </rPr>
          <t xml:space="preserve">F02
F03
F04
F05
F07
</t>
        </r>
        <r>
          <rPr>
            <sz val="9"/>
            <color indexed="81"/>
            <rFont val="Tahoma"/>
            <family val="2"/>
          </rPr>
          <t>(Ver IT 3.1.1)</t>
        </r>
      </text>
    </comment>
    <comment ref="I27" authorId="1" shapeId="0">
      <text>
        <r>
          <rPr>
            <b/>
            <sz val="9"/>
            <color indexed="81"/>
            <rFont val="Tahoma"/>
            <family val="2"/>
          </rPr>
          <t>F01
F02
F03
F04
F06</t>
        </r>
        <r>
          <rPr>
            <sz val="9"/>
            <color indexed="81"/>
            <rFont val="Tahoma"/>
            <family val="2"/>
          </rPr>
          <t xml:space="preserve">
(Ver IT 3.1.1)</t>
        </r>
      </text>
    </comment>
    <comment ref="N31" authorId="0" shapeId="0">
      <text/>
    </comment>
    <comment ref="Y31" authorId="0" shapeId="0">
      <text>
        <r>
          <rPr>
            <b/>
            <sz val="9"/>
            <color indexed="81"/>
            <rFont val="Segoe UI"/>
            <family val="2"/>
          </rPr>
          <t>Boff Arthur:</t>
        </r>
        <r>
          <rPr>
            <sz val="9"/>
            <color indexed="81"/>
            <rFont val="Segoe UI"/>
            <family val="2"/>
          </rPr>
          <t xml:space="preserve">
Perimetro por geometria</t>
        </r>
      </text>
    </comment>
    <comment ref="Z31" authorId="0" shapeId="0">
      <text>
        <r>
          <rPr>
            <b/>
            <sz val="9"/>
            <color indexed="81"/>
            <rFont val="Segoe UI"/>
            <family val="2"/>
          </rPr>
          <t>Boff Arthur:</t>
        </r>
        <r>
          <rPr>
            <sz val="9"/>
            <color indexed="81"/>
            <rFont val="Segoe UI"/>
            <family val="2"/>
          </rPr>
          <t xml:space="preserve">
Área por geometria</t>
        </r>
      </text>
    </comment>
    <comment ref="T33" authorId="1" shapeId="0">
      <text/>
    </comment>
    <comment ref="U33" authorId="1" shapeId="0">
      <text/>
    </comment>
    <comment ref="L34" authorId="0" shapeId="0">
      <text>
        <r>
          <rPr>
            <b/>
            <sz val="9"/>
            <color indexed="81"/>
            <rFont val="Segoe UI"/>
            <family val="2"/>
          </rPr>
          <t>Boff Arthur:</t>
        </r>
        <r>
          <rPr>
            <sz val="9"/>
            <color indexed="81"/>
            <rFont val="Segoe UI"/>
            <family val="2"/>
          </rPr>
          <t xml:space="preserve">
Classificação do tamanho da matriz de Pré Punching:
PF01 - 375 Kg é Leve
PF01 - 750 Kg é Média
PF01 - 1,5 Ton é Pesada
Demais são classificados como Troca Rápida.
</t>
        </r>
      </text>
    </comment>
    <comment ref="N34" authorId="0" shapeId="0">
      <text/>
    </comment>
    <comment ref="T34" authorId="0" shapeId="0">
      <text/>
    </comment>
    <comment ref="U35" authorId="0" shapeId="0">
      <text/>
    </comment>
    <comment ref="V35" authorId="0" shapeId="0">
      <text/>
    </comment>
    <comment ref="U36" authorId="0" shapeId="0">
      <text/>
    </comment>
    <comment ref="O43" authorId="0" shapeId="0">
      <text>
        <r>
          <rPr>
            <b/>
            <sz val="9"/>
            <color indexed="81"/>
            <rFont val="Segoe UI"/>
            <family val="2"/>
          </rPr>
          <t>Boff Arthur:</t>
        </r>
        <r>
          <rPr>
            <sz val="9"/>
            <color indexed="81"/>
            <rFont val="Segoe UI"/>
            <family val="2"/>
          </rPr>
          <t xml:space="preserve">
Peso final da peça, descontando quaisquer perdas inerentes.</t>
        </r>
      </text>
    </comment>
    <comment ref="K58" authorId="0" shapeId="0">
      <text>
        <r>
          <rPr>
            <b/>
            <sz val="9"/>
            <color indexed="81"/>
            <rFont val="Segoe UI"/>
            <family val="2"/>
          </rPr>
          <t>Boff Arthur:</t>
        </r>
        <r>
          <rPr>
            <sz val="9"/>
            <color indexed="81"/>
            <rFont val="Segoe UI"/>
            <family val="2"/>
          </rPr>
          <t xml:space="preserve">
Força de perfuração pre punching.
Máximo: 80 Ton (PF1, PF2 e PF3)</t>
        </r>
      </text>
    </comment>
    <comment ref="M58" authorId="0" shapeId="0">
      <text>
        <r>
          <rPr>
            <b/>
            <sz val="9"/>
            <color indexed="81"/>
            <rFont val="Segoe UI"/>
            <family val="2"/>
          </rPr>
          <t>Boff Arthur:</t>
        </r>
        <r>
          <rPr>
            <sz val="9"/>
            <color indexed="81"/>
            <rFont val="Segoe UI"/>
            <family val="2"/>
          </rPr>
          <t xml:space="preserve">
Força de corte por cisalhamento.
Máximo 64 Ton.</t>
        </r>
      </text>
    </comment>
    <comment ref="O58" authorId="0" shapeId="0">
      <text>
        <r>
          <rPr>
            <b/>
            <sz val="9"/>
            <color indexed="81"/>
            <rFont val="Segoe UI"/>
            <family val="2"/>
          </rPr>
          <t>Boff Arthur:</t>
        </r>
        <r>
          <rPr>
            <sz val="9"/>
            <color indexed="81"/>
            <rFont val="Segoe UI"/>
            <family val="2"/>
          </rPr>
          <t xml:space="preserve">
Máximo 500 kN.
Só desenvolvido para PF01</t>
        </r>
      </text>
    </comment>
    <comment ref="M86" authorId="0" shapeId="0">
      <text>
        <r>
          <rPr>
            <b/>
            <sz val="9"/>
            <color indexed="81"/>
            <rFont val="Segoe UI"/>
            <family val="2"/>
          </rPr>
          <t>Boff Arthur:</t>
        </r>
        <r>
          <rPr>
            <sz val="9"/>
            <color indexed="81"/>
            <rFont val="Segoe UI"/>
            <family val="2"/>
          </rPr>
          <t xml:space="preserve">
Perdas ao longo da produção</t>
        </r>
      </text>
    </comment>
    <comment ref="I92"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94"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94" authorId="0" shapeId="0">
      <text>
        <r>
          <rPr>
            <b/>
            <sz val="9"/>
            <color indexed="81"/>
            <rFont val="Segoe UI"/>
            <family val="2"/>
          </rPr>
          <t>Boff Arthur:</t>
        </r>
        <r>
          <rPr>
            <sz val="9"/>
            <color indexed="81"/>
            <rFont val="Segoe UI"/>
            <family val="2"/>
          </rPr>
          <t xml:space="preserve">
Peso final da peça, descontando quaisquer perdas inerentes.</t>
        </r>
      </text>
    </comment>
    <comment ref="M102" authorId="0" shapeId="0">
      <text>
        <r>
          <rPr>
            <b/>
            <sz val="9"/>
            <color indexed="81"/>
            <rFont val="Segoe UI"/>
            <family val="2"/>
          </rPr>
          <t>Boff Arthur:</t>
        </r>
        <r>
          <rPr>
            <sz val="9"/>
            <color indexed="81"/>
            <rFont val="Segoe UI"/>
            <family val="2"/>
          </rPr>
          <t xml:space="preserve">
Perdas ao longo da produção</t>
        </r>
      </text>
    </comment>
    <comment ref="I108"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10"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10" authorId="0" shapeId="0">
      <text>
        <r>
          <rPr>
            <b/>
            <sz val="9"/>
            <color indexed="81"/>
            <rFont val="Segoe UI"/>
            <family val="2"/>
          </rPr>
          <t>Boff Arthur:</t>
        </r>
        <r>
          <rPr>
            <sz val="9"/>
            <color indexed="81"/>
            <rFont val="Segoe UI"/>
            <family val="2"/>
          </rPr>
          <t xml:space="preserve">
Peso final da peça, descontando quaisquer perdas inerentes.</t>
        </r>
      </text>
    </comment>
    <comment ref="M118" authorId="0" shapeId="0">
      <text>
        <r>
          <rPr>
            <b/>
            <sz val="9"/>
            <color indexed="81"/>
            <rFont val="Segoe UI"/>
            <family val="2"/>
          </rPr>
          <t>Boff Arthur:</t>
        </r>
        <r>
          <rPr>
            <sz val="9"/>
            <color indexed="81"/>
            <rFont val="Segoe UI"/>
            <family val="2"/>
          </rPr>
          <t xml:space="preserve">
Perdas ao longo da produção</t>
        </r>
      </text>
    </comment>
    <comment ref="I124"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26"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26" authorId="0" shapeId="0">
      <text>
        <r>
          <rPr>
            <b/>
            <sz val="9"/>
            <color indexed="81"/>
            <rFont val="Segoe UI"/>
            <family val="2"/>
          </rPr>
          <t>Boff Arthur:</t>
        </r>
        <r>
          <rPr>
            <sz val="9"/>
            <color indexed="81"/>
            <rFont val="Segoe UI"/>
            <family val="2"/>
          </rPr>
          <t xml:space="preserve">
Peso final da peça, descontando quaisquer perdas inerentes.</t>
        </r>
      </text>
    </comment>
    <comment ref="M134" authorId="0" shapeId="0">
      <text>
        <r>
          <rPr>
            <b/>
            <sz val="9"/>
            <color indexed="81"/>
            <rFont val="Segoe UI"/>
            <family val="2"/>
          </rPr>
          <t>Boff Arthur:</t>
        </r>
        <r>
          <rPr>
            <sz val="9"/>
            <color indexed="81"/>
            <rFont val="Segoe UI"/>
            <family val="2"/>
          </rPr>
          <t xml:space="preserve">
Perdas ao longo da produção</t>
        </r>
      </text>
    </comment>
    <comment ref="I140" authorId="0" shapeId="0">
      <text>
        <r>
          <rPr>
            <b/>
            <sz val="9"/>
            <color indexed="81"/>
            <rFont val="Segoe UI"/>
            <family val="2"/>
          </rPr>
          <t>Boff Arthur:</t>
        </r>
        <r>
          <rPr>
            <sz val="9"/>
            <color indexed="81"/>
            <rFont val="Segoe UI"/>
            <family val="2"/>
          </rPr>
          <t xml:space="preserve">
Perdas Inerentes ao processo (sobremetal necessário para dobra, por exemplo).</t>
        </r>
      </text>
    </comment>
    <comment ref="D142" authorId="0" shapeId="0">
      <text>
        <r>
          <rPr>
            <b/>
            <sz val="9"/>
            <color indexed="81"/>
            <rFont val="Segoe UI"/>
            <family val="2"/>
          </rPr>
          <t>Boff Arthur:</t>
        </r>
        <r>
          <rPr>
            <sz val="9"/>
            <color indexed="81"/>
            <rFont val="Segoe UI"/>
            <family val="2"/>
          </rPr>
          <t xml:space="preserve">
Peso bruto da peça, sem descontar possiveis perdas por cortes em ângulo e/ou perfuração</t>
        </r>
      </text>
    </comment>
    <comment ref="F142" authorId="0" shapeId="0">
      <text>
        <r>
          <rPr>
            <b/>
            <sz val="9"/>
            <color indexed="81"/>
            <rFont val="Segoe UI"/>
            <family val="2"/>
          </rPr>
          <t>Boff Arthur:</t>
        </r>
        <r>
          <rPr>
            <sz val="9"/>
            <color indexed="81"/>
            <rFont val="Segoe UI"/>
            <family val="2"/>
          </rPr>
          <t xml:space="preserve">
Peso final da peça, descontando quaisquer perdas inerentes.</t>
        </r>
      </text>
    </comment>
  </commentList>
</comments>
</file>

<file path=xl/comments2.xml><?xml version="1.0" encoding="utf-8"?>
<comments xmlns="http://schemas.openxmlformats.org/spreadsheetml/2006/main">
  <authors>
    <author>Lemos Fernando</author>
    <author>Pinto Lemos Fernando</author>
    <author>Jocemar Gross</author>
  </authors>
  <commentList>
    <comment ref="S4" authorId="0" shapeId="0">
      <text>
        <r>
          <rPr>
            <b/>
            <sz val="9"/>
            <color indexed="81"/>
            <rFont val="Segoe UI"/>
            <family val="2"/>
          </rPr>
          <t>Lemos Fernando:</t>
        </r>
        <r>
          <rPr>
            <sz val="9"/>
            <color indexed="81"/>
            <rFont val="Segoe UI"/>
            <family val="2"/>
          </rPr>
          <t xml:space="preserve">
</t>
        </r>
        <r>
          <rPr>
            <b/>
            <sz val="12"/>
            <color indexed="81"/>
            <rFont val="Segoe UI"/>
            <family val="2"/>
          </rPr>
          <t>F05</t>
        </r>
        <r>
          <rPr>
            <sz val="9"/>
            <color indexed="81"/>
            <rFont val="Segoe UI"/>
            <family val="2"/>
          </rPr>
          <t>-</t>
        </r>
        <r>
          <rPr>
            <b/>
            <sz val="9"/>
            <color indexed="81"/>
            <rFont val="Segoe UI"/>
            <family val="2"/>
          </rPr>
          <t xml:space="preserve"> </t>
        </r>
        <r>
          <rPr>
            <b/>
            <sz val="10"/>
            <color indexed="81"/>
            <rFont val="Segoe UI"/>
            <family val="2"/>
          </rPr>
          <t>Para Bitola 8.5/8" considerar 8h de Setup.
Para as demais bitolas da F05, será considerado 6h de setup.</t>
        </r>
      </text>
    </comment>
    <comment ref="AA4" authorId="1" shapeId="0">
      <text>
        <r>
          <rPr>
            <b/>
            <sz val="9"/>
            <color indexed="81"/>
            <rFont val="Tahoma"/>
            <family val="2"/>
          </rPr>
          <t xml:space="preserve">Pinto Lemos Fernando:
</t>
        </r>
        <r>
          <rPr>
            <sz val="9"/>
            <color indexed="81"/>
            <rFont val="Tahoma"/>
            <family val="2"/>
          </rPr>
          <t xml:space="preserve">
- </t>
        </r>
        <r>
          <rPr>
            <b/>
            <sz val="9"/>
            <color indexed="81"/>
            <rFont val="Tahoma"/>
            <family val="2"/>
          </rPr>
          <t xml:space="preserve">Para itens padrão: (RED, QUA e RET)
</t>
        </r>
        <r>
          <rPr>
            <sz val="9"/>
            <color indexed="81"/>
            <rFont val="Tahoma"/>
            <family val="2"/>
          </rPr>
          <t xml:space="preserve">
</t>
        </r>
        <r>
          <rPr>
            <b/>
            <sz val="9"/>
            <color indexed="81"/>
            <rFont val="Tahoma"/>
            <family val="2"/>
          </rPr>
          <t>PERDAS TOTAL</t>
        </r>
        <r>
          <rPr>
            <sz val="9"/>
            <color indexed="81"/>
            <rFont val="Tahoma"/>
            <family val="2"/>
          </rPr>
          <t xml:space="preserve">: </t>
        </r>
        <r>
          <rPr>
            <sz val="10"/>
            <color indexed="81"/>
            <rFont val="Tahoma"/>
            <family val="2"/>
          </rPr>
          <t>Considerar APENAS perda de processo, ou seja, NÃO considerar perdas de ajuste</t>
        </r>
        <r>
          <rPr>
            <sz val="9"/>
            <color indexed="81"/>
            <rFont val="Tahoma"/>
            <family val="2"/>
          </rPr>
          <t xml:space="preserve">.
- </t>
        </r>
        <r>
          <rPr>
            <b/>
            <sz val="9"/>
            <color indexed="81"/>
            <rFont val="Tahoma"/>
            <family val="2"/>
          </rPr>
          <t xml:space="preserve">Para Itens Criticos: (Decapados, RIR e Material/Tolerancia especial)
- PERDAS TOTAL: </t>
        </r>
        <r>
          <rPr>
            <sz val="10"/>
            <color indexed="81"/>
            <rFont val="Tahoma"/>
            <family val="2"/>
          </rPr>
          <t xml:space="preserve">Considerar perda de ajuste + perdas de Processo. </t>
        </r>
      </text>
    </comment>
    <comment ref="CK4" authorId="2" shapeId="0">
      <text>
        <r>
          <rPr>
            <b/>
            <sz val="8"/>
            <color indexed="81"/>
            <rFont val="Tahoma"/>
            <family val="2"/>
          </rPr>
          <t>Jocemar Gross:</t>
        </r>
        <r>
          <rPr>
            <sz val="8"/>
            <color indexed="81"/>
            <rFont val="Tahoma"/>
            <family val="2"/>
          </rPr>
          <t xml:space="preserve">
50 mm + (3mm/corte)</t>
        </r>
      </text>
    </comment>
    <comment ref="CK5" authorId="2" shapeId="0">
      <text>
        <r>
          <rPr>
            <b/>
            <sz val="8"/>
            <color indexed="81"/>
            <rFont val="Tahoma"/>
            <family val="2"/>
          </rPr>
          <t>Jocemar Gross:</t>
        </r>
        <r>
          <rPr>
            <sz val="8"/>
            <color indexed="81"/>
            <rFont val="Tahoma"/>
            <family val="2"/>
          </rPr>
          <t xml:space="preserve">
50 mm + (3mm/corte)</t>
        </r>
      </text>
    </comment>
  </commentList>
</comments>
</file>

<file path=xl/comments3.xml><?xml version="1.0" encoding="utf-8"?>
<comments xmlns="http://schemas.openxmlformats.org/spreadsheetml/2006/main">
  <authors>
    <author>Jocemar Gross</author>
    <author>jocemar</author>
  </authors>
  <commentList>
    <comment ref="U5" authorId="0" shapeId="0">
      <text>
        <r>
          <rPr>
            <b/>
            <sz val="8"/>
            <color indexed="81"/>
            <rFont val="Tahoma"/>
            <family val="2"/>
          </rPr>
          <t>Jocemar Gross:</t>
        </r>
        <r>
          <rPr>
            <sz val="8"/>
            <color indexed="81"/>
            <rFont val="Tahoma"/>
            <family val="2"/>
          </rPr>
          <t xml:space="preserve">
(min/estágio) + 60 min (Sistema de Corte)</t>
        </r>
      </text>
    </comment>
    <comment ref="W5" authorId="1" shapeId="0">
      <text>
        <r>
          <rPr>
            <b/>
            <sz val="9"/>
            <color indexed="81"/>
            <rFont val="Tahoma"/>
            <family val="2"/>
          </rPr>
          <t>jocemar:</t>
        </r>
        <r>
          <rPr>
            <sz val="9"/>
            <color indexed="81"/>
            <rFont val="Tahoma"/>
            <family val="2"/>
          </rPr>
          <t xml:space="preserve">
Incluso no setup da Formadora.</t>
        </r>
      </text>
    </comment>
    <comment ref="CS5" authorId="0" shapeId="0">
      <text>
        <r>
          <rPr>
            <b/>
            <sz val="8"/>
            <color indexed="81"/>
            <rFont val="Tahoma"/>
            <family val="2"/>
          </rPr>
          <t>Jocemar Gross:</t>
        </r>
        <r>
          <rPr>
            <sz val="8"/>
            <color indexed="81"/>
            <rFont val="Tahoma"/>
            <family val="2"/>
          </rPr>
          <t xml:space="preserve">
50 mm + (3mm/corte)</t>
        </r>
      </text>
    </comment>
    <comment ref="CS6" authorId="0" shapeId="0">
      <text>
        <r>
          <rPr>
            <b/>
            <sz val="8"/>
            <color indexed="81"/>
            <rFont val="Tahoma"/>
            <family val="2"/>
          </rPr>
          <t>Jocemar Gross:</t>
        </r>
        <r>
          <rPr>
            <sz val="8"/>
            <color indexed="81"/>
            <rFont val="Tahoma"/>
            <family val="2"/>
          </rPr>
          <t xml:space="preserve">
50 mm + (3mm/corte)</t>
        </r>
      </text>
    </comment>
    <comment ref="BZ9" authorId="0" shapeId="0">
      <text>
        <r>
          <rPr>
            <b/>
            <sz val="8"/>
            <color indexed="81"/>
            <rFont val="Tahoma"/>
            <family val="2"/>
          </rPr>
          <t>Jocemar Gross:</t>
        </r>
        <r>
          <rPr>
            <sz val="8"/>
            <color indexed="81"/>
            <rFont val="Tahoma"/>
            <family val="2"/>
          </rPr>
          <t xml:space="preserve">
Calcular ou Diferença entre Peso Bruto e Peso Líquido.</t>
        </r>
      </text>
    </comment>
  </commentList>
</comments>
</file>

<file path=xl/comments4.xml><?xml version="1.0" encoding="utf-8"?>
<comments xmlns="http://schemas.openxmlformats.org/spreadsheetml/2006/main">
  <authors>
    <author>Jocemar Gross</author>
  </authors>
  <commentList>
    <comment ref="V7" authorId="0" shapeId="0">
      <text>
        <r>
          <rPr>
            <b/>
            <sz val="8"/>
            <color indexed="81"/>
            <rFont val="Tahoma"/>
            <family val="2"/>
          </rPr>
          <t>Jocemar Gross:</t>
        </r>
        <r>
          <rPr>
            <sz val="8"/>
            <color indexed="81"/>
            <rFont val="Tahoma"/>
            <family val="2"/>
          </rPr>
          <t xml:space="preserve">
(min/estágio) + 30 min (CT) + 30 min (MC)</t>
        </r>
      </text>
    </comment>
    <comment ref="CS7" authorId="0" shapeId="0">
      <text>
        <r>
          <rPr>
            <b/>
            <sz val="8"/>
            <color indexed="81"/>
            <rFont val="Tahoma"/>
            <family val="2"/>
          </rPr>
          <t>Jocemar Gross:</t>
        </r>
        <r>
          <rPr>
            <sz val="8"/>
            <color indexed="81"/>
            <rFont val="Tahoma"/>
            <family val="2"/>
          </rPr>
          <t xml:space="preserve">
50 mm + (3mm/corte)</t>
        </r>
      </text>
    </comment>
    <comment ref="CA11" authorId="0" shapeId="0">
      <text>
        <r>
          <rPr>
            <b/>
            <sz val="8"/>
            <color indexed="81"/>
            <rFont val="Tahoma"/>
            <family val="2"/>
          </rPr>
          <t>Jocemar Gross:</t>
        </r>
        <r>
          <rPr>
            <sz val="8"/>
            <color indexed="81"/>
            <rFont val="Tahoma"/>
            <family val="2"/>
          </rPr>
          <t xml:space="preserve">
Calcular ou Diferença entre Peso Bruto e Peso Líquido.</t>
        </r>
      </text>
    </comment>
    <comment ref="BZ14" authorId="0" shapeId="0">
      <text>
        <r>
          <rPr>
            <b/>
            <sz val="8"/>
            <color indexed="81"/>
            <rFont val="Tahoma"/>
            <family val="2"/>
          </rPr>
          <t>Jocemar Gross:</t>
        </r>
        <r>
          <rPr>
            <sz val="8"/>
            <color indexed="81"/>
            <rFont val="Tahoma"/>
            <family val="2"/>
          </rPr>
          <t xml:space="preserve">
Espessura da Faca: 8,00 mm
Lote de Produção / Peso Linear = metros por produção
Metros por produção / Comprimento = Números de corte
Números de Corte * Peso da sucata gerada no corte = Peso de sucata total
Peso de sucata total gerada no corte / Lote de produção * 100 = Percentual de Sucata Corte</t>
        </r>
      </text>
    </comment>
  </commentList>
</comments>
</file>

<file path=xl/comments5.xml><?xml version="1.0" encoding="utf-8"?>
<comments xmlns="http://schemas.openxmlformats.org/spreadsheetml/2006/main">
  <authors>
    <author>Jocemar Gross</author>
  </authors>
  <commentList>
    <comment ref="BR6" authorId="0" shapeId="0">
      <text>
        <r>
          <rPr>
            <b/>
            <sz val="8"/>
            <color indexed="81"/>
            <rFont val="Tahoma"/>
            <family val="2"/>
          </rPr>
          <t>Jocemar Gross:</t>
        </r>
        <r>
          <rPr>
            <sz val="8"/>
            <color indexed="81"/>
            <rFont val="Tahoma"/>
            <family val="2"/>
          </rPr>
          <t xml:space="preserve">
50 mm + (3mm/corte)</t>
        </r>
      </text>
    </comment>
  </commentList>
</comments>
</file>

<file path=xl/comments6.xml><?xml version="1.0" encoding="utf-8"?>
<comments xmlns="http://schemas.openxmlformats.org/spreadsheetml/2006/main">
  <authors>
    <author>Boff Arthur</author>
  </authors>
  <commentList>
    <comment ref="L5" authorId="0" shapeId="0">
      <text>
        <r>
          <rPr>
            <b/>
            <sz val="9"/>
            <color indexed="81"/>
            <rFont val="Segoe UI"/>
            <family val="2"/>
          </rPr>
          <t>Boff Arthur:</t>
        </r>
        <r>
          <rPr>
            <sz val="9"/>
            <color indexed="81"/>
            <rFont val="Segoe UI"/>
            <family val="2"/>
          </rPr>
          <t xml:space="preserve">
MP = Matéria Prima</t>
        </r>
      </text>
    </comment>
    <comment ref="M5" authorId="0" shapeId="0">
      <text>
        <r>
          <rPr>
            <b/>
            <sz val="9"/>
            <color indexed="81"/>
            <rFont val="Segoe UI"/>
            <family val="2"/>
          </rPr>
          <t>Boff Arthur:</t>
        </r>
        <r>
          <rPr>
            <sz val="9"/>
            <color indexed="81"/>
            <rFont val="Segoe UI"/>
            <family val="2"/>
          </rPr>
          <t xml:space="preserve">
TT = Tratamento térmico</t>
        </r>
      </text>
    </comment>
    <comment ref="N5" authorId="0" shapeId="0">
      <text>
        <r>
          <rPr>
            <b/>
            <sz val="9"/>
            <color indexed="81"/>
            <rFont val="Segoe UI"/>
            <family val="2"/>
          </rPr>
          <t>Boff Arthur:</t>
        </r>
        <r>
          <rPr>
            <sz val="9"/>
            <color indexed="81"/>
            <rFont val="Segoe UI"/>
            <family val="2"/>
          </rPr>
          <t xml:space="preserve">
MO = Mão de Obra</t>
        </r>
      </text>
    </comment>
  </commentList>
</comments>
</file>

<file path=xl/comments7.xml><?xml version="1.0" encoding="utf-8"?>
<comments xmlns="http://schemas.openxmlformats.org/spreadsheetml/2006/main">
  <authors>
    <author>Garcia Cristian</author>
  </authors>
  <commentList>
    <comment ref="G10" authorId="0" shapeId="0">
      <text>
        <r>
          <rPr>
            <b/>
            <sz val="9"/>
            <color indexed="81"/>
            <rFont val="Tahoma"/>
            <family val="2"/>
          </rPr>
          <t>Distância até obter velocidade  máxima do Alimentador</t>
        </r>
      </text>
    </comment>
    <comment ref="H10" authorId="0" shapeId="0">
      <text>
        <r>
          <rPr>
            <b/>
            <sz val="9"/>
            <color indexed="81"/>
            <rFont val="Tahoma"/>
            <family val="2"/>
          </rPr>
          <t>Tempo até obter velocidade  máxima do Alimentador</t>
        </r>
      </text>
    </comment>
    <comment ref="I10" authorId="0" shapeId="0">
      <text>
        <r>
          <rPr>
            <b/>
            <sz val="9"/>
            <color indexed="81"/>
            <rFont val="Tahoma"/>
            <family val="2"/>
          </rPr>
          <t>Distância percorrida com velocidade  máxima.</t>
        </r>
      </text>
    </comment>
    <comment ref="J10" authorId="0" shapeId="0">
      <text>
        <r>
          <rPr>
            <b/>
            <sz val="9"/>
            <color indexed="81"/>
            <rFont val="Tahoma"/>
            <family val="2"/>
          </rPr>
          <t>Tempo percorrido com velocidade máxima</t>
        </r>
      </text>
    </comment>
    <comment ref="C11" authorId="0" shapeId="0">
      <text>
        <r>
          <rPr>
            <b/>
            <sz val="9"/>
            <color indexed="81"/>
            <rFont val="Tahoma"/>
            <family val="2"/>
          </rPr>
          <t>t=ac+dc+vel máx</t>
        </r>
      </text>
    </comment>
    <comment ref="G11" authorId="0" shapeId="0">
      <text>
        <r>
          <rPr>
            <b/>
            <sz val="9"/>
            <color indexed="81"/>
            <rFont val="Tahoma"/>
            <family val="2"/>
          </rPr>
          <t>v²=vi²+2a(x-xi)</t>
        </r>
        <r>
          <rPr>
            <sz val="9"/>
            <color indexed="81"/>
            <rFont val="Tahoma"/>
            <family val="2"/>
          </rPr>
          <t xml:space="preserve">
</t>
        </r>
      </text>
    </comment>
    <comment ref="H11" authorId="0" shapeId="0">
      <text>
        <r>
          <rPr>
            <b/>
            <sz val="9"/>
            <color indexed="81"/>
            <rFont val="Tahoma"/>
            <family val="2"/>
          </rPr>
          <t>x=xi+vit+at²/2</t>
        </r>
        <r>
          <rPr>
            <sz val="9"/>
            <color indexed="81"/>
            <rFont val="Tahoma"/>
            <family val="2"/>
          </rPr>
          <t xml:space="preserve">
</t>
        </r>
      </text>
    </comment>
    <comment ref="I11" authorId="0" shapeId="0">
      <text>
        <r>
          <rPr>
            <b/>
            <sz val="9"/>
            <color indexed="81"/>
            <rFont val="Tahoma"/>
            <family val="2"/>
          </rPr>
          <t>Avanço - (Dac+Ddc)</t>
        </r>
      </text>
    </comment>
    <comment ref="J11" authorId="0" shapeId="0">
      <text>
        <r>
          <rPr>
            <b/>
            <sz val="9"/>
            <color indexed="81"/>
            <rFont val="Tahoma"/>
            <family val="2"/>
          </rPr>
          <t>t=d/v</t>
        </r>
      </text>
    </comment>
    <comment ref="G27" authorId="0" shapeId="0">
      <text>
        <r>
          <rPr>
            <b/>
            <sz val="9"/>
            <color indexed="81"/>
            <rFont val="Tahoma"/>
            <family val="2"/>
          </rPr>
          <t>Distância até obter velocidade  máxima do Alimentador</t>
        </r>
      </text>
    </comment>
    <comment ref="H27" authorId="0" shapeId="0">
      <text>
        <r>
          <rPr>
            <b/>
            <sz val="9"/>
            <color indexed="81"/>
            <rFont val="Tahoma"/>
            <family val="2"/>
          </rPr>
          <t>Tempo até obter velocidade  máxima do Alimentador</t>
        </r>
      </text>
    </comment>
    <comment ref="I27" authorId="0" shapeId="0">
      <text>
        <r>
          <rPr>
            <b/>
            <sz val="9"/>
            <color indexed="81"/>
            <rFont val="Tahoma"/>
            <family val="2"/>
          </rPr>
          <t>Distância percorrida com velocidade  máxima.</t>
        </r>
      </text>
    </comment>
    <comment ref="J27" authorId="0" shapeId="0">
      <text>
        <r>
          <rPr>
            <b/>
            <sz val="9"/>
            <color indexed="81"/>
            <rFont val="Tahoma"/>
            <family val="2"/>
          </rPr>
          <t>Tempo percorrido com velocidade máxima</t>
        </r>
      </text>
    </comment>
    <comment ref="G28" authorId="0" shapeId="0">
      <text>
        <r>
          <rPr>
            <b/>
            <sz val="9"/>
            <color indexed="81"/>
            <rFont val="Tahoma"/>
            <family val="2"/>
          </rPr>
          <t>v²=vi²+2a(x-xi)</t>
        </r>
        <r>
          <rPr>
            <sz val="9"/>
            <color indexed="81"/>
            <rFont val="Tahoma"/>
            <family val="2"/>
          </rPr>
          <t xml:space="preserve">
</t>
        </r>
      </text>
    </comment>
    <comment ref="H28" authorId="0" shapeId="0">
      <text>
        <r>
          <rPr>
            <b/>
            <sz val="9"/>
            <color indexed="81"/>
            <rFont val="Tahoma"/>
            <family val="2"/>
          </rPr>
          <t>x=xi+vit+at²/2</t>
        </r>
        <r>
          <rPr>
            <sz val="9"/>
            <color indexed="81"/>
            <rFont val="Tahoma"/>
            <family val="2"/>
          </rPr>
          <t xml:space="preserve">
</t>
        </r>
      </text>
    </comment>
    <comment ref="I28" authorId="0" shapeId="0">
      <text>
        <r>
          <rPr>
            <b/>
            <sz val="9"/>
            <color indexed="81"/>
            <rFont val="Tahoma"/>
            <family val="2"/>
          </rPr>
          <t>Avanço - (Dac+Ddc)</t>
        </r>
      </text>
    </comment>
    <comment ref="J28" authorId="0" shapeId="0">
      <text>
        <r>
          <rPr>
            <b/>
            <sz val="9"/>
            <color indexed="81"/>
            <rFont val="Tahoma"/>
            <family val="2"/>
          </rPr>
          <t>t=d/v</t>
        </r>
      </text>
    </comment>
  </commentList>
</comments>
</file>

<file path=xl/comments8.xml><?xml version="1.0" encoding="utf-8"?>
<comments xmlns="http://schemas.openxmlformats.org/spreadsheetml/2006/main">
  <authors>
    <author>jocemar</author>
  </authors>
  <commentList>
    <comment ref="G17" authorId="0" shapeId="0">
      <text>
        <r>
          <rPr>
            <b/>
            <sz val="8"/>
            <color indexed="81"/>
            <rFont val="Tahoma"/>
            <family val="2"/>
          </rPr>
          <t>jocemar:</t>
        </r>
        <r>
          <rPr>
            <sz val="8"/>
            <color indexed="81"/>
            <rFont val="Tahoma"/>
            <family val="2"/>
          </rPr>
          <t xml:space="preserve">
Ds = Diametro tubo no ponto de solda
S = Espessura do material
K = 2(S&lt;=1), 1.5(1&lt;S&lt;=1.5), 1.2 (1.5&lt;S&lt;=2.5), 1(2.5&lt;S)</t>
        </r>
      </text>
    </comment>
  </commentList>
</comments>
</file>

<file path=xl/comments9.xml><?xml version="1.0" encoding="utf-8"?>
<comments xmlns="http://schemas.openxmlformats.org/spreadsheetml/2006/main">
  <authors>
    <author>flemos</author>
  </authors>
  <commentList>
    <comment ref="D12" authorId="0" shapeId="0">
      <text>
        <r>
          <rPr>
            <b/>
            <sz val="9"/>
            <color indexed="81"/>
            <rFont val="Tahoma"/>
            <family val="2"/>
          </rPr>
          <t>flemos:</t>
        </r>
        <r>
          <rPr>
            <sz val="9"/>
            <color indexed="81"/>
            <rFont val="Tahoma"/>
            <family val="2"/>
          </rPr>
          <t xml:space="preserve">
Na ultima conferencia de peças, feita pelo Joel Hoffman, essa matriz não foi achada. </t>
        </r>
      </text>
    </comment>
  </commentList>
</comments>
</file>

<file path=xl/sharedStrings.xml><?xml version="1.0" encoding="utf-8"?>
<sst xmlns="http://schemas.openxmlformats.org/spreadsheetml/2006/main" count="6259" uniqueCount="2934">
  <si>
    <t>Informações do Projeto</t>
  </si>
  <si>
    <t>Projeto</t>
  </si>
  <si>
    <t>Descrição</t>
  </si>
  <si>
    <t>Bitola de Origem
(mm)</t>
  </si>
  <si>
    <r>
      <t xml:space="preserve">Espessura
</t>
    </r>
    <r>
      <rPr>
        <i/>
        <sz val="11"/>
        <color indexed="8"/>
        <rFont val="Calibri"/>
        <family val="2"/>
      </rPr>
      <t>(mm)</t>
    </r>
  </si>
  <si>
    <r>
      <t xml:space="preserve">Peso Linear
</t>
    </r>
    <r>
      <rPr>
        <i/>
        <sz val="11"/>
        <color indexed="8"/>
        <rFont val="Calibri"/>
        <family val="2"/>
      </rPr>
      <t>(kg/m)</t>
    </r>
  </si>
  <si>
    <r>
      <t xml:space="preserve">Peso Líquido
</t>
    </r>
    <r>
      <rPr>
        <i/>
        <sz val="11"/>
        <color indexed="8"/>
        <rFont val="Calibri"/>
        <family val="2"/>
      </rPr>
      <t>(kg/pc)</t>
    </r>
  </si>
  <si>
    <r>
      <t xml:space="preserve">Consumo
</t>
    </r>
    <r>
      <rPr>
        <i/>
        <sz val="11"/>
        <color indexed="8"/>
        <rFont val="Calibri"/>
        <family val="2"/>
      </rPr>
      <t>(ton/mês)</t>
    </r>
    <r>
      <rPr>
        <sz val="10"/>
        <color theme="1"/>
        <rFont val="Arial"/>
        <family val="2"/>
      </rPr>
      <t xml:space="preserve">
</t>
    </r>
  </si>
  <si>
    <r>
      <t xml:space="preserve">Lote de Produção
</t>
    </r>
    <r>
      <rPr>
        <i/>
        <sz val="11"/>
        <color indexed="8"/>
        <rFont val="Calibri"/>
        <family val="2"/>
      </rPr>
      <t>(ton)</t>
    </r>
  </si>
  <si>
    <t>mm</t>
  </si>
  <si>
    <t>3/8"</t>
  </si>
  <si>
    <t>1/2"</t>
  </si>
  <si>
    <t>5/8"</t>
  </si>
  <si>
    <t>3/4"</t>
  </si>
  <si>
    <t>7/8"</t>
  </si>
  <si>
    <t>1"</t>
  </si>
  <si>
    <t>1.1/8"</t>
  </si>
  <si>
    <t>1.1/4"</t>
  </si>
  <si>
    <t>1.3/8"</t>
  </si>
  <si>
    <t>1.1/2"</t>
  </si>
  <si>
    <t>1.5/8"</t>
  </si>
  <si>
    <t>1.3/4"</t>
  </si>
  <si>
    <t>1.7/8"</t>
  </si>
  <si>
    <t>2"</t>
  </si>
  <si>
    <t>2.1/4"</t>
  </si>
  <si>
    <t>2.3/8"</t>
  </si>
  <si>
    <t>2.1/2"</t>
  </si>
  <si>
    <t>3"</t>
  </si>
  <si>
    <t>3.1/4"</t>
  </si>
  <si>
    <t>3.1/2"</t>
  </si>
  <si>
    <t>4"</t>
  </si>
  <si>
    <t>4.1/2"</t>
  </si>
  <si>
    <t>5"</t>
  </si>
  <si>
    <t>5.1/2"</t>
  </si>
  <si>
    <t>6"</t>
  </si>
  <si>
    <t>6.5/8"</t>
  </si>
  <si>
    <t>7.5/8"</t>
  </si>
  <si>
    <t>8.5/8"</t>
  </si>
  <si>
    <t>10.3/4"</t>
  </si>
  <si>
    <t>Formadora</t>
  </si>
  <si>
    <r>
      <t xml:space="preserve">Ajuste
</t>
    </r>
    <r>
      <rPr>
        <i/>
        <sz val="11"/>
        <color indexed="8"/>
        <rFont val="Calibri"/>
        <family val="2"/>
      </rPr>
      <t>(m)</t>
    </r>
  </si>
  <si>
    <r>
      <t xml:space="preserve">Velocidade
</t>
    </r>
    <r>
      <rPr>
        <i/>
        <sz val="11"/>
        <color indexed="8"/>
        <rFont val="Calibri"/>
        <family val="2"/>
      </rPr>
      <t>(m/min)</t>
    </r>
  </si>
  <si>
    <r>
      <t xml:space="preserve">Eficiência
</t>
    </r>
    <r>
      <rPr>
        <i/>
        <sz val="11"/>
        <color indexed="8"/>
        <rFont val="Calibri"/>
        <family val="2"/>
      </rPr>
      <t>(%)</t>
    </r>
  </si>
  <si>
    <t>(m)</t>
  </si>
  <si>
    <t>(min)</t>
  </si>
  <si>
    <r>
      <t xml:space="preserve">Perdas - Ajuste
</t>
    </r>
    <r>
      <rPr>
        <i/>
        <sz val="11"/>
        <color indexed="8"/>
        <rFont val="Calibri"/>
        <family val="2"/>
      </rPr>
      <t>(%)</t>
    </r>
  </si>
  <si>
    <r>
      <t xml:space="preserve">TEMPO OPERAÇÃO
</t>
    </r>
    <r>
      <rPr>
        <i/>
        <sz val="11"/>
        <color indexed="8"/>
        <rFont val="Calibri"/>
        <family val="2"/>
      </rPr>
      <t>(min/ton)</t>
    </r>
  </si>
  <si>
    <r>
      <t xml:space="preserve">TEMPO PREPARAÇÃO
</t>
    </r>
    <r>
      <rPr>
        <i/>
        <sz val="11"/>
        <color indexed="8"/>
        <rFont val="Calibri"/>
        <family val="2"/>
      </rPr>
      <t>(min/ton)</t>
    </r>
  </si>
  <si>
    <r>
      <t xml:space="preserve">Perdas de Processo
</t>
    </r>
    <r>
      <rPr>
        <i/>
        <sz val="11"/>
        <color indexed="8"/>
        <rFont val="Calibri"/>
        <family val="2"/>
      </rPr>
      <t>(%)</t>
    </r>
  </si>
  <si>
    <t>Máquina</t>
  </si>
  <si>
    <t>Perdas</t>
  </si>
  <si>
    <t>F01</t>
  </si>
  <si>
    <t>F02</t>
  </si>
  <si>
    <t>F03</t>
  </si>
  <si>
    <t>F04</t>
  </si>
  <si>
    <t>F05</t>
  </si>
  <si>
    <t>F06</t>
  </si>
  <si>
    <t>F07</t>
  </si>
  <si>
    <t>Perfiladeira</t>
  </si>
  <si>
    <t>PF01</t>
  </si>
  <si>
    <t>PF02</t>
  </si>
  <si>
    <t>Setup</t>
  </si>
  <si>
    <r>
      <t xml:space="preserve">Setup
</t>
    </r>
    <r>
      <rPr>
        <i/>
        <sz val="11"/>
        <color indexed="8"/>
        <rFont val="Calibri"/>
        <family val="2"/>
      </rPr>
      <t>(horas)</t>
    </r>
  </si>
  <si>
    <t>(horas)</t>
  </si>
  <si>
    <t>Eficiência</t>
  </si>
  <si>
    <r>
      <t xml:space="preserve">Perdas TOTAL
</t>
    </r>
    <r>
      <rPr>
        <i/>
        <sz val="11"/>
        <color indexed="8"/>
        <rFont val="Calibri"/>
        <family val="2"/>
      </rPr>
      <t>(%)</t>
    </r>
  </si>
  <si>
    <r>
      <t xml:space="preserve">Setup TOTAL
</t>
    </r>
    <r>
      <rPr>
        <i/>
        <sz val="11"/>
        <color indexed="8"/>
        <rFont val="Calibri"/>
        <family val="2"/>
      </rPr>
      <t>(horas)</t>
    </r>
  </si>
  <si>
    <t>Dados de Máquina</t>
  </si>
  <si>
    <t>Processo Agregado</t>
  </si>
  <si>
    <t>DT03</t>
  </si>
  <si>
    <t>COE</t>
  </si>
  <si>
    <r>
      <t xml:space="preserve">Múltiplo
</t>
    </r>
    <r>
      <rPr>
        <i/>
        <sz val="11"/>
        <color indexed="8"/>
        <rFont val="Calibri"/>
        <family val="2"/>
      </rPr>
      <t>(pc/barra)</t>
    </r>
  </si>
  <si>
    <t>Adicional</t>
  </si>
  <si>
    <r>
      <t xml:space="preserve">Adicional
</t>
    </r>
    <r>
      <rPr>
        <i/>
        <sz val="11"/>
        <color indexed="8"/>
        <rFont val="Calibri"/>
        <family val="2"/>
      </rPr>
      <t>(mm)</t>
    </r>
  </si>
  <si>
    <r>
      <t xml:space="preserve">Comprimento
</t>
    </r>
    <r>
      <rPr>
        <i/>
        <sz val="11"/>
        <color indexed="8"/>
        <rFont val="Calibri"/>
        <family val="2"/>
      </rPr>
      <t>(mm)</t>
    </r>
  </si>
  <si>
    <r>
      <t xml:space="preserve">Perdas MP
</t>
    </r>
    <r>
      <rPr>
        <i/>
        <sz val="11"/>
        <color indexed="8"/>
        <rFont val="Calibri"/>
        <family val="2"/>
      </rPr>
      <t>(%)</t>
    </r>
  </si>
  <si>
    <r>
      <t xml:space="preserve">Peso Bruto
</t>
    </r>
    <r>
      <rPr>
        <i/>
        <sz val="11"/>
        <color indexed="8"/>
        <rFont val="Calibri"/>
        <family val="2"/>
      </rPr>
      <t>(kg/pc)</t>
    </r>
  </si>
  <si>
    <r>
      <t xml:space="preserve">Comprimento Múltiplo
</t>
    </r>
    <r>
      <rPr>
        <i/>
        <sz val="11"/>
        <color indexed="8"/>
        <rFont val="Calibri"/>
        <family val="2"/>
      </rPr>
      <t>(mm)</t>
    </r>
  </si>
  <si>
    <t>Classificação
da Peça</t>
  </si>
  <si>
    <r>
      <t xml:space="preserve">Tempo por peça
</t>
    </r>
    <r>
      <rPr>
        <i/>
        <sz val="11"/>
        <color indexed="8"/>
        <rFont val="Calibri"/>
        <family val="2"/>
      </rPr>
      <t>(s/pc)</t>
    </r>
  </si>
  <si>
    <t>(pc)</t>
  </si>
  <si>
    <t>Classificação</t>
  </si>
  <si>
    <t>Leve</t>
  </si>
  <si>
    <t>Normal</t>
  </si>
  <si>
    <t>Pesada</t>
  </si>
  <si>
    <t>Peso</t>
  </si>
  <si>
    <r>
      <t xml:space="preserve">Tempo por peça
</t>
    </r>
    <r>
      <rPr>
        <i/>
        <sz val="11"/>
        <color indexed="8"/>
        <rFont val="Calibri"/>
        <family val="2"/>
      </rPr>
      <t>(min/pc)</t>
    </r>
  </si>
  <si>
    <r>
      <t xml:space="preserve">Consumo
</t>
    </r>
    <r>
      <rPr>
        <i/>
        <sz val="11"/>
        <color indexed="8"/>
        <rFont val="Calibri"/>
        <family val="2"/>
      </rPr>
      <t>(pc/mês)</t>
    </r>
    <r>
      <rPr>
        <sz val="10"/>
        <color theme="1"/>
        <rFont val="Arial"/>
        <family val="2"/>
      </rPr>
      <t xml:space="preserve">
</t>
    </r>
  </si>
  <si>
    <t>SIM</t>
  </si>
  <si>
    <t>NÃO</t>
  </si>
  <si>
    <r>
      <t xml:space="preserve">TEMPO PRODUÇÃO
</t>
    </r>
    <r>
      <rPr>
        <i/>
        <sz val="11"/>
        <color indexed="8"/>
        <rFont val="Calibri"/>
        <family val="2"/>
      </rPr>
      <t>(horas)</t>
    </r>
  </si>
  <si>
    <r>
      <t xml:space="preserve">Carga Horária
</t>
    </r>
    <r>
      <rPr>
        <i/>
        <sz val="11"/>
        <color indexed="8"/>
        <rFont val="Calibri"/>
        <family val="2"/>
      </rPr>
      <t>(horas)</t>
    </r>
  </si>
  <si>
    <t>Turnos</t>
  </si>
  <si>
    <r>
      <t xml:space="preserve">TEMPO PRODUÇÃO
</t>
    </r>
    <r>
      <rPr>
        <i/>
        <sz val="11"/>
        <color indexed="8"/>
        <rFont val="Calibri"/>
        <family val="2"/>
      </rPr>
      <t>(dias úteis)</t>
    </r>
  </si>
  <si>
    <t>Lista de Variáveis</t>
  </si>
  <si>
    <t>Espessura</t>
  </si>
  <si>
    <t>Formadoras</t>
  </si>
  <si>
    <t>Bitolas (mm)</t>
  </si>
  <si>
    <t>Bitolas (pol)</t>
  </si>
  <si>
    <t>2.1/8"</t>
  </si>
  <si>
    <t>2.7/8"</t>
  </si>
  <si>
    <t>3.3/4"</t>
  </si>
  <si>
    <t>Bitola de Origem
(pol)</t>
  </si>
  <si>
    <t>Material</t>
  </si>
  <si>
    <t>Estágios</t>
  </si>
  <si>
    <t>Pre Punching</t>
  </si>
  <si>
    <r>
      <t xml:space="preserve">Setup
Pre Punching
</t>
    </r>
    <r>
      <rPr>
        <i/>
        <sz val="10"/>
        <color indexed="8"/>
        <rFont val="Calibri"/>
        <family val="2"/>
      </rPr>
      <t>(horas)</t>
    </r>
  </si>
  <si>
    <r>
      <t xml:space="preserve">Setup
Perfiladeira
</t>
    </r>
    <r>
      <rPr>
        <i/>
        <sz val="10"/>
        <color indexed="8"/>
        <rFont val="Calibri"/>
        <family val="2"/>
      </rPr>
      <t>(horas)</t>
    </r>
  </si>
  <si>
    <r>
      <t xml:space="preserve">Perdas Pre Punching
</t>
    </r>
    <r>
      <rPr>
        <i/>
        <sz val="11"/>
        <color indexed="8"/>
        <rFont val="Calibri"/>
        <family val="2"/>
      </rPr>
      <t>(%)</t>
    </r>
  </si>
  <si>
    <t>Sistema de Corte</t>
  </si>
  <si>
    <t>Cisalhamento</t>
  </si>
  <si>
    <t>Faca</t>
  </si>
  <si>
    <r>
      <t xml:space="preserve">Perdas Corte
</t>
    </r>
    <r>
      <rPr>
        <i/>
        <sz val="11"/>
        <color indexed="8"/>
        <rFont val="Calibri"/>
        <family val="2"/>
      </rPr>
      <t>(%)</t>
    </r>
  </si>
  <si>
    <t>4.3/8"</t>
  </si>
  <si>
    <t>4.7/8"</t>
  </si>
  <si>
    <t>4.13/16"</t>
  </si>
  <si>
    <t>-</t>
  </si>
  <si>
    <r>
      <t xml:space="preserve">CUSTO HORA MÁQ.
</t>
    </r>
    <r>
      <rPr>
        <i/>
        <sz val="11"/>
        <color indexed="8"/>
        <rFont val="Calibri"/>
        <family val="2"/>
      </rPr>
      <t>(R$/hora)</t>
    </r>
  </si>
  <si>
    <r>
      <t xml:space="preserve">CUSTO MP
</t>
    </r>
    <r>
      <rPr>
        <i/>
        <sz val="11"/>
        <color indexed="8"/>
        <rFont val="Calibri"/>
        <family val="2"/>
      </rPr>
      <t>(R$/ton)</t>
    </r>
  </si>
  <si>
    <r>
      <t xml:space="preserve">CUSTO PERDAS
</t>
    </r>
    <r>
      <rPr>
        <i/>
        <sz val="11"/>
        <color indexed="8"/>
        <rFont val="Calibri"/>
        <family val="2"/>
      </rPr>
      <t>(R$/ton)</t>
    </r>
  </si>
  <si>
    <r>
      <t xml:space="preserve">CUSTO PREPARAÇÃO
</t>
    </r>
    <r>
      <rPr>
        <i/>
        <sz val="11"/>
        <color indexed="8"/>
        <rFont val="Calibri"/>
        <family val="2"/>
      </rPr>
      <t>(R$/ton)</t>
    </r>
  </si>
  <si>
    <r>
      <t xml:space="preserve">CUSTO OPERAÇÃO
</t>
    </r>
    <r>
      <rPr>
        <i/>
        <sz val="11"/>
        <color indexed="8"/>
        <rFont val="Calibri"/>
        <family val="2"/>
      </rPr>
      <t>(R$/ton)</t>
    </r>
  </si>
  <si>
    <r>
      <t xml:space="preserve">CUSTO
</t>
    </r>
    <r>
      <rPr>
        <i/>
        <sz val="11"/>
        <color indexed="8"/>
        <rFont val="Calibri"/>
        <family val="2"/>
      </rPr>
      <t>(R$/ton)</t>
    </r>
  </si>
  <si>
    <t>Investimento</t>
  </si>
  <si>
    <t>Energia</t>
  </si>
  <si>
    <t>Carga horária dia</t>
  </si>
  <si>
    <t>Turno(s)</t>
  </si>
  <si>
    <t>Mão de obra</t>
  </si>
  <si>
    <t>CUSTO HORA-MÁQUINA</t>
  </si>
  <si>
    <t>Simulação CUSTO HORA-MÁQUINA</t>
  </si>
  <si>
    <r>
      <t xml:space="preserve">Setup </t>
    </r>
    <r>
      <rPr>
        <i/>
        <sz val="11"/>
        <color indexed="8"/>
        <rFont val="Calibri"/>
        <family val="2"/>
      </rPr>
      <t>(min/estágio)</t>
    </r>
  </si>
  <si>
    <t>Embalagem</t>
  </si>
  <si>
    <t>Largura
(mm)</t>
  </si>
  <si>
    <t>Altura
(mm)</t>
  </si>
  <si>
    <t>Comprimento
(mm)</t>
  </si>
  <si>
    <r>
      <t xml:space="preserve">Volume
</t>
    </r>
    <r>
      <rPr>
        <i/>
        <sz val="10"/>
        <rFont val="Arial"/>
        <family val="2"/>
      </rPr>
      <t>(m</t>
    </r>
    <r>
      <rPr>
        <i/>
        <vertAlign val="superscript"/>
        <sz val="10"/>
        <rFont val="Arial"/>
        <family val="2"/>
      </rPr>
      <t>3</t>
    </r>
    <r>
      <rPr>
        <i/>
        <sz val="10"/>
        <rFont val="Arial"/>
        <family val="2"/>
      </rPr>
      <t>)</t>
    </r>
  </si>
  <si>
    <r>
      <t xml:space="preserve">Peso Líquido
</t>
    </r>
    <r>
      <rPr>
        <i/>
        <sz val="10"/>
        <rFont val="Arial"/>
        <family val="2"/>
      </rPr>
      <t>(kg/pc)</t>
    </r>
  </si>
  <si>
    <r>
      <t xml:space="preserve">Peso Embalagem
</t>
    </r>
    <r>
      <rPr>
        <i/>
        <sz val="10"/>
        <rFont val="Arial"/>
        <family val="2"/>
      </rPr>
      <t>(kg/embalagem)</t>
    </r>
  </si>
  <si>
    <r>
      <t>Custo Maderia
(R$/m</t>
    </r>
    <r>
      <rPr>
        <vertAlign val="superscript"/>
        <sz val="10"/>
        <rFont val="Arial"/>
        <family val="2"/>
      </rPr>
      <t>3</t>
    </r>
    <r>
      <rPr>
        <sz val="10"/>
        <rFont val="Arial"/>
        <family val="2"/>
      </rPr>
      <t>)</t>
    </r>
  </si>
  <si>
    <r>
      <t xml:space="preserve">Custo Embalagem
</t>
    </r>
    <r>
      <rPr>
        <i/>
        <sz val="10"/>
        <rFont val="Arial"/>
        <family val="2"/>
      </rPr>
      <t>(R$/ton)</t>
    </r>
  </si>
  <si>
    <r>
      <t xml:space="preserve">Quantidade Peças
</t>
    </r>
    <r>
      <rPr>
        <i/>
        <sz val="10"/>
        <rFont val="Arial"/>
        <family val="2"/>
      </rPr>
      <t>(pc/embalagem)</t>
    </r>
  </si>
  <si>
    <r>
      <t xml:space="preserve">Quantidade Madeira
</t>
    </r>
    <r>
      <rPr>
        <i/>
        <sz val="10"/>
        <rFont val="Arial"/>
        <family val="2"/>
      </rPr>
      <t>(madeira/embalagem)</t>
    </r>
  </si>
  <si>
    <r>
      <t xml:space="preserve">Custo Embalagem
</t>
    </r>
    <r>
      <rPr>
        <i/>
        <sz val="10"/>
        <rFont val="Arial"/>
        <family val="2"/>
      </rPr>
      <t>(R$/embalagem)</t>
    </r>
  </si>
  <si>
    <t>Processo</t>
  </si>
  <si>
    <t>Corte em ângulo</t>
  </si>
  <si>
    <t>Corte Estacionário</t>
  </si>
  <si>
    <t>Corte Laser</t>
  </si>
  <si>
    <t>Corte em Ângulo</t>
  </si>
  <si>
    <t>Dobradeira</t>
  </si>
  <si>
    <t>Serra Fira</t>
  </si>
  <si>
    <t>Serra Fita</t>
  </si>
  <si>
    <t>Peças por
Amarrado</t>
  </si>
  <si>
    <r>
      <t xml:space="preserve">Comprimento de processo
</t>
    </r>
    <r>
      <rPr>
        <i/>
        <sz val="11"/>
        <color indexed="8"/>
        <rFont val="Calibri"/>
        <family val="2"/>
      </rPr>
      <t>(mm)</t>
    </r>
  </si>
  <si>
    <r>
      <t xml:space="preserve">Tempo de Corte </t>
    </r>
    <r>
      <rPr>
        <i/>
        <sz val="11"/>
        <color indexed="8"/>
        <rFont val="Calibri"/>
        <family val="2"/>
      </rPr>
      <t>(s/mm)</t>
    </r>
  </si>
  <si>
    <t>Tipo</t>
  </si>
  <si>
    <t>&lt; 2" ; &lt; 1 m</t>
  </si>
  <si>
    <t>&gt; 2" ; &gt; 1 m</t>
  </si>
  <si>
    <t>&lt; 2" ; &gt; 1 m</t>
  </si>
  <si>
    <t>&gt; 2" ; &lt; 1 m</t>
  </si>
  <si>
    <t xml:space="preserve">Tempo de Corte </t>
  </si>
  <si>
    <t>1 corte /  1 pc</t>
  </si>
  <si>
    <t>2 corte / 1 pc</t>
  </si>
  <si>
    <r>
      <t xml:space="preserve">Altura do Amarrado/Peça
</t>
    </r>
    <r>
      <rPr>
        <i/>
        <sz val="11"/>
        <color indexed="8"/>
        <rFont val="Calibri"/>
        <family val="2"/>
      </rPr>
      <t>(mm)</t>
    </r>
  </si>
  <si>
    <t>Multiplo</t>
  </si>
  <si>
    <r>
      <t xml:space="preserve">Sucata de Processo
</t>
    </r>
    <r>
      <rPr>
        <i/>
        <sz val="11"/>
        <color indexed="8"/>
        <rFont val="Calibri"/>
        <family val="2"/>
      </rPr>
      <t>(kg)</t>
    </r>
  </si>
  <si>
    <t>Dobra</t>
  </si>
  <si>
    <t>L1</t>
  </si>
  <si>
    <t>L2</t>
  </si>
  <si>
    <t>L</t>
  </si>
  <si>
    <t>Perdas
(kg/pc)</t>
  </si>
  <si>
    <t>Largura de Tira
(mm)</t>
  </si>
  <si>
    <r>
      <t xml:space="preserve">Perdas PF
</t>
    </r>
    <r>
      <rPr>
        <i/>
        <sz val="11"/>
        <color indexed="8"/>
        <rFont val="Calibri"/>
        <family val="2"/>
      </rPr>
      <t>(%)</t>
    </r>
  </si>
  <si>
    <t>Número de Estágios</t>
  </si>
  <si>
    <t>Total de Ferramentas</t>
  </si>
  <si>
    <t>Mordente ou
Matriz de Corte</t>
  </si>
  <si>
    <t>TOTAL</t>
  </si>
  <si>
    <t>Matriz de
Pre Punching</t>
  </si>
  <si>
    <t>Qtd Dispositivos
Especiais</t>
  </si>
  <si>
    <t>Qtd Carros Laterais</t>
  </si>
  <si>
    <t>TOTAL
Carros e Disp.</t>
  </si>
  <si>
    <t>Total MO</t>
  </si>
  <si>
    <t>Total TT</t>
  </si>
  <si>
    <t>Total MP</t>
  </si>
  <si>
    <t>Custo
Carros Laterais (R$)</t>
  </si>
  <si>
    <t>Custo
Disp. Especiais (R$)</t>
  </si>
  <si>
    <r>
      <t xml:space="preserve">Perdas SCRAP
</t>
    </r>
    <r>
      <rPr>
        <i/>
        <sz val="11"/>
        <color indexed="8"/>
        <rFont val="Calibri"/>
        <family val="2"/>
      </rPr>
      <t>(%)</t>
    </r>
  </si>
  <si>
    <t>DT04</t>
  </si>
  <si>
    <t>s</t>
  </si>
  <si>
    <t>Mordente</t>
  </si>
  <si>
    <t>Perfil U</t>
  </si>
  <si>
    <t>PERFIL C</t>
  </si>
  <si>
    <t>&gt; 3 mm</t>
  </si>
  <si>
    <t>&lt; 3 mm</t>
  </si>
  <si>
    <t>Relação de Matrizes para Corte de Perfil Padrão</t>
  </si>
  <si>
    <t>35 X 50</t>
  </si>
  <si>
    <t>50 X 50</t>
  </si>
  <si>
    <t>50 X 60</t>
  </si>
  <si>
    <t>50 X 68</t>
  </si>
  <si>
    <t>50 X 91</t>
  </si>
  <si>
    <t>50 X 100</t>
  </si>
  <si>
    <t>40 X 75</t>
  </si>
  <si>
    <t>50 X 127</t>
  </si>
  <si>
    <t>60 X 92</t>
  </si>
  <si>
    <t>60 X 83</t>
  </si>
  <si>
    <t>60 X 119</t>
  </si>
  <si>
    <t>75 X 150</t>
  </si>
  <si>
    <t>75 X 200</t>
  </si>
  <si>
    <t>10 X 25 X 50</t>
  </si>
  <si>
    <t>15 X 40 X 75</t>
  </si>
  <si>
    <t>17 X 40 X 100</t>
  </si>
  <si>
    <t>20 X 40 X 100</t>
  </si>
  <si>
    <t>17 X 40 X 127</t>
  </si>
  <si>
    <t>20 X 60 X 150</t>
  </si>
  <si>
    <t>20 X 60 X 200</t>
  </si>
  <si>
    <t>17 X 50 X 100</t>
  </si>
  <si>
    <t>17 X 50 X 127</t>
  </si>
  <si>
    <t>20 X 50 X 150</t>
  </si>
  <si>
    <t>25 X 75 X 200</t>
  </si>
  <si>
    <r>
      <t xml:space="preserve">CARGA MÁQUINA
</t>
    </r>
    <r>
      <rPr>
        <i/>
        <sz val="11"/>
        <color indexed="8"/>
        <rFont val="Calibri"/>
        <family val="2"/>
      </rPr>
      <t>(dias úteis)</t>
    </r>
  </si>
  <si>
    <r>
      <t xml:space="preserve">Setup
Formadora
</t>
    </r>
    <r>
      <rPr>
        <i/>
        <sz val="10"/>
        <color indexed="8"/>
        <rFont val="Calibri"/>
        <family val="2"/>
      </rPr>
      <t>(horas)</t>
    </r>
  </si>
  <si>
    <r>
      <t xml:space="preserve">Setup In-line </t>
    </r>
    <r>
      <rPr>
        <i/>
        <sz val="11"/>
        <color indexed="8"/>
        <rFont val="Calibri"/>
        <family val="2"/>
      </rPr>
      <t>(min/estágio)</t>
    </r>
  </si>
  <si>
    <r>
      <t xml:space="preserve">Setup Off-line </t>
    </r>
    <r>
      <rPr>
        <i/>
        <sz val="11"/>
        <color indexed="8"/>
        <rFont val="Calibri"/>
        <family val="2"/>
      </rPr>
      <t>(min/estágio)</t>
    </r>
  </si>
  <si>
    <r>
      <t xml:space="preserve">Setup Off-line
</t>
    </r>
    <r>
      <rPr>
        <i/>
        <sz val="10"/>
        <color indexed="8"/>
        <rFont val="Calibri"/>
        <family val="2"/>
      </rPr>
      <t>(horas)</t>
    </r>
  </si>
  <si>
    <t>Setup Off-line (R$/hora)</t>
  </si>
  <si>
    <t>Setup Off-line (R$/ton)</t>
  </si>
  <si>
    <t>Largura bobina ideal</t>
  </si>
  <si>
    <t>Largura bobina de mercado</t>
  </si>
  <si>
    <t>Adicional refilo</t>
  </si>
  <si>
    <t>Numero de tiras desejado</t>
  </si>
  <si>
    <t>Espessura do material</t>
  </si>
  <si>
    <t>Largura da tira</t>
  </si>
  <si>
    <t>Líquido</t>
  </si>
  <si>
    <t>Valor/ton</t>
  </si>
  <si>
    <t>Gasto Gerais Fixos</t>
  </si>
  <si>
    <t>Gasto Gerais Variáveis</t>
  </si>
  <si>
    <t>Manutenção</t>
  </si>
  <si>
    <t>Consumíveis</t>
  </si>
  <si>
    <t>Instalação</t>
  </si>
  <si>
    <t>Consumo Médio</t>
  </si>
  <si>
    <t>Disponibilidade (Eficiência)</t>
  </si>
  <si>
    <t>Custo por operador (White Collar)</t>
  </si>
  <si>
    <t>Dias úteis</t>
  </si>
  <si>
    <t>Carga de Trabalho</t>
  </si>
  <si>
    <t>Operadores por turno</t>
  </si>
  <si>
    <t>Custo fixo + Rateio</t>
  </si>
  <si>
    <t>Custo/hora fixo</t>
  </si>
  <si>
    <t>Custo/hora variável</t>
  </si>
  <si>
    <t>Custo mensal por operador</t>
  </si>
  <si>
    <t>Depreciação Anual</t>
  </si>
  <si>
    <t>Potência Instalada (kw)</t>
  </si>
  <si>
    <t>Custo de energia (R$ / kw.h)</t>
  </si>
  <si>
    <t>Vida Útil (anos)</t>
  </si>
  <si>
    <t>CUSTOS FIXOS MENSAIS</t>
  </si>
  <si>
    <t>CUSTOS VARIÁVEIS MENSAIS</t>
  </si>
  <si>
    <t>Exemplo para uma Célula de Operação Especial</t>
  </si>
  <si>
    <t>CUSTO MENSAL TOTAL</t>
  </si>
  <si>
    <r>
      <t xml:space="preserve">PRODUÇÃO DIA
</t>
    </r>
    <r>
      <rPr>
        <i/>
        <sz val="11"/>
        <color indexed="8"/>
        <rFont val="Calibri"/>
        <family val="2"/>
      </rPr>
      <t>(ton)</t>
    </r>
  </si>
  <si>
    <r>
      <t xml:space="preserve">Peso Linear Nominal
</t>
    </r>
    <r>
      <rPr>
        <i/>
        <sz val="11"/>
        <color indexed="8"/>
        <rFont val="Calibri"/>
        <family val="2"/>
      </rPr>
      <t>(kg/m)</t>
    </r>
  </si>
  <si>
    <r>
      <t xml:space="preserve">Peso Linear Real
</t>
    </r>
    <r>
      <rPr>
        <i/>
        <sz val="11"/>
        <color indexed="8"/>
        <rFont val="Calibri"/>
        <family val="2"/>
      </rPr>
      <t>(kg/m)</t>
    </r>
  </si>
  <si>
    <t>Scrap Perfuração</t>
  </si>
  <si>
    <r>
      <t xml:space="preserve">Consumo
</t>
    </r>
    <r>
      <rPr>
        <i/>
        <sz val="11"/>
        <color indexed="8"/>
        <rFont val="Calibri"/>
        <family val="2"/>
      </rPr>
      <t>(m/mês)</t>
    </r>
    <r>
      <rPr>
        <sz val="10"/>
        <color theme="1"/>
        <rFont val="Arial"/>
        <family val="2"/>
      </rPr>
      <t xml:space="preserve">
</t>
    </r>
  </si>
  <si>
    <t>Estimar Investimento em Ferramental para Formadora/Perfiladeira</t>
  </si>
  <si>
    <t>Estimar Investimento para Processo Agregado</t>
  </si>
  <si>
    <t>Gabarito Dimensional</t>
  </si>
  <si>
    <t>Ferramental
Calandra
(TOTAL)</t>
  </si>
  <si>
    <t>Ferramental
Calandra</t>
  </si>
  <si>
    <t>Gabarito de
Laser 3D</t>
  </si>
  <si>
    <t>Ferramental
Dobradeira</t>
  </si>
  <si>
    <t>Ferramental
Dobradeira
(TOTAL)</t>
  </si>
  <si>
    <t>Dispositivo
Especial</t>
  </si>
  <si>
    <t>Padrão</t>
  </si>
  <si>
    <t>Especial</t>
  </si>
  <si>
    <t>Simples</t>
  </si>
  <si>
    <t>Complexo</t>
  </si>
  <si>
    <t>MATERIAL</t>
  </si>
  <si>
    <t>MATRIZ</t>
  </si>
  <si>
    <t>Passagem</t>
  </si>
  <si>
    <t>Transpasse</t>
  </si>
  <si>
    <t>Prensa</t>
  </si>
  <si>
    <t>gpm</t>
  </si>
  <si>
    <t>Feeder</t>
  </si>
  <si>
    <t>m/min</t>
  </si>
  <si>
    <t>PRENSA</t>
  </si>
  <si>
    <t>Tempo de Batida</t>
  </si>
  <si>
    <t>Tempo de Corte</t>
  </si>
  <si>
    <t>Tempo Livre para Avanço</t>
  </si>
  <si>
    <t>Avanço</t>
  </si>
  <si>
    <t>Tempo de Avanço</t>
  </si>
  <si>
    <t>Avanço
(mm)</t>
  </si>
  <si>
    <t>Tempo
(min)</t>
  </si>
  <si>
    <t>CICLO NÃO-CONTÍNUO</t>
  </si>
  <si>
    <t>Comprimento da Peça</t>
  </si>
  <si>
    <t>%</t>
  </si>
  <si>
    <t>CICLO CONTÍNUO</t>
  </si>
  <si>
    <t>Linha de Programação</t>
  </si>
  <si>
    <t>Repetição
(x)</t>
  </si>
  <si>
    <t>Velocidade da Perfiladeira</t>
  </si>
  <si>
    <t xml:space="preserve"> m/min</t>
  </si>
  <si>
    <t>Total dos Avanços</t>
  </si>
  <si>
    <t>Total Avanço
(mm)</t>
  </si>
  <si>
    <t xml:space="preserve"> mm</t>
  </si>
  <si>
    <t>Velocidade
(m/min)</t>
  </si>
  <si>
    <t>PRECISÃO DE AVAÇO</t>
  </si>
  <si>
    <t>Margem de Aceitabilidade</t>
  </si>
  <si>
    <t>pulsos</t>
  </si>
  <si>
    <t>Encoder</t>
  </si>
  <si>
    <t>Diâmetro do Rolo</t>
  </si>
  <si>
    <t>Precisão dimensional de Avanço</t>
  </si>
  <si>
    <t>Comparativo entre LE vs ESP</t>
  </si>
  <si>
    <t>Limite de Escoamento</t>
  </si>
  <si>
    <t>MPa</t>
  </si>
  <si>
    <t>Força de Tração</t>
  </si>
  <si>
    <t>Largura de Tira</t>
  </si>
  <si>
    <t>kN</t>
  </si>
  <si>
    <t>MATERIAL 1</t>
  </si>
  <si>
    <t>MATERIAL 2</t>
  </si>
  <si>
    <t>TUBO 1</t>
  </si>
  <si>
    <t>60X60X4,00</t>
  </si>
  <si>
    <t>Momento de Inércia</t>
  </si>
  <si>
    <t>mm^4</t>
  </si>
  <si>
    <t>60X60X8,00</t>
  </si>
  <si>
    <t>TUBO 2</t>
  </si>
  <si>
    <t>Lado</t>
  </si>
  <si>
    <t>Força para deformar em flexão</t>
  </si>
  <si>
    <t>Entre centros da Calandra</t>
  </si>
  <si>
    <t>Comparativo entre Tubos</t>
  </si>
  <si>
    <t>Força de Dobramento</t>
  </si>
  <si>
    <t>ABA</t>
  </si>
  <si>
    <t>Comprimento de dobra</t>
  </si>
  <si>
    <t>N</t>
  </si>
  <si>
    <t xml:space="preserve"> </t>
  </si>
  <si>
    <t>Round tube</t>
  </si>
  <si>
    <t>Thickness group</t>
  </si>
  <si>
    <t>Thickness</t>
  </si>
  <si>
    <t>External Perimeter</t>
  </si>
  <si>
    <t>Group</t>
  </si>
  <si>
    <t>&gt;&gt;</t>
  </si>
  <si>
    <t>R</t>
  </si>
  <si>
    <t>From</t>
  </si>
  <si>
    <t>To</t>
  </si>
  <si>
    <t>Fator "K"</t>
  </si>
  <si>
    <t>P</t>
  </si>
  <si>
    <t>Center Line</t>
  </si>
  <si>
    <t>Chapa Fina &lt; 4,25 mm (Osvaldo)</t>
  </si>
  <si>
    <t>Chapa Grossa &gt; 4,25 mm (Osvaldo)</t>
  </si>
  <si>
    <t>Practical</t>
  </si>
  <si>
    <t>Project</t>
  </si>
  <si>
    <t>COPRA</t>
  </si>
  <si>
    <t>Área</t>
  </si>
  <si>
    <t>Força de Corte</t>
  </si>
  <si>
    <t>ton</t>
  </si>
  <si>
    <t>0"</t>
  </si>
  <si>
    <t>7"</t>
  </si>
  <si>
    <t>8"</t>
  </si>
  <si>
    <t>9"</t>
  </si>
  <si>
    <t>127.00</t>
  </si>
  <si>
    <t>1/32"</t>
  </si>
  <si>
    <t>0.794</t>
  </si>
  <si>
    <t>1/16"</t>
  </si>
  <si>
    <t>3/32"</t>
  </si>
  <si>
    <t>1/8"</t>
  </si>
  <si>
    <t>5/32"</t>
  </si>
  <si>
    <t>3/16"</t>
  </si>
  <si>
    <t>7/32"</t>
  </si>
  <si>
    <t>1/4"</t>
  </si>
  <si>
    <t>9/32"</t>
  </si>
  <si>
    <t>5/16"</t>
  </si>
  <si>
    <t>11/32"</t>
  </si>
  <si>
    <t>13/32"</t>
  </si>
  <si>
    <t>7/16"</t>
  </si>
  <si>
    <t>15/32"</t>
  </si>
  <si>
    <t>17/32"</t>
  </si>
  <si>
    <t>9/16"</t>
  </si>
  <si>
    <t>19/32"</t>
  </si>
  <si>
    <t>21/32"</t>
  </si>
  <si>
    <t>11/16"</t>
  </si>
  <si>
    <t>23/32"</t>
  </si>
  <si>
    <t>25/32"</t>
  </si>
  <si>
    <t>13/16"</t>
  </si>
  <si>
    <t>27/32"</t>
  </si>
  <si>
    <t>29/32"</t>
  </si>
  <si>
    <t>15/16"</t>
  </si>
  <si>
    <t>PESO DE TIRA</t>
  </si>
  <si>
    <t>BOBINA</t>
  </si>
  <si>
    <t>Øi</t>
  </si>
  <si>
    <t>762±30</t>
  </si>
  <si>
    <t>Øe</t>
  </si>
  <si>
    <t>SLITTER</t>
  </si>
  <si>
    <t>METRAGEM DE UMA TIRA</t>
  </si>
  <si>
    <t>1500 - 1600</t>
  </si>
  <si>
    <t>Largura</t>
  </si>
  <si>
    <t>m</t>
  </si>
  <si>
    <t>Peso Linear</t>
  </si>
  <si>
    <t>kg/m</t>
  </si>
  <si>
    <t>m/s</t>
  </si>
  <si>
    <t>CARBONO EQUIVALENTE</t>
  </si>
  <si>
    <t>C</t>
  </si>
  <si>
    <t>Mn</t>
  </si>
  <si>
    <t>Ni</t>
  </si>
  <si>
    <t>Cr</t>
  </si>
  <si>
    <t>Mo</t>
  </si>
  <si>
    <t>Cu</t>
  </si>
  <si>
    <t>V</t>
  </si>
  <si>
    <t>Fonte: Prof. Victor Hugo Velazquez (51) 9117.5325</t>
  </si>
  <si>
    <t>Fonte: NBR 7007 - 2002 - Aços Carbono e Microligados para Uso Estrutural em Geral</t>
  </si>
  <si>
    <t>Fator de Compressão</t>
  </si>
  <si>
    <t>* mínimo 5 mm</t>
  </si>
  <si>
    <t>COE1</t>
  </si>
  <si>
    <t>DT3</t>
  </si>
  <si>
    <t>DT4</t>
  </si>
  <si>
    <t>CL2</t>
  </si>
  <si>
    <t>CL1</t>
  </si>
  <si>
    <t>CA1</t>
  </si>
  <si>
    <t>C5</t>
  </si>
  <si>
    <t>C1</t>
  </si>
  <si>
    <t>C2</t>
  </si>
  <si>
    <t>C3</t>
  </si>
  <si>
    <t>C4</t>
  </si>
  <si>
    <t>C6</t>
  </si>
  <si>
    <t>POL</t>
  </si>
  <si>
    <t>Simulação para Largura de Bobina</t>
  </si>
  <si>
    <t>Campos a serem preenchidos</t>
  </si>
  <si>
    <t>Valores calculados parcialmente</t>
  </si>
  <si>
    <t>Valor total</t>
  </si>
  <si>
    <t>Campos previamente preenchidos com base em históricos (atualizado em Março/2014) - Valores podem serem alterados de acordo com as particularidades de cada projeto.</t>
  </si>
  <si>
    <t>Identificação do projeto (PJT XXX)</t>
  </si>
  <si>
    <t>Premissas</t>
  </si>
  <si>
    <t>Considerado 1/3 do custo fixo atual (sendo: Serras + Calandra Tauring + Calandra Nova)</t>
  </si>
  <si>
    <t>Baseado no histórico da calandra atual</t>
  </si>
  <si>
    <t>Considerado 1/3 do custo/hora do operador, visando que o mesmo não está full time nesta máquina.</t>
  </si>
  <si>
    <t>SAE 1010</t>
  </si>
  <si>
    <t>Curso de corte</t>
  </si>
  <si>
    <t>ângulo</t>
  </si>
  <si>
    <t>curso</t>
  </si>
  <si>
    <t>Rotação da Prensa</t>
  </si>
  <si>
    <t>Atualizado por Jocemar Gross</t>
  </si>
  <si>
    <t>Necessário ajustar rotação para</t>
  </si>
  <si>
    <t>Possível de utilizar rotação de</t>
  </si>
  <si>
    <t>Curso do martelo</t>
  </si>
  <si>
    <t>Velocidade do Feeder</t>
  </si>
  <si>
    <t>Aceleração do Feeder</t>
  </si>
  <si>
    <t>Ângulo de Alimentação</t>
  </si>
  <si>
    <t>(início)</t>
  </si>
  <si>
    <t>(fim)</t>
  </si>
  <si>
    <t>tempo</t>
  </si>
  <si>
    <t>vel</t>
  </si>
  <si>
    <r>
      <t>m/s</t>
    </r>
    <r>
      <rPr>
        <vertAlign val="superscript"/>
        <sz val="11"/>
        <color indexed="8"/>
        <rFont val="Calibri"/>
        <family val="2"/>
      </rPr>
      <t>2</t>
    </r>
  </si>
  <si>
    <t>Distância até obter vel máx Feeder</t>
  </si>
  <si>
    <t>Tempo até obter vel máx Feeder</t>
  </si>
  <si>
    <t>Distância percorrida com vel máx</t>
  </si>
  <si>
    <t>Tempo percorrido com vel máx</t>
  </si>
  <si>
    <t>Velocidade média do Feeder</t>
  </si>
  <si>
    <r>
      <t>t</t>
    </r>
    <r>
      <rPr>
        <b/>
        <vertAlign val="subscript"/>
        <sz val="11"/>
        <color indexed="8"/>
        <rFont val="Calibri"/>
        <family val="2"/>
      </rPr>
      <t>0</t>
    </r>
  </si>
  <si>
    <r>
      <t>t</t>
    </r>
    <r>
      <rPr>
        <b/>
        <vertAlign val="subscript"/>
        <sz val="11"/>
        <color indexed="8"/>
        <rFont val="Calibri"/>
        <family val="2"/>
      </rPr>
      <t>1</t>
    </r>
  </si>
  <si>
    <r>
      <t>t</t>
    </r>
    <r>
      <rPr>
        <b/>
        <vertAlign val="subscript"/>
        <sz val="11"/>
        <color indexed="8"/>
        <rFont val="Calibri"/>
        <family val="2"/>
      </rPr>
      <t>2</t>
    </r>
  </si>
  <si>
    <r>
      <t>t</t>
    </r>
    <r>
      <rPr>
        <b/>
        <vertAlign val="subscript"/>
        <sz val="11"/>
        <color indexed="8"/>
        <rFont val="Calibri"/>
        <family val="2"/>
      </rPr>
      <t>3</t>
    </r>
  </si>
  <si>
    <t>avanço</t>
  </si>
  <si>
    <t>Performance calculada do Feeder</t>
  </si>
  <si>
    <t>Tempo de Ciclo (Avanço + Corte)</t>
  </si>
  <si>
    <t>Prático</t>
  </si>
  <si>
    <t>Teórico</t>
  </si>
  <si>
    <t>considerar</t>
  </si>
  <si>
    <t>não considerar</t>
  </si>
  <si>
    <t>Tempo de Comunicação Feeder+Prensa</t>
  </si>
  <si>
    <t>Desempenho prático do Feeder</t>
  </si>
  <si>
    <t>Tempo real para o avanço determinado</t>
  </si>
  <si>
    <t>Tempo teórico para o avanço determinado</t>
  </si>
  <si>
    <r>
      <t>m/s</t>
    </r>
    <r>
      <rPr>
        <vertAlign val="superscript"/>
        <sz val="11"/>
        <color indexed="8"/>
        <rFont val="Calibri"/>
        <family val="2"/>
      </rPr>
      <t>2</t>
    </r>
  </si>
  <si>
    <t>%
feeder</t>
  </si>
  <si>
    <t>máx 1829</t>
  </si>
  <si>
    <t xml:space="preserve">Alimentador </t>
  </si>
  <si>
    <t>Legenda:</t>
  </si>
  <si>
    <t>Parâmetro Editável</t>
  </si>
  <si>
    <t xml:space="preserve">Velocidade </t>
  </si>
  <si>
    <t xml:space="preserve">Resultado </t>
  </si>
  <si>
    <t>Aceleração</t>
  </si>
  <si>
    <t>m/s²</t>
  </si>
  <si>
    <t xml:space="preserve"> Continuo</t>
  </si>
  <si>
    <r>
      <t>∆x até V</t>
    </r>
    <r>
      <rPr>
        <sz val="8"/>
        <color indexed="8"/>
        <rFont val="Calibri"/>
        <family val="2"/>
      </rPr>
      <t>f</t>
    </r>
    <r>
      <rPr>
        <sz val="10"/>
        <color theme="1"/>
        <rFont val="Arial"/>
        <family val="2"/>
      </rPr>
      <t xml:space="preserve"> (m) </t>
    </r>
  </si>
  <si>
    <r>
      <t>∆s até V</t>
    </r>
    <r>
      <rPr>
        <sz val="8"/>
        <color indexed="8"/>
        <rFont val="Calibri"/>
        <family val="2"/>
      </rPr>
      <t>f</t>
    </r>
    <r>
      <rPr>
        <sz val="10"/>
        <color theme="1"/>
        <rFont val="Arial"/>
        <family val="2"/>
      </rPr>
      <t xml:space="preserve"> (s)</t>
    </r>
  </si>
  <si>
    <r>
      <t>∆x com V</t>
    </r>
    <r>
      <rPr>
        <sz val="8"/>
        <color indexed="8"/>
        <rFont val="Calibri"/>
        <family val="2"/>
      </rPr>
      <t>f</t>
    </r>
    <r>
      <rPr>
        <sz val="10"/>
        <color theme="1"/>
        <rFont val="Arial"/>
        <family val="2"/>
      </rPr>
      <t xml:space="preserve"> (m)</t>
    </r>
  </si>
  <si>
    <r>
      <t>∆s com V</t>
    </r>
    <r>
      <rPr>
        <sz val="8"/>
        <color indexed="8"/>
        <rFont val="Calibri"/>
        <family val="2"/>
      </rPr>
      <t>f</t>
    </r>
    <r>
      <rPr>
        <sz val="10"/>
        <color theme="1"/>
        <rFont val="Arial"/>
        <family val="2"/>
      </rPr>
      <t xml:space="preserve"> (s)</t>
    </r>
  </si>
  <si>
    <t>Tempo do avanço</t>
  </si>
  <si>
    <t xml:space="preserve">Velocidade média </t>
  </si>
  <si>
    <t>Desempenho</t>
  </si>
  <si>
    <t xml:space="preserve"> Não Continuo</t>
  </si>
  <si>
    <t>Tempo
(s)</t>
  </si>
  <si>
    <t>Linha 1</t>
  </si>
  <si>
    <t>Linha 2</t>
  </si>
  <si>
    <t>Linha 3</t>
  </si>
  <si>
    <t>Linha 4</t>
  </si>
  <si>
    <t>Linha 5</t>
  </si>
  <si>
    <t>Linha 6</t>
  </si>
  <si>
    <t>Linha 7</t>
  </si>
  <si>
    <t>Linha 8</t>
  </si>
  <si>
    <t>Linha 9</t>
  </si>
  <si>
    <t>Linha 10</t>
  </si>
  <si>
    <t>Linha 11</t>
  </si>
  <si>
    <t>Linha 12</t>
  </si>
  <si>
    <t>Linha 13</t>
  </si>
  <si>
    <t>Linha 14</t>
  </si>
  <si>
    <t>Linha 15</t>
  </si>
  <si>
    <t>Linha 16</t>
  </si>
  <si>
    <t>Linha 17</t>
  </si>
  <si>
    <t>Linha 18</t>
  </si>
  <si>
    <t>Linha 19</t>
  </si>
  <si>
    <t>Linha 20</t>
  </si>
  <si>
    <t>Ineficiência</t>
  </si>
  <si>
    <t>Avanço Total</t>
  </si>
  <si>
    <t>Tempo Total</t>
  </si>
  <si>
    <t>min</t>
  </si>
  <si>
    <t>Velocidade Média</t>
  </si>
  <si>
    <t xml:space="preserve">Prensa </t>
  </si>
  <si>
    <t xml:space="preserve"> Contínuo</t>
  </si>
  <si>
    <t>Total de Ciclos</t>
  </si>
  <si>
    <t xml:space="preserve">Sistema Hidraulico (Av+Re) </t>
  </si>
  <si>
    <t>Avanço do material</t>
  </si>
  <si>
    <t>Tempo do Ciclo</t>
  </si>
  <si>
    <t>Fator de Correção</t>
  </si>
  <si>
    <t>Tempo do Fator</t>
  </si>
  <si>
    <t xml:space="preserve"> Não Contínuo</t>
  </si>
  <si>
    <t>Velocidade</t>
  </si>
  <si>
    <t>Elaborado por: Cristian Garcia</t>
  </si>
  <si>
    <t>Data: 30/07/15</t>
  </si>
  <si>
    <t>Atualiazado por: Cristian Garcia</t>
  </si>
  <si>
    <t>Inificiência</t>
  </si>
  <si>
    <t>Componentes</t>
  </si>
  <si>
    <t>Comprimento de processo
(mm de Solda)</t>
  </si>
  <si>
    <t>Tempo Arco Aberto (s/pc)</t>
  </si>
  <si>
    <t>Tempo de Limpeza (s/pc)</t>
  </si>
  <si>
    <t>Alimentação/Posicionamento (s/pc)</t>
  </si>
  <si>
    <t>Tempo de Setup (Hora)</t>
  </si>
  <si>
    <t xml:space="preserve">Ajuste
</t>
  </si>
  <si>
    <t>Perda padrão</t>
  </si>
  <si>
    <t>Part Number</t>
  </si>
  <si>
    <t>Kg/pç</t>
  </si>
  <si>
    <t>Preço Peças Terceiros 
(R$/Pç)</t>
  </si>
  <si>
    <t>Custo Peças Terceiros
(R$/ton)</t>
  </si>
  <si>
    <t>CPV Tubo Peça 
(R$ton)</t>
  </si>
  <si>
    <t xml:space="preserve">Representatividade </t>
  </si>
  <si>
    <t>Custo MP
 (R$/ton)</t>
  </si>
  <si>
    <t>CS01</t>
  </si>
  <si>
    <t>SOLDA</t>
  </si>
  <si>
    <t xml:space="preserve"> -</t>
  </si>
  <si>
    <t xml:space="preserve">  -</t>
  </si>
  <si>
    <t>Custo MP PJT</t>
  </si>
  <si>
    <t>QTD (Peças/ton)</t>
  </si>
  <si>
    <t>Solda</t>
  </si>
  <si>
    <t>QTD
(Peças/CJ)</t>
  </si>
  <si>
    <t>Peso Cj.</t>
  </si>
  <si>
    <t>Consumo
(Cj/lote)</t>
  </si>
  <si>
    <t>C7</t>
  </si>
  <si>
    <t>L3D1</t>
  </si>
  <si>
    <t>Dobra Calandra</t>
  </si>
  <si>
    <t>Dobradeira CNC</t>
  </si>
  <si>
    <t>CL2 (LT8)</t>
  </si>
  <si>
    <t>CL1 (LT722)</t>
  </si>
  <si>
    <t>CT1 (Tauring)</t>
  </si>
  <si>
    <t>CT2 (Calfran)</t>
  </si>
  <si>
    <t xml:space="preserve">L3D1 </t>
  </si>
  <si>
    <t>Momento de inércia no Solid Works no eixo "Y"</t>
  </si>
  <si>
    <t>Raio de Dobra</t>
  </si>
  <si>
    <t>Ângulo de dobra</t>
  </si>
  <si>
    <t>°</t>
  </si>
  <si>
    <t>Limite de escoamento</t>
  </si>
  <si>
    <t>Momento de inércia</t>
  </si>
  <si>
    <t>OBS: Sempre utilizar o momento no sentido da dobra</t>
  </si>
  <si>
    <t>Força de Dobra Estimada</t>
  </si>
  <si>
    <t>Nm</t>
  </si>
  <si>
    <t>Capacidade Máquinas</t>
  </si>
  <si>
    <t>Momento de inércia no Solid Works no eixo "X"</t>
  </si>
  <si>
    <t>Cálculo da força de dobra</t>
  </si>
  <si>
    <t>Caixas de armazenagem</t>
  </si>
  <si>
    <t>Espessura
(mm)</t>
  </si>
  <si>
    <t>Peso Linear Tira
(kg/m)</t>
  </si>
  <si>
    <t>Peso Linear Tubo
(kg/m)</t>
  </si>
  <si>
    <t>Peso Bruto
(kg/pc)</t>
  </si>
  <si>
    <t>Peso Líquido
(kg/pc)</t>
  </si>
  <si>
    <t>Perdas MP
(%)</t>
  </si>
  <si>
    <t>Lote de Produção
(ton)</t>
  </si>
  <si>
    <t>Consumo
(ton/mês)</t>
  </si>
  <si>
    <t>Consumo
(pc/mês)</t>
  </si>
  <si>
    <t>Setup
(horas)</t>
  </si>
  <si>
    <t>Ajuste</t>
  </si>
  <si>
    <t>Setup TOTAL
(horas)</t>
  </si>
  <si>
    <t>Eficiência
(%)</t>
  </si>
  <si>
    <t>Perdas de Processo
(%)</t>
  </si>
  <si>
    <t>Perdas - Ajuste
(%)</t>
  </si>
  <si>
    <t>Perdas TOTAL
(%)</t>
  </si>
  <si>
    <t>TEMPO OPERAÇÃO
(min/ton)</t>
  </si>
  <si>
    <t>TEMPO PREPARAÇÃO
(min/ton)</t>
  </si>
  <si>
    <t>Carga Horária
(horas)</t>
  </si>
  <si>
    <t>TEMPO PRODUÇÃO
(horas)</t>
  </si>
  <si>
    <t>TEMPO PRODUÇÃO
(dias úteis)</t>
  </si>
  <si>
    <t>CARGA MÁQUINA
(dias úteis)</t>
  </si>
  <si>
    <t>PRODUÇÃO DIA
(ton)</t>
  </si>
  <si>
    <t>Comprimento de processo
(mm)</t>
  </si>
  <si>
    <t>Sucata de Processo
(kg)</t>
  </si>
  <si>
    <t>Múltiplo
(pc/barra)</t>
  </si>
  <si>
    <t>Altura do Amarrado/Peça
(mm)</t>
  </si>
  <si>
    <t>Adicional
(mm)</t>
  </si>
  <si>
    <t>Comprimento Múltiplo
(mm)</t>
  </si>
  <si>
    <t>Tempo por peça
(s/pc)</t>
  </si>
  <si>
    <t>Tempo por peça
(min/pc)</t>
  </si>
  <si>
    <t>Perdas SCRAP
(%)</t>
  </si>
  <si>
    <t>CUSTO HORA MÁQ.
(R$/hora)</t>
  </si>
  <si>
    <t>CUSTO MP
(R$/ton)</t>
  </si>
  <si>
    <t>CUSTO PERDAS
(R$/ton)</t>
  </si>
  <si>
    <t>CUSTO PREPARAÇÃO
(R$/ton)</t>
  </si>
  <si>
    <t>CUSTO OPERAÇÃO
(R$/ton)</t>
  </si>
  <si>
    <t>CUSTO
(R$/ton)</t>
  </si>
  <si>
    <t>Tempo de Corte (s/mm)</t>
  </si>
  <si>
    <t>Descrição do item:</t>
  </si>
  <si>
    <t>Legenda</t>
  </si>
  <si>
    <t>Nome do Cliente:</t>
  </si>
  <si>
    <t>Automático</t>
  </si>
  <si>
    <t>Aplicação:</t>
  </si>
  <si>
    <t>Lote de Produção:</t>
  </si>
  <si>
    <t>metros</t>
  </si>
  <si>
    <t>peças</t>
  </si>
  <si>
    <t>Comprimento</t>
  </si>
  <si>
    <t>Bitola de Origem</t>
  </si>
  <si>
    <t>Lagura da Tira</t>
  </si>
  <si>
    <t>Peso Nominal</t>
  </si>
  <si>
    <t>Decapado</t>
  </si>
  <si>
    <t>RIR</t>
  </si>
  <si>
    <t>Metalização</t>
  </si>
  <si>
    <t>Eddy Current</t>
  </si>
  <si>
    <t>Revisão</t>
  </si>
  <si>
    <t>Responsável</t>
  </si>
  <si>
    <t>Data</t>
  </si>
  <si>
    <t>Selecionável</t>
  </si>
  <si>
    <t>Fixo</t>
  </si>
  <si>
    <t>Versão 1.0_2021</t>
  </si>
  <si>
    <t>Versão 1.0</t>
  </si>
  <si>
    <t>Arthur Boff</t>
  </si>
  <si>
    <t>Consumo:</t>
  </si>
  <si>
    <t>Formadora 1</t>
  </si>
  <si>
    <t>Formadora 2</t>
  </si>
  <si>
    <t>Formadora 3</t>
  </si>
  <si>
    <t>Formadora 4</t>
  </si>
  <si>
    <t>Formadora 5</t>
  </si>
  <si>
    <t>Formadora 6</t>
  </si>
  <si>
    <t>Perfiladeira 1</t>
  </si>
  <si>
    <t>Perfiladeira 2</t>
  </si>
  <si>
    <t>Perfiladeira 3</t>
  </si>
  <si>
    <t>Formadora 7</t>
  </si>
  <si>
    <t>DADOS DO PRODUTO</t>
  </si>
  <si>
    <t>Perdas de Processo</t>
  </si>
  <si>
    <t>Estágios de Conf.</t>
  </si>
  <si>
    <t>Perdas Ajuste</t>
  </si>
  <si>
    <t>Tempo Operação</t>
  </si>
  <si>
    <t>Horas</t>
  </si>
  <si>
    <t>min/ton</t>
  </si>
  <si>
    <t>Tempo Preparação</t>
  </si>
  <si>
    <t>Tempo Produção</t>
  </si>
  <si>
    <t>Dias Uteis</t>
  </si>
  <si>
    <t>Carga Máquina</t>
  </si>
  <si>
    <t>Produção</t>
  </si>
  <si>
    <t>Ton/Dia</t>
  </si>
  <si>
    <t>Perdas Pré Punching</t>
  </si>
  <si>
    <t>Perdas Corte</t>
  </si>
  <si>
    <t>DADOS DO PROCESSO - CONFORMAÇÃO</t>
  </si>
  <si>
    <t>Minutos</t>
  </si>
  <si>
    <t>Processo Agregado 1</t>
  </si>
  <si>
    <t>ok</t>
  </si>
  <si>
    <t>Perdas Totais</t>
  </si>
  <si>
    <t>Setup Pré Punching</t>
  </si>
  <si>
    <t>Classificação de Busca</t>
  </si>
  <si>
    <t>Projeto N°</t>
  </si>
  <si>
    <t>Opcional</t>
  </si>
  <si>
    <t>Obrigatório</t>
  </si>
  <si>
    <t>Responsável:</t>
  </si>
  <si>
    <t>ESTUDOS DE VIABILIDADE</t>
  </si>
  <si>
    <t>Setup Total</t>
  </si>
  <si>
    <t>Observações:</t>
  </si>
  <si>
    <t>Setup Conformação</t>
  </si>
  <si>
    <t>Setup Corte</t>
  </si>
  <si>
    <t>Tipo de Matriz P.P.</t>
  </si>
  <si>
    <t>Área de Perfuração Total</t>
  </si>
  <si>
    <t>mm²</t>
  </si>
  <si>
    <t>Mín.</t>
  </si>
  <si>
    <t>Máx.</t>
  </si>
  <si>
    <t>Alongamento (%):</t>
  </si>
  <si>
    <t>Espessura (mm):</t>
  </si>
  <si>
    <t>Limite de Escoamento (MPa):</t>
  </si>
  <si>
    <t>Limite de Resistência (MPa):</t>
  </si>
  <si>
    <t>Ton/mês</t>
  </si>
  <si>
    <t>Peça/mês</t>
  </si>
  <si>
    <t>Ton</t>
  </si>
  <si>
    <t>Força de Perfuração</t>
  </si>
  <si>
    <t>Perimetro de Perfuração Total</t>
  </si>
  <si>
    <t>Metros</t>
  </si>
  <si>
    <t>Tempo por Peça</t>
  </si>
  <si>
    <t>s/peça</t>
  </si>
  <si>
    <t>Perdas Processo</t>
  </si>
  <si>
    <t>Perdas Scrap</t>
  </si>
  <si>
    <t>Processo Agregado 2</t>
  </si>
  <si>
    <t>Peças / multiplo</t>
  </si>
  <si>
    <t>Peças</t>
  </si>
  <si>
    <t>Peso Bruto</t>
  </si>
  <si>
    <t>Peso Líquido</t>
  </si>
  <si>
    <t>kg/PC</t>
  </si>
  <si>
    <t>Sucata Processo</t>
  </si>
  <si>
    <t>Lote</t>
  </si>
  <si>
    <t>Consumo</t>
  </si>
  <si>
    <t>Processo Agregado 3</t>
  </si>
  <si>
    <t>Processo Agregado 4</t>
  </si>
  <si>
    <t>Classificação da Peça</t>
  </si>
  <si>
    <t>Eficiência Leve</t>
  </si>
  <si>
    <t>Eficiência Normal</t>
  </si>
  <si>
    <t>Eficiência Pesada</t>
  </si>
  <si>
    <t>Limitantes de Projeto:</t>
  </si>
  <si>
    <t>Criado novo modelo para Estudos de Viabilidade, atualizando os campos da antiga planilha</t>
  </si>
  <si>
    <t>Estudos</t>
  </si>
  <si>
    <t>Projeto
GPE</t>
  </si>
  <si>
    <t>Diâmetro Médio
(mm)</t>
  </si>
  <si>
    <t>Largura Média
(mm)</t>
  </si>
  <si>
    <t>Peso de MP
(kg)</t>
  </si>
  <si>
    <t>Quantidade
(un)</t>
  </si>
  <si>
    <t>Gabarito Dimensional
(TOTAL)</t>
  </si>
  <si>
    <t>Gabarito de
Laser 3D
(TOTAL)</t>
  </si>
  <si>
    <t>Peso Linear
(kg/Cj)</t>
  </si>
  <si>
    <t xml:space="preserve">Consumo
(Cj/ton)
</t>
  </si>
  <si>
    <t xml:space="preserve">Consumo
(m/mês)
</t>
  </si>
  <si>
    <t>Espessura (mm)</t>
  </si>
  <si>
    <t>Operação (min/ton)</t>
  </si>
  <si>
    <t>Preparação (min/ton)</t>
  </si>
  <si>
    <t>Perdas (%)</t>
  </si>
  <si>
    <t>Tempo Total (h/ton)</t>
  </si>
  <si>
    <t>0,60 à 3,75</t>
  </si>
  <si>
    <t>4,0 à 6,30</t>
  </si>
  <si>
    <t>x</t>
  </si>
  <si>
    <t>Conjuntos Soldados</t>
  </si>
  <si>
    <t>Galvanizado</t>
  </si>
  <si>
    <t>Pintado</t>
  </si>
  <si>
    <t>Componentes Soldados</t>
  </si>
  <si>
    <t xml:space="preserve">Preço Peças Terceiros </t>
  </si>
  <si>
    <t>Peças/CJ</t>
  </si>
  <si>
    <t>Peso do Conjunto</t>
  </si>
  <si>
    <t>R$/PC</t>
  </si>
  <si>
    <t>Custo Peças Terceiros</t>
  </si>
  <si>
    <t xml:space="preserve">CPV Tubo Peça </t>
  </si>
  <si>
    <t>Custo MP</t>
  </si>
  <si>
    <t>Representatividade</t>
  </si>
  <si>
    <t>kg/pç</t>
  </si>
  <si>
    <t>kg/pc</t>
  </si>
  <si>
    <t>R$/Ton</t>
  </si>
  <si>
    <t>Comprimento de Cordão</t>
  </si>
  <si>
    <t>mm de Solda</t>
  </si>
  <si>
    <t>Tempo de Limpeza</t>
  </si>
  <si>
    <t>s/PC</t>
  </si>
  <si>
    <t xml:space="preserve">Alimentação / Posicionamento </t>
  </si>
  <si>
    <t>Tempo Arco Aberto</t>
  </si>
  <si>
    <t>Min/PC</t>
  </si>
  <si>
    <t>Tempo Setup</t>
  </si>
  <si>
    <t>Revisão N°</t>
  </si>
  <si>
    <t>DADOS DO PROCESSO - SOLDAGEM</t>
  </si>
  <si>
    <t>Setup Off-Line Total</t>
  </si>
  <si>
    <t>Qtd de Caixas de Armazenagem</t>
  </si>
  <si>
    <t>Largura Teórica</t>
  </si>
  <si>
    <t>Versão 1.1</t>
  </si>
  <si>
    <t>Alterada perdas de processo para máquinas de conformação padrão.</t>
  </si>
  <si>
    <t>Versão 1.2</t>
  </si>
  <si>
    <t>Adicionado tempo de preparação offline para Direct Forming</t>
  </si>
  <si>
    <t>Versão 1.3</t>
  </si>
  <si>
    <t>Corrigido problemas de cálculo encontrados e algumas unidades de medidas incorretas.</t>
  </si>
  <si>
    <t>Versão 1.4</t>
  </si>
  <si>
    <t>Alterada forma que é disposta as larguras de tira conforme o tipo de produto escolhido.</t>
  </si>
  <si>
    <t>Versão 1.5</t>
  </si>
  <si>
    <t>Turnos de Trabalho</t>
  </si>
  <si>
    <t>Comprimento Processo</t>
  </si>
  <si>
    <t>DADOS DO PROCESSO - AGREGADOS</t>
  </si>
  <si>
    <t>REDmín = (øSOLDA x pi)-(1,5 x #)</t>
  </si>
  <si>
    <t>REDmáx = (øSOLDA x pi)-(2,5 x #)</t>
  </si>
  <si>
    <t>QUAmín = Perímetro - 1,5 x #</t>
  </si>
  <si>
    <t>QUAmáx = Perímetro - 2,5 x #</t>
  </si>
  <si>
    <t>Lt=(Ds-S)+K.S (MTM)</t>
  </si>
  <si>
    <t>Perdas Produção</t>
  </si>
  <si>
    <t>Alterada parte dos AO, tornando alguns dados dependentes do processo anterior.</t>
  </si>
  <si>
    <t>Carga Por Turno</t>
  </si>
  <si>
    <t>Ø [mm]</t>
  </si>
  <si>
    <t>D1 [mm]</t>
  </si>
  <si>
    <t>D2 [mm]</t>
  </si>
  <si>
    <t>Oblongo</t>
  </si>
  <si>
    <t>NA</t>
  </si>
  <si>
    <t>Retangular</t>
  </si>
  <si>
    <t>Quadro</t>
  </si>
  <si>
    <t>Operação Slliter</t>
  </si>
  <si>
    <t>Preparação Slliter</t>
  </si>
  <si>
    <t>Perdas Slliter</t>
  </si>
  <si>
    <t xml:space="preserve">31/32" </t>
  </si>
  <si>
    <t>Redondo</t>
  </si>
  <si>
    <t>[mm²]</t>
  </si>
  <si>
    <t>Versão 1.6</t>
  </si>
  <si>
    <t>Adicionada tabela para calculo de área e perimetro de perfuração (pre-punching).</t>
  </si>
  <si>
    <t>Dados dos furos</t>
  </si>
  <si>
    <t>[mm]</t>
  </si>
  <si>
    <t>Perimetro</t>
  </si>
  <si>
    <t>Tipo Punção</t>
  </si>
  <si>
    <t>Formadoras 01 a 06</t>
  </si>
  <si>
    <t>Formadora 07 (Direct Forming)</t>
  </si>
  <si>
    <t>Perfiladeiras 01 a 03</t>
  </si>
  <si>
    <t>Versão 1.7</t>
  </si>
  <si>
    <t>Alterada a forma de calculo para forças de pre punching (junto com a tabela da Versão 1.6).</t>
  </si>
  <si>
    <t>Qtd. Total</t>
  </si>
  <si>
    <t>Qtd. Perfuração</t>
  </si>
  <si>
    <t>Quantidades</t>
  </si>
  <si>
    <t>Total:</t>
  </si>
  <si>
    <t>Tratamento Térmico:</t>
  </si>
  <si>
    <t>Usinagem Externa:</t>
  </si>
  <si>
    <t>Investimentos - Resumo</t>
  </si>
  <si>
    <t>Versão 1.8</t>
  </si>
  <si>
    <t>Arthur Boff / Cristian Garcia</t>
  </si>
  <si>
    <t>Abreviação</t>
  </si>
  <si>
    <t>PF03</t>
  </si>
  <si>
    <t>Rolos de Conformação:</t>
  </si>
  <si>
    <t>Adicionada tabela de Investimentos. Inclusão do módulo GPEAutomation.</t>
  </si>
  <si>
    <t>Versão 2.0</t>
  </si>
  <si>
    <t>R.F. e A.O.</t>
  </si>
  <si>
    <t>Conj. Sold.</t>
  </si>
  <si>
    <t>Custo:</t>
  </si>
  <si>
    <t>Operação Extra:</t>
  </si>
  <si>
    <t>Lote:</t>
  </si>
  <si>
    <t>Auxílio de Cálculo</t>
  </si>
  <si>
    <t>Adicionado Ribbon "Estudos de Viabilidades". Transferido ao Controle pelo Cronus.</t>
  </si>
  <si>
    <t>Custo M.O.
(R$/pc)</t>
  </si>
  <si>
    <t>Custo T.T.
(R$/kg)</t>
  </si>
  <si>
    <t>Custo M.P.
(R$/kg)</t>
  </si>
  <si>
    <t>Carros e Dispositivos Especiais:</t>
  </si>
  <si>
    <t>Matriz de Pre Punching:</t>
  </si>
  <si>
    <t>Mordente ou Matriz de Corte:</t>
  </si>
  <si>
    <t>Caixas de armazenagem:</t>
  </si>
  <si>
    <t>SD01-rev.Out/21</t>
  </si>
  <si>
    <t>SD02-rev.Out/21</t>
  </si>
  <si>
    <t>2MS - ENGENHARIA LTDA</t>
  </si>
  <si>
    <t>Construção Civil</t>
  </si>
  <si>
    <t>3º POLO IND DE ARTEF DE MAD LTDA</t>
  </si>
  <si>
    <t>A CAMPANERUTTI TRUCK CENT - EIRELI</t>
  </si>
  <si>
    <t>Automotivo</t>
  </si>
  <si>
    <t>A D MARTINELLI - EIRELI</t>
  </si>
  <si>
    <t>Metal Mecânico</t>
  </si>
  <si>
    <t>A F ABIANNA MOVEIS ESCOLARES LTDA</t>
  </si>
  <si>
    <t>Moveleiro</t>
  </si>
  <si>
    <t>A G MENDES &amp; CIA LTDA</t>
  </si>
  <si>
    <t>Revenda / Outros</t>
  </si>
  <si>
    <t>A ROSSO MADEIRAS &amp; CIA LTDA</t>
  </si>
  <si>
    <t>A TONIAL ENG E CONSULT EMPRESARIAL</t>
  </si>
  <si>
    <t>A.J.A. COM DE FERRO E AÇO LTDA</t>
  </si>
  <si>
    <t>A.R. COLOMBO ADMINISTRACAO E PARTIC</t>
  </si>
  <si>
    <t>AAGG PARTS DO BRASIL IND PECAS</t>
  </si>
  <si>
    <t>Agricola</t>
  </si>
  <si>
    <t>AB FABRICACAO DE MAQ IND EIRELI</t>
  </si>
  <si>
    <t>Movimentação e Armazenagem</t>
  </si>
  <si>
    <t>ABASTECIMIENTOS SA</t>
  </si>
  <si>
    <t>ABRASSER FERRAMENTAS LTDA</t>
  </si>
  <si>
    <t>ABSOLUTA METAL IND MET LTDA</t>
  </si>
  <si>
    <t>ACC CONCRETOS EIRELI</t>
  </si>
  <si>
    <t>ACF MG EMPREEND E PARTICIP LTDA</t>
  </si>
  <si>
    <t>ACO CEARA FABR DE MOVEIS E ESTR MET</t>
  </si>
  <si>
    <t>ACO E FERRO GUILHERME LTDA</t>
  </si>
  <si>
    <t>ACO IDEAL LTDA</t>
  </si>
  <si>
    <t>ACO NOBRE MOVEIS EIRELI - EPP</t>
  </si>
  <si>
    <t>ACO-FER COM DE PROD SIDERURG LTDA</t>
  </si>
  <si>
    <t>ACOBAMA COM DE FERRO E ACO EIRELI</t>
  </si>
  <si>
    <t>ACOBARRA COM DE FERRO E ACO LTDA</t>
  </si>
  <si>
    <t>ACOCON INDUSTRIA E COMERCIO LTDA</t>
  </si>
  <si>
    <t>ACODUTO COM IMP E EXP LTDA</t>
  </si>
  <si>
    <t>ACOFER COMERCIO DE FERROS LTDA</t>
  </si>
  <si>
    <t>ACOMAN SOLUCOES EM ACO LTDA</t>
  </si>
  <si>
    <t>ACOMAQ IND DE MAQ E FERRAM EIRELI</t>
  </si>
  <si>
    <t>ACOMETAL COMERCIO FERRO E ACO LTDA</t>
  </si>
  <si>
    <t>ACOMETAL PROD SID LTDA</t>
  </si>
  <si>
    <t>ACONORTE COM DE FERRO ACO LTDA</t>
  </si>
  <si>
    <t>ACOPAIVA TUBOS E PERFIS LTDA</t>
  </si>
  <si>
    <t>ACOPLANO COM DE ACOS LTDA</t>
  </si>
  <si>
    <t>ACOS AMERICA LTDA</t>
  </si>
  <si>
    <t>ACOS CAMPO LARGO COM FERRO EIRELI</t>
  </si>
  <si>
    <t>ACOS CONTINENTAL LTDA</t>
  </si>
  <si>
    <t>ACOS CONTINENTE IND E COM LTDA</t>
  </si>
  <si>
    <t>ACOS CORTE LONDRINA COM DE ACOS E</t>
  </si>
  <si>
    <t>ACOS CWB COM DE FERRANGENS LTDA</t>
  </si>
  <si>
    <t>ACOS GRANJO COMERCIAL LTDA</t>
  </si>
  <si>
    <t>ACOS ITAPETININGA LTDA</t>
  </si>
  <si>
    <t>ACOS METALPLAN COM DIST DE ACO LTDA</t>
  </si>
  <si>
    <t>ACOS PAMPA LTDA</t>
  </si>
  <si>
    <t>ACOS PONTO COM COM DE PROD SIDEURG</t>
  </si>
  <si>
    <t>ACOS RENOX LTDA</t>
  </si>
  <si>
    <t>ACOS RETOS URANIO LTDA</t>
  </si>
  <si>
    <t>ADELAR HANKE</t>
  </si>
  <si>
    <t>ADELAR LUIS CENCI</t>
  </si>
  <si>
    <t>ADELAR LUIS ESCAIO</t>
  </si>
  <si>
    <t>ADELAR ZWIRTES</t>
  </si>
  <si>
    <t>ADELCINO MACHADO MASSIRER</t>
  </si>
  <si>
    <t>ADELIA PETROLLI FRAPORTI</t>
  </si>
  <si>
    <t>ADELINO LARA</t>
  </si>
  <si>
    <t>ADELIO AGOSTINHO FORNER</t>
  </si>
  <si>
    <t>ADELMO NUNES FERNADES</t>
  </si>
  <si>
    <t>ADELUZ SOLUCOES CONSTRUTIVAS LTDA</t>
  </si>
  <si>
    <t>ADEMAR AZIR ARNHOLDO</t>
  </si>
  <si>
    <t>ADEMAR LUIZ KRONBAUER</t>
  </si>
  <si>
    <t>ADEMIR JOSE PERSCH - EPP</t>
  </si>
  <si>
    <t>ADEMIR MULLER</t>
  </si>
  <si>
    <t>ADILOR ADAMS</t>
  </si>
  <si>
    <t>ADILSON MERLIM</t>
  </si>
  <si>
    <t>ADIR LUIZ SANDRI</t>
  </si>
  <si>
    <t>ADRIANA SILVEIRA FRANCA PAVANELLI</t>
  </si>
  <si>
    <t>ADRIANO ANTONIO TIECHER</t>
  </si>
  <si>
    <t>ADRIANO JOSE FABRO</t>
  </si>
  <si>
    <t>ADRIANO LOPES COUTINHO - BRINQUEDOS</t>
  </si>
  <si>
    <t>ADRIANO PILOTTI RESEMINI</t>
  </si>
  <si>
    <t>ADRIANO ROBERTO CARARD LANG</t>
  </si>
  <si>
    <t>AF COM DE ACOS E FERROS EIRELI</t>
  </si>
  <si>
    <t>AGCO DO BRASIL SOLUC AGRICOLAS LTDA</t>
  </si>
  <si>
    <t>AGI BRASIL INDUSTRIA E COMERCIO SA</t>
  </si>
  <si>
    <t>AGMAQ EQUIP E MONT INDUSTRIAIS LTD</t>
  </si>
  <si>
    <t>AGOSTINHO ZANOTTO</t>
  </si>
  <si>
    <t>AGRITECH LAVRALE IND DE MAQUINARIO</t>
  </si>
  <si>
    <t>AGRO FERRACINI CEREAIS EIRELI</t>
  </si>
  <si>
    <t>AGRO PECUARIA GATO DO MATO LTDA</t>
  </si>
  <si>
    <t>AGROBANDEIRA COM DE IMP E PROD AGR</t>
  </si>
  <si>
    <t>AGROBRASILCHEMICAL - COML EIRELI</t>
  </si>
  <si>
    <t>AGROCIVIL CONSTRUCOES LTDA</t>
  </si>
  <si>
    <t>AGRODOMUS COM DE INS AGRIC EIRELI</t>
  </si>
  <si>
    <t>AGROPEC SCHIO LTDA</t>
  </si>
  <si>
    <t>AGROPECUARIA DAL ROS LTDA</t>
  </si>
  <si>
    <t>AGROPECUARIA MACHADINHO S/A</t>
  </si>
  <si>
    <t>AGROSPE AGRO INDL S PEDRO DE VACA</t>
  </si>
  <si>
    <t>AGUA LIMPA POCOS ARTESIANOS LTDA</t>
  </si>
  <si>
    <t>AGUIA TUBOS COM IMP E EXP DE FERRO</t>
  </si>
  <si>
    <t>AGUIRRE ESTRUTURAS METALICAS LTDA</t>
  </si>
  <si>
    <t>AIRTON LUIZ GIRELLI</t>
  </si>
  <si>
    <t>AIRTON WILDE</t>
  </si>
  <si>
    <t>AIZ IND DE MAQ E IMPLEMENTOS LTDA</t>
  </si>
  <si>
    <t>AJGS IND COM IMP E EXP EIRELI ME</t>
  </si>
  <si>
    <t>AJR COMERCIAL EIRELI</t>
  </si>
  <si>
    <t>ALARMES PLASTIVISO INSTAL E COM LTD</t>
  </si>
  <si>
    <t>ALBERFLEX INDUSTRIA DE MOVEIS LTDA</t>
  </si>
  <si>
    <t>ALBERTO EDVINO ARNOLD</t>
  </si>
  <si>
    <t>ALCINDO ROMERO GONCALVES</t>
  </si>
  <si>
    <t>ALDAIR SCHIMANOWSKI</t>
  </si>
  <si>
    <t>ALDO BERNARDI</t>
  </si>
  <si>
    <t>ALDO MICHELS MEURER</t>
  </si>
  <si>
    <t>ALDONEI SEQUINATTO CORREA</t>
  </si>
  <si>
    <t>ALDORI BOEIRA CASAGRANDE</t>
  </si>
  <si>
    <t>ALENCAR UMBERTO MARION</t>
  </si>
  <si>
    <t>ALESSIO LUSSANI</t>
  </si>
  <si>
    <t>ALEX MILANI</t>
  </si>
  <si>
    <t>ALEX SANDRO NEVES BARRETO</t>
  </si>
  <si>
    <t>ALEXANDER VARIANI</t>
  </si>
  <si>
    <t>ALEXANDRE GOMES DOS SANTOS</t>
  </si>
  <si>
    <t>ALEXSON RICARDO DE JESUS</t>
  </si>
  <si>
    <t>ALFREDO CARLOS HEIDMANN</t>
  </si>
  <si>
    <t>ALICE GUIMARA PEREIRA ART DE MAD</t>
  </si>
  <si>
    <t>ALISSON MATEUS WRASSE</t>
  </si>
  <si>
    <t>ALISSON RUDINEI SCHMITT</t>
  </si>
  <si>
    <t>ALLIKON EQUIPAMENTOS AGRIC LTDA</t>
  </si>
  <si>
    <t>ALLITUBOS COM DE TUBOS E ACOS LTDA</t>
  </si>
  <si>
    <t>ALMIR LUIS KARLINSKI</t>
  </si>
  <si>
    <t>ALPINO IND METALURGICA LTDA</t>
  </si>
  <si>
    <t>ALTAIR DA ROSA</t>
  </si>
  <si>
    <t>ALTEMIR DA SILVA SERRALHERIA</t>
  </si>
  <si>
    <t>ALTERNATIVA LOC DE GALPOES LONADOS</t>
  </si>
  <si>
    <t>ALUFER S/A ESTRUTURAS METALICAS</t>
  </si>
  <si>
    <t>ALVOTEQ METALURGICA ALVORADA LTDA</t>
  </si>
  <si>
    <t>Movimentação</t>
  </si>
  <si>
    <t>ALZIRSE LISOT</t>
  </si>
  <si>
    <t>AMA TUBOS LTDA</t>
  </si>
  <si>
    <t>AMANCIO &amp; OLIVEIRA LTDA ME</t>
  </si>
  <si>
    <t>AMAQUEL IMPLEMENTOS AGRICOLAS LTDA</t>
  </si>
  <si>
    <t>AMAURI ANTUNES DA PORCIUNCULA</t>
  </si>
  <si>
    <t>AMAURI ARIBERTO HATJE</t>
  </si>
  <si>
    <t>AMBROSIO JERONIMO GENTARSKI</t>
  </si>
  <si>
    <t>AMC IND DE PECAS DECORATIVAS EIRELI</t>
  </si>
  <si>
    <t>AME COM VAREJ DE UTILID E PRESENTES</t>
  </si>
  <si>
    <t>AMPLA IND METALURGICA LTDA</t>
  </si>
  <si>
    <t>ANA CLAUDIA HOFFMANN DOS SANTOS</t>
  </si>
  <si>
    <t>ANA LAURA TRADA</t>
  </si>
  <si>
    <t>ANA LUISA BIGOLIN DA SILVEIRA</t>
  </si>
  <si>
    <t>ANDRE BAGGIO ANNIBELLI</t>
  </si>
  <si>
    <t>ANDRE CARMINATTI</t>
  </si>
  <si>
    <t>ANDRE IANKE</t>
  </si>
  <si>
    <t>ANDRE LUIS SEIFERT</t>
  </si>
  <si>
    <t>ANDRE MEDEIROS DA SILVA</t>
  </si>
  <si>
    <t>ANDREA DE FATIMA SOLES DA SILVA</t>
  </si>
  <si>
    <t>ANDREA MARIA DE SOUZA</t>
  </si>
  <si>
    <t>ANDRIOLI E BIANCHINI IND E COM LTDA</t>
  </si>
  <si>
    <t>ANFER COM DE FERRO E ACO LTDA</t>
  </si>
  <si>
    <t>ANGELO CONFUORTO NETO</t>
  </si>
  <si>
    <t>ANGELO PAULO PRZYBITOWICZ</t>
  </si>
  <si>
    <t>ANODILAR IND DE EQUIP GASTRONOM</t>
  </si>
  <si>
    <t>ANTONIO CARLOS RIVELINE</t>
  </si>
  <si>
    <t>ANTONIO GALAN NETO - METALURGICA</t>
  </si>
  <si>
    <t>ANTONIO TONDOLO</t>
  </si>
  <si>
    <t>ANTONIOSI TECNOLOGIA AGROINDL LTDA</t>
  </si>
  <si>
    <t>APPELSA S.A</t>
  </si>
  <si>
    <t>ARAL IND METAL MECANICA LTDA</t>
  </si>
  <si>
    <t>Cabinas / ROPS</t>
  </si>
  <si>
    <t>ARAMADOS MASUTTI COPAT LTDA</t>
  </si>
  <si>
    <t>ARAMAR INDUSTRIA E COMERCIO LTDA</t>
  </si>
  <si>
    <t>ARAMART INDUSTRIA DE ARAMADOS LTDA</t>
  </si>
  <si>
    <t>ARAMEFICIO CHAVANTES IND E COM LTDA</t>
  </si>
  <si>
    <t>ARAPOFER COM DE FERRO E ACO LTDA</t>
  </si>
  <si>
    <t>ARAUFER COMERCIO DE FERRAGENS LTDA</t>
  </si>
  <si>
    <t>ARCELORMITTAL GONVARRI BRASIL</t>
  </si>
  <si>
    <t>ARCIMOL PRE MOLD E CONST DE OBRAS</t>
  </si>
  <si>
    <t>ARI DOSSIN</t>
  </si>
  <si>
    <t>ARI SCHAURICH</t>
  </si>
  <si>
    <t>ARI TITTON</t>
  </si>
  <si>
    <t>ARJONAS CONSTR E INCORP LTDA</t>
  </si>
  <si>
    <t>ARKUS METALURGIA LTDA</t>
  </si>
  <si>
    <t>ARLINDO JOSE SCHUMANN</t>
  </si>
  <si>
    <t>ARLINDO LUDWIG &amp; CIA LTDA</t>
  </si>
  <si>
    <t>ARMATIC COMERCIO E INDUSTRIA LTDA</t>
  </si>
  <si>
    <t>ARMAZEM DO ACO LTDA</t>
  </si>
  <si>
    <t>ARMS ALIANCA COM DE PECAS PARA CA</t>
  </si>
  <si>
    <t>ARNALDO FORTUNA &amp; CIA LTDA</t>
  </si>
  <si>
    <t>ARNALDO HULLER</t>
  </si>
  <si>
    <t>ARNALDO SABATINI S R L</t>
  </si>
  <si>
    <t>ART7 IND METALURGICA LTDA</t>
  </si>
  <si>
    <t>ARTABAS ARTEF DE ARAME BASTOS LTDA</t>
  </si>
  <si>
    <t>ARTALI IND METALURGICA LTDA</t>
  </si>
  <si>
    <t>ARTE E ESTILO IND METALURG E SERR</t>
  </si>
  <si>
    <t>ARTHUR KRELLING DE ABREU GONCALVES</t>
  </si>
  <si>
    <t>ARTICO TADEU FAE</t>
  </si>
  <si>
    <t>ARUJAFER COM DE FERRAG LTDA - EPP</t>
  </si>
  <si>
    <t>ARY A CRESTANI &amp; CIA LTDA</t>
  </si>
  <si>
    <t>ASA IMPLEMENTOS LTDA</t>
  </si>
  <si>
    <t>ASBV INCORP E CONSTR EIRELI</t>
  </si>
  <si>
    <t>ASSIS PIRES TUBOS LTDA</t>
  </si>
  <si>
    <t>ASSOC CULT DE LINHA FRANCESA LTDA</t>
  </si>
  <si>
    <t>ASSOC MURIALDINAS DE SAO JOSE</t>
  </si>
  <si>
    <t>ASUS IND DE MAQ AGRIC LTDA ME</t>
  </si>
  <si>
    <t>ATENAS - ARTEF DE CONC E ACOS LTDA</t>
  </si>
  <si>
    <t>ATITUBOS COMERCIAL DE ACOS LTDA</t>
  </si>
  <si>
    <t>ATIVA DISPLAYS IND E COM DE ARTIGOS</t>
  </si>
  <si>
    <t>ATLANTA CONSTR E INCORP LTDA</t>
  </si>
  <si>
    <t>AUGUSTO EMERSON LARA</t>
  </si>
  <si>
    <t>AUGUSTO EMERSON LARA 00137624000</t>
  </si>
  <si>
    <t>AURUM CONST CIVIL IND E COM AGROP</t>
  </si>
  <si>
    <t>AUTO ADESIVOS PARANA SA</t>
  </si>
  <si>
    <t>AUTO POSTO AVIZ III LTDA</t>
  </si>
  <si>
    <t>AUTO POSTO BRAMBILA LTDA</t>
  </si>
  <si>
    <t>AUTOMASAFETY CONSULT IND E COM DE</t>
  </si>
  <si>
    <t>AVIACAO EMPREEND COMERCIAIS LTDA</t>
  </si>
  <si>
    <t>AVIARIO MORAES LTDA</t>
  </si>
  <si>
    <t>AVIBRASIL IND COM EQUIP AVICOLAS LT</t>
  </si>
  <si>
    <t>AVICOLA CARMINATTI LTDA</t>
  </si>
  <si>
    <t>AVISERRA SOLUCOES AMBIENTAIS LTDA</t>
  </si>
  <si>
    <t>AZS SOLUCOES E TECNOLOGIA LTDA EPP</t>
  </si>
  <si>
    <t>B K S IND COM DE MAQ LTDA</t>
  </si>
  <si>
    <t>B P CONSTR E METALURG MORAES LTDA</t>
  </si>
  <si>
    <t>B V IND METALURGICA EIRELI ME</t>
  </si>
  <si>
    <t>B.R.A IND E COM DE BALANCAS EIRELI</t>
  </si>
  <si>
    <t>B2 INDUSTRIA E COMERCIO LTDA - EPP</t>
  </si>
  <si>
    <t>BALANCAS MERCOSUL LTDA</t>
  </si>
  <si>
    <t>BALMAK INDUSTRIA E COMERCIO LTDA</t>
  </si>
  <si>
    <t>BARAO COM DE FERRO E ACO LTDA</t>
  </si>
  <si>
    <t>BARRACA DE HIERROS SAN MARTIN S.A</t>
  </si>
  <si>
    <t>BASTON INDUSTRIA DE AEROSSOIS LTDA</t>
  </si>
  <si>
    <t>BATISTA IZEPE - ADM DE BENS LTDA</t>
  </si>
  <si>
    <t>BC CONSTRUTORA LTDA</t>
  </si>
  <si>
    <t>BCF CONSTR E EMPREENDIMENTOS LTDA</t>
  </si>
  <si>
    <t>BEATRIZ DE CARVALHO PEREIRA</t>
  </si>
  <si>
    <t>BECKER TRATORES E IMPL EIRELI</t>
  </si>
  <si>
    <t>BECKHAUSER IND E COM DE EQUIP PEC</t>
  </si>
  <si>
    <t>BEIRA ALTA INDUSTRIAL LTDA</t>
  </si>
  <si>
    <t>BELENUS LTDA</t>
  </si>
  <si>
    <t>BELGO BEKAERT ARAMES LTDA</t>
  </si>
  <si>
    <t>BELLESKY IND COM IMP E EXP LTDA</t>
  </si>
  <si>
    <t>BELMAN COM DE ACOS LTDA</t>
  </si>
  <si>
    <t>BELO RIO METALURGICA LTDA</t>
  </si>
  <si>
    <t>BELTRAME COM DE MAT DE CONSTR LTDA</t>
  </si>
  <si>
    <t>BEMFATTO IND METALURG LTDA EPP</t>
  </si>
  <si>
    <t>BEN HUR ERHALDO TOMM</t>
  </si>
  <si>
    <t>BENPAR INDUSTRIA AGRICOLA LTDA</t>
  </si>
  <si>
    <t>BENTO BRASIL TRANSP E LOG LTDA</t>
  </si>
  <si>
    <t>BERA ARTESANATOS EIRELI</t>
  </si>
  <si>
    <t>BERKES ZONA FRANCA S.A.</t>
  </si>
  <si>
    <t>BERNARDO MAQUINAS INDUSTRIAIS LTDA</t>
  </si>
  <si>
    <t>BERTONI &amp; BECKER COM DE SUCATA LTDA</t>
  </si>
  <si>
    <t>BIG DUTCHMAN BRASIL LTDA</t>
  </si>
  <si>
    <t>BLASS COMPONENTES INDUSTRIAIS LTDA</t>
  </si>
  <si>
    <t>BM PAR EMPREENDIMENTOS S/A</t>
  </si>
  <si>
    <t>BNT EMPREENDIMENTOS LTDA</t>
  </si>
  <si>
    <t>BOFF IND DE AUTO PECAS LTDA</t>
  </si>
  <si>
    <t>BOFF PROJETOS E EDIFICACOES S/A</t>
  </si>
  <si>
    <t>BOLLERIA BOLOS CASEIROS EIRELI</t>
  </si>
  <si>
    <t>BOLZAN &amp; BAUMART LTDA</t>
  </si>
  <si>
    <t>BOLZAN MATERIAIS DE CONSTRUCAO LTDA</t>
  </si>
  <si>
    <t>BOM FACTORING FOMENTO COML LTDA</t>
  </si>
  <si>
    <t>BOM TEMPO INCORPORADORA LTDA</t>
  </si>
  <si>
    <t>BONACK &amp; SANCHES LTDA ME</t>
  </si>
  <si>
    <t>BONALDO &amp; BONALDO LTDA</t>
  </si>
  <si>
    <t>BONANI PREST DE SERV DE SERRALH LTD</t>
  </si>
  <si>
    <t>BONANI SANTIAGO LTDA</t>
  </si>
  <si>
    <t>BONASOLDI DISTR DE FERRAGENS FER E</t>
  </si>
  <si>
    <t>BORRACHARIA E SERRALH TORRECIJA LTD</t>
  </si>
  <si>
    <t>BORTOLINI LOCACOES DE ANDAIMES E</t>
  </si>
  <si>
    <t>BORTOLOTTO FERRO E ACO LTDA</t>
  </si>
  <si>
    <t>BOSS ESTRUTURA METALICA LTDA</t>
  </si>
  <si>
    <t>BP PRE MOLDADOS E CONSTR LTDA</t>
  </si>
  <si>
    <t>BPPPS EMPREEND IMOB SPE LTDA</t>
  </si>
  <si>
    <t>BR LASER IND E COM DE METAIS LTDA</t>
  </si>
  <si>
    <t>BR7 SISTEMAS DE ARMAZENAGEM LTDA</t>
  </si>
  <si>
    <t>BRACELL SP CELULOSE LTDA</t>
  </si>
  <si>
    <t>BRAESI EQUIP PARA ALIMENT LTDA</t>
  </si>
  <si>
    <t>BRAFER CONSTRUCOES METALICAS S/A</t>
  </si>
  <si>
    <t>BRAGANFER IND E COM DE FERRO E ACO</t>
  </si>
  <si>
    <t>BRAMBILA FERRO E ACO LTDA</t>
  </si>
  <si>
    <t>BRAMBILLA TRANSPORTES LTDA</t>
  </si>
  <si>
    <t>BRANSILOS IND E COM DE MAQ LTDA</t>
  </si>
  <si>
    <t>BRASFERTIL FERTILIZANTES LTDA ME</t>
  </si>
  <si>
    <t>BRASHOP SA ADM DE SHOPPING CENTER</t>
  </si>
  <si>
    <t>BRASIL AO CUBO S.A.</t>
  </si>
  <si>
    <t>BRASIL FERRO E ACO LTDA - ME</t>
  </si>
  <si>
    <t>BRASIL PEANUT LTDA</t>
  </si>
  <si>
    <t>BRASILSAT HARALD S/A</t>
  </si>
  <si>
    <t>BRATTI METAL MECANICA LTDA</t>
  </si>
  <si>
    <t>BRAULIO LICKS DA CRUZ</t>
  </si>
  <si>
    <t>BRAVO IND COM E SERV AUTOMOT LTDA</t>
  </si>
  <si>
    <t>BRESSAN IND E COM DE EMBALAGENS LTD</t>
  </si>
  <si>
    <t>BRIGHENTE IND E COM DE UTILID LTDA</t>
  </si>
  <si>
    <t>BRINOL SA</t>
  </si>
  <si>
    <t>BRITO ARTEFATOS DE CIMENTO LTDA</t>
  </si>
  <si>
    <t>BRS EQUIPAMENTOS AGRICOLAS EIRELI</t>
  </si>
  <si>
    <t>BRUDDEN EQUIPAMENTOS LTDA</t>
  </si>
  <si>
    <t>BRUDNA CONSTRUCOES E SERRALH LTDA</t>
  </si>
  <si>
    <t>BRUFA IND E COM DE MOV ESCOLARES LT</t>
  </si>
  <si>
    <t>BRUNING TECNOMETAL LTDA</t>
  </si>
  <si>
    <t>BRUNO MATHEUS BRESSAN BARIJAN EIRE</t>
  </si>
  <si>
    <t>BRUNO SPACKI - PERFILADOS</t>
  </si>
  <si>
    <t>BSD IMOVEIS EMPREEND E PART LTDA</t>
  </si>
  <si>
    <t>BSG FERRAGENS LTDA</t>
  </si>
  <si>
    <t>BTL IND E COM DE ACO LTDA</t>
  </si>
  <si>
    <t>BUDNY IND E COM EIRELI</t>
  </si>
  <si>
    <t>BULLA SINALIZACOES LTDA - ME</t>
  </si>
  <si>
    <t>BURG &amp; CIA LTDA</t>
  </si>
  <si>
    <t>BUSA INDUSTRIAL E COMERCIAL LTDA</t>
  </si>
  <si>
    <t>BUSCAINO PARTICIPACOES LTDA</t>
  </si>
  <si>
    <t>BUSSCAR DE COLOMBIA S.A.S</t>
  </si>
  <si>
    <t>C C S TECNOLOGIA E SERVICOS S.A.</t>
  </si>
  <si>
    <t>C H ROGGIA CONST LTDA</t>
  </si>
  <si>
    <t>C N MATEUS</t>
  </si>
  <si>
    <t>C S D CELICO - METALURGICA</t>
  </si>
  <si>
    <t>C VALE - COOPERATIVA AGROINDUSTRIAL</t>
  </si>
  <si>
    <t>C3 EQUIP PARA CONSTR CIVIL LTDA</t>
  </si>
  <si>
    <t>CABS INTERNATIONAL LTDA</t>
  </si>
  <si>
    <t>CADIOLI IMPLEMENTOS AGRICOLAS LTDA</t>
  </si>
  <si>
    <t>CAIO - INDUSCAR IND COM CARROC LTDA</t>
  </si>
  <si>
    <t>CALCADOS RAMARIM LTDA</t>
  </si>
  <si>
    <t>CALOI NORTE S/A</t>
  </si>
  <si>
    <t>CAMILA FATIMA CAVION</t>
  </si>
  <si>
    <t>CAMPAGNARO PECAS E ACESSORIOS LTDA</t>
  </si>
  <si>
    <t>CANGURI IND E COM DE CAMAS ELAST</t>
  </si>
  <si>
    <t>CANOS PLAZA S.R.L</t>
  </si>
  <si>
    <t>CANYOSUL-UTILIDADES DOMEST LTDA</t>
  </si>
  <si>
    <t>CAPELA COUROS IND E COMERCIO LTDA</t>
  </si>
  <si>
    <t>CARAJAS MATERIAL DE CONSTRUCAO LTDA</t>
  </si>
  <si>
    <t>CARBONIFERA BELLUNO LTDA</t>
  </si>
  <si>
    <t>CARBUSS IND CAT DE CARROCERIAS LTDA</t>
  </si>
  <si>
    <t>CARLOS ALBERTO BOFF</t>
  </si>
  <si>
    <t>CARLOS ALBERTO BOHRZ</t>
  </si>
  <si>
    <t>CARLOS AUGUSTO BARCELOS JACOBY</t>
  </si>
  <si>
    <t>CARLOS BECKER MET INDL LTDA</t>
  </si>
  <si>
    <t>CARLOS BECKER METALURGICA INDUSTRIA</t>
  </si>
  <si>
    <t>CARLOS HENRIQUE ABREU</t>
  </si>
  <si>
    <t>CARLOS ROBERTO SCHOLLES</t>
  </si>
  <si>
    <t>CARMELINDA DE FATIMA RECH</t>
  </si>
  <si>
    <t>CAROLAINE JANNKE</t>
  </si>
  <si>
    <t>CASA A INDUSTRIA DE MOVEIS LTDA</t>
  </si>
  <si>
    <t>CASA DAS ESQUADRIAS LTDA</t>
  </si>
  <si>
    <t>CASA DO ACO COM IMP E EXP LTDA</t>
  </si>
  <si>
    <t>CASA GRANDE IND DE ESQ LTDA ME</t>
  </si>
  <si>
    <t>CASA NOSTRA COM DE MAT DE CONSTR</t>
  </si>
  <si>
    <t>CASALE EQUIPAMENTOS LTDA</t>
  </si>
  <si>
    <t>CASEMIRO ADAO KOPECEHINSKI</t>
  </si>
  <si>
    <t>CASTELO ADM DE BENS E IMOV LTDA</t>
  </si>
  <si>
    <t>CASTERTECH FUNDIC E TECNOLOG LTDA</t>
  </si>
  <si>
    <t>CASTROACO COM DE FERRO E ACO LTDA</t>
  </si>
  <si>
    <t>CAVALETTI SA CADEIRAS PROFISSIONAIS</t>
  </si>
  <si>
    <t>CAZEN ADM E PARTICIP LTDA</t>
  </si>
  <si>
    <t>CCF IND DE COMP AUTOMOTIVOS LTDA</t>
  </si>
  <si>
    <t>CDR COMERCIAL DE ACOS LTDA</t>
  </si>
  <si>
    <t>CEDIBRA COMERCIO DE FERRAGENS LTDA</t>
  </si>
  <si>
    <t>CELSO BERNARDO &amp; CIA LTDA</t>
  </si>
  <si>
    <t>CELSO GIOVANI BUZETTO</t>
  </si>
  <si>
    <t>CEMIL TUBOS E CONEXOES LTDA</t>
  </si>
  <si>
    <t>CENTERVAL COMERCIAL LTDA</t>
  </si>
  <si>
    <t>CENTRALL DE FERROS METALURG HANSEN</t>
  </si>
  <si>
    <t>CENTURY COMERCIO DE TUBOS LTDA</t>
  </si>
  <si>
    <t>CEREALISTA AMIGOS DA TERRA LTDA</t>
  </si>
  <si>
    <t>CERON E FAILA LTDA</t>
  </si>
  <si>
    <t>CERVEJARIA PETROPOLIS S/A</t>
  </si>
  <si>
    <t>CESAR ALBERTO BORTONCELLO</t>
  </si>
  <si>
    <t>CESAR AUGUSTO CURRA</t>
  </si>
  <si>
    <t>CESTARI-INDL E COML S/A</t>
  </si>
  <si>
    <t>CF III LOGISTICA S.A.</t>
  </si>
  <si>
    <t>CF IV LOGISTICA S.A.</t>
  </si>
  <si>
    <t>CGC INDUSTRIA DE FOGAREIROS LTDA</t>
  </si>
  <si>
    <t>CHAPEMEC IND METALURGICA LTDA</t>
  </si>
  <si>
    <t>CHARLENE PNEUS LTDA</t>
  </si>
  <si>
    <t>CHICO TORNEARIA IND METALURG LTDA</t>
  </si>
  <si>
    <t>CHIPI IMPLEMENTOS RODOV LTDA EPP</t>
  </si>
  <si>
    <t>CIFERAL INDUSTRIA DE ONIBUS LTDA</t>
  </si>
  <si>
    <t>CINFEL COM E IND DE FERRAGENS LONDR</t>
  </si>
  <si>
    <t>CIPAR INCORP E ADM DE IMOVEIS LTDA</t>
  </si>
  <si>
    <t>CIPLAFE - COM E IND DE MOVEIS LTDA</t>
  </si>
  <si>
    <t>CLA HOME IND IMP E EXP LTDA</t>
  </si>
  <si>
    <t>CLADEMIR CLEMENTE KLEIN</t>
  </si>
  <si>
    <t>CLAITON HEME CUSTODIO 06974394969</t>
  </si>
  <si>
    <t>CLARICE ELETRODOMESTICOS LTDA</t>
  </si>
  <si>
    <t>CLAUDETE SPINELLI</t>
  </si>
  <si>
    <t>CLAUDIANE CAMARGO</t>
  </si>
  <si>
    <t>CLAUDINEI MARCOLINO CAMPOS</t>
  </si>
  <si>
    <t>CLAUDINEI SOARES DA ROCHA &amp; CIA LTD</t>
  </si>
  <si>
    <t>CLAUDIO BORTOLUZZI LTDA</t>
  </si>
  <si>
    <t>CLAUDIO ROSA DA SILVA</t>
  </si>
  <si>
    <t>CLAUDIO WENTZ &amp; CIA LTDA</t>
  </si>
  <si>
    <t>CLAUDIO ZAWATSKI</t>
  </si>
  <si>
    <t>CLAUDIOMAR GREGORY</t>
  </si>
  <si>
    <t>CLAYTON DE ALMEIDA MARCHINI EIRELI</t>
  </si>
  <si>
    <t>CLEAR PET IND COM DE PLASTICO LTDA</t>
  </si>
  <si>
    <t>CLEITON JOSE PASTERCHAK</t>
  </si>
  <si>
    <t>CLEOMAR RAZADOR</t>
  </si>
  <si>
    <t>CLG MATERIAIS ELETRICOS LTDA</t>
  </si>
  <si>
    <t>CLODOALDO CAMASSOLA</t>
  </si>
  <si>
    <t>CLUBE CAXIENSE DE CACA E TIRO</t>
  </si>
  <si>
    <t>CNH INDUSTRIAL BRASIL</t>
  </si>
  <si>
    <t>CNH INDUSTRIAL BRASIL LTDA</t>
  </si>
  <si>
    <t>COAGRU COOP AGROINDL UNIAO</t>
  </si>
  <si>
    <t>COCAMAR COOP AGROINDL</t>
  </si>
  <si>
    <t>COCAMAR COOPERATIVA AGROINDL</t>
  </si>
  <si>
    <t>COCARI - COOP AGROPEC E INDL</t>
  </si>
  <si>
    <t>COCARI COOP AGROP E INDL</t>
  </si>
  <si>
    <t>COESO CONCRETO ESTRU E OBRAS LTDA</t>
  </si>
  <si>
    <t>COFAMA IND E COM DE MAQ E EQUIP LTD</t>
  </si>
  <si>
    <t>COFERCAN COML FERROS CANOENSE LTDA</t>
  </si>
  <si>
    <t>COLINA JARD E COM DE PLANTAS LTDA</t>
  </si>
  <si>
    <t>COLOGNESE SOLUCOES LTDA</t>
  </si>
  <si>
    <t>COM DE FERRAGENS CANCAO EIRELI EPP</t>
  </si>
  <si>
    <t>COMEFER COML DE FERRO E ACO LTDA</t>
  </si>
  <si>
    <t>COMELATO RONCATO &amp; CIA LTDA</t>
  </si>
  <si>
    <t>COMERCIAL ACOFACIL LTDA</t>
  </si>
  <si>
    <t>COMERCIAL EXPORT MENEXPORT LTDA</t>
  </si>
  <si>
    <t>COMERCIAL IRMAOS PROVESI LTDA</t>
  </si>
  <si>
    <t>COMERCIAL JC LTDA ME</t>
  </si>
  <si>
    <t>COMERCIO DE FERRO ACO COTUVEL LTDA</t>
  </si>
  <si>
    <t>COMERCIO DE FERRO E ACO KOPP LTDA</t>
  </si>
  <si>
    <t>COMERCIO DE FERROS SAO JOAO LTDA</t>
  </si>
  <si>
    <t>COMERINE COM DE FERRO E ACO LTDA</t>
  </si>
  <si>
    <t>COMIL ONIBUS S/A</t>
  </si>
  <si>
    <t>COMIL SILOS E SECADORES LTDA</t>
  </si>
  <si>
    <t>COML DE FERROS CAXIAS LTDA</t>
  </si>
  <si>
    <t>COML FERROS COBALCHINI LTDA</t>
  </si>
  <si>
    <t>COML ZARAGOZA IMP E EXP LTDA</t>
  </si>
  <si>
    <t>COMPANHIA MELHORAMENTOS NORTE DO</t>
  </si>
  <si>
    <t>COMPANHIA ZAFFARI COM E IND</t>
  </si>
  <si>
    <t>COMPARSI IND DE MOV LTDA</t>
  </si>
  <si>
    <t>COMPOMAQ IND DE MAQ PARA BEBIDAS</t>
  </si>
  <si>
    <t>CONCI TURISMO E EVENTOS LTDA</t>
  </si>
  <si>
    <t>CONCREACO DA AMAZONIA LTDA</t>
  </si>
  <si>
    <t>CONCRETOS ITAIPU LTDA - EPP</t>
  </si>
  <si>
    <t>COND RESIDENCIAL SPAZIO LYON</t>
  </si>
  <si>
    <t>COND RESIDL ANTONIO BRANDELLI</t>
  </si>
  <si>
    <t>COND RESIDL CANADA PARK</t>
  </si>
  <si>
    <t>COND RESIDL SPAZIO LA TRAVIATA</t>
  </si>
  <si>
    <t>CONDOMINIO EDIFICIO VIAREGGIO</t>
  </si>
  <si>
    <t>CONDOMINIO LAGOA DA PRATA</t>
  </si>
  <si>
    <t>CONDOMINIO LAGOA SANTA</t>
  </si>
  <si>
    <t>CONDOMINIO NOVO SHOPPING 585</t>
  </si>
  <si>
    <t>CONDOMINIO RESIDENCIAL LANIN</t>
  </si>
  <si>
    <t>CONFECCOES VANELISE LTDA</t>
  </si>
  <si>
    <t>CONSILOS INDUSTRIAL LTDA</t>
  </si>
  <si>
    <t>CONSMETAL IND METALURGICA LTDA</t>
  </si>
  <si>
    <t>CONSOMI ROPELATO E CIA LTDA</t>
  </si>
  <si>
    <t>CONSTRUCASA SOLUC EM ACAB LTDA</t>
  </si>
  <si>
    <t>CONSTRUCOES METALIC NACIONAL LTDA</t>
  </si>
  <si>
    <t>CONSTRUCOES RMM LTDA</t>
  </si>
  <si>
    <t>CONSTRUTORA CDF LTDA</t>
  </si>
  <si>
    <t>CONSTRUTORA CHENARQ LTDA</t>
  </si>
  <si>
    <t>CONSTRUTORA FAIZ EIRELI EPP</t>
  </si>
  <si>
    <t>CONSTRUTORA IJUI LTDA</t>
  </si>
  <si>
    <t>CONSTRUTORA ZAVAREZZI LTDA</t>
  </si>
  <si>
    <t>CONSTRUVIL CONSTR E INST VILH LTDA</t>
  </si>
  <si>
    <t>COOP AGROPEC DE SAO SEPE LTDA</t>
  </si>
  <si>
    <t>COOP CRED POUP INVEST REG ALTOS SER</t>
  </si>
  <si>
    <t>COOP SANTA CLARA LTDA</t>
  </si>
  <si>
    <t>COOPAVEL COOP AGROINDUSTRIAL</t>
  </si>
  <si>
    <t>COOPERATIVA DALIA ALIMENTOS LTDA</t>
  </si>
  <si>
    <t>COOPERATIVA DE CREDITO LITORANEA</t>
  </si>
  <si>
    <t>COOPERATIVA MISTA SAO LUIZ LTDA</t>
  </si>
  <si>
    <t>COOPERATIVA SANTA CLARA LTDA</t>
  </si>
  <si>
    <t>COPAZ UTENSILIOS LTDA</t>
  </si>
  <si>
    <t>COPECAR IND E COM PECAS AGRIC LTDA</t>
  </si>
  <si>
    <t>COPERFIL IND E COM DE PERFILAD LTDA</t>
  </si>
  <si>
    <t>COPPERSAL INDUSTRIA QUIMICA LTDA</t>
  </si>
  <si>
    <t>COREMA IND DE MADEIRAS LTDA</t>
  </si>
  <si>
    <t>CORP LIGHT IND E COMERCIO EIRELI</t>
  </si>
  <si>
    <t>CORREA &amp; MATTIONI INDA METALURG</t>
  </si>
  <si>
    <t>COSMOFER COM DE FERROS LTDA</t>
  </si>
  <si>
    <t>COSTAFERRO COSTA TEIXEIRA FERRO E</t>
  </si>
  <si>
    <t>COSTAFERRO OURINHOS FER E ACO LTDA</t>
  </si>
  <si>
    <t>CRAMARO BRASIL IMPL RODOV LTDA</t>
  </si>
  <si>
    <t>CRB COM DE FERRO e AÇO  LTDA ME</t>
  </si>
  <si>
    <t>CRENLO DO BRASIL ENG DE CABINES LTD</t>
  </si>
  <si>
    <t>CROCOLI INDUSTRA METALURGICA LTDA</t>
  </si>
  <si>
    <t>CRUZ COML E REP LTDA</t>
  </si>
  <si>
    <t>CSM COMP SIST E MAQ P CONSTR LTDA</t>
  </si>
  <si>
    <t>CSM IND E COM DE FOGOES LTDA</t>
  </si>
  <si>
    <t>CTG TROPEIRO DA SERRA</t>
  </si>
  <si>
    <t>CTS COMERCIO DE APARAS LTDA</t>
  </si>
  <si>
    <t>CUSIN COM DE VEICULOS LTDA</t>
  </si>
  <si>
    <t>CYFER COMERCIO DE FERROS EIRELI</t>
  </si>
  <si>
    <t>D M B MAQUINAS E IMPLEMENTOS AGRICO</t>
  </si>
  <si>
    <t>D METAL SOLUCOES METALICAS LTDA</t>
  </si>
  <si>
    <t>D OFFICE MOVEIS LTDA</t>
  </si>
  <si>
    <t>D V J HOLDING LTDA</t>
  </si>
  <si>
    <t>DAC - DISTR DE ALIM CUIABA LTDA</t>
  </si>
  <si>
    <t>DAGAN IND E COM DE PROD SIDERURG LT</t>
  </si>
  <si>
    <t>DAIANA RISSON</t>
  </si>
  <si>
    <t>DAIANE GUAZZALLI BONATTO BRIDI</t>
  </si>
  <si>
    <t>DAL PRINT IMPRESSOES GRAFICAS LTDA</t>
  </si>
  <si>
    <t>DALCA ROBOTICA LTDA ME</t>
  </si>
  <si>
    <t>DALE CONSTR E INCORPORACOES LTDA</t>
  </si>
  <si>
    <t>DALPAN IND DE MAQUINAS LTDA</t>
  </si>
  <si>
    <t>DALZOCHIO INDUSTRIA DE PAPEIS LTDA</t>
  </si>
  <si>
    <t>DANIEL ANGELO ZATTERA MILESI</t>
  </si>
  <si>
    <t>DANIEL DE ANDRADE ZIEBELL</t>
  </si>
  <si>
    <t>DANIEL DE FREITAS REIS</t>
  </si>
  <si>
    <t>DANIEL JOAO BRIDI</t>
  </si>
  <si>
    <t>DANIEL LONGO</t>
  </si>
  <si>
    <t>DANIEL MORRO</t>
  </si>
  <si>
    <t>DANIEL RICARDO HEIDRICH</t>
  </si>
  <si>
    <t>DANILO RODRIGUES SANTOS</t>
  </si>
  <si>
    <t>DANNIEL MOREIRA BATISTA ACO E ACESS</t>
  </si>
  <si>
    <t>DARCI CHIARELLO</t>
  </si>
  <si>
    <t>DARCI DIAS</t>
  </si>
  <si>
    <t>DARCI WITZKE</t>
  </si>
  <si>
    <t>DE ROSSI IND E COM DE MAQ E IMPL</t>
  </si>
  <si>
    <t>DELGA INDUSTRIA E COMERCIO S/A</t>
  </si>
  <si>
    <t>DELMAR BRUCHEZ</t>
  </si>
  <si>
    <t>DELSI FELLINI DE MARI</t>
  </si>
  <si>
    <t>DELTA ACOS COM DE LAMINADOS LTDA</t>
  </si>
  <si>
    <t>DENADAI E PEREIRA IND E COM PEC LTD</t>
  </si>
  <si>
    <t>DENARIO EMPREEND IMOB 01 LTDA</t>
  </si>
  <si>
    <t>DERIO ROST &amp; CIA LTDA</t>
  </si>
  <si>
    <t>DEZANET &amp; SOUZA LTDA</t>
  </si>
  <si>
    <t>DG AGGRO COM DE MAT HIDR EIRELI</t>
  </si>
  <si>
    <t>DIARC ENGENHARIA E PRE-FABRIC LTDA</t>
  </si>
  <si>
    <t>DICARFLEX IND E COM DE MOVEIS PARA</t>
  </si>
  <si>
    <t>DICARLO COM VAREJ E ATACAD DE MOV</t>
  </si>
  <si>
    <t>DICARLO MOVEIS E ACESS PARA CASA</t>
  </si>
  <si>
    <t>DIEGO DE KASSIO BASTIAN</t>
  </si>
  <si>
    <t>DIEGO DUARTE COSTA AZEVEDO EIRELI</t>
  </si>
  <si>
    <t>DIEGO FAGAN LTDA</t>
  </si>
  <si>
    <t>DIETER ROESE</t>
  </si>
  <si>
    <t>DIFERRAL - DIST DE FERRO E ACO LTDA</t>
  </si>
  <si>
    <t>DIFERRO ACOS ESPECIAIS LTDA</t>
  </si>
  <si>
    <t>DIGINARO ROHR</t>
  </si>
  <si>
    <t>DILASOL S.A.</t>
  </si>
  <si>
    <t>DILMAR BITTENCOURT RODRIGUES</t>
  </si>
  <si>
    <t>DIMEC IND METALURG IMP E EXP LTDA</t>
  </si>
  <si>
    <t>DINAMIKA IND E COM DE EQUIP AGRIC L</t>
  </si>
  <si>
    <t>DIOGO VEIGA DA SILVEIRA SERRALHERIA</t>
  </si>
  <si>
    <t>DIOGO VENDRUSCOLO</t>
  </si>
  <si>
    <t>DIONATAN KETZER KRYSCZUN</t>
  </si>
  <si>
    <t>DIONEIDE DA COSTA PEREIRA</t>
  </si>
  <si>
    <t>DIRCEU BINDA</t>
  </si>
  <si>
    <t>DIRCEU FABIAN</t>
  </si>
  <si>
    <t>DISTR DE ACOS E METAIS TUBOMETAL LT</t>
  </si>
  <si>
    <t>DITUAL DISTRIB DE TUBOS E ACOS LTDA</t>
  </si>
  <si>
    <t>DITUAL SAO PAULO DISTRIB DE TUBOS E</t>
  </si>
  <si>
    <t>DIVIMEC TECNOLOGIA INDL LTDA</t>
  </si>
  <si>
    <t>DNE TRANSPORTES EIRELI</t>
  </si>
  <si>
    <t>DOMO INDUSTRIA DE MAQUINAS EIRELI</t>
  </si>
  <si>
    <t>DOMPEL IND PLASTICA E METALURG LTDA</t>
  </si>
  <si>
    <t>DONADA ALIMENTOS LTDA -ME</t>
  </si>
  <si>
    <t>DORVO IND E COM LTDA</t>
  </si>
  <si>
    <t>DOUGLAS PICCOLI</t>
  </si>
  <si>
    <t>DPS DISTRIB DE PROD SIDERURG LTDA</t>
  </si>
  <si>
    <t>DREAM INDUSTRIA E COMERCIO LTDA</t>
  </si>
  <si>
    <t>DREHER ESQ E VIDR TEMP COM IND EIRE</t>
  </si>
  <si>
    <t>DRYERATION IND COM E PROJETOS LTDA</t>
  </si>
  <si>
    <t>DSA PRE MOLDADOS LTDA</t>
  </si>
  <si>
    <t>DUBAUTO VEICULOS LTDA</t>
  </si>
  <si>
    <t>DUGALE METALURGICA LTDA</t>
  </si>
  <si>
    <t>DUNICK MULTFORM METAIS &amp; PRODUTOS</t>
  </si>
  <si>
    <t>DUO COMUNICACAO VISUAL LTDA</t>
  </si>
  <si>
    <t>DUTRATUBOS PROD SIDERURG LTDA</t>
  </si>
  <si>
    <t>DW SOLUCOES PARA TRANSP VERTICAL</t>
  </si>
  <si>
    <t>DWD - SOLUCOES EM EQUIP PARA ELEV</t>
  </si>
  <si>
    <t>E C GUADANHIN - MAQ E EQUIP EIRELI</t>
  </si>
  <si>
    <t>E M COLLI EIRELI</t>
  </si>
  <si>
    <t>E MAZIN INDUSTRIAL AGRICOLA</t>
  </si>
  <si>
    <t>E R AMANTINO IND METALURG LTDA</t>
  </si>
  <si>
    <t>E. DOS SANTOS OLIVEIRA</t>
  </si>
  <si>
    <t>EAA EQUIP AUTOMOT ARAUCARIA LTDA</t>
  </si>
  <si>
    <t>ECHER &amp; CIA LTDA</t>
  </si>
  <si>
    <t>ECO AVES IND E COM DE EQUIP AVIC LT</t>
  </si>
  <si>
    <t>ECO PB SOLAR ESTR P PAINEIS SOLARES</t>
  </si>
  <si>
    <t>ECOAGRICOLA IND E COM DE EQUIP LTDA</t>
  </si>
  <si>
    <t>ECOSIDER PROD SIDERURGICOS LTDA</t>
  </si>
  <si>
    <t>EDER EHRHARDT</t>
  </si>
  <si>
    <t>EDER FRANCISCO BOIJINK</t>
  </si>
  <si>
    <t>EDEVALDO PEREIRA PIRES</t>
  </si>
  <si>
    <t>EDIMAR CEOLIN</t>
  </si>
  <si>
    <t>EDIO ANTONIO PAPALIA</t>
  </si>
  <si>
    <t>EDIO GIANLPPI</t>
  </si>
  <si>
    <t>EDMILSON GUSTAVO GEHLEN</t>
  </si>
  <si>
    <t>EDNA MONTEIRO DE ASSIS</t>
  </si>
  <si>
    <t>EDREAZZA IND DE AUTOPECAS LTDA EPP</t>
  </si>
  <si>
    <t>EDSON IVAN HELLER BRANDEMBURG</t>
  </si>
  <si>
    <t>EDU MORAES</t>
  </si>
  <si>
    <t>EDUARDO FACHIN</t>
  </si>
  <si>
    <t>EDUARDO MEGGIOLARO</t>
  </si>
  <si>
    <t>EDUCAR INDUSTRIA DE MOVEIS LTDA</t>
  </si>
  <si>
    <t>EGON PATZER</t>
  </si>
  <si>
    <t>EIFFEL COM E IND DE FERROS LTDA</t>
  </si>
  <si>
    <t>EISENFER TUBOS E ACOS LTDA</t>
  </si>
  <si>
    <t>EIT CALDEIRARIA LTDA</t>
  </si>
  <si>
    <t>EJA EMPREEND IMOBILIARIOS LTDA</t>
  </si>
  <si>
    <t>EKT INDUSTRIAL LTDA</t>
  </si>
  <si>
    <t>ELDER ROCHA JUNIOR</t>
  </si>
  <si>
    <t>ELENIR DONATONI BARBOSA</t>
  </si>
  <si>
    <t>ELETRIBEL POCOS ARTESIANOS LTDA</t>
  </si>
  <si>
    <t>ELETRO METALURGICA VENTI-DELTA LTDA</t>
  </si>
  <si>
    <t>ELETROTUBOS IND METALURG LTDA</t>
  </si>
  <si>
    <t>ELETROVALE METALURGICA LTDA</t>
  </si>
  <si>
    <t>ELEVNORTE ELEVADORES EIRELI</t>
  </si>
  <si>
    <t>ELGIN S/A</t>
  </si>
  <si>
    <t>ELIMAR HILDEBRANDT</t>
  </si>
  <si>
    <t>ELIO ESCOBAR MIRANDA</t>
  </si>
  <si>
    <t>ELISEU FERNANDO TELLI</t>
  </si>
  <si>
    <t>ELOA KAREN DAVANCO</t>
  </si>
  <si>
    <t>ELOI ADEMAR DOS SANTOS</t>
  </si>
  <si>
    <t>ELOI LUIZ PIETROBELLI</t>
  </si>
  <si>
    <t>ELOI SANDRO COPETTI</t>
  </si>
  <si>
    <t>ELOSUL TRANSPORTES LTDA</t>
  </si>
  <si>
    <t>ELTON FERNANDO EICKHOFF</t>
  </si>
  <si>
    <t>ELTON METZ</t>
  </si>
  <si>
    <t>ELVIO RECLISKI SCHMIDT EIRELI</t>
  </si>
  <si>
    <t>EM-TEC INDUSTRIA METALURGICA LTDA</t>
  </si>
  <si>
    <t>EMA MAXIBUS IND CARROC E EQUIP EIRE</t>
  </si>
  <si>
    <t>EMBALAGENS M AUGUSTO BONATTO LTDA</t>
  </si>
  <si>
    <t>EMERSON DE CASTRO RODRIGUES</t>
  </si>
  <si>
    <t>EMERSON MACHADO PORTO 03022322062</t>
  </si>
  <si>
    <t>EMESUL EQUIPAMENTOS EIRELI</t>
  </si>
  <si>
    <t>EMIBRA IND COM DE EMBALAGENS LTDA</t>
  </si>
  <si>
    <t>EMOTION WATER SLIDES IND E COM DE</t>
  </si>
  <si>
    <t>EMPR IMOB VARGEM GRANDE PAULISTA LT</t>
  </si>
  <si>
    <t>EMPREITEIRA BRUSKI LTDA</t>
  </si>
  <si>
    <t>ENCAIXE PRE-MOLDADOS EIRELI</t>
  </si>
  <si>
    <t>ENG METAL METALURGICA LTDA</t>
  </si>
  <si>
    <t>ENGELUZ ILUMINACAO E ELETRECIDADE</t>
  </si>
  <si>
    <t>ENGEMARKO PRE-MOLDADOS LTDA</t>
  </si>
  <si>
    <t>ENGENHO SANTO ANTONIO MADEIRA LTDA</t>
  </si>
  <si>
    <t>ENGEPAR IND E COM DE EST E INST COM</t>
  </si>
  <si>
    <t>ENGESEG MR SERV DE PREV E COMBATE</t>
  </si>
  <si>
    <t>ENGETOLEDO PRE MOLD E ESTR METALIC</t>
  </si>
  <si>
    <t>ENGETOM CONSTRUCAO CIVIL LTDA</t>
  </si>
  <si>
    <t>ENGINEERING COM REPR MAQ TECNOLOGIA</t>
  </si>
  <si>
    <t>ENOR WAZLAWICK</t>
  </si>
  <si>
    <t>ENTEC - ENGENHARIA TECNICA LTDA</t>
  </si>
  <si>
    <t>ERNESTO BECKER</t>
  </si>
  <si>
    <t>ESAMETAL IND DE ESTRUT MET EIRELI</t>
  </si>
  <si>
    <t>ESPACO SR MANOEL LTDA - ME</t>
  </si>
  <si>
    <t>ESPRINAFER COM FERRO E ACESS LTDA</t>
  </si>
  <si>
    <t>ESQUADRIAS BAIANA LTDA</t>
  </si>
  <si>
    <t>ESQUADRILAR ESQUADRIAS METALICAS LT</t>
  </si>
  <si>
    <t>ESTELA MARIS SCHMIDT BOMBARDIERI</t>
  </si>
  <si>
    <t>ESTEVAN P DELGADO ESCARMANHANI</t>
  </si>
  <si>
    <t>ESTRUTURAS METALICAS LITORAL LTDA</t>
  </si>
  <si>
    <t>ETHOS METALURGICA LTDA</t>
  </si>
  <si>
    <t>EUCLIDES APARECIDO HESPANHOL</t>
  </si>
  <si>
    <t>EUROACOS COM DE FERRO E ACO LTDA</t>
  </si>
  <si>
    <t>EUROGALVANO DO BRASIL LTDA</t>
  </si>
  <si>
    <t>EVA DE LIMA LEONI</t>
  </si>
  <si>
    <t>EVANDRO PIMENTEL MARCIANO</t>
  </si>
  <si>
    <t>EVANGELISTA &amp; FREIRE LTDA EPP</t>
  </si>
  <si>
    <t>EVERSON ZOTTI</t>
  </si>
  <si>
    <t>EVERTON ANDRE SCHNEIDER</t>
  </si>
  <si>
    <t>EVILASIO HEIDEMANN</t>
  </si>
  <si>
    <t>EXPOMIL EXPOSITORES LTDA</t>
  </si>
  <si>
    <t>EXPOSITORES AELLI LTDA</t>
  </si>
  <si>
    <t>EXPOSITORES AELLI LTDA - ME</t>
  </si>
  <si>
    <t>EZATA INDUSTRIAL LTDA</t>
  </si>
  <si>
    <t>EZEQUIEL VANIN</t>
  </si>
  <si>
    <t>F Q C SILVA COM IMP &amp; EXP EIRELI</t>
  </si>
  <si>
    <t>F VACHILESKI &amp; CIA LTDA</t>
  </si>
  <si>
    <t>F. E. PEREIRA UTILIDADES DOMESTICAS</t>
  </si>
  <si>
    <t>F.C. PICCINATO - COMP PARA MOVEIS</t>
  </si>
  <si>
    <t>FAB NAC DE AMORTECEDORES LTDA</t>
  </si>
  <si>
    <t>FABIANA REGINA SCHULTZ</t>
  </si>
  <si>
    <t>FABIO CACCO</t>
  </si>
  <si>
    <t>FABIO PORTOLAN</t>
  </si>
  <si>
    <t>FABRICIO ZARTH</t>
  </si>
  <si>
    <t>FABRIMETAL METALURGICA LTDA</t>
  </si>
  <si>
    <t>FACCHINI S/A</t>
  </si>
  <si>
    <t>FAM METAL IND METAL MECANICA LTDA</t>
  </si>
  <si>
    <t>FANTE INDUSTRIA DE BEBIDAS LTDA</t>
  </si>
  <si>
    <t>FAST ARIAM EQUIPAMENTOS LTDA</t>
  </si>
  <si>
    <t>FATIMA AP MERLIM BARRETO COM DE FER</t>
  </si>
  <si>
    <t>FAVIFER COM DE FERRO E ACO EIRELI</t>
  </si>
  <si>
    <t>FEBRUCE CONSTRUCOES EM ACO LTDA</t>
  </si>
  <si>
    <t>FECHADURAS METAL VOUGA IND E COM LT</t>
  </si>
  <si>
    <t>FELICIA I E SIMON METALURG EIRELI</t>
  </si>
  <si>
    <t>FELIPE DALSOCHIO RIBAS FALCI</t>
  </si>
  <si>
    <t>FEMAC IND DE ARTEFEFATOS DE CIMENTO</t>
  </si>
  <si>
    <t>FEMMIL METALURG E SERV LTDA ME</t>
  </si>
  <si>
    <t>FERCAM FERRAGENS CAMBIRA LTDA - ME</t>
  </si>
  <si>
    <t>FERCAMP COM DE METAIS LTDA</t>
  </si>
  <si>
    <t>FERNANDA CHIARELO</t>
  </si>
  <si>
    <t>FERNANDES JOAO VENDRIGO</t>
  </si>
  <si>
    <t>FERNANDO EZEQUIEL WINTER</t>
  </si>
  <si>
    <t>FERNANDO GARCIA BORSATTO</t>
  </si>
  <si>
    <t>FERNANDO ROCHEMBACH ORTIZ</t>
  </si>
  <si>
    <t>FERNANDO TONINI</t>
  </si>
  <si>
    <t>FERRACO FERRO E ACO LTDA</t>
  </si>
  <si>
    <t>FERRAGEM HORBACH LTDA</t>
  </si>
  <si>
    <t>FERRAGENS BRAGA LTDA ME</t>
  </si>
  <si>
    <t>FERRAGENS GS IND ACESS EIRELI EP</t>
  </si>
  <si>
    <t>FERRAGENS KM LTDA</t>
  </si>
  <si>
    <t>FERRARI &amp; SOUSA IND E COM DE CANO</t>
  </si>
  <si>
    <t>FERRO VELHO BIM RIO PRETO LTDA</t>
  </si>
  <si>
    <t>FERRO VELHO ITURAMA LTDA - EPP</t>
  </si>
  <si>
    <t>FERRO VELHO SAO PAULO LTDA</t>
  </si>
  <si>
    <t>FERRO VELHO VOTUPORANGA LTDA</t>
  </si>
  <si>
    <t>FERROBRAS COM DE FERRO E ACO EIRELI</t>
  </si>
  <si>
    <t>FERROMIL COM DA LINHA METAL MEC LTD</t>
  </si>
  <si>
    <t>FERRONOR COM DE FERRO E ACO LTDA</t>
  </si>
  <si>
    <t>FERROS BONAMIGO LTDA</t>
  </si>
  <si>
    <t>FERROSUL COM DE FERROS LTDA</t>
  </si>
  <si>
    <t>FF MOVEIS LTDA</t>
  </si>
  <si>
    <t>FIASUL INDUSTRIA DE FIOS LTDA</t>
  </si>
  <si>
    <t>FIBRAS STIVAL LTDA - ME</t>
  </si>
  <si>
    <t>FINCA LA CELIA S.A.</t>
  </si>
  <si>
    <t>FIREBRASS COM DE ART E SIST CONTRA</t>
  </si>
  <si>
    <t>FISCAL TECNOLOGIA E AUTOM LTDA</t>
  </si>
  <si>
    <t>FITESA NAOTECIDOS S/A</t>
  </si>
  <si>
    <t>FIVER METALURGICA LTDA</t>
  </si>
  <si>
    <t>FK GRUPO S/A</t>
  </si>
  <si>
    <t>FLAVIO PEREIRA RAMOS</t>
  </si>
  <si>
    <t>FLAVIO PIZZATO</t>
  </si>
  <si>
    <t>FLECHA DE LOS ANDES</t>
  </si>
  <si>
    <t>FLEXTRONICS INTL TECNOLOGIA LTDA</t>
  </si>
  <si>
    <t>FLUVIMAR BARCOS E LANCHAS EIRELI</t>
  </si>
  <si>
    <t>FOCA MOBILIDADE DO BRASIL LTDA</t>
  </si>
  <si>
    <t>FOCKINK INDUSTRIAS ELETRICAS LTDA</t>
  </si>
  <si>
    <t>FOCO AGRICOLA LTDA</t>
  </si>
  <si>
    <t>FOGO E FOGO INDUSTRIAL LTDA</t>
  </si>
  <si>
    <t>FORBAL IND AUTOMOTIVE LTDA ME</t>
  </si>
  <si>
    <t>FORJACO SIST CONTRUT METALIC LTDA</t>
  </si>
  <si>
    <t>FORMAF IND E COM DE METAIS LTDA</t>
  </si>
  <si>
    <t>FORT CAR REBOQUES LTDA</t>
  </si>
  <si>
    <t>FORT METALURGICA E ALUMINIO LTDA</t>
  </si>
  <si>
    <t>FORTACO FERRO E ACO LTDA</t>
  </si>
  <si>
    <t>FORTCALHAS ENG - COB E GALPOES LTDA</t>
  </si>
  <si>
    <t>FORTESOLO SERV INTEGRADOS SA</t>
  </si>
  <si>
    <t>FORTEX IND METALURGICA LTDA</t>
  </si>
  <si>
    <t>FORTLINE IND E COM DE MOVEIS LTDA</t>
  </si>
  <si>
    <t>FRANCISCO BONIATTI</t>
  </si>
  <si>
    <t>FRANCISCO MARTINELLO</t>
  </si>
  <si>
    <t>FRANCISCO SEVERO ALVES</t>
  </si>
  <si>
    <t>FRANCISCO TOREZAN &amp; FILHOS LTDA</t>
  </si>
  <si>
    <t>FRANCISCO WROBEL</t>
  </si>
  <si>
    <t>FRAVI IND E COM DE EQUIP AGRIC LTDA</t>
  </si>
  <si>
    <t>FREE ACTION MONTADORA DE BICICLETAS</t>
  </si>
  <si>
    <t>FRONZA ARAMADOS LTDA</t>
  </si>
  <si>
    <t>FROTA BRASIL EQUIP ROD EIRELI</t>
  </si>
  <si>
    <t>FUHR ADM DE BENS E SERVICOS LTDA</t>
  </si>
  <si>
    <t>FUNDACAO PIO XII</t>
  </si>
  <si>
    <t>FUNDIMASA IND METALURGICA LTDA</t>
  </si>
  <si>
    <t>FURLAN COM DE FERROS E FERRAG LTDA</t>
  </si>
  <si>
    <t>FUSOPAR PARAFUSOS LTDA</t>
  </si>
  <si>
    <t>FW6 EMPREEND IMOB SA</t>
  </si>
  <si>
    <t>G A PEREIRA - PECAS ME</t>
  </si>
  <si>
    <t>G G L EQUIPAMENTOS INDUSTRIAIS LTDA</t>
  </si>
  <si>
    <t>G P AIRES EIRELI</t>
  </si>
  <si>
    <t>G PANIZ IND DE EQUIP PARA ALIM LTDA</t>
  </si>
  <si>
    <t>G R FERREIRA ESTR METALICAS ME</t>
  </si>
  <si>
    <t>G S IND METALURGICA LTDA</t>
  </si>
  <si>
    <t>G-SILOS IND DE EQUIP AGRIC LTDA</t>
  </si>
  <si>
    <t>G. POSE S. R. L</t>
  </si>
  <si>
    <t>GABB IND DE ESCAPAMENTOS LTDA</t>
  </si>
  <si>
    <t>GABE &amp; PASTRO IND E COM DE EQUIP</t>
  </si>
  <si>
    <t>GABRIEL LISBOA PORTO</t>
  </si>
  <si>
    <t>GABRIEL PEGORARO</t>
  </si>
  <si>
    <t>GABRIEL PENTEADO</t>
  </si>
  <si>
    <t>GABRIEL ZOTTIS</t>
  </si>
  <si>
    <t>GALEA S.R.L</t>
  </si>
  <si>
    <t>GALLUS IND E COM DE MAQ E EQUIP PA</t>
  </si>
  <si>
    <t>GANGES COM DE TUBOS E CONEX LTDA</t>
  </si>
  <si>
    <t>GAR IND E COM DE PECAS AUTOM LTDA</t>
  </si>
  <si>
    <t>GARIMAR DIST DE ART VAR E ALIMENTOS</t>
  </si>
  <si>
    <t>GDCA INDUSTRIA E COMERCIO LTDA</t>
  </si>
  <si>
    <t>GEDARTHIL IND E COM DE ARTEF PLAST</t>
  </si>
  <si>
    <t>GEDOZ COM DE FERROS LTDA - FILIAL</t>
  </si>
  <si>
    <t>GELGAS TANQUES ISOTERMICOS LTDA</t>
  </si>
  <si>
    <t>GENCONS SANTORINI EMPREEND IMOB LTD</t>
  </si>
  <si>
    <t>GENESIS METALMECANICA LTDA</t>
  </si>
  <si>
    <t>GEPECAS DISTRIBUIDORA LTDA</t>
  </si>
  <si>
    <t>GERALDO LAURO TROJAHN</t>
  </si>
  <si>
    <t>GERALDO LUIS GAVIRAGHI</t>
  </si>
  <si>
    <t>GERALDO N RECKTENWALD &amp; CIA LTDA</t>
  </si>
  <si>
    <t>GERDAU ACOS LONGOS S/A</t>
  </si>
  <si>
    <t>GERMANI IMPLEMENTOS EIRELI</t>
  </si>
  <si>
    <t>GERMANICA COM E CONSTR LTDA</t>
  </si>
  <si>
    <t>GERSON BERNO STEINKE</t>
  </si>
  <si>
    <t>GETMAQ EQUIPAMENTOS EIRELI</t>
  </si>
  <si>
    <t>GETULIO INACIO BANDEIRA</t>
  </si>
  <si>
    <t>GFSP IND E COM DE PECAS AUTOMOTIVAS</t>
  </si>
  <si>
    <t>GHIRALDI SIGNORINI FERRO E ACO LTDA</t>
  </si>
  <si>
    <t>GIASSI IND E COM CONFECCOES LTDA</t>
  </si>
  <si>
    <t>GIDEOLI COM DE FERRO ACO E ACES IND</t>
  </si>
  <si>
    <t>GIDEOLI TUBOS VALV E CONEXOES IMP</t>
  </si>
  <si>
    <t>GILBERTO HARTMANN</t>
  </si>
  <si>
    <t>GILBERTO LUIS ZANGALLI</t>
  </si>
  <si>
    <t>GILBERTO PRADO</t>
  </si>
  <si>
    <t>GILBERTO ROCZNIESKI</t>
  </si>
  <si>
    <t>GILBERTO TONON</t>
  </si>
  <si>
    <t>GILMAR AUGUSTO DE AVELAR</t>
  </si>
  <si>
    <t>GILMAR RAPKEVICZ</t>
  </si>
  <si>
    <t>GILSO OTTO VAGNER</t>
  </si>
  <si>
    <t>GIMENE ANDRE BAGOLIN</t>
  </si>
  <si>
    <t>GIORDANI REFRATARIOS LTDA</t>
  </si>
  <si>
    <t>GIOVANI ANDREI MARCHET</t>
  </si>
  <si>
    <t>GLACI MARIA DOS SANTOS BRANCO</t>
  </si>
  <si>
    <t>GLADEMIR LEONARDO BONATTO</t>
  </si>
  <si>
    <t>GLADES T SCHMIDT &amp; CIA LTDA</t>
  </si>
  <si>
    <t>GLADII TECNOLOGIA EM METALURGIA LTD</t>
  </si>
  <si>
    <t>GLENIO GIRARDI</t>
  </si>
  <si>
    <t>GLOBAL CALCADOS EIRELI</t>
  </si>
  <si>
    <t>GLOBAL ENGENHARIA EIRELI</t>
  </si>
  <si>
    <t>GMOB FABRICACAO DE MOVEIS EIRELI</t>
  </si>
  <si>
    <t>GODORCINO RODRIGUES VIANA</t>
  </si>
  <si>
    <t>GOLACO COM DISTRIBUIDORA LTDA</t>
  </si>
  <si>
    <t>GOMES &amp; TORRES LTDA</t>
  </si>
  <si>
    <t>GOMES MAQUINAS E TRANSPORTES LTDA</t>
  </si>
  <si>
    <t>GONCALVES &amp; TORTOLA S/A</t>
  </si>
  <si>
    <t>GONCALVES E VENDEL LTDA - ME</t>
  </si>
  <si>
    <t>GOODMAN BTS EMPREEND IMOB S.A.</t>
  </si>
  <si>
    <t>GRAFERRO LTDA</t>
  </si>
  <si>
    <t>GRANDFOOD INDUSTRIA E COMERCIO LTDA</t>
  </si>
  <si>
    <t>GRAO NATURAL IND COM CEREAIS EIRELI</t>
  </si>
  <si>
    <t>GRAZMEC IND E COM LTDA</t>
  </si>
  <si>
    <t>GRB ENGENHARIA LTDA</t>
  </si>
  <si>
    <t>GREAT GOAL COM E DIST FERRO E ACO</t>
  </si>
  <si>
    <t>GREENBRIER MAXION EQUIP E SERV FER</t>
  </si>
  <si>
    <t>GRIMALDI IND DE EQUIP P/TRANSP LTDA</t>
  </si>
  <si>
    <t>GRSUL COMP AUTOMOTIVOS LTDA EPP</t>
  </si>
  <si>
    <t>GRUBER INDL DE INJET PLAST LTDA</t>
  </si>
  <si>
    <t>GRUPO TOTAL BRASIL IND DE DESCART</t>
  </si>
  <si>
    <t>GRUPO TRAVERSA SA</t>
  </si>
  <si>
    <t>GSI BRASIL IND E COM DE EQUIP AGROP</t>
  </si>
  <si>
    <t>GTS DO BRASIL LTDA</t>
  </si>
  <si>
    <t>GUALSIR VICENTE CANDATEN</t>
  </si>
  <si>
    <t>GUARAPARI COM DE GEN ALIM LTDA</t>
  </si>
  <si>
    <t>GUARESI USINAGEM E IND METALURG LTD</t>
  </si>
  <si>
    <t>GUILHERME CALDAS</t>
  </si>
  <si>
    <t>GUILHERME DE SOUZA LEAL 02700837070</t>
  </si>
  <si>
    <t>GUSFER COML DE FERRO E ACO LTDA</t>
  </si>
  <si>
    <t>GUSTAVO CARLOS VAGNER</t>
  </si>
  <si>
    <t>GUSTAVO JUNIOR MENEGUZZO</t>
  </si>
  <si>
    <t>H.S.C. IND E COM DE FERRAM LTDA</t>
  </si>
  <si>
    <t>HAAS CONTAINERS LTDA</t>
  </si>
  <si>
    <t>HABITASEC SECURITIZADORA S.A.</t>
  </si>
  <si>
    <t>HARDT E RAUBER IND DE MAQ LTDA</t>
  </si>
  <si>
    <t>HARI LAMMERS</t>
  </si>
  <si>
    <t>HARILTON EUFRAZIO BALDOINO</t>
  </si>
  <si>
    <t>HART COM IND PROD SIDERURG EIRELI</t>
  </si>
  <si>
    <t>HCC IND E COM DE EQUIP AGRIC LTDA</t>
  </si>
  <si>
    <t>HEDER AUGUSTO DAVI RAMOS</t>
  </si>
  <si>
    <t>HELAIDO CARLOS MARCO REI</t>
  </si>
  <si>
    <t>HELDER PEREIRA BEZERRA</t>
  </si>
  <si>
    <t>HENRIQUE GALANTE HEUSER</t>
  </si>
  <si>
    <t>HERVAL IND DE MOV COLCHOES E ESP LT</t>
  </si>
  <si>
    <t>HIDRAULICA WOG COMERCIO LTDA</t>
  </si>
  <si>
    <t>HIDRO METALURGICA ZM LTDA</t>
  </si>
  <si>
    <t>HIDROCAIUA POCOS ARTESIANOS EIRELI</t>
  </si>
  <si>
    <t>HIDRONOROESTE CONSTRUCOES CIVIS LTD</t>
  </si>
  <si>
    <t>HIDROSOLLO POCOS ARTESIANOS LTDA</t>
  </si>
  <si>
    <t>HIERROMAT S.A.</t>
  </si>
  <si>
    <t>HIERROSUR S.R.L.</t>
  </si>
  <si>
    <t>HIPERMETAL ESTR METALIC EIRELI</t>
  </si>
  <si>
    <t>HOMERO A COSTA</t>
  </si>
  <si>
    <t>HONORINO AQUILES GOI</t>
  </si>
  <si>
    <t>HOSPI BIO IND E COM DE MOV HOSP LTD</t>
  </si>
  <si>
    <t>HOSPITAL DE CLINICAS DE PASSO FUNDO</t>
  </si>
  <si>
    <t>HOZZ ACESSORIOS PARA VEICULOS LTDA</t>
  </si>
  <si>
    <t>HPA DA AMAZONIA IND E COM EIRELI</t>
  </si>
  <si>
    <t>HTECK IND E COM DE COMP MET LTDA</t>
  </si>
  <si>
    <t>HUMBERTO CARLOS FURHMANN NETO</t>
  </si>
  <si>
    <t>HYDROWHEEL FABR DE MAQ E EQUIP LTDA</t>
  </si>
  <si>
    <t>I A B V IND DE ARTEF DE BORRACHA</t>
  </si>
  <si>
    <t>I A SANDI E FILHOS LTDA</t>
  </si>
  <si>
    <t>IAB ADMINISTRADORA DE BENS LTDA</t>
  </si>
  <si>
    <t>IACC PRE-MOLDADOS LTDA</t>
  </si>
  <si>
    <t>IBAC IND BRAS DE ALIM E CHOCOL LTDA</t>
  </si>
  <si>
    <t>IBRAP IND BRAS DE ALUM E PLAST SA</t>
  </si>
  <si>
    <t>IDEMAR NORBACK</t>
  </si>
  <si>
    <t>IDM - INDUSTRIAL DAL MAGRO LTDA</t>
  </si>
  <si>
    <t>IGENIO VICENTE GABI</t>
  </si>
  <si>
    <t>IGREJA PRESBITERIANA CENTRAL</t>
  </si>
  <si>
    <t>IMEPEL INDUSTRIA MECANICA LTDA</t>
  </si>
  <si>
    <t>IMF LINCE SOLUCAO EM REFRIG E EXPOS</t>
  </si>
  <si>
    <t>IMOBILIARIA CENTRIMOVEIS LTDA</t>
  </si>
  <si>
    <t>IMOL IND E COM DE UTIL DOM EIRELI</t>
  </si>
  <si>
    <t>IMPERADOR MECANICA INDUSTRIAL LTDA</t>
  </si>
  <si>
    <t>IMPERIO DOS VAROES LTDA</t>
  </si>
  <si>
    <t>IMPLAVI IND E COM DE IMPLEM AVIC LT</t>
  </si>
  <si>
    <t>IMPLEMAR PEC P MAQ E IMP AGRIC LTDA</t>
  </si>
  <si>
    <t>IMPLEMASTER IND DE EQUIP AGRIC LTDA</t>
  </si>
  <si>
    <t>IMPLEMENTOS AGRIC J Z LTDA</t>
  </si>
  <si>
    <t>IMPLEMENTOS AGRICOLAS JAN SA</t>
  </si>
  <si>
    <t>IMPLEMENTOS AGRICOLAS MARISPAN LTDA</t>
  </si>
  <si>
    <t>IMZOLET MAQUINAS E EQUIP LTDA EPP</t>
  </si>
  <si>
    <t>INBBEL IND BRAS DE BEBIDAS LTDA</t>
  </si>
  <si>
    <t>INCOPARTS IND E COM PECAS LTDA</t>
  </si>
  <si>
    <t>INCORPORADORA S M LTDA</t>
  </si>
  <si>
    <t>IND CARROC METALICAS IBIPORA LTDA</t>
  </si>
  <si>
    <t>IND DE CARROCERIAS ALTMAYER LTDA</t>
  </si>
  <si>
    <t>IND DE CARROCERIAS CISLAGHI LTDA</t>
  </si>
  <si>
    <t>IND DE CARROCERIAS TAQUARI LTDA</t>
  </si>
  <si>
    <t>IND DE ESTRUT LBN EIRELI</t>
  </si>
  <si>
    <t>IND DE IMPL AGRICOLAS VENCE TUDO</t>
  </si>
  <si>
    <t>IND DE MAD SANTA ROSA DO SUL LTDA</t>
  </si>
  <si>
    <t>IND DE MAQ E IMPL AGRIC K.F. LTDA</t>
  </si>
  <si>
    <t>IND DE VINAGRE E PLAST HEINIG LTDA</t>
  </si>
  <si>
    <t>IND E COM ACESS SAO MARQUENSE LTDA</t>
  </si>
  <si>
    <t>IND E COM DE ARGAMASSA ARGAMAZON</t>
  </si>
  <si>
    <t>IND E COM DE CALDEIRAS PARANA LTDA</t>
  </si>
  <si>
    <t>IND E COM DE DOBRADEIRAS CORSO LTDA</t>
  </si>
  <si>
    <t>IND E COM DE IMPL AGRIC TURIM LTDA</t>
  </si>
  <si>
    <t>IND E COM DE MOTOPECAS CHAPAM LTDA</t>
  </si>
  <si>
    <t>IND E COM DE MOVEIS LACHI EIRELI</t>
  </si>
  <si>
    <t>IND E COM DE PECAS AGRIC MANALB LTD</t>
  </si>
  <si>
    <t>IND E COM DE PERSIANAS NEW YORK LTD</t>
  </si>
  <si>
    <t>IND E COM DE SERRALH E FERR N S DA</t>
  </si>
  <si>
    <t>IND METALURG METALGONDOLAS LTDA</t>
  </si>
  <si>
    <t>IND METALURGICA RUBIZZA LTDA</t>
  </si>
  <si>
    <t>INDEPENDENCIA COM DE ACO LTDA</t>
  </si>
  <si>
    <t>INDEPENDENCIA EMPR IMOB SPE LTDA</t>
  </si>
  <si>
    <t>INDUSTRIA AGRO PERTENCES EIRELI</t>
  </si>
  <si>
    <t>INDUSTRIA DE EQUIP BRASFAN LTDA</t>
  </si>
  <si>
    <t>INDUSTRIA E COMERCIO HIDROMAR LTDA</t>
  </si>
  <si>
    <t>INDUSTRIA HENTGES LTDA EPP</t>
  </si>
  <si>
    <t>INDUSTRIA METALURGICA MILENIO LTDA</t>
  </si>
  <si>
    <t>INDUSTRIA METALURGICA RHP EIRELI</t>
  </si>
  <si>
    <t>INDUSTRIA MOVELEIRA MOVELLI EIRELLI</t>
  </si>
  <si>
    <t>INDUSTRIA SANTA CLARA S/A</t>
  </si>
  <si>
    <t>INDUSTRIAL MARGIL LTDA</t>
  </si>
  <si>
    <t>INDUSTRIAL METAL ADAMS LTDA</t>
  </si>
  <si>
    <t>INDUSTRIAL METALURG ROTAMIL EIRELI</t>
  </si>
  <si>
    <t>INDUSTRIAL PAGE LTDA</t>
  </si>
  <si>
    <t>INDUTAR TECNO METAL LTDA</t>
  </si>
  <si>
    <t>INESCAP IND DE ESCAP E PECAS LTDA</t>
  </si>
  <si>
    <t>INFORMOBILE IND E COM DE MOVEIS LTD</t>
  </si>
  <si>
    <t>INGA INDUSTRIA METALURGICA LTDA</t>
  </si>
  <si>
    <t>INGACO COM DE FERRO E ACO - EIRELI</t>
  </si>
  <si>
    <t>INGECON INSTALACOES COMERCIAIS LTDA</t>
  </si>
  <si>
    <t>INNAL - INDUSTRIAL NAGEL LTDA</t>
  </si>
  <si>
    <t>INNOVA ARQUITETURA E ENGENHARIA LTD</t>
  </si>
  <si>
    <t>INSTALADORA SAO MARCOS LTDA</t>
  </si>
  <si>
    <t>INSTITUTO TERCEIRA VISAO T &amp; D LTDA</t>
  </si>
  <si>
    <t>INTEGRADA COOP AGROINDUSTRIAL</t>
  </si>
  <si>
    <t>INTEGRADA COOP AGROINDUSTRIAl</t>
  </si>
  <si>
    <t>INTER CONSTRUTORA LTDA ME</t>
  </si>
  <si>
    <t>INTERFORMA EQUIPAMENTOS LTDA</t>
  </si>
  <si>
    <t>INTERPRINT DO BRAS IND PAP DEC LTDA</t>
  </si>
  <si>
    <t>INTERROLL LOGISTICA - ELEMENTOS PAR</t>
  </si>
  <si>
    <t>INVICTA CONSTRUTORA LTDA</t>
  </si>
  <si>
    <t>IOCHPE-MAXION S.A.</t>
  </si>
  <si>
    <t>IPACOL MAQUINAS AGRICOLAS LTDA</t>
  </si>
  <si>
    <t>IRENE FETTER FERRARI</t>
  </si>
  <si>
    <t>IRINEU ANTONIO SCHWERTNER</t>
  </si>
  <si>
    <t>IRINEU CARMINATTI</t>
  </si>
  <si>
    <t>IRIZAR BRASIL LTDA</t>
  </si>
  <si>
    <t>IRMAOS KUNST CONSTRUCOES LTDA</t>
  </si>
  <si>
    <t>IRON IND E COM DE METAIS LTDA</t>
  </si>
  <si>
    <t>IRRIGABRASIL IND E COM DE MAQ LTDA</t>
  </si>
  <si>
    <t>IRRIGAOESTE IND METALURGICA LTDA</t>
  </si>
  <si>
    <t>ISAAC LACERDA DE ANDRADE</t>
  </si>
  <si>
    <t>ISPL - IND SULAMERICANA DE PRODUTOS</t>
  </si>
  <si>
    <t>ITA ACOS IND E COM DE FER E ACO LTD</t>
  </si>
  <si>
    <t>ITACI ULIAN &amp; CIA LTDA</t>
  </si>
  <si>
    <t>ITAMAR DALL AGNO</t>
  </si>
  <si>
    <t>ITAMIR RANCAN</t>
  </si>
  <si>
    <t>ITEC IND DE CABINES LTDA</t>
  </si>
  <si>
    <t>ITPLAST IND TUBETES PLASTIC EIRELI</t>
  </si>
  <si>
    <t>IVAN BATISTA ALMEIDA</t>
  </si>
  <si>
    <t>IVAN JOSE PRATES BENTO PEREIRA</t>
  </si>
  <si>
    <t>IVAN JULIO MENDES FARIAS</t>
  </si>
  <si>
    <t>IVONE GARBIN</t>
  </si>
  <si>
    <t>IZONEI PERUCHI</t>
  </si>
  <si>
    <t>J ADILSON DOS SANTOS CONSTRUTORA</t>
  </si>
  <si>
    <t>J BARROZO EMPREEND IMOB LTDA</t>
  </si>
  <si>
    <t>J C HERRMANN EIRELI</t>
  </si>
  <si>
    <t>J C QUEIROZ DOS SANTOS EIRELI</t>
  </si>
  <si>
    <t>J F MACHADO - METALURGICA</t>
  </si>
  <si>
    <t>J G IND E COM DE CARROCERIAS LTDA</t>
  </si>
  <si>
    <t>J J COMERCIO FERRAGENS LTDA EPP</t>
  </si>
  <si>
    <t>J M S  &amp;  CIA  LTDA</t>
  </si>
  <si>
    <t>J R ACESSORIOS PARA SERRALHERIA LTD</t>
  </si>
  <si>
    <t>J R C AUTO PECAS LTDA</t>
  </si>
  <si>
    <t>J U CARVALHO EQUIPAMENTOS LTDA</t>
  </si>
  <si>
    <t>J.S. SCARABONATTO</t>
  </si>
  <si>
    <t>JADIR VIEIRA DE MELO</t>
  </si>
  <si>
    <t>JAIME RAITZ &amp; CIA LTDA</t>
  </si>
  <si>
    <t>JAIME SLONGO</t>
  </si>
  <si>
    <t>JAIME TADEU LOPES</t>
  </si>
  <si>
    <t>JAIR MARINELLO</t>
  </si>
  <si>
    <t>JAIR MEGIER</t>
  </si>
  <si>
    <t>JANDERSON FRACASSO MENIN</t>
  </si>
  <si>
    <t>JANDIR SORATO EIRELI</t>
  </si>
  <si>
    <t>JAQUELINE POLLI</t>
  </si>
  <si>
    <t>JARI PEREIRA MORAES</t>
  </si>
  <si>
    <t>JBL DISTRIB DE CIMENTOS EIRELI</t>
  </si>
  <si>
    <t>JC KOMAC IND COM PC EQUIP LTDA ME</t>
  </si>
  <si>
    <t>JCZ EMPREEND IMOBILIARIOS LTDA</t>
  </si>
  <si>
    <t>JEFERSON ARALDI - ME</t>
  </si>
  <si>
    <t>JEREMIAS BECKER FLORES</t>
  </si>
  <si>
    <t>JERONIMO DAL POZZO</t>
  </si>
  <si>
    <t>JESUS ANTONIO MACHADO DE SOUZA</t>
  </si>
  <si>
    <t>JETRO TUBOS COML LTDA</t>
  </si>
  <si>
    <t>JF SANTOS &amp; SANTOS LTDA</t>
  </si>
  <si>
    <t>JG METALURGICA LTDA</t>
  </si>
  <si>
    <t>JHESSICA VIANNA  HUFF</t>
  </si>
  <si>
    <t>JHONROB SILOS E SECADORES LTDA</t>
  </si>
  <si>
    <t>JIUPATO &amp; FRANA LTDA ME</t>
  </si>
  <si>
    <t>JK IMPL E MANUT GUINDASTES LTDA</t>
  </si>
  <si>
    <t>JL MONTAGEM E REPRESENTACAO LTDA</t>
  </si>
  <si>
    <t>JM INDUSTRIA DE MOTOPECAS LTDA</t>
  </si>
  <si>
    <t>JM2 COM DE ACESSORIOS LTDA ME</t>
  </si>
  <si>
    <t>JML ADMINISTRACAO IMOBILIARIA LTDA</t>
  </si>
  <si>
    <t>JOAO ALBERTO RODRIGUES</t>
  </si>
  <si>
    <t>JOAO ANTONIO REICHERT EIRELI</t>
  </si>
  <si>
    <t>JOAO BATISTA CABERLON</t>
  </si>
  <si>
    <t>JOAO BATISTA DA SILVA</t>
  </si>
  <si>
    <t>JOAO BATISTA VARGAS EXENBERGER</t>
  </si>
  <si>
    <t>JOAO CARLOS CORDENUNZI &amp; CIA LTDA</t>
  </si>
  <si>
    <t>JOAO CARLOS GOLZ EIRELI ME</t>
  </si>
  <si>
    <t>JOAO CARLOS JOHN</t>
  </si>
  <si>
    <t>JOAO DIAS BORBA</t>
  </si>
  <si>
    <t>JOAO LUIZ KOPP STOCK</t>
  </si>
  <si>
    <t>JOAO N CORAZZA</t>
  </si>
  <si>
    <t>JOAO NEDSON DE LUCCA GERMANN</t>
  </si>
  <si>
    <t>JOAO PAULO SOARES</t>
  </si>
  <si>
    <t>JOAO VALDIR CAVINATTO</t>
  </si>
  <si>
    <t>JOCELEI  ANTONIO CANTELE</t>
  </si>
  <si>
    <t>JOEL PIRES NORONHA</t>
  </si>
  <si>
    <t>JOHANN ALIMENTOS LTDA</t>
  </si>
  <si>
    <t>JOHN DEERE BRASIL LTDA</t>
  </si>
  <si>
    <t>JOHN DEERE MEXICO SARL</t>
  </si>
  <si>
    <t>JOICE SUSANA REDEL PFEIFER</t>
  </si>
  <si>
    <t>JONAS ALBERTO SCHMIDT</t>
  </si>
  <si>
    <t>JONAS KOMMERS KIRSCHNER</t>
  </si>
  <si>
    <t>JORGE ALBERTO HINTZ</t>
  </si>
  <si>
    <t>JOSE ANTONIO PORRE</t>
  </si>
  <si>
    <t>JOSE CORADINI</t>
  </si>
  <si>
    <t>JOSE LEOVAL LOPES</t>
  </si>
  <si>
    <t>JOSE REINALDO KAULFMANN</t>
  </si>
  <si>
    <t>JOSE ROBERTO RODRIGUES MASCARENHAS</t>
  </si>
  <si>
    <t>JOSIELI O QUOOS</t>
  </si>
  <si>
    <t>JOST BRASIL SIST AUTOMOTIVOS LTDA</t>
  </si>
  <si>
    <t>JOTA ELE CONSTRUCOES CIVIS S/A</t>
  </si>
  <si>
    <t>JOY TUBOS COMERCIAL EIRELI</t>
  </si>
  <si>
    <t>JUAN C. BALERIO S.A.</t>
  </si>
  <si>
    <t>JUARES MOLON</t>
  </si>
  <si>
    <t>JUARES NEROCI DE SOUZA</t>
  </si>
  <si>
    <t>JULIA CAROLINA ALVES</t>
  </si>
  <si>
    <t>JULIANO BET</t>
  </si>
  <si>
    <t>JULIANO DOBLER</t>
  </si>
  <si>
    <t>JULIETA CARNEIRO B BOCATTE - EIRELI</t>
  </si>
  <si>
    <t>JULIO CEZAR BOLZAN</t>
  </si>
  <si>
    <t>JULIO MARCIO ROCHA</t>
  </si>
  <si>
    <t>JULYCASA MATERIAIS DE CONSTR LTDA</t>
  </si>
  <si>
    <t>JUMIL-JUSTINO DE MORAIS, IRMAOS S/A</t>
  </si>
  <si>
    <t>KARGIOLI COML IMPORT E EXPORT LTDA</t>
  </si>
  <si>
    <t>KAUEFER COML DE FERRO E ACO LTDA</t>
  </si>
  <si>
    <t>KDM IND DE PRE MOLDADOS LTDA</t>
  </si>
  <si>
    <t>KEKO ACESSORIOS S/A</t>
  </si>
  <si>
    <t>KELLER &amp; ZUCOLOTTO LTDA</t>
  </si>
  <si>
    <t>KEPLER WEBER INDUSTRIAL S/A</t>
  </si>
  <si>
    <t>KHOR INDUSTRIAL LTDA</t>
  </si>
  <si>
    <t>KIFERRO COM DE FERRO E ACO LTDA</t>
  </si>
  <si>
    <t>KING KOMFORT IND COM E EXP DE ESTOF</t>
  </si>
  <si>
    <t>KING PARTICIPACOES LTDA</t>
  </si>
  <si>
    <t>KINGSPAN ISOESTE CONSTR ISOTERM SA.</t>
  </si>
  <si>
    <t>KLO IND E COM DE EQUIP ESPORT LTDA</t>
  </si>
  <si>
    <t>KONECRANES DEMAG BRASIL LTDA</t>
  </si>
  <si>
    <t>KS PRE-MOLDADOS DE CONCRETO LTDA ME</t>
  </si>
  <si>
    <t>KT-FER COMERCIO DE PROD SIDER LTDA</t>
  </si>
  <si>
    <t>KUHN DO BRASIL S/A</t>
  </si>
  <si>
    <t>KUHN DO BRASIL S/A IMPL AGRICOLAS</t>
  </si>
  <si>
    <t>KWK ADM DE BENS PROPRIOS LTDA</t>
  </si>
  <si>
    <t>KZK ADMINISTRADORA DE BENS LTDA</t>
  </si>
  <si>
    <t>L A COM DE EQUIP AGROPECUARIOS LTDA</t>
  </si>
  <si>
    <t>L E B INCORP IMOB LTDA</t>
  </si>
  <si>
    <t>L MARQUEZZO CONSTRUCOES EMPREEND</t>
  </si>
  <si>
    <t>L S W SERVICOS LTDA</t>
  </si>
  <si>
    <t>LAEL ELUIDE FINKLER</t>
  </si>
  <si>
    <t>LAGAR H AGROINDUSTRIA LTDA</t>
  </si>
  <si>
    <t>LAHIS HELFRICH</t>
  </si>
  <si>
    <t>LAMINA INDUSTRIA PLASTICA LTDA</t>
  </si>
  <si>
    <t>LANDERTECH EQUIPAMENTOS LTDA</t>
  </si>
  <si>
    <t>LAUDENIR LOPES JUNIOR - ROLANFERRO</t>
  </si>
  <si>
    <t>LAURINDO MENEGAZZI</t>
  </si>
  <si>
    <t>LAURO AUGUSTO HECK</t>
  </si>
  <si>
    <t>LAURO BORTONCELLO</t>
  </si>
  <si>
    <t>LAURO DONICHT FILHO</t>
  </si>
  <si>
    <t>LAURO WEBER AGRICOLA LTDA</t>
  </si>
  <si>
    <t>LAVITTA ENGENHARIA CIVIL LTDA</t>
  </si>
  <si>
    <t>LAZER MATERIAIS DE CONSTRUCAO LTDA</t>
  </si>
  <si>
    <t>LEAFAR LOGISTICA INDUSTRIAL LTDA</t>
  </si>
  <si>
    <t>LEANDRO EBELING ME</t>
  </si>
  <si>
    <t>LEANDRO HERMANNS</t>
  </si>
  <si>
    <t>LEANDRO SINCLAIR EBERT</t>
  </si>
  <si>
    <t>LEILA SIMONE MAAS KRAMER</t>
  </si>
  <si>
    <t>LEMES &amp; LIBERATTI COM DE ACO LTDA</t>
  </si>
  <si>
    <t>LEOCIR SIDI</t>
  </si>
  <si>
    <t>LEONDIRA SOUSA DE OLIVEIRA</t>
  </si>
  <si>
    <t>LEONIR PANIZZI LAVA</t>
  </si>
  <si>
    <t>LES ARBRES EMPREND IMOB SPE LTDA</t>
  </si>
  <si>
    <t>LIBRA METAIS EIRELI</t>
  </si>
  <si>
    <t>LIBRELATO S/A IMPLS RODOVIARIOS</t>
  </si>
  <si>
    <t>LIGHTSWEET IND E COM DE ALIM LTDA</t>
  </si>
  <si>
    <t>LINEARTEK MOVEIS LTDA</t>
  </si>
  <si>
    <t>LIOTECNICA TECNOL EM ALIMENTOS S.A.</t>
  </si>
  <si>
    <t>LIZANDRA DA SILVA</t>
  </si>
  <si>
    <t>LJL COM E FABRICACAO DE MOV LTDA</t>
  </si>
  <si>
    <t>LM PULVERIZADORES EIRELI - ME</t>
  </si>
  <si>
    <t>LM SISTEMAS CONSTRUTIVOS LTDA</t>
  </si>
  <si>
    <t>LMC CONSTRUCOES LTDA</t>
  </si>
  <si>
    <t>LOEF &amp; CIA LTDA</t>
  </si>
  <si>
    <t>LOIVA MARIA KRIGER BARBIERI</t>
  </si>
  <si>
    <t>LOIVA MARIA SOTORIVA CARVALHO</t>
  </si>
  <si>
    <t>LOJA DA CALDEIRA COM DE PECAS LTDA</t>
  </si>
  <si>
    <t>LONDRIESTUFA IND COM DE ESTUF PARA</t>
  </si>
  <si>
    <t>LOTARIO WELZEL</t>
  </si>
  <si>
    <t>LOTTO ENGENHARIA E CONSTR LTDA</t>
  </si>
  <si>
    <t>LOURDES TERESINHA MANICA</t>
  </si>
  <si>
    <t>LOURIVAL MORAES DE SOUZA ME</t>
  </si>
  <si>
    <t>LRG ADM DE BENS E PARTICIP LTDA</t>
  </si>
  <si>
    <t>LUCAS BIDINOTT</t>
  </si>
  <si>
    <t>LUCAS MATEUS WESTERLUND</t>
  </si>
  <si>
    <t>LUCIANA G DOS SANTOS PADILHA FERRAG</t>
  </si>
  <si>
    <t>LUCIANO FRITSCH</t>
  </si>
  <si>
    <t>LUIS ANTONIO BONATO</t>
  </si>
  <si>
    <t>LUIS RODRIGO MARQUES DA SILVA</t>
  </si>
  <si>
    <t>LUIZ ACIR STIELER BASTIANI</t>
  </si>
  <si>
    <t>LUIZ CARLOS SANDESKI</t>
  </si>
  <si>
    <t>LUIZ CARLOS SARTORI</t>
  </si>
  <si>
    <t>LUIZ CLAUDIO ZANUTO</t>
  </si>
  <si>
    <t>LUIZ VALMIR SCARTON</t>
  </si>
  <si>
    <t>LUMA IND E COM DE PECAS LTDA</t>
  </si>
  <si>
    <t>LUMA INDUSTRIA E COMERCIO DE</t>
  </si>
  <si>
    <t>LUMAR ESTR E ESQ METALICAS LTDA</t>
  </si>
  <si>
    <t>LUMASA CONSTR INDUSTRIALIZ LTDA</t>
  </si>
  <si>
    <t>LUXFER TUBOS E ACOS LTDA</t>
  </si>
  <si>
    <t>LVB SUPERMERCADO LTDA</t>
  </si>
  <si>
    <t>M A ACESSORIOS LTDA</t>
  </si>
  <si>
    <t>M E H COMERCIO DE FERRO E ACO LTDA</t>
  </si>
  <si>
    <t>M L P GONCALVES &amp; CIA LTDA</t>
  </si>
  <si>
    <t>M M SOLDAS IND E COM LTDA</t>
  </si>
  <si>
    <t>M M TAMAKI EQUIPAMENTOS LTDA</t>
  </si>
  <si>
    <t>M S E ENGENHARIA LTDA</t>
  </si>
  <si>
    <t>M.A. IND E COM DE PECAS PARA BICICL</t>
  </si>
  <si>
    <t>M3 FERRO E ACO LTDA EPP</t>
  </si>
  <si>
    <t>M16 ASSESS EMPRESARIAL E PART LTDA</t>
  </si>
  <si>
    <t>MACKERDUZ IND DE PROD DE LIMPEZA LT</t>
  </si>
  <si>
    <t>MACOL-IND E COM DE BICICL LTDA EPP</t>
  </si>
  <si>
    <t>MACOTHAL MAT DE CONSTR LTDA ME</t>
  </si>
  <si>
    <t>MACTAB DIVISORIAS E SOLUCOES EIRELI</t>
  </si>
  <si>
    <t>MADEFER INOX LTDA</t>
  </si>
  <si>
    <t>MADEIREIRA BARCELONA LTDA ME</t>
  </si>
  <si>
    <t>MADEIREIRA E FERRAGEM KASTELLO LTDA</t>
  </si>
  <si>
    <t>MADRIFER IND E COM DE PERFILAD LTDA</t>
  </si>
  <si>
    <t>MAESTRO DO BRASIL IND METALURG LTDA</t>
  </si>
  <si>
    <t>MAGIUS METALURGICA INDUSTRIAL LTDA</t>
  </si>
  <si>
    <t>MAGNO PECAS IND COM IMP E EXP LTDA</t>
  </si>
  <si>
    <t>MAHIL IND COM DE ARTEF ALUM E FERRO</t>
  </si>
  <si>
    <t>MAHINDRA DO BRASIL INDL LTDA</t>
  </si>
  <si>
    <t>MAICON ISMAEL MUCKE</t>
  </si>
  <si>
    <t>MAJOKA - MOVEIS E ESTOFADOS LTDA</t>
  </si>
  <si>
    <t>MAJOLO IND DE ESTR METALICAS LTDA</t>
  </si>
  <si>
    <t>MAK MANUT E MANG HIDRAULICAS LTDA</t>
  </si>
  <si>
    <t>MALTA IND DE EQUIP E UTILID DOM LTD</t>
  </si>
  <si>
    <t>MANANCIAL - ADM DE BENS LTDA</t>
  </si>
  <si>
    <t>MANTECH MANUT DE EQUIP LTDA</t>
  </si>
  <si>
    <t>MANTOVANI CONSTRUCOES LTDA</t>
  </si>
  <si>
    <t>MANUCHAP IND LTADA</t>
  </si>
  <si>
    <t>MANUTEC PRATA LTDA ME</t>
  </si>
  <si>
    <t>MANZONI BRAVO PART LTDA</t>
  </si>
  <si>
    <t>MAPOA - PAROQ STA MARIA GORETTI</t>
  </si>
  <si>
    <t>MAQTRON IMPORTACAO E EXP LTDA</t>
  </si>
  <si>
    <t>MAQUINAS AGRICOLAS JACTO S/A</t>
  </si>
  <si>
    <t>MAR COML FERROS LTDA</t>
  </si>
  <si>
    <t>MARBENS INCORP E CONSTRUCOES LTDA</t>
  </si>
  <si>
    <t>MARCELO DANNA</t>
  </si>
  <si>
    <t>MARCELO GOMES LOBO</t>
  </si>
  <si>
    <t>MARCELO JULIANO TRETER</t>
  </si>
  <si>
    <t>MARCELO SARTORI</t>
  </si>
  <si>
    <t>MARCELO SOLUCOES METALICAS LTDA</t>
  </si>
  <si>
    <t>MARCELO SPITZER</t>
  </si>
  <si>
    <t>MARCELO VILMAR SCHULTZ</t>
  </si>
  <si>
    <t>MARCHESAN IMPL MAQS AGRIC TATU</t>
  </si>
  <si>
    <t>MARCIO ARLAN SCHNEIDER</t>
  </si>
  <si>
    <t>MARCIO AUGUSTINHO BERNARDI</t>
  </si>
  <si>
    <t>MARCON INDUSTRIA METALURGICA LTDA</t>
  </si>
  <si>
    <t>MARCOPOLO S/A - UNIDADE ANA RECH</t>
  </si>
  <si>
    <t>MARCOPOLO SOUTH AFRICA PTY LTD</t>
  </si>
  <si>
    <t>MARCOS ALEXANDRE RADONS</t>
  </si>
  <si>
    <t>MARCOS ANTONIO BANDEIRA</t>
  </si>
  <si>
    <t>MARCOS ANTONIO SILVERA</t>
  </si>
  <si>
    <t>MARCOS AURELIO DOS SANTOS PADILHA</t>
  </si>
  <si>
    <t>MARCOS MATTER FYDRYSZEWSKI</t>
  </si>
  <si>
    <t>MARCOS RODRIGO SOARES</t>
  </si>
  <si>
    <t>MARELLI MOVEIS PARA ESCRITORIO SA</t>
  </si>
  <si>
    <t>MARGOT PATZER ME</t>
  </si>
  <si>
    <t>MARIA ELCI BIDIBINOTTO</t>
  </si>
  <si>
    <t>MARIO TREMEA</t>
  </si>
  <si>
    <t>MARKAL IND E COM DE EQUIP AGRIC LTD</t>
  </si>
  <si>
    <t>MARLEI DE FATIMA BARBOZA DA SILVA</t>
  </si>
  <si>
    <t>MARLON GOULARTE</t>
  </si>
  <si>
    <t>MARTA S DOS SANTOS</t>
  </si>
  <si>
    <t>MARTINIANO COSTA BEBER</t>
  </si>
  <si>
    <t>MARTINS E EIDAM LTDA</t>
  </si>
  <si>
    <t>MARTINUCCI DO BRASIL MOV P ESCRIT</t>
  </si>
  <si>
    <t>MASCARELLO ARTIGOS DE CAMA MESA E</t>
  </si>
  <si>
    <t>MASCARELLO CARROCERIAS E ONIBUS LTD</t>
  </si>
  <si>
    <t>MASCARELLO ESTOF PARA ESCRIT LTDA</t>
  </si>
  <si>
    <t>MASIFER COM DE FERROS LTDA</t>
  </si>
  <si>
    <t>MASTER SISTEMAS AUTOMOTIVOS LTDA</t>
  </si>
  <si>
    <t>MASTERFER ESTR METALICAS LTDA</t>
  </si>
  <si>
    <t>MASTERMETTA IND METALURG LTDA</t>
  </si>
  <si>
    <t>MATADOURO GAVAZZONI LTDA</t>
  </si>
  <si>
    <t>MATEUS MARTINHAGO OLIVEIRA</t>
  </si>
  <si>
    <t>MATSUDA EQUIPAMENTOS LTDA</t>
  </si>
  <si>
    <t>MAUA ADM DE IMOVEIS LTDA</t>
  </si>
  <si>
    <t>MAUMAR METALURGICA LTDA</t>
  </si>
  <si>
    <t>MAURICIO ALDEMAR DICKOW</t>
  </si>
  <si>
    <t>MAURICIO ANTONIO MENEGASSI</t>
  </si>
  <si>
    <t>MAURICIO DALSOTTO</t>
  </si>
  <si>
    <t>MAURICIO MEGGOLARO</t>
  </si>
  <si>
    <t>MAURICIO MUHLBEIER</t>
  </si>
  <si>
    <t>MAURO ZIMMERMANN</t>
  </si>
  <si>
    <t>MAX IND METALURGICA LTDA</t>
  </si>
  <si>
    <t>MAXIMILIANO GUERREIRO BATALHA JR</t>
  </si>
  <si>
    <t>MAXION MONTICH DO BRASIL LTDA</t>
  </si>
  <si>
    <t>MAXY SOLAR SOL ENERGETICAS LTDA</t>
  </si>
  <si>
    <t>MBS ESQUADRIAS LTDA</t>
  </si>
  <si>
    <t>MCL TUBOS E PECAS LTDA - EPP</t>
  </si>
  <si>
    <t>MEBRAFE INSTAL E EQUIP FRIG LTDA</t>
  </si>
  <si>
    <t>MECALUX DO BRASIL SISTEMAS DE</t>
  </si>
  <si>
    <t>MECANICA TRENTINI LTDA</t>
  </si>
  <si>
    <t>MEDEIROS COM DE FERRO ACO LTDA</t>
  </si>
  <si>
    <t>MEGA APOIO IND COM E SERV LTDA ME</t>
  </si>
  <si>
    <t>MEGA EQUIP INDUSTRIAIS LTDA</t>
  </si>
  <si>
    <t>MEGACO COM DE FERROS E METAIS LTDA</t>
  </si>
  <si>
    <t>MEGALASER IND METALURGICA LTDA</t>
  </si>
  <si>
    <t>MEGATEC EQUIPAMENTOS RODOV LTDA</t>
  </si>
  <si>
    <t>MEISTER S/A</t>
  </si>
  <si>
    <t>MELNICK EVEN LIMOEIRO EMPREEND IMOB</t>
  </si>
  <si>
    <t>MELZI LUIS VISENTIN</t>
  </si>
  <si>
    <t>MENDONCA &amp; MENDONCA LTDA</t>
  </si>
  <si>
    <t>MENTA MAQUINAS AGRICOLAS LTDA</t>
  </si>
  <si>
    <t>MEPAI AGROINDUSTRIAL LTDA</t>
  </si>
  <si>
    <t>MEPEL MAQ E EQUIP LTDA</t>
  </si>
  <si>
    <t>MERCANTIL METAIS COM DE ACOS EIRELI</t>
  </si>
  <si>
    <t>MERCASERRA MAT PARA CONSTR EIRELI</t>
  </si>
  <si>
    <t>MERCEDES BENZ DO BRASIL LTDA</t>
  </si>
  <si>
    <t>MERCO FITNESS DA AMAZONIA IND E COM</t>
  </si>
  <si>
    <t>MERCOFERRO COM E REP PROD SID LTDA</t>
  </si>
  <si>
    <t>META SUL METAIS COM DE MET EIRELI</t>
  </si>
  <si>
    <t>METAL 7 SERRALHERIA LTDA</t>
  </si>
  <si>
    <t>METAL DESIGN COMPONENTES EIRELI</t>
  </si>
  <si>
    <t>METAL FORM SOLUTION SPA</t>
  </si>
  <si>
    <t>METAL LUZ METALURGICA LTDA ME</t>
  </si>
  <si>
    <t>METAL MARCIANO LTDA ME</t>
  </si>
  <si>
    <t>METAL MELO METALURGICA LTDA</t>
  </si>
  <si>
    <t>METAL RUBBER EIRELI</t>
  </si>
  <si>
    <t>METALASSO COM DE METAIS LTDA</t>
  </si>
  <si>
    <t>METALBASE ESTR METALICAS LTDA</t>
  </si>
  <si>
    <t>METALFERRO MONT E INSTALAD DE FER</t>
  </si>
  <si>
    <t>METALGAVA IND E COM LTDA</t>
  </si>
  <si>
    <t>METALIC MEDICAL PROD HOSPITALARES</t>
  </si>
  <si>
    <t>METALKA EQUIPAMENTOS LTDA</t>
  </si>
  <si>
    <t>METALMAKE ESQUADRIAS METALIC LTDA</t>
  </si>
  <si>
    <t>METALNEW MADEIRA E ACO LTDA</t>
  </si>
  <si>
    <t>METALON TUBOS DE ACO LTDA</t>
  </si>
  <si>
    <t>METALPAMA - IND E COM LTDA</t>
  </si>
  <si>
    <t>METALSA CAMPO LARGO IND E COM DE</t>
  </si>
  <si>
    <t>METALSTAR IND METALURGICA LTDA</t>
  </si>
  <si>
    <t>METALTECSS REVEST DE METAIS LTDA</t>
  </si>
  <si>
    <t>METALURGICA ARATECK EIRELI</t>
  </si>
  <si>
    <t>METALURGICA BAGNOLIN TORRES LTDA</t>
  </si>
  <si>
    <t>METALURGICA BALENA LTDA</t>
  </si>
  <si>
    <t>METALURGICA C D B LTDA</t>
  </si>
  <si>
    <t>METALURGICA CARMAT LTDA</t>
  </si>
  <si>
    <t>METALURGICA CAVION LTDA</t>
  </si>
  <si>
    <t>METALURGICA CERVER LTDA EPP</t>
  </si>
  <si>
    <t>METALURGICA CIRCULO IND E COM LTDA</t>
  </si>
  <si>
    <t>METALURGICA COFELMA LTDA</t>
  </si>
  <si>
    <t>METALURGICA DAK LTDA</t>
  </si>
  <si>
    <t>METALURGICA EMEVE EIRELI</t>
  </si>
  <si>
    <t>METALURGICA FABIAN LTDA</t>
  </si>
  <si>
    <t>METALURGICA FEIJOO LTDA</t>
  </si>
  <si>
    <t>METALURGICA FELLER LTDA</t>
  </si>
  <si>
    <t>METALURGICA FORNARI LTDA</t>
  </si>
  <si>
    <t>METALURGICA FRATELLI LTDA</t>
  </si>
  <si>
    <t>METALURGICA GASSEN LTDA</t>
  </si>
  <si>
    <t>METALURGICA GOLIN S/A</t>
  </si>
  <si>
    <t>METALURGICA HENTGES LTDA</t>
  </si>
  <si>
    <t>METALURGICA JAMA LTDA</t>
  </si>
  <si>
    <t>METALURGICA L R LTDA</t>
  </si>
  <si>
    <t>METALURGICA LAFATELLI LTDA</t>
  </si>
  <si>
    <t>METALURGICA LBN LTDA ME</t>
  </si>
  <si>
    <t>METALURGICA MACHADO LTDA</t>
  </si>
  <si>
    <t>METALURGICA MARIN LTDA</t>
  </si>
  <si>
    <t>METALURGICA MARTINAZZO LTDA</t>
  </si>
  <si>
    <t>METALURGICA METALMAQ LTDA</t>
  </si>
  <si>
    <t>METALURGICA METALTEM - EIRELI</t>
  </si>
  <si>
    <t>METALURGICA METTON LTDA</t>
  </si>
  <si>
    <t>METALURGICA MOR SA</t>
  </si>
  <si>
    <t>METALURGICA MSL LTDA</t>
  </si>
  <si>
    <t>METALURGICA NETZ LTDA</t>
  </si>
  <si>
    <t>METALURGICA NOVO MUNDO- EIRELI - ME</t>
  </si>
  <si>
    <t>METALURGICA NSA DO BRASIL LTDA</t>
  </si>
  <si>
    <t>METALURGICA PAI E FILHO LTDA</t>
  </si>
  <si>
    <t>METALURGICA PISA LTDA</t>
  </si>
  <si>
    <t>METALURGICA POJDA LTDA</t>
  </si>
  <si>
    <t>METALURGICA RIGITEC LTDA</t>
  </si>
  <si>
    <t>METALURGICA SEGURANCA LTDA</t>
  </si>
  <si>
    <t>METALURGICA SERRALHERIA PRETI LTDA</t>
  </si>
  <si>
    <t>METALURGICA SERRANA EIRELI</t>
  </si>
  <si>
    <t>METALURGICA SOARES &amp; SOARES LTDA</t>
  </si>
  <si>
    <t>METALURGICA STROFF LTDA</t>
  </si>
  <si>
    <t>METALURGICA SULPRADO LTDA</t>
  </si>
  <si>
    <t>METALURGICA TORRENSE LTDA</t>
  </si>
  <si>
    <t>METALURGICA TRAPP LTDA</t>
  </si>
  <si>
    <t>METALURGICA VASPA LTDA</t>
  </si>
  <si>
    <t>METALURGICA VENSON LTDA</t>
  </si>
  <si>
    <t>METALURGICA VIGNATTI LTDA</t>
  </si>
  <si>
    <t>METALURGICA VISUAL KITS LTDA - EPP</t>
  </si>
  <si>
    <t>METALURGICA VOGATE LTDA</t>
  </si>
  <si>
    <t>METALURGICA W3SAT LTDA</t>
  </si>
  <si>
    <t>METALURGICA ZENKER LTDA</t>
  </si>
  <si>
    <t>METALVILLE ESTRUT METALICAS LTDA</t>
  </si>
  <si>
    <t>METARO SIST PARA DOCAS E MOV DE CAR</t>
  </si>
  <si>
    <t>METASA SA INDUSTRIA METALURGICA</t>
  </si>
  <si>
    <t>METHAL C - MAQUINAS E PECAS LTDA</t>
  </si>
  <si>
    <t>METHAL COMPANY INDUSTRIAL LTDA</t>
  </si>
  <si>
    <t>METROFORM SYSTEM TECNOLOGIA EM</t>
  </si>
  <si>
    <t>MEVISAMETAL IND DE FERRAG E ESTRUT</t>
  </si>
  <si>
    <t>MG IND E COM DE MOVEIS EIRELI - ME</t>
  </si>
  <si>
    <t>MGG EQUIP IND EIRELI</t>
  </si>
  <si>
    <t>MGI METALURGICA AGROINDL LTDA</t>
  </si>
  <si>
    <t>MICHAEL FABIAN</t>
  </si>
  <si>
    <t>MILTON JOSE BRONDANI</t>
  </si>
  <si>
    <t>MINASFER COML DE FERRO E ACO LTDA</t>
  </si>
  <si>
    <t>MIRAIFER DISTRIB DE PROD SIDERURG</t>
  </si>
  <si>
    <t>MIRCON AIRTO KERN</t>
  </si>
  <si>
    <t>MIRIAN KRUK STRONA</t>
  </si>
  <si>
    <t>MIROFLEX LTDA</t>
  </si>
  <si>
    <t>MIYAZAKI FERRAG PRE-MOLDADOS E VIDR</t>
  </si>
  <si>
    <t>MJT MOB CORPORATIVO LTDA</t>
  </si>
  <si>
    <t>MKRAFT COMERCIO DE METAIS LTDA</t>
  </si>
  <si>
    <t>MM2 SINALIZACAO E TINTAS EIRELI</t>
  </si>
  <si>
    <t>MOACIR ANTONIO BUENO</t>
  </si>
  <si>
    <t>MODULAR CONTEINERES EIRELI</t>
  </si>
  <si>
    <t>MODULARIS IND COM E MONTAG DE ESTR</t>
  </si>
  <si>
    <t>MOET HENNESSY DO BRASIL VINHOS E</t>
  </si>
  <si>
    <t>MOGIACO COMERCIAL EIRELI</t>
  </si>
  <si>
    <t>MOISES RABELLO CLARO</t>
  </si>
  <si>
    <t>MONTADORA PANAMBI LTDA</t>
  </si>
  <si>
    <t>MONTAGEM DE ESTRUTURAS ZAFA LTDA</t>
  </si>
  <si>
    <t>MONTALAR EMPREEND IMOB LTDA</t>
  </si>
  <si>
    <t>MONTE GRAPPA METALICOS LTDA</t>
  </si>
  <si>
    <t>MONZAN TRANSPORTES LTDA</t>
  </si>
  <si>
    <t>MORSA SOLUCOES EM ACO EIRELI</t>
  </si>
  <si>
    <t>MOSCOU COMERCIO E ENGENHARIA LTDA</t>
  </si>
  <si>
    <t>MOSSINGER MAQ E EQUIP AGRIC LTDA</t>
  </si>
  <si>
    <t>MOTIVA IND DE MOV LTDA</t>
  </si>
  <si>
    <t>MOTORES DIESEL ANDINOS S.A</t>
  </si>
  <si>
    <t>MOTTA SOLUCOES TUBULARES LTDA</t>
  </si>
  <si>
    <t>MOV CARRARO LTDA</t>
  </si>
  <si>
    <t>MOVEIS BRASTUBO LTDA</t>
  </si>
  <si>
    <t>MOVEIS K1 LTDA</t>
  </si>
  <si>
    <t>MOVEIS LAZZARINI LTDA</t>
  </si>
  <si>
    <t>MOZER COM DE FERRO E ACO-EIRELI-ME</t>
  </si>
  <si>
    <t>MPA PRE MOLDADOS LTDA</t>
  </si>
  <si>
    <t>MR IND COM E SERVICOS LTDA</t>
  </si>
  <si>
    <t>MS FABRIC DE ESTRUT PREMOLD EIRELI</t>
  </si>
  <si>
    <t>MULET Y MAURIN S.A</t>
  </si>
  <si>
    <t>MULTIFERROS COML DE FER E ACO LTDA</t>
  </si>
  <si>
    <t>MULTISIDER ACOS E METAIS LTDA</t>
  </si>
  <si>
    <t>MULTITECNIC MAT TEC E CONCR LTDA</t>
  </si>
  <si>
    <t>MUNDIAL ESTRUTURAS METALICAS LTDA</t>
  </si>
  <si>
    <t>MURABITO MARIA CARMEN</t>
  </si>
  <si>
    <t>MZ COM DE EQUIP AGROPEC LTDA</t>
  </si>
  <si>
    <t>MZ MADEIRAS LTDA</t>
  </si>
  <si>
    <t>N M PRE MOLDADOS E ESTR MET LTDA</t>
  </si>
  <si>
    <t>N R ENTRINGER COM DE EQUI AGRI LTDA</t>
  </si>
  <si>
    <t>NATHOR IND E COM DE BICICLETAS LTDA</t>
  </si>
  <si>
    <t>NAUJORKS &amp; CIA LTDA</t>
  </si>
  <si>
    <t>NAVAL DO BRASIL EIRELI ME</t>
  </si>
  <si>
    <t>NAVISTAR IND MET LTDA</t>
  </si>
  <si>
    <t>NAVISTAR IND METALURGICA LTDA</t>
  </si>
  <si>
    <t>NAYMAX SERV DE MEC E TRANSP EIRELI</t>
  </si>
  <si>
    <t>NB MAQUINAS LTDA</t>
  </si>
  <si>
    <t>NBPARTS COM E SERV DE MOVEIS LTDA</t>
  </si>
  <si>
    <t>NBTECH IND DE MOV TECNOLOG LTDA ME</t>
  </si>
  <si>
    <t>NCV TUBOS EIRELI</t>
  </si>
  <si>
    <t>NEGUINHO SERV SERRALH ESTR MET LTDA</t>
  </si>
  <si>
    <t>NELCIR MANFIO &amp; CIA LTDA</t>
  </si>
  <si>
    <t>NELIO WUNDER</t>
  </si>
  <si>
    <t>NELSON DO BRASIL IND METALURG LTDA</t>
  </si>
  <si>
    <t>NELSON DO BRASIL PECAS TUBULARES E</t>
  </si>
  <si>
    <t>NELSON EDEMAR BEUTINGER</t>
  </si>
  <si>
    <t>NELSON FABRIM</t>
  </si>
  <si>
    <t>NELSON FIORIN</t>
  </si>
  <si>
    <t>NELSON NERI RUDELL</t>
  </si>
  <si>
    <t>NEOLIDER COM IMP E EXP DE ACOS EIRE</t>
  </si>
  <si>
    <t>NEOMIDIA SOLUCOES VISUAIS LTDA</t>
  </si>
  <si>
    <t>NEREU I. FLACH</t>
  </si>
  <si>
    <t>NESIO VINCENZI</t>
  </si>
  <si>
    <t>NESTOR BORTOLINI &amp; CIA LTDA</t>
  </si>
  <si>
    <t>NEUBURG MANUTENCAO INDL EIRELI</t>
  </si>
  <si>
    <t>NEUZA APARECIDA DA SILVA LOPES</t>
  </si>
  <si>
    <t>NEW ACO TUB DE ACO E PERFIS LAM LTD</t>
  </si>
  <si>
    <t>NEWFER S.A.</t>
  </si>
  <si>
    <t>NEWPIPE TUBOS E CONEXOES LTDA</t>
  </si>
  <si>
    <t>NICHELE SERRARIA LTDA ME</t>
  </si>
  <si>
    <t>NIL FERRETTI COM DE FERRO E ACO LTD</t>
  </si>
  <si>
    <t>NILO CRISTOFOLINI</t>
  </si>
  <si>
    <t>NILVO OSMAR LUDTKE</t>
  </si>
  <si>
    <t>NIPAL ARMAZENAGEM E PROD MET LTDA</t>
  </si>
  <si>
    <t>NIQUELPLAST IND E COM DE ART PLAST</t>
  </si>
  <si>
    <t>NJ COMERCIO DE ACO LTDA</t>
  </si>
  <si>
    <t>NORMELIA LOTTERMANN</t>
  </si>
  <si>
    <t>NOVA JVA INDUSTRIA METALURG LTDA</t>
  </si>
  <si>
    <t>NOVABRAS INDUSTRIA DE MOVEIS LTDA</t>
  </si>
  <si>
    <t>NOVAMETAL IND E COM DE FERRO E ACO</t>
  </si>
  <si>
    <t>ODALIRIO NEUMANN</t>
  </si>
  <si>
    <t>OLHO D'AGUA COM DE POCOS ARTESIANOS</t>
  </si>
  <si>
    <t>OLITUBOS IND COM DE TUBOS FERROS</t>
  </si>
  <si>
    <t>OLIVO S/A - PRODUTOS ELETRICOS</t>
  </si>
  <si>
    <t>OLIVO S/A IND E COM DE IMPL ROD</t>
  </si>
  <si>
    <t>OLIVO S/A IND PROD ILUM E ELETROFER</t>
  </si>
  <si>
    <t>OLIVO SA IND DE COMP E PEC P/IMPLEM</t>
  </si>
  <si>
    <t>OMAR ALTINO SCHWEDE</t>
  </si>
  <si>
    <t>OMP DO BRASIL LTDA</t>
  </si>
  <si>
    <t>OMT VEYHL METALURGICA LTDA</t>
  </si>
  <si>
    <t>ON-HIGHWAY BRASIL LTDA</t>
  </si>
  <si>
    <t>ONEIDE FENGLER</t>
  </si>
  <si>
    <t>ONESIMO EUGENIO SOLDERA</t>
  </si>
  <si>
    <t>ONESIO REIS DA VEIGA</t>
  </si>
  <si>
    <t>ONLES FAB COM E MONT MOV E DECOR</t>
  </si>
  <si>
    <t>OPCAO COMUNICACAO VISUAL LTDA</t>
  </si>
  <si>
    <t>ORDEMILK LTDA</t>
  </si>
  <si>
    <t>OREGON QUIMICA DO BRASIL LTDA</t>
  </si>
  <si>
    <t>ORIGINAL MOTOPECAS - EIRELI</t>
  </si>
  <si>
    <t>ORLA MOVEIS E DESIGN EIRELI ME</t>
  </si>
  <si>
    <t>ORLANDO CARRER</t>
  </si>
  <si>
    <t>ORLANDO DREWS</t>
  </si>
  <si>
    <t>OSLAIR CEZAR IMBRIANI</t>
  </si>
  <si>
    <t>OSWALDO CRISTO</t>
  </si>
  <si>
    <t>OSWALDO HARRY KINPS</t>
  </si>
  <si>
    <t>OTIMIZE IND COM E SERVICOS LTDA</t>
  </si>
  <si>
    <t>OURO PRETO COM DE FERRO E ACO LTDA</t>
  </si>
  <si>
    <t>OZIEL ZARETTI RODRIGUES</t>
  </si>
  <si>
    <t>P H IMES GONCALVES - CENTRO AUTOMOT</t>
  </si>
  <si>
    <t>PABLO FARES DOS REIS</t>
  </si>
  <si>
    <t>PADRAO VISUAL PAINEIS PUBLICIT LTDA</t>
  </si>
  <si>
    <t>PALUDO EQUIP PARA GINASTICA EIRELI</t>
  </si>
  <si>
    <t>PALUDO IND DE CARROCERIAS LTDA</t>
  </si>
  <si>
    <t>PAMELA FRANCINI MERLIM</t>
  </si>
  <si>
    <t>PAMPLONA ALIMENTOS S/A</t>
  </si>
  <si>
    <t>PANATTO COMERCIO DE FERRAGENS E FER</t>
  </si>
  <si>
    <t>PANIZZI CONSTR E INCORP LTDA</t>
  </si>
  <si>
    <t>PANTANAL SOLUC EM FERRO E ACO LT</t>
  </si>
  <si>
    <t>PARK LOG CSL 01 EMPREEND IMOB LTDA</t>
  </si>
  <si>
    <t>PARK MALL CSL 02 EMPREEND IMOB LTDA</t>
  </si>
  <si>
    <t>PARK MALL CSL 03 EMPREEND IMOB LTDA</t>
  </si>
  <si>
    <t>PARLANTINA IND METALURG LTDA</t>
  </si>
  <si>
    <t>PARTNER EMPREEND IMOB LTDA</t>
  </si>
  <si>
    <t>PASETTI &amp; GIROTTO IND E COM LTDA</t>
  </si>
  <si>
    <t>PATRICIA SCHUNEMANN BERNARDES</t>
  </si>
  <si>
    <t>PAULISTEEL COML DE FERRO E ACO LTDA</t>
  </si>
  <si>
    <t>PAULO CESAR PADOIM</t>
  </si>
  <si>
    <t>PAULO DE ALMEIDA CALIXTO</t>
  </si>
  <si>
    <t>PAULO EDVINO BUSSLER</t>
  </si>
  <si>
    <t>PAULO HENRIQUE DYTZ</t>
  </si>
  <si>
    <t>PAULO ZIOBER - EQUIP METALURG LTDA</t>
  </si>
  <si>
    <t>PCR METALURGICA LTDA</t>
  </si>
  <si>
    <t>PEDRAS ORIENTE COM IMP E EXP LTDFA</t>
  </si>
  <si>
    <t>PEDREIRA E CONCRETOS CAXIENSE LTDA</t>
  </si>
  <si>
    <t>PEDRINI LOG EIRELI</t>
  </si>
  <si>
    <t>PEDRO BAZZAN</t>
  </si>
  <si>
    <t>PEDRO DOCENA</t>
  </si>
  <si>
    <t>PEDRO ROGERIO BORDIGNON</t>
  </si>
  <si>
    <t>PERCAPI IND E COM DE FERRO LTDA</t>
  </si>
  <si>
    <t>PERCIA SHULTZ</t>
  </si>
  <si>
    <t>PEREIRA &amp; BENELLI LTDA ME</t>
  </si>
  <si>
    <t>PERFEITA ESTR MET E CONSTR LTDA</t>
  </si>
  <si>
    <t>PERFIBRAS IND E COM DE ALUMINIO LTD</t>
  </si>
  <si>
    <t>PERFIL IND E COM DE FERROS LTDA</t>
  </si>
  <si>
    <t>PERFIL INDUSTRIA DE PERFILADOS LTDA</t>
  </si>
  <si>
    <t>PERFILADOS LONDRINA LTDA</t>
  </si>
  <si>
    <t>PERFILLINE COMP METALICOS LTDA</t>
  </si>
  <si>
    <t>PERFIOESTE IND DE PERFIS DE ACO LTD</t>
  </si>
  <si>
    <t>PERFUGEL PERFURACOES GEOLOG LTDA</t>
  </si>
  <si>
    <t>PERFUREX IND E COM DE EQUIP AGRIC</t>
  </si>
  <si>
    <t>PERINI SOLUCOES INDUSTRIAIS EIRELI</t>
  </si>
  <si>
    <t>PERKONS S/A</t>
  </si>
  <si>
    <t>PERLARE ALUMINIOS DO BRASIL EIRELI</t>
  </si>
  <si>
    <t>PETISCO DISTRIB DE ALIMENTOS EIRELI</t>
  </si>
  <si>
    <t>PETROSKI IND COM E REPR DE AERONAV</t>
  </si>
  <si>
    <t>PETRYACO IND E COM DE ACO LTDA</t>
  </si>
  <si>
    <t>PG SPORTS LTDA</t>
  </si>
  <si>
    <t>PGD FAB E COM DE ESTRUT METALIC LTD</t>
  </si>
  <si>
    <t>PHAMA ENERGIAS RENOVAVEIS LTDA ME</t>
  </si>
  <si>
    <t>PHAMETAL METALURGICA LTDA</t>
  </si>
  <si>
    <t>PICCOLI E DENEGA PRE MOLD E CONSTR</t>
  </si>
  <si>
    <t>PILINCHA ARTEF DE CIMENTO LTDA ME</t>
  </si>
  <si>
    <t>PIMACOL COM DE MAT PARA CONST LTDA</t>
  </si>
  <si>
    <t>PIONEIRA COM DE MADEIRA EIRELI</t>
  </si>
  <si>
    <t>PISANI PLASTICOS S A</t>
  </si>
  <si>
    <t>PISTELLI ENGENHARIA LTDA</t>
  </si>
  <si>
    <t>PIZZATO ENGENH EM PRE MOLDADOS LTDA</t>
  </si>
  <si>
    <t>PLACAPAR EMPREEND EIRELI - EPP</t>
  </si>
  <si>
    <t>PLAMEX INDUSTRIA LTDA</t>
  </si>
  <si>
    <t>PLANO ENG ASSAI NACOES UNIDAS SPE</t>
  </si>
  <si>
    <t>PLASSON DO BRASIL LTDA</t>
  </si>
  <si>
    <t>PLASTIC SUL IND DE PLAST LTDA</t>
  </si>
  <si>
    <t>PLASTLIFE INDL DE PLASTICOS LTDA</t>
  </si>
  <si>
    <t>PLAXMETAL S/A IND DE CADEIRAS CORP</t>
  </si>
  <si>
    <t>PLURIMETAL IND METALURG LTDA</t>
  </si>
  <si>
    <t>POCOS SEMI-ARTESIANOS IPORA LTDA</t>
  </si>
  <si>
    <t>POLACO COM DE FERRAG IND LTDA</t>
  </si>
  <si>
    <t>POLATI &amp; GOMES DISTRIB DE PERFILA</t>
  </si>
  <si>
    <t>POLIMET INDUSTRIA METALURG EIRELI</t>
  </si>
  <si>
    <t>POLISTAMPO IND METALURG LTDA</t>
  </si>
  <si>
    <t>POLITECONACO INDUSTRIAL LTDA</t>
  </si>
  <si>
    <t>POLLI COM DE FERROS LTDA</t>
  </si>
  <si>
    <t>POLLI MATERIAIS PARA CONSTR LTDA</t>
  </si>
  <si>
    <t>POLOMEX SA DE CV</t>
  </si>
  <si>
    <t>POLYTUBOS PROD SIDERURGICOS LTDA</t>
  </si>
  <si>
    <t>PONTES &amp; YAMATO LTDA</t>
  </si>
  <si>
    <t>POP IND E COM DE MOVEIS EIRELI</t>
  </si>
  <si>
    <t>PORTO ACO LTDA</t>
  </si>
  <si>
    <t>PORTO PONTA DO FELIX S/A</t>
  </si>
  <si>
    <t>PORTOMAG METALURGIA EIRELI - EPP</t>
  </si>
  <si>
    <t>PORTOSUL COMERCIAL DE ACOS LTDA</t>
  </si>
  <si>
    <t>POSTO REAL COM DE COMB LTDA</t>
  </si>
  <si>
    <t>POSTO RECANTO LTDA</t>
  </si>
  <si>
    <t>POTENCIAL PETROLEO LTDA</t>
  </si>
  <si>
    <t>POUPE SUPERMERCADOS LTDA</t>
  </si>
  <si>
    <t>POWER CORTE METALURGICA LTDA ME</t>
  </si>
  <si>
    <t>PRATI DONADUZZI &amp; CIA LTDA</t>
  </si>
  <si>
    <t>PRATTICA LOGISTICA COMERCIAL LTDA</t>
  </si>
  <si>
    <t>PRATYC IND E DISTRIB DE PROD EM ALU</t>
  </si>
  <si>
    <t>PRE MOLDADOS SANTA RITA</t>
  </si>
  <si>
    <t>PRE MOLDADOS SLA LTDA EPP</t>
  </si>
  <si>
    <t>PRE-MOLDADOS VIVENDA LTDA - EPP</t>
  </si>
  <si>
    <t>PRE-VALE PRE-MOLD DE CONCRETO LTDA</t>
  </si>
  <si>
    <t>PREMIUM TABACOS DO BRASIL S/A</t>
  </si>
  <si>
    <t>PREMOSUL PRE FABRICADOS LTDA</t>
  </si>
  <si>
    <t>PRESSOTTO CONCRETO E ACO LTDA</t>
  </si>
  <si>
    <t>PRIMAX IND E COM DE MOV LTDA ME</t>
  </si>
  <si>
    <t>PRIME PARTICIPACOES LTDA</t>
  </si>
  <si>
    <t>PRINCIPIO COM E SERV LTDA</t>
  </si>
  <si>
    <t>PRO ATIVA COMPONENTES PARA MOVEIS</t>
  </si>
  <si>
    <t>PRO-MARKET MOVEIS E EXPOSITORES LTD</t>
  </si>
  <si>
    <t>PRODUBIKE IND E COM LTDA ME</t>
  </si>
  <si>
    <t>PROGAS IND METALURGICA LTDA</t>
  </si>
  <si>
    <t>PROJEART IND DE ESTR METALICAS LTDA</t>
  </si>
  <si>
    <t>PROJETO METALURGIA LTDA</t>
  </si>
  <si>
    <t>PROLIFE PRODUTOS ORTOPEDICOS LTDA</t>
  </si>
  <si>
    <t>PROLOJA FEIRAS E EVENTOS LTDA</t>
  </si>
  <si>
    <t>PROMOTEC IND E COM LTDA</t>
  </si>
  <si>
    <t>PSM CONSTRUTORA DE OBRAS LTDA</t>
  </si>
  <si>
    <t>PVH PROJ COM E ENGENHARIA EIRELI</t>
  </si>
  <si>
    <t>QT EQUIPAMENTOS LTDA</t>
  </si>
  <si>
    <t>R &amp; R ESTRUTURAS METALICAS LTDA</t>
  </si>
  <si>
    <t>R DECOR COM DE REVEST E DEC LTDA</t>
  </si>
  <si>
    <t>R R COML DE ACOS LTDA</t>
  </si>
  <si>
    <t>R.B COMERCIO DE ACOS EIRELI</t>
  </si>
  <si>
    <t>RAFAEL CARLOS PRIGOL</t>
  </si>
  <si>
    <t>RAFAEL M MEDEIROS SUCATAS</t>
  </si>
  <si>
    <t>RAIMUNDO MORO</t>
  </si>
  <si>
    <t>RANDON S/A IMPLEM E PARTICIPACOES</t>
  </si>
  <si>
    <t>RANDON S/A IMPLEMENTOS E PARTICIP</t>
  </si>
  <si>
    <t>RANDON SA IMPLEMENTOS E PART</t>
  </si>
  <si>
    <t>RANDON TRIEL HT IMPL ROD LTDA</t>
  </si>
  <si>
    <t>RASIP ALIMENTOS LTDA</t>
  </si>
  <si>
    <t>RATAO TUBOS E ACOS LTDA</t>
  </si>
  <si>
    <t>RAUL BASSO</t>
  </si>
  <si>
    <t>RAUMAK METAL DISTRIBUIDORA EIRELI</t>
  </si>
  <si>
    <t>RAVEN IND E COM DE FERRAMENT LTDA</t>
  </si>
  <si>
    <t>RAYCKS COMERCIAL EIRELI ME</t>
  </si>
  <si>
    <t>RB CAPITAL BUILT TO SUIT I FUNDO DE</t>
  </si>
  <si>
    <t>RC - COML DE TUBOS E CONEXOES LTDA</t>
  </si>
  <si>
    <t>RCH EMPREEND IMOBILIARIOS S.A</t>
  </si>
  <si>
    <t>RD MAQUINAS E EQUIPAMENTOS LTDA</t>
  </si>
  <si>
    <t>RDC SOLUCOES INDUSTRIAIS LTDA</t>
  </si>
  <si>
    <t>REALME IND E COM DE MOVEIS LTDA</t>
  </si>
  <si>
    <t>REBOCAR INDUSTRIAL EIRELI</t>
  </si>
  <si>
    <t>RECICLADORA DE METAIS NOROESTE LTDA</t>
  </si>
  <si>
    <t>RECK E DUTRA LTDA</t>
  </si>
  <si>
    <t>REDE FURNAS COM DE COMBUST LTDA</t>
  </si>
  <si>
    <t>REDE FURNAS COM DE COMBUSTIVEIS</t>
  </si>
  <si>
    <t>REDE PREMIER DERIV DE PETROLEO LTDA</t>
  </si>
  <si>
    <t>REDITUS EMPREEND IMOB LTDA</t>
  </si>
  <si>
    <t>REFER COMERCIO DE FERRAGENS LTDA</t>
  </si>
  <si>
    <t>REFRAMA REFRATARIOS MACCARI LTDA</t>
  </si>
  <si>
    <t>REGNER METALURGICA LTDA</t>
  </si>
  <si>
    <t>REIS &amp; BITENCOURT HOLDING LTDA</t>
  </si>
  <si>
    <t>REIS COMERCIO DE FERRO E ACO EIRELI</t>
  </si>
  <si>
    <t>REMAPRI IND DE CAVACOS DE MADEIRA</t>
  </si>
  <si>
    <t>REMATUR RECUP DE MAQ TURVENSE LTDA</t>
  </si>
  <si>
    <t>REMTAFER PROD SIDERURGICOS LTDA</t>
  </si>
  <si>
    <t>RENAN BARONIO</t>
  </si>
  <si>
    <t>RENATO HUMBERTO PORAZZI</t>
  </si>
  <si>
    <t>RENATO MORAES DAS CHAGAS</t>
  </si>
  <si>
    <t>RENATO WELLER</t>
  </si>
  <si>
    <t>RENE JOAO CAMINI</t>
  </si>
  <si>
    <t>RESEMINI COM MAT CONSTRUCAO LTDA ME</t>
  </si>
  <si>
    <t>RESERVA DA PEDRA FCVCP INC SPE LTDA</t>
  </si>
  <si>
    <t>RESFRI AR CLIMATIZADORES E EQUIP LT</t>
  </si>
  <si>
    <t>RESIDENCIAL TORRE SANTORINI SPE LTD</t>
  </si>
  <si>
    <t>RGM PRE MOLDADOS EIRELI</t>
  </si>
  <si>
    <t>RHOFERACO COM DE FERRO E ACO LTDA</t>
  </si>
  <si>
    <t>RICARDO CASTELLAR DE FARIA</t>
  </si>
  <si>
    <t>RICARDO PIASECKI PERINE</t>
  </si>
  <si>
    <t>RICARDO SCHNEIDER MOVEIS</t>
  </si>
  <si>
    <t>RICARDO SEMIR DE FRANCESCHI</t>
  </si>
  <si>
    <t>RICIERI LUIS HILGERT EIRELI</t>
  </si>
  <si>
    <t>RIO BRANCO ALIMENTOS S/A</t>
  </si>
  <si>
    <t>RISSATO &amp; BIANCHINI LTDA</t>
  </si>
  <si>
    <t>RITA DAL POCOL ROSSI</t>
  </si>
  <si>
    <t>RIVIAN METAL COMERCIAL LTDA</t>
  </si>
  <si>
    <t>RIZOMA AGRICULTURA REGENERATIVA SA</t>
  </si>
  <si>
    <t>RIZON IND DE MAQUINAS LTDA EPP</t>
  </si>
  <si>
    <t>RIZZOTTO &amp; CIA LTDA</t>
  </si>
  <si>
    <t>RM ARTIGOS FUNERARIOS LTDA</t>
  </si>
  <si>
    <t>ROAL INDUSTRIA METALURGICA LTDA</t>
  </si>
  <si>
    <t>ROBECK &amp; ROBECK LTDA ME</t>
  </si>
  <si>
    <t>ROBERTO ARCARI</t>
  </si>
  <si>
    <t>ROBERTO GUADALUPE LEITE SEIXAS</t>
  </si>
  <si>
    <t>ROBUSTEC IND E COM LTDA</t>
  </si>
  <si>
    <t>ROCHA &amp; FILHOS LTDA</t>
  </si>
  <si>
    <t>RODOARA SERVICOS EM CARRETAS LTDA</t>
  </si>
  <si>
    <t>RODOCLIM IMPL ROD LTDA</t>
  </si>
  <si>
    <t>RODOIL DIST DE COMBUSTIVEIS S.A.</t>
  </si>
  <si>
    <t>RODOMOURA FREIOS IND DE IMPL RODOV</t>
  </si>
  <si>
    <t>RODOMUNK IND COM E REF DE  MAQ LTDA</t>
  </si>
  <si>
    <t>RODORIB TECNOLOGIA RODOVIARIA LTDA</t>
  </si>
  <si>
    <t>RODOSYSTEM IMPL ROD EIRELI</t>
  </si>
  <si>
    <t>RODOTECNICA IND IMPL ROD EIRELI</t>
  </si>
  <si>
    <t>RODOVIAS INTEGRADAS DO PARANA S/A</t>
  </si>
  <si>
    <t>RODRIGO SCHWAAB ZUCATTI</t>
  </si>
  <si>
    <t>ROGIRO ACEROS S.A.</t>
  </si>
  <si>
    <t>ROGLECEL METALURGICA LTDA</t>
  </si>
  <si>
    <t>ROJANE BAUER GRAMMS</t>
  </si>
  <si>
    <t>ROMAGNOLE PRODUTOS ELETRICOS S/A</t>
  </si>
  <si>
    <t>ROMEVA TUBOS</t>
  </si>
  <si>
    <t>RONALDO BATISTA PANIZZON</t>
  </si>
  <si>
    <t>RONALDO MAZZUCCO</t>
  </si>
  <si>
    <t>RONALDO PEREIRA KOCH</t>
  </si>
  <si>
    <t>RONI EDSON KUSSLER</t>
  </si>
  <si>
    <t>RONIE CHESTER MESTRINER ZANELATTO</t>
  </si>
  <si>
    <t>ROQUE LUIZ BENVENUTTI</t>
  </si>
  <si>
    <t>ROQUE QUAGLIATO</t>
  </si>
  <si>
    <t>ROSALI ALVES CORDEIRO - ME</t>
  </si>
  <si>
    <t>ROSELENE BOFF</t>
  </si>
  <si>
    <t>ROSES HNOS SRL</t>
  </si>
  <si>
    <t>ROSSE &amp; ROSSE LTDA</t>
  </si>
  <si>
    <t>ROSTIROLLA METALURGICA LTDA</t>
  </si>
  <si>
    <t>ROTASILOS DO BRASIL IND E COM DE</t>
  </si>
  <si>
    <t>ROTESMA IND DE PRE-FABRICADOS DE</t>
  </si>
  <si>
    <t>ROTOLINE EQUIP INDUSTRIAIS LTDA</t>
  </si>
  <si>
    <t>ROUTE BIKE LTDA - ME</t>
  </si>
  <si>
    <t>ROVALI IND DE AUTO PECAS LTDA</t>
  </si>
  <si>
    <t>RR COM E RECICLAG DE VIDROS EIRELI</t>
  </si>
  <si>
    <t>RS CONSULT ADM E PARTICIP EIRELI</t>
  </si>
  <si>
    <t>RST IND E COM DE EQUIPAGROIND LTDA</t>
  </si>
  <si>
    <t>RUBIA FABIANA DALLABRIDA HERRMANN</t>
  </si>
  <si>
    <t>RUDIMAR COMERLATO</t>
  </si>
  <si>
    <t>RUMO ENGENHARIA LTDA</t>
  </si>
  <si>
    <t>RURALTEC COM E REPR LTDA</t>
  </si>
  <si>
    <t>RV INDUSTRIA METALURGICA LTDA</t>
  </si>
  <si>
    <t>S H ESTRUTURAS METALICAS LTDA</t>
  </si>
  <si>
    <t>S J TEODORO</t>
  </si>
  <si>
    <t>S M K IND COM REPR LTDA</t>
  </si>
  <si>
    <t>SABMAQ IMPLEMENTOS AGRICOLAS LTDA</t>
  </si>
  <si>
    <t>SADI PICCOLI</t>
  </si>
  <si>
    <t>SALVIO GUIMARAES DA CRUZ</t>
  </si>
  <si>
    <t>SAMIL IND COM E SERV INDUSTRIAIS</t>
  </si>
  <si>
    <t>SAMUEL HENRIQUE ROMBALDI</t>
  </si>
  <si>
    <t>SAMUEL PATEL SARTORI</t>
  </si>
  <si>
    <t>SAN MARINO ONIBUS LTDA</t>
  </si>
  <si>
    <t>SANTA IZABEL AGRO INDUSTRIA LTDA</t>
  </si>
  <si>
    <t>SANTA MARIA PECAS EIRELI ME</t>
  </si>
  <si>
    <t>SANTINI &amp; FILHOS LTDA EPP</t>
  </si>
  <si>
    <t>SAO JOAO ALIMENTOS LTDA</t>
  </si>
  <si>
    <t>SAO JOSE COM DE MAT HIDR FERRAGENS</t>
  </si>
  <si>
    <t>SAULO PIGNATON</t>
  </si>
  <si>
    <t>SAUR EQUIPAMENTOS SA</t>
  </si>
  <si>
    <t>SCHMIDT IND DE ESTRUTURAS MET LTDA</t>
  </si>
  <si>
    <t>SCHMIDT SOLUC EM ARMAZENAGEM LTDA</t>
  </si>
  <si>
    <t>SCHOOL CENTER IND DE MOV ESCOLARES</t>
  </si>
  <si>
    <t>SCHORR &amp; CIA LTDA ME</t>
  </si>
  <si>
    <t>SCREENY DESIGN COM E DECOR LTDA</t>
  </si>
  <si>
    <t>SCREW IND METALMECANICA EIRELI</t>
  </si>
  <si>
    <t>SE DISTRIBUIDORA DE ALIMENTOS LTDA</t>
  </si>
  <si>
    <t>SEBASTIAO BARROS</t>
  </si>
  <si>
    <t>SECCIONAL BRASIL S/A</t>
  </si>
  <si>
    <t>SEDNEY DOS SANTOS FREITA</t>
  </si>
  <si>
    <t>SEMENTES TORMENTA LTDA</t>
  </si>
  <si>
    <t>SENFOR SA</t>
  </si>
  <si>
    <t>SEPO DISTRIBUIDORA EIRELI</t>
  </si>
  <si>
    <t>SERGIO DOMINGOS DETONI</t>
  </si>
  <si>
    <t>SERGIO GUSTAVO VACAFLORES OSSIO</t>
  </si>
  <si>
    <t>SERGIO KUNIO KADOWAKI</t>
  </si>
  <si>
    <t>SERGOMEL MECANICA INDUSTRIAL LTDA</t>
  </si>
  <si>
    <t>SERPECAS ALAGOAS IMPL RODOV LTDA</t>
  </si>
  <si>
    <t>SERRALH BENTO GONCALVES LTDA</t>
  </si>
  <si>
    <t>SERRALH PARTENON LTDA</t>
  </si>
  <si>
    <t>SERRALHERIA CESAR LTDA</t>
  </si>
  <si>
    <t>SERRALHERIA COLONIAL LTDA</t>
  </si>
  <si>
    <t>SERRALHERIA DO DODI LTDA</t>
  </si>
  <si>
    <t>SERRALHERIA E EST MET SIDI LTDA</t>
  </si>
  <si>
    <t>SERRALHERIA SANTA CATARINA LTDA</t>
  </si>
  <si>
    <t>SERRARIA HS LTDA</t>
  </si>
  <si>
    <t>SERTUBOS COM IMP E EXP LTDA</t>
  </si>
  <si>
    <t>SERVITECH SERV TEC E REPR LTDA</t>
  </si>
  <si>
    <t>SERVPLAS IND E COM DE MOV E COMP LT</t>
  </si>
  <si>
    <t>SEVERINO FONSECA DA CRUZ</t>
  </si>
  <si>
    <t>SGLASS IND E COM DE MAQUINAS LTDA</t>
  </si>
  <si>
    <t>SH IND DE METALURGIA E SERV LTDA</t>
  </si>
  <si>
    <t>SHINTATI &amp; CAMPOS METALURG LTDA</t>
  </si>
  <si>
    <t>SICHEL IND E COM LTDA ME</t>
  </si>
  <si>
    <t>SIDEMAR BONKOSKI</t>
  </si>
  <si>
    <t>SIDENIR DE JESUS GAVIN</t>
  </si>
  <si>
    <t>SIDERBRAS COM IMP E EXP LTDA</t>
  </si>
  <si>
    <t>SIDERSUL PROD SIDERURGICOS LTDA</t>
  </si>
  <si>
    <t>SIDNEI COMERLATTO</t>
  </si>
  <si>
    <t>SIDONIA SOSTMEYE</t>
  </si>
  <si>
    <t>SIGNASUL ENGENH DE SINALIZACAO LTDA</t>
  </si>
  <si>
    <t>SIGNORI ENGENH E CONSTR LTDA</t>
  </si>
  <si>
    <t>SILENCIADORES GUARANY FABRIC E COM</t>
  </si>
  <si>
    <t>SILERIO SCHAFER</t>
  </si>
  <si>
    <t>SILMAR SCHWEDE</t>
  </si>
  <si>
    <t>SILOMAX IND E COM LTDA</t>
  </si>
  <si>
    <t>SILOS ROMA IND E COM DE EQUIP AGRIC</t>
  </si>
  <si>
    <t>SILVANA TIECHER PEREIRA DOBLER</t>
  </si>
  <si>
    <t>SIM AGROINDUSTRIAL LTDA</t>
  </si>
  <si>
    <t>SINATEC SERV DE SINALIZACAO LTDA</t>
  </si>
  <si>
    <t>SINCO ENGENHARIA COM IMP E EXP LTDA</t>
  </si>
  <si>
    <t>SINOSCAR SA</t>
  </si>
  <si>
    <t>SINVAL COM DE PORTAS E JANELAS LTDA</t>
  </si>
  <si>
    <t>SIRIUS ADM E PARTICIP LTDA</t>
  </si>
  <si>
    <t>SISTEMILK FERRAGENS E EQUIP LTDA</t>
  </si>
  <si>
    <t>SKALA METALURGICA LTDA</t>
  </si>
  <si>
    <t>SKALA VIDROS E SERRALHERIA LTDA</t>
  </si>
  <si>
    <t>SKP IND E COM DE AUTO PECAS LTDA</t>
  </si>
  <si>
    <t>SLC MAQUINAS LTDA</t>
  </si>
  <si>
    <t>SMA METALURGICA LTDA</t>
  </si>
  <si>
    <t>SMETALURGICA IND DE BICICLETAS EIRE</t>
  </si>
  <si>
    <t>SOARES INDUSTRIAL LTDA EPP</t>
  </si>
  <si>
    <t>SOLANO TOME VIVAN</t>
  </si>
  <si>
    <t>SOLDAX IND E COM DE MOVEIS E EST</t>
  </si>
  <si>
    <t>SOLERGY COM DE EQUIPAMEN SOLARES LT</t>
  </si>
  <si>
    <t>SOLIDEZ CONSTRUCOES LTDA</t>
  </si>
  <si>
    <t>SOLLUS MECANIZACAO AGRICOLA LTDA</t>
  </si>
  <si>
    <t>SOLTEC BRASIL IND COM E SERV DE</t>
  </si>
  <si>
    <t>SOLTEC BRASIL IND COM E SERVICOS DE</t>
  </si>
  <si>
    <t>SOLUMONT IND E COM AGRIC LTDA</t>
  </si>
  <si>
    <t>SOMAVE AGROINDUSTRIAL LTDA</t>
  </si>
  <si>
    <t>SOORO RENNER NUTRICAO S/A</t>
  </si>
  <si>
    <t>SOUZA &amp; SECCO LTDA</t>
  </si>
  <si>
    <t>SP ACOS - COM DE TUBOS DE ACO E</t>
  </si>
  <si>
    <t>SPORTMANIA IND E COM DE APARELHOS</t>
  </si>
  <si>
    <t>SS AGRO IMPL RODOV LTDA</t>
  </si>
  <si>
    <t>STAACK INCORPORACOES LTDA</t>
  </si>
  <si>
    <t>STAPELBROEK &amp; CIA LTDA</t>
  </si>
  <si>
    <t>STARA S A IND DE IMPL AGRICOLAS</t>
  </si>
  <si>
    <t>STARA S/A IND DE IMPL AGRICOLAS</t>
  </si>
  <si>
    <t>START RACING MOTO PECAS LTDA</t>
  </si>
  <si>
    <t>STATUS BIKE IND COM BICICLETAS LTDA</t>
  </si>
  <si>
    <t>STEEL LOPES COM DE METAIS EIRELI</t>
  </si>
  <si>
    <t>STEELROOL IND METALURGICA LTDA</t>
  </si>
  <si>
    <t>STINORLAND BRASIL LTDA EPP</t>
  </si>
  <si>
    <t>STIVAL ARTESANATOS LTDA ME</t>
  </si>
  <si>
    <t>STOCKMANS IND MECANICA EIRELI</t>
  </si>
  <si>
    <t>SUGATEC INDL DE EQUIP LTDA</t>
  </si>
  <si>
    <t>SUL CORTE IMPRA DE FERRAMENTAS LTDA</t>
  </si>
  <si>
    <t>SUL FER COMERCIO DE FERROS LTDA</t>
  </si>
  <si>
    <t>SULFERRACO COML DE FERRO E ACO LTDA</t>
  </si>
  <si>
    <t>SULFERRACO MARINGA PROD SIDERURG LT</t>
  </si>
  <si>
    <t>SULMOBILE IND MOVELEIRA LTDA</t>
  </si>
  <si>
    <t>SULPEL TRANSPORTE COM DE APARAS DO</t>
  </si>
  <si>
    <t>SULPOL IND METALURGICA LTDA</t>
  </si>
  <si>
    <t>SUMIG ROBOTICA E AUTOMACAO LTDA</t>
  </si>
  <si>
    <t>SUMIG SOLUCOES PARA SOLDA E CORTE</t>
  </si>
  <si>
    <t>SUPERACO IND E COM LTDA</t>
  </si>
  <si>
    <t>SUPERACO INDUSTRIA E COMERCIO LTDA</t>
  </si>
  <si>
    <t>SUPERFER COML DE FERRAGENS LTDA</t>
  </si>
  <si>
    <t>SUPERMERCADO SILVEIRA LTDA</t>
  </si>
  <si>
    <t>SUPERMERCADO UESSLER LTDA</t>
  </si>
  <si>
    <t>SUPLAY COMPON E SUPRIMENTO LTDA</t>
  </si>
  <si>
    <t>SUPRI LOGISTICA E SUPRIMENTOS LTDA</t>
  </si>
  <si>
    <t>T2 LOGISTICA LTDA</t>
  </si>
  <si>
    <t>TACLA INVESTIMENTOS DE BENS LTDA</t>
  </si>
  <si>
    <t>TADEU COPETTI</t>
  </si>
  <si>
    <t>TADEU LUIS PIENIZ CADORE</t>
  </si>
  <si>
    <t>TANIA M BOHNERT MANN &amp; CIA LTDA</t>
  </si>
  <si>
    <t>TASSIANA MAINARDI GOETTEMS</t>
  </si>
  <si>
    <t>TATANKA SKA COM E SERV DE MONTAG LT</t>
  </si>
  <si>
    <t>TATIANE PEREIRA TEIXEIRA 9391965490</t>
  </si>
  <si>
    <t>TAUAN RIBEIRO MACIEL</t>
  </si>
  <si>
    <t>TEC LASER - TECNOLOGIA CNC EM PRO</t>
  </si>
  <si>
    <t>TECH PRE-MOLDADOS EIRELI</t>
  </si>
  <si>
    <t>TECHNOMAST IND METALURG LTDA</t>
  </si>
  <si>
    <t>TECNICA CONSTRUCOES LTDA</t>
  </si>
  <si>
    <t>TECNITUBO IND DE MOVEIS LTDA</t>
  </si>
  <si>
    <t>TECNOCONST CONSTRUCOES LTDA ME</t>
  </si>
  <si>
    <t>TECNOCURVA IND DE PECAS AUTOMOB LT</t>
  </si>
  <si>
    <t>TECNODISEL VILHENA LTDA</t>
  </si>
  <si>
    <t>TECNOESSE INDUSTRIA E COMERCIO LTDA</t>
  </si>
  <si>
    <t>TECNOFUERTES MAQ IND LTDA</t>
  </si>
  <si>
    <t>TECNOLIMP SERVICOS LTDA</t>
  </si>
  <si>
    <t>TECNOVA PREPARACAO DE MAT LTDA</t>
  </si>
  <si>
    <t>TECNOVAL COMERCIAL LTDA</t>
  </si>
  <si>
    <t>TECNOVAPOR COM E SERVICOS LTDA</t>
  </si>
  <si>
    <t>TECPONFER IND DE MAQUINAS LTDA</t>
  </si>
  <si>
    <t>TEIXEIRA COML COM DE MAT DE  CONSTR</t>
  </si>
  <si>
    <t>TEIXEIRA IMPL ROD LTDA</t>
  </si>
  <si>
    <t>TELAS CAXIENSE IND E COM LTDA</t>
  </si>
  <si>
    <t>TELASUL INDUSTRIA DE MOVEIS SA</t>
  </si>
  <si>
    <t>TELHAS CAPITAL IND E COM DE TELHAS</t>
  </si>
  <si>
    <t>TELHASUL IND TELHAS METAL EIRELI</t>
  </si>
  <si>
    <t>TEOREMA SERVICO DE ENG CONSTR</t>
  </si>
  <si>
    <t>TERESINHA C DA SILVA</t>
  </si>
  <si>
    <t>TEREZINHA DE JESUS LISBOA BOEIRA</t>
  </si>
  <si>
    <t>TERMO CAMPO MAQ E SERV PARA AVICUL-</t>
  </si>
  <si>
    <t>TERRAS ALTAS AGROPECUARIA LTDA</t>
  </si>
  <si>
    <t>TETAMANTI COM DE FER E METAIS LTDA</t>
  </si>
  <si>
    <t>THOMAZ IND E COM DE CADEIRAS LTDA</t>
  </si>
  <si>
    <t>THOR COMPONENTES AUTOMOT LTDA</t>
  </si>
  <si>
    <t>TIAGO JOSE FIORIN MEGGIOLARO</t>
  </si>
  <si>
    <t>TIAGO MATIEL DOS SANTOS</t>
  </si>
  <si>
    <t>TIAGO MOISES ELWANGER</t>
  </si>
  <si>
    <t>TIBRE IND METALURGICA LTDA - FILIAL</t>
  </si>
  <si>
    <t>TIMBER SA</t>
  </si>
  <si>
    <t>TISCOR S.A.</t>
  </si>
  <si>
    <t>TLGA TRANSPORTES E LOGISTICA GRALHA</t>
  </si>
  <si>
    <t>TLT MONTAGENS INDUSTRIAIS LTDA</t>
  </si>
  <si>
    <t>TOBIAS BIGOLIN SCHAFER</t>
  </si>
  <si>
    <t>TOK PLASTI METAL LTDA</t>
  </si>
  <si>
    <t>TONELI - IND E COM DE TRAVAS LTDA</t>
  </si>
  <si>
    <t>TONET ESTRUT DE CONCRETO EIRELI</t>
  </si>
  <si>
    <t>TOPFLEX COMERCIO E SERVICOS LTDA</t>
  </si>
  <si>
    <t>TORRES METAIS EIRELI</t>
  </si>
  <si>
    <t>TORRES SERRALH ESTR E ESQ MET EIREL</t>
  </si>
  <si>
    <t>TOTAL TUBOS DE ACO LTDA</t>
  </si>
  <si>
    <t>TOTTAL SINALIZACAO LTDA - ME</t>
  </si>
  <si>
    <t>TRACK COM DE ACESSORIOS AUTOM LTD</t>
  </si>
  <si>
    <t>TRAMONTINA MULTI S/A</t>
  </si>
  <si>
    <t>TRAMONTINA SUL SA</t>
  </si>
  <si>
    <t>TRANSGIACOMOSSI MIN E TRANSP EIRELI</t>
  </si>
  <si>
    <t>TRANSPORTADORA HAMMES LTDA</t>
  </si>
  <si>
    <t>TRANSPORTADORA KALINCA EIRELI</t>
  </si>
  <si>
    <t>TRANSPORTES ACEGUA LTDA</t>
  </si>
  <si>
    <t>TRANSPORTES MOBILINE EIRELI</t>
  </si>
  <si>
    <t>TRE PARONI IND DE MOV LTDA</t>
  </si>
  <si>
    <t>TREMOCOLDI &amp; CIA LTDA</t>
  </si>
  <si>
    <t>TREVISAN EQUIP AGRO-INDUSTRIAIS LTD</t>
  </si>
  <si>
    <t>TREZACO COM DE TUBOS E ACO LTDA ME</t>
  </si>
  <si>
    <t>TRITON MAQ AGRIC LTDA</t>
  </si>
  <si>
    <t>TROMINK INDUSTRIAL LTDA</t>
  </si>
  <si>
    <t>TROPICAL ESTUFAS AGRICOLAS LTDA</t>
  </si>
  <si>
    <t>TRW IND E COM LTDA</t>
  </si>
  <si>
    <t>TS INDUSTRIA PLASTICA LTDA - EPP</t>
  </si>
  <si>
    <t>TUBACERO S.A.</t>
  </si>
  <si>
    <t>TUBESTEEL COM DE TUBOS E ACOS LTDA</t>
  </si>
  <si>
    <t>TUBOACO PROD SIDERURGICOS LTDA</t>
  </si>
  <si>
    <t>TUBONASA ACOS LTDA</t>
  </si>
  <si>
    <t>TUBOPAR COMERCIO DE FERROS LTDA</t>
  </si>
  <si>
    <t>TUBOPARTS IND COM LTDA</t>
  </si>
  <si>
    <t>TUBOPECAS IND E COMERCIO S/A</t>
  </si>
  <si>
    <t>TUBOS IPIRANGA IND E COM LTDA</t>
  </si>
  <si>
    <t>TUBOS IPIRANGA INDUSTRIA E COM LTDA</t>
  </si>
  <si>
    <t>TUBOS OLIVEIRA LTDA</t>
  </si>
  <si>
    <t>TUFER COMERCIO DE FERROS LTDA</t>
  </si>
  <si>
    <t>TUMAR IND DE MOVEIS LTDA</t>
  </si>
  <si>
    <t>TUTTI BABY IND COM ART INF LTDA</t>
  </si>
  <si>
    <t>TWA PARTICIPACOES EIRELI</t>
  </si>
  <si>
    <t>TYFER LTDA</t>
  </si>
  <si>
    <t>UBR SOLUCOES METALICAS LTDA ME</t>
  </si>
  <si>
    <t>UNILOGISTICA BUSINESS PARK S.A</t>
  </si>
  <si>
    <t>UNIMOVEL IND DE MOVEIS LTDA</t>
  </si>
  <si>
    <t>UNITEC IND COM REPR LTDA</t>
  </si>
  <si>
    <t>UNIVERSAL COM DE VEIC MULTIM LTDA</t>
  </si>
  <si>
    <t>UNIVERSAL FERRO E ACO LTDA</t>
  </si>
  <si>
    <t>USIART IND MEC DE USINAGEM LTDA</t>
  </si>
  <si>
    <t>USICAMP IMPL PARA TRANSP LTDA</t>
  </si>
  <si>
    <t>USICAMPO INDUSTRIA METALURG LTDA ME</t>
  </si>
  <si>
    <t>USICROM METALURGICA LTDA</t>
  </si>
  <si>
    <t>USILUX USINAGEM DE PECAS LTDA</t>
  </si>
  <si>
    <t>USIMETAL USINAGEM E METALURG EIRELI</t>
  </si>
  <si>
    <t>USINA DE ENERGIA FOTOV ARAXA S.A</t>
  </si>
  <si>
    <t>USINA DE ENERGIA FOTOVOLT PEDRANO</t>
  </si>
  <si>
    <t>USINGA IMPLEMENTOS LTDA EPP</t>
  </si>
  <si>
    <t>UTIMIL INDUSTRIAL LTDA</t>
  </si>
  <si>
    <t>V E F DE BRITO &amp; CIA LTDA</t>
  </si>
  <si>
    <t>V S IND E COMERCIO DE METAIS LTDA</t>
  </si>
  <si>
    <t>VACHILESKI EMPREENDIMENTOS LTDA</t>
  </si>
  <si>
    <t>VALDEMAR STEINKE</t>
  </si>
  <si>
    <t>VALDIR BONATTO</t>
  </si>
  <si>
    <t>VALDIR RODRIGUES MOVEIS</t>
  </si>
  <si>
    <t>VALDIR TELAM</t>
  </si>
  <si>
    <t>VALMIR ALBERTO EWERLING</t>
  </si>
  <si>
    <t>VALMIR DA SILVA FAGUNDES</t>
  </si>
  <si>
    <t>VALMIR JOSE DE QUADROS</t>
  </si>
  <si>
    <t>VALMOR DA SILVA FIGUEIRO</t>
  </si>
  <si>
    <t>VANDERLEI JOSE ANDRIOLLO</t>
  </si>
  <si>
    <t>VANDERLEI TAMIOZZO</t>
  </si>
  <si>
    <t>VANDERLEI THADEU BUZETTO</t>
  </si>
  <si>
    <t>VANDERLEI VIEIRA RAMOS</t>
  </si>
  <si>
    <t>VANDERLEY MIRANDA DO CARMO</t>
  </si>
  <si>
    <t>VANESSA GIRELLI PIGATTO</t>
  </si>
  <si>
    <t>VANTEC INDUSTRIA DE MAQUINAS LTDA</t>
  </si>
  <si>
    <t>VANTUIR RASIA SANDRI</t>
  </si>
  <si>
    <t>VAPORTECH COM E SERVICOS EIRELI</t>
  </si>
  <si>
    <t>VARAIS BANKERSEN LTDA</t>
  </si>
  <si>
    <t>VEKA DO BRASIL LTDA</t>
  </si>
  <si>
    <t>VELHO OESTE COM DE FERRO E ACO LTDA</t>
  </si>
  <si>
    <t>VENETO MAQ E EQUIPAMENTOS LTDA</t>
  </si>
  <si>
    <t>VERA LUCIA PINTO NETTO</t>
  </si>
  <si>
    <t>VERA LUCIA TIECHER PEREIRA</t>
  </si>
  <si>
    <t>VERLIT GARDEN S.A.</t>
  </si>
  <si>
    <t>VERTICE COMUNIC VISUAL E SINALIZ LT</t>
  </si>
  <si>
    <t>VHL INSUMOS CEREAIS LTDA</t>
  </si>
  <si>
    <t>VIAMAO 01 EMPREEND IMOB LTDA</t>
  </si>
  <si>
    <t>VIANTUBOS IND E COM DE MOVEIS LTDA</t>
  </si>
  <si>
    <t>VIBAZ IND METALURG E INJECAO PLAST</t>
  </si>
  <si>
    <t>VICENTE FELICIANO DOS SANTOS</t>
  </si>
  <si>
    <t>VIDROTECH IND DE VIDROS EIRELI</t>
  </si>
  <si>
    <t>VIECELLI MOVEIS LTDA</t>
  </si>
  <si>
    <t>VILA DAS ORQUIDEAS</t>
  </si>
  <si>
    <t>VILACOS IMPL RODOV E AGRIC EIRELI</t>
  </si>
  <si>
    <t>VILHETOY AUTO CENTER EIRELI</t>
  </si>
  <si>
    <t>VILMAR DALLAROSA</t>
  </si>
  <si>
    <t>VILMAR JOSE OCHS</t>
  </si>
  <si>
    <t>VILMAR PACHECO DA SILVA &amp; FILHO LTD</t>
  </si>
  <si>
    <t>VILSON ALBERTO BESTER</t>
  </si>
  <si>
    <t>VILSON ALVES DE FARIAS ME</t>
  </si>
  <si>
    <t>VILSON CARRA</t>
  </si>
  <si>
    <t>VILSON DE MOURA MARQUES CONSTR LTD</t>
  </si>
  <si>
    <t>VILSON JOSE SIMON</t>
  </si>
  <si>
    <t>VINCI LOGIST FUNDO DE INV IMOB -FII</t>
  </si>
  <si>
    <t>VINICIUS HANSEN</t>
  </si>
  <si>
    <t>VINICOLA FAMIGLIA COMINATO LTDA</t>
  </si>
  <si>
    <t>VINICOLA LIDIO CARRARO LTDA</t>
  </si>
  <si>
    <t>VINICOLA SALTON S.A</t>
  </si>
  <si>
    <t>VINICOLA SULMONTE LTDA</t>
  </si>
  <si>
    <t>VIPRADO IND COM VIDROS LTDA</t>
  </si>
  <si>
    <t>VISAO INDUSTRIAL E COMERCIAL LTDA</t>
  </si>
  <si>
    <t>VISOACO PRODUTOS SIDERURGICOS LTDA</t>
  </si>
  <si>
    <t>VISOEST COMUNICACAO VISUAL LTDA</t>
  </si>
  <si>
    <t>VISOLI CONSTRUTORA LTDA</t>
  </si>
  <si>
    <t>VISOLI PRE-MOLDADOS LTDA</t>
  </si>
  <si>
    <t>VITACCE CONDOMINIO CLUBE - CAMBE</t>
  </si>
  <si>
    <t>VITAL PRESTADORA DE SERV ADM LTDA</t>
  </si>
  <si>
    <t>VIVAN &amp; ALMEIDA LTDA</t>
  </si>
  <si>
    <t>VIVIANE SIMON OBREGON</t>
  </si>
  <si>
    <t>VMC PARTICIPACOES E INVEST LTDA</t>
  </si>
  <si>
    <t>VOESTALPINE MEINCOL S A</t>
  </si>
  <si>
    <t>VOESTALPINE ROLL FORMING CORP</t>
  </si>
  <si>
    <t>VOLARE VEICULOS LTDA</t>
  </si>
  <si>
    <t>VOLMAR ROQUE BULEGON</t>
  </si>
  <si>
    <t>VOLMIR BARTELLE</t>
  </si>
  <si>
    <t>VOLNEI ROBERTO BORTOLUZZI</t>
  </si>
  <si>
    <t>VRP SERVI IND E COM LTDA</t>
  </si>
  <si>
    <t>VTK TUBOS E CONEXOES EM ACO LTDA</t>
  </si>
  <si>
    <t>W J TUBOS IND DE MOVEIS LTDA - ME</t>
  </si>
  <si>
    <t>W KATSUMI OGAWA &amp; CIA LTDA</t>
  </si>
  <si>
    <t>W M ENGENHARIA REFORMAS E MANUT LT</t>
  </si>
  <si>
    <t>W2A IND METALURGICA LTDA</t>
  </si>
  <si>
    <t>WALTER DELFINO MUNIZ</t>
  </si>
  <si>
    <t>WEG EQUIPAMENTOS ELETRICOS S/A</t>
  </si>
  <si>
    <t>WEILLER CONSTRUCAO CIVIL LTDA</t>
  </si>
  <si>
    <t>WILSON MAXIMINO MANICA NETO</t>
  </si>
  <si>
    <t>WILSON PELENTIR</t>
  </si>
  <si>
    <t>WINNIPEG COM DE FERRAGENS LTDA</t>
  </si>
  <si>
    <t>WINSTON S.A.</t>
  </si>
  <si>
    <t>WK DISTRIBUIDORA DE MAT ELETR FERRO</t>
  </si>
  <si>
    <t>WM IND DE IMPL ROD EIRELI - ME</t>
  </si>
  <si>
    <t>WP MATERIAIS DE CONSTRUCAO LTDA</t>
  </si>
  <si>
    <t>WRW ENGENHARIA DE METAIS EIRELI</t>
  </si>
  <si>
    <t>XP EMPREENDIMENTOS E LOCACOES LTDA</t>
  </si>
  <si>
    <t>ZAMACO COM DE FERROS LTDA</t>
  </si>
  <si>
    <t>ZANUTO &amp; ZANUTO LTDA</t>
  </si>
  <si>
    <t>ZAURO ELIAS DE ARREAL</t>
  </si>
  <si>
    <t>ZECARLOS LIBARDONI</t>
  </si>
  <si>
    <t>ZENO LAURO HECK</t>
  </si>
  <si>
    <t>ZILDOMAR MENEZES &amp; CIA LTDA</t>
  </si>
  <si>
    <t>ZINCA RAPIDO COM DE FERRAGENS LTDA</t>
  </si>
  <si>
    <t>ZORZINCO IND METALURGICA LTDA</t>
  </si>
  <si>
    <t>ZTEC TECNOLOGIA DE METAIS LTDA</t>
  </si>
  <si>
    <t>ZULMIRA ACHITTE CARREIRA &amp; FILHOS</t>
  </si>
  <si>
    <t>ZURLO IMPL RODOVIARIOS LTDA</t>
  </si>
  <si>
    <t>ZUSPER IND DE MAQS INDUSTRIAIS LTDA</t>
  </si>
  <si>
    <t>Cliente</t>
  </si>
  <si>
    <t>Segmento Mercado</t>
  </si>
  <si>
    <t>Descrição GPE</t>
  </si>
  <si>
    <t>Tipo de Operação</t>
  </si>
  <si>
    <t>Setup In-Line por estágio</t>
  </si>
  <si>
    <t>Setup Off-Line por estágio</t>
  </si>
  <si>
    <t>Perda Padrão de Processo</t>
  </si>
  <si>
    <t>OS_C6</t>
  </si>
  <si>
    <t>Corte Reto 6</t>
  </si>
  <si>
    <t>After Operation</t>
  </si>
  <si>
    <t>OS_C7</t>
  </si>
  <si>
    <t>Corte Reto 7</t>
  </si>
  <si>
    <t>PER_F01</t>
  </si>
  <si>
    <t>Tubos Conformação Convencional</t>
  </si>
  <si>
    <t>PER_F02</t>
  </si>
  <si>
    <t>PER_F03</t>
  </si>
  <si>
    <t>PER_F04</t>
  </si>
  <si>
    <t>PER_F05</t>
  </si>
  <si>
    <t>PER_F06</t>
  </si>
  <si>
    <t>PER_PF01</t>
  </si>
  <si>
    <t>Conformação Perfis</t>
  </si>
  <si>
    <t>PER_PF02</t>
  </si>
  <si>
    <t>PER_PF03</t>
  </si>
  <si>
    <t>SL_S01</t>
  </si>
  <si>
    <t>S01</t>
  </si>
  <si>
    <t>Slliter 1</t>
  </si>
  <si>
    <t>Corte Tiras</t>
  </si>
  <si>
    <t>SL_S02</t>
  </si>
  <si>
    <t>S02</t>
  </si>
  <si>
    <t>Slliter 2</t>
  </si>
  <si>
    <t>SUB_0581</t>
  </si>
  <si>
    <t>SUB0581</t>
  </si>
  <si>
    <t>Subcontratação 0581</t>
  </si>
  <si>
    <t>OS_AP01</t>
  </si>
  <si>
    <t>AP01</t>
  </si>
  <si>
    <t>Acessórios Purlins 1</t>
  </si>
  <si>
    <t>OS_C5</t>
  </si>
  <si>
    <t>Corte Reto C5</t>
  </si>
  <si>
    <t>OS_CJD1</t>
  </si>
  <si>
    <t>CJD1</t>
  </si>
  <si>
    <t>Célula John Deere 1</t>
  </si>
  <si>
    <t>OS_CL1</t>
  </si>
  <si>
    <t>Corte Laser 1</t>
  </si>
  <si>
    <t>OS_CL2</t>
  </si>
  <si>
    <t>Corte Laser 2</t>
  </si>
  <si>
    <t>OS_CL3</t>
  </si>
  <si>
    <t>CL3</t>
  </si>
  <si>
    <t>Corte Laser 3</t>
  </si>
  <si>
    <t>OS_CL4</t>
  </si>
  <si>
    <t>CL4</t>
  </si>
  <si>
    <t>Corte Laser 4</t>
  </si>
  <si>
    <t>OS_COE1</t>
  </si>
  <si>
    <t>Célula de Operações Especiais 1</t>
  </si>
  <si>
    <t>OS_CS01</t>
  </si>
  <si>
    <t>Célula de Solda 1</t>
  </si>
  <si>
    <t>OS_CS02</t>
  </si>
  <si>
    <t>CS02</t>
  </si>
  <si>
    <t>Célula de Solda 2</t>
  </si>
  <si>
    <t>OS_CS03</t>
  </si>
  <si>
    <t>CS03</t>
  </si>
  <si>
    <t>Célula de Solda 3</t>
  </si>
  <si>
    <t>OS_CT1</t>
  </si>
  <si>
    <t>CT1</t>
  </si>
  <si>
    <t>Calandra Tauring 1</t>
  </si>
  <si>
    <t>OS_CT2</t>
  </si>
  <si>
    <t>CT2</t>
  </si>
  <si>
    <t>Calandra Calfran 2</t>
  </si>
  <si>
    <t>OS_DT3</t>
  </si>
  <si>
    <t>Dobra Tubos CNC 1</t>
  </si>
  <si>
    <t>OS_DT4</t>
  </si>
  <si>
    <t>Dobra Tubos CNC 2</t>
  </si>
  <si>
    <t>OS_L3D1</t>
  </si>
  <si>
    <t>Laser 3D 1</t>
  </si>
  <si>
    <t>OS_L3D2</t>
  </si>
  <si>
    <t>L3D2</t>
  </si>
  <si>
    <t>Laser 3D 2</t>
  </si>
  <si>
    <t>PER_F07</t>
  </si>
  <si>
    <t>Direct Forming</t>
  </si>
  <si>
    <t>PER_MD1</t>
  </si>
  <si>
    <t>MD1</t>
  </si>
  <si>
    <t>Multidobra 1</t>
  </si>
  <si>
    <t>PER_PUR</t>
  </si>
  <si>
    <t>PUR</t>
  </si>
  <si>
    <t>Perfiladeira Purlins 1</t>
  </si>
  <si>
    <t>PER_TE1</t>
  </si>
  <si>
    <t>TE1</t>
  </si>
  <si>
    <t>Formadora Telhas 1</t>
  </si>
  <si>
    <t>Conformação Telhas</t>
  </si>
  <si>
    <t>PER_TE2</t>
  </si>
  <si>
    <t>TE2</t>
  </si>
  <si>
    <t>Formadora Telhas 2</t>
  </si>
  <si>
    <t>PER_TE3</t>
  </si>
  <si>
    <t>TE3</t>
  </si>
  <si>
    <t>Formadora Telhas 3</t>
  </si>
  <si>
    <t>SUB_0582</t>
  </si>
  <si>
    <t>SUB0582</t>
  </si>
  <si>
    <t>Subcontratação 0582</t>
  </si>
  <si>
    <t>LAB0581</t>
  </si>
  <si>
    <t>Laboratório Unidade Fabril</t>
  </si>
  <si>
    <t>LAB0582</t>
  </si>
  <si>
    <t>Setup Matriz Pesada</t>
  </si>
  <si>
    <t>Perda Corte Faca</t>
  </si>
  <si>
    <t>Perda Corte Cisalhamento</t>
  </si>
  <si>
    <t>Perda Corte Serra</t>
  </si>
  <si>
    <t>Setup Matriz Leve</t>
  </si>
  <si>
    <t>Setup Matriz Troca Rápida</t>
  </si>
  <si>
    <t>Setup Matriz Média</t>
  </si>
  <si>
    <t>Troca Rápida</t>
  </si>
  <si>
    <t>Setup Corte Faca</t>
  </si>
  <si>
    <t>Setup Corte Cisalhamento</t>
  </si>
  <si>
    <t>Setup Corte Mordente</t>
  </si>
  <si>
    <t>Máquinas After Operation</t>
  </si>
  <si>
    <t>Máquinas Células De Solda</t>
  </si>
  <si>
    <t>Célula de Solda</t>
  </si>
  <si>
    <t>Máquinas Direct Forming</t>
  </si>
  <si>
    <t>Máquinas Conf. Convencional</t>
  </si>
  <si>
    <t>Conformação Perfis Purlins</t>
  </si>
  <si>
    <t>Máquinas Conf. Perfis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</si>
</sst>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_(&quot;R$&quot;* #,##0.00_);_(&quot;R$&quot;* \(#,##0.00\);_(&quot;R$&quot;* &quot;-&quot;??_);_(@_)"/>
    <numFmt numFmtId="165" formatCode="_(* #,##0.00_);_(* \(#,##0.00\);_(* &quot;-&quot;??_);_(@_)"/>
    <numFmt numFmtId="166" formatCode="_(&quot;R$ &quot;* #,##0.00_);_(&quot;R$ &quot;* \(#,##0.00\);_(&quot;R$ &quot;* &quot;-&quot;??_);_(@_)"/>
    <numFmt numFmtId="167" formatCode="0.0"/>
    <numFmt numFmtId="168" formatCode="0.000"/>
    <numFmt numFmtId="169" formatCode="0.00000"/>
    <numFmt numFmtId="170" formatCode="0.0%"/>
    <numFmt numFmtId="171" formatCode="0.0\ &quot;x esp&quot;"/>
    <numFmt numFmtId="172" formatCode="0\°"/>
    <numFmt numFmtId="173" formatCode="0.00\ &quot;s&quot;"/>
    <numFmt numFmtId="174" formatCode="0.0000"/>
    <numFmt numFmtId="175" formatCode="#&quot; UN&quot;"/>
    <numFmt numFmtId="176" formatCode="[$-F400]h:mm:ss\ AM/PM"/>
  </numFmts>
  <fonts count="90" x14ac:knownFonts="1">
    <font>
      <sz val="10"/>
      <color theme="1"/>
      <name val="Arial"/>
      <family val="2"/>
    </font>
    <font>
      <sz val="10"/>
      <color theme="1"/>
      <name val="Arial"/>
      <family val="2"/>
    </font>
    <font>
      <i/>
      <sz val="11"/>
      <color indexed="8"/>
      <name val="Calibri"/>
      <family val="2"/>
    </font>
    <font>
      <sz val="10"/>
      <name val="Arial"/>
      <family val="2"/>
    </font>
    <font>
      <i/>
      <sz val="10"/>
      <color indexed="8"/>
      <name val="Calibri"/>
      <family val="2"/>
    </font>
    <font>
      <sz val="8"/>
      <color indexed="81"/>
      <name val="Tahoma"/>
      <family val="2"/>
    </font>
    <font>
      <b/>
      <sz val="8"/>
      <color indexed="81"/>
      <name val="Tahoma"/>
      <family val="2"/>
    </font>
    <font>
      <b/>
      <sz val="10"/>
      <name val="Arial"/>
      <family val="2"/>
    </font>
    <font>
      <b/>
      <sz val="10"/>
      <name val="Verdana"/>
      <family val="2"/>
    </font>
    <font>
      <i/>
      <sz val="10"/>
      <name val="Arial"/>
      <family val="2"/>
    </font>
    <font>
      <sz val="10"/>
      <name val="Verdana"/>
      <family val="2"/>
    </font>
    <font>
      <vertAlign val="superscript"/>
      <sz val="10"/>
      <name val="Arial"/>
      <family val="2"/>
    </font>
    <font>
      <i/>
      <vertAlign val="superscript"/>
      <sz val="10"/>
      <name val="Arial"/>
      <family val="2"/>
    </font>
    <font>
      <sz val="9"/>
      <color indexed="81"/>
      <name val="Tahoma"/>
      <family val="2"/>
    </font>
    <font>
      <b/>
      <sz val="9"/>
      <color indexed="81"/>
      <name val="Tahoma"/>
      <family val="2"/>
    </font>
    <font>
      <b/>
      <i/>
      <sz val="10"/>
      <name val="Arial"/>
      <family val="2"/>
    </font>
    <font>
      <sz val="10"/>
      <name val="Arial"/>
      <family val="2"/>
    </font>
    <font>
      <b/>
      <sz val="22"/>
      <name val="Arial"/>
      <family val="2"/>
    </font>
    <font>
      <b/>
      <sz val="12"/>
      <name val="Arial"/>
      <family val="2"/>
    </font>
    <font>
      <sz val="11"/>
      <name val="Arial"/>
      <family val="2"/>
    </font>
    <font>
      <sz val="11"/>
      <color indexed="8"/>
      <name val="Arial"/>
      <family val="2"/>
    </font>
    <font>
      <b/>
      <sz val="36"/>
      <name val="Arial"/>
      <family val="2"/>
    </font>
    <font>
      <i/>
      <sz val="8"/>
      <name val="Arial"/>
      <family val="2"/>
    </font>
    <font>
      <vertAlign val="superscript"/>
      <sz val="11"/>
      <color indexed="8"/>
      <name val="Calibri"/>
      <family val="2"/>
    </font>
    <font>
      <b/>
      <vertAlign val="subscript"/>
      <sz val="11"/>
      <color indexed="8"/>
      <name val="Calibri"/>
      <family val="2"/>
    </font>
    <font>
      <sz val="8"/>
      <color indexed="8"/>
      <name val="Calibri"/>
      <family val="2"/>
    </font>
    <font>
      <sz val="10"/>
      <color indexed="81"/>
      <name val="Tahoma"/>
      <family val="2"/>
    </font>
    <font>
      <sz val="11"/>
      <color theme="1"/>
      <name val="Calibri"/>
      <family val="2"/>
      <scheme val="minor"/>
    </font>
    <font>
      <sz val="11"/>
      <color theme="0"/>
      <name val="Calibri"/>
      <family val="2"/>
      <scheme val="minor"/>
    </font>
    <font>
      <i/>
      <sz val="11"/>
      <color theme="1"/>
      <name val="Calibri"/>
      <family val="2"/>
      <scheme val="minor"/>
    </font>
    <font>
      <b/>
      <sz val="11"/>
      <color theme="1"/>
      <name val="Calibri"/>
      <family val="2"/>
      <scheme val="minor"/>
    </font>
    <font>
      <i/>
      <sz val="10"/>
      <color theme="1"/>
      <name val="Calibri"/>
      <family val="2"/>
      <scheme val="minor"/>
    </font>
    <font>
      <b/>
      <sz val="10"/>
      <color theme="1"/>
      <name val="Arial"/>
      <family val="2"/>
    </font>
    <font>
      <b/>
      <sz val="10"/>
      <color theme="1"/>
      <name val="Verdana"/>
      <family val="2"/>
    </font>
    <font>
      <sz val="10"/>
      <color theme="1"/>
      <name val="Calibri"/>
      <family val="2"/>
      <scheme val="minor"/>
    </font>
    <font>
      <b/>
      <sz val="11"/>
      <color rgb="FF376092"/>
      <name val="Calibri"/>
      <family val="2"/>
      <scheme val="minor"/>
    </font>
    <font>
      <sz val="9"/>
      <color theme="1"/>
      <name val="Calibri"/>
      <family val="2"/>
      <scheme val="minor"/>
    </font>
    <font>
      <b/>
      <sz val="10"/>
      <color theme="0"/>
      <name val="Arial"/>
      <family val="2"/>
    </font>
    <font>
      <sz val="11"/>
      <color rgb="FF3F3F3F"/>
      <name val="Calibri"/>
      <family val="2"/>
      <scheme val="minor"/>
    </font>
    <font>
      <b/>
      <sz val="10"/>
      <color rgb="FFFF0000"/>
      <name val="Arial"/>
      <family val="2"/>
    </font>
    <font>
      <i/>
      <sz val="9"/>
      <color theme="1"/>
      <name val="Calibri"/>
      <family val="2"/>
      <scheme val="minor"/>
    </font>
    <font>
      <b/>
      <sz val="11"/>
      <color rgb="FFFF0000"/>
      <name val="Calibri"/>
      <family val="2"/>
      <scheme val="minor"/>
    </font>
    <font>
      <b/>
      <sz val="11"/>
      <color rgb="FF00B050"/>
      <name val="Calibri"/>
      <family val="2"/>
      <scheme val="minor"/>
    </font>
    <font>
      <sz val="11"/>
      <color rgb="FFFF0000"/>
      <name val="Calibri"/>
      <family val="2"/>
      <scheme val="minor"/>
    </font>
    <font>
      <i/>
      <sz val="11"/>
      <color rgb="FFFF0000"/>
      <name val="Calibri"/>
      <family val="2"/>
      <scheme val="minor"/>
    </font>
    <font>
      <b/>
      <sz val="11"/>
      <name val="Calibri"/>
      <family val="2"/>
      <scheme val="minor"/>
    </font>
    <font>
      <sz val="11"/>
      <name val="Calibri"/>
      <family val="2"/>
      <scheme val="minor"/>
    </font>
    <font>
      <sz val="11"/>
      <color theme="1"/>
      <name val="Calibri"/>
      <family val="2"/>
    </font>
    <font>
      <sz val="11"/>
      <color theme="0" tint="-0.14999847407452621"/>
      <name val="Calibri"/>
      <family val="2"/>
      <scheme val="minor"/>
    </font>
    <font>
      <sz val="11"/>
      <color theme="0" tint="-0.14999847407452621"/>
      <name val="Calibri"/>
      <family val="2"/>
    </font>
    <font>
      <b/>
      <sz val="11"/>
      <color theme="0"/>
      <name val="Calibri"/>
      <family val="2"/>
      <scheme val="minor"/>
    </font>
    <font>
      <sz val="9"/>
      <color indexed="81"/>
      <name val="Segoe UI"/>
      <family val="2"/>
    </font>
    <font>
      <b/>
      <sz val="9"/>
      <color indexed="81"/>
      <name val="Segoe UI"/>
      <family val="2"/>
    </font>
    <font>
      <b/>
      <sz val="10"/>
      <color indexed="81"/>
      <name val="Segoe UI"/>
      <family val="2"/>
    </font>
    <font>
      <b/>
      <sz val="12"/>
      <color indexed="81"/>
      <name val="Segoe UI"/>
      <family val="2"/>
    </font>
    <font>
      <sz val="10"/>
      <color theme="0"/>
      <name val="Arial"/>
      <family val="2"/>
    </font>
    <font>
      <sz val="10"/>
      <color theme="1"/>
      <name val="voestalpine"/>
      <family val="2"/>
    </font>
    <font>
      <b/>
      <sz val="10"/>
      <color rgb="FF3F3F3F"/>
      <name val="Arial"/>
      <family val="2"/>
    </font>
    <font>
      <sz val="10"/>
      <color theme="0"/>
      <name val="voestalpine"/>
      <family val="2"/>
    </font>
    <font>
      <u/>
      <sz val="10"/>
      <color theme="0"/>
      <name val="voestalpine"/>
      <family val="2"/>
    </font>
    <font>
      <sz val="11"/>
      <color theme="1"/>
      <name val="voestalpine"/>
      <family val="2"/>
    </font>
    <font>
      <sz val="8"/>
      <color theme="1"/>
      <name val="voestalpine"/>
      <family val="2"/>
    </font>
    <font>
      <b/>
      <sz val="14"/>
      <color theme="0"/>
      <name val="voestalpine"/>
      <family val="2"/>
    </font>
    <font>
      <b/>
      <sz val="20"/>
      <color theme="0"/>
      <name val="voestalpine"/>
      <family val="2"/>
    </font>
    <font>
      <sz val="8"/>
      <color theme="3" tint="0.59999389629810485"/>
      <name val="voestalpine"/>
      <family val="2"/>
    </font>
    <font>
      <sz val="10"/>
      <color theme="3" tint="0.59999389629810485"/>
      <name val="voestalpine"/>
      <family val="2"/>
    </font>
    <font>
      <b/>
      <sz val="10"/>
      <color theme="0"/>
      <name val="voestalpine"/>
      <family val="2"/>
    </font>
    <font>
      <sz val="12"/>
      <color theme="1"/>
      <name val="voestalpine"/>
      <family val="2"/>
    </font>
    <font>
      <sz val="10"/>
      <color theme="2"/>
      <name val="voestalpine"/>
      <family val="2"/>
    </font>
    <font>
      <b/>
      <sz val="10"/>
      <color rgb="FFFF0000"/>
      <name val="voestalpine"/>
      <family val="2"/>
    </font>
    <font>
      <b/>
      <sz val="8"/>
      <name val="voestalpine"/>
      <family val="2"/>
    </font>
    <font>
      <b/>
      <sz val="10"/>
      <name val="voestalpine"/>
      <family val="2"/>
    </font>
    <font>
      <sz val="10"/>
      <name val="voestalpine"/>
      <family val="2"/>
    </font>
    <font>
      <b/>
      <sz val="10"/>
      <color indexed="9"/>
      <name val="voestalpine"/>
      <family val="2"/>
    </font>
    <font>
      <i/>
      <sz val="10"/>
      <color rgb="FFFF0000"/>
      <name val="voestalpine"/>
      <family val="2"/>
    </font>
    <font>
      <b/>
      <sz val="8"/>
      <color indexed="55"/>
      <name val="voestalpine"/>
      <family val="2"/>
    </font>
    <font>
      <i/>
      <sz val="10"/>
      <color indexed="18"/>
      <name val="voestalpine"/>
      <family val="2"/>
    </font>
    <font>
      <sz val="10"/>
      <color indexed="60"/>
      <name val="voestalpine"/>
      <family val="2"/>
    </font>
    <font>
      <b/>
      <sz val="10"/>
      <color indexed="10"/>
      <name val="voestalpine"/>
      <family val="2"/>
    </font>
    <font>
      <sz val="10"/>
      <color indexed="10"/>
      <name val="voestalpine"/>
      <family val="2"/>
    </font>
    <font>
      <strike/>
      <sz val="10"/>
      <color theme="1"/>
      <name val="voestalpine"/>
      <family val="2"/>
    </font>
    <font>
      <strike/>
      <sz val="10"/>
      <color theme="1"/>
      <name val="Arial"/>
      <family val="2"/>
    </font>
    <font>
      <b/>
      <sz val="12"/>
      <color theme="0"/>
      <name val="voestalpine"/>
      <family val="2"/>
    </font>
    <font>
      <i/>
      <sz val="9"/>
      <color theme="1"/>
      <name val="voestalpine"/>
      <family val="2"/>
    </font>
    <font>
      <b/>
      <sz val="11"/>
      <color theme="0"/>
      <name val="voestalpine"/>
      <family val="2"/>
    </font>
    <font>
      <u/>
      <sz val="10"/>
      <color theme="10"/>
      <name val="Arial"/>
      <family val="2"/>
    </font>
    <font>
      <sz val="18"/>
      <color rgb="FF464646"/>
      <name val="voestalpine"/>
      <family val="2"/>
    </font>
    <font>
      <sz val="10"/>
      <color rgb="FF464646"/>
      <name val="voestalpine"/>
      <family val="2"/>
    </font>
    <font>
      <sz val="9"/>
      <color indexed="81"/>
      <name val="Segoe UI"/>
      <family val="2"/>
    </font>
    <font>
      <b/>
      <sz val="9"/>
      <color indexed="81"/>
      <name val="Segoe UI"/>
      <family val="2"/>
    </font>
  </fonts>
  <fills count="39">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4" tint="0.79998168889431442"/>
        <bgColor indexed="65"/>
      </patternFill>
    </fill>
    <fill>
      <patternFill patternType="solid">
        <fgColor theme="4"/>
      </patternFill>
    </fill>
    <fill>
      <patternFill patternType="solid">
        <fgColor rgb="FFF2F2F2"/>
      </patternFill>
    </fill>
    <fill>
      <patternFill patternType="solid">
        <fgColor theme="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rgb="FF00B050"/>
        <bgColor indexed="64"/>
      </patternFill>
    </fill>
    <fill>
      <patternFill patternType="solid">
        <fgColor rgb="FFFF0000"/>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1"/>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2"/>
        <bgColor indexed="64"/>
      </patternFill>
    </fill>
    <fill>
      <patternFill patternType="solid">
        <fgColor theme="5" tint="0.59999389629810485"/>
        <bgColor indexed="64"/>
      </patternFill>
    </fill>
    <fill>
      <patternFill patternType="solid">
        <fgColor theme="4"/>
        <bgColor indexed="64"/>
      </patternFill>
    </fill>
    <fill>
      <patternFill patternType="solid">
        <fgColor theme="3"/>
        <bgColor indexed="64"/>
      </patternFill>
    </fill>
    <fill>
      <patternFill patternType="solid">
        <fgColor theme="1" tint="0.249977111117893"/>
        <bgColor indexed="64"/>
      </patternFill>
    </fill>
    <fill>
      <patternFill patternType="solid">
        <fgColor theme="7" tint="0.39997558519241921"/>
        <bgColor indexed="64"/>
      </patternFill>
    </fill>
  </fills>
  <borders count="130">
    <border>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style="thin">
        <color indexed="64"/>
      </top>
      <bottom/>
      <diagonal/>
    </border>
    <border>
      <left/>
      <right/>
      <top/>
      <bottom style="thin">
        <color indexed="64"/>
      </bottom>
      <diagonal/>
    </border>
    <border>
      <left/>
      <right style="thin">
        <color indexed="64"/>
      </right>
      <top/>
      <bottom style="thin">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Dot">
        <color indexed="64"/>
      </left>
      <right/>
      <top/>
      <bottom/>
      <diagonal/>
    </border>
    <border>
      <left/>
      <right style="thick">
        <color indexed="9"/>
      </right>
      <top style="thick">
        <color indexed="9"/>
      </top>
      <bottom style="thick">
        <color indexed="9"/>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9"/>
      </left>
      <right/>
      <top style="thick">
        <color indexed="9"/>
      </top>
      <bottom style="thick">
        <color indexed="9"/>
      </bottom>
      <diagonal/>
    </border>
    <border>
      <left style="thin">
        <color rgb="FF3F3F3F"/>
      </left>
      <right style="thin">
        <color rgb="FF3F3F3F"/>
      </right>
      <top style="thin">
        <color rgb="FF3F3F3F"/>
      </top>
      <bottom style="thin">
        <color rgb="FF3F3F3F"/>
      </bottom>
      <diagonal/>
    </border>
    <border>
      <left style="medium">
        <color theme="0"/>
      </left>
      <right style="medium">
        <color theme="0"/>
      </right>
      <top style="medium">
        <color theme="0"/>
      </top>
      <bottom style="medium">
        <color theme="0"/>
      </bottom>
      <diagonal/>
    </border>
    <border>
      <left/>
      <right style="medium">
        <color theme="0"/>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right/>
      <top/>
      <bottom style="medium">
        <color theme="0"/>
      </bottom>
      <diagonal/>
    </border>
    <border>
      <left/>
      <right/>
      <top style="medium">
        <color theme="0"/>
      </top>
      <bottom/>
      <diagonal/>
    </border>
    <border>
      <left style="medium">
        <color theme="0"/>
      </left>
      <right style="medium">
        <color theme="0"/>
      </right>
      <top/>
      <bottom style="medium">
        <color theme="0"/>
      </bottom>
      <diagonal/>
    </border>
    <border>
      <left style="medium">
        <color theme="0" tint="-0.499984740745262"/>
      </left>
      <right style="medium">
        <color theme="0"/>
      </right>
      <top style="medium">
        <color theme="0"/>
      </top>
      <bottom style="medium">
        <color theme="0"/>
      </bottom>
      <diagonal/>
    </border>
    <border>
      <left style="medium">
        <color theme="0"/>
      </left>
      <right style="medium">
        <color theme="0"/>
      </right>
      <top style="medium">
        <color theme="0"/>
      </top>
      <bottom/>
      <diagonal/>
    </border>
    <border>
      <left style="thin">
        <color theme="0"/>
      </left>
      <right style="thin">
        <color theme="0"/>
      </right>
      <top style="thin">
        <color theme="0"/>
      </top>
      <bottom style="thin">
        <color theme="0"/>
      </bottom>
      <diagonal/>
    </border>
    <border>
      <left style="thick">
        <color theme="0"/>
      </left>
      <right style="thick">
        <color theme="0"/>
      </right>
      <top style="thick">
        <color theme="0"/>
      </top>
      <bottom style="thick">
        <color theme="0"/>
      </bottom>
      <diagonal/>
    </border>
    <border>
      <left style="medium">
        <color theme="0"/>
      </left>
      <right/>
      <top/>
      <bottom/>
      <diagonal/>
    </border>
    <border>
      <left/>
      <right style="medium">
        <color theme="0"/>
      </right>
      <top/>
      <bottom/>
      <diagonal/>
    </border>
    <border>
      <left style="medium">
        <color theme="0"/>
      </left>
      <right/>
      <top style="medium">
        <color theme="0"/>
      </top>
      <bottom/>
      <diagonal/>
    </border>
    <border>
      <left/>
      <right style="medium">
        <color theme="0"/>
      </right>
      <top style="medium">
        <color theme="0"/>
      </top>
      <bottom/>
      <diagonal/>
    </border>
    <border>
      <left/>
      <right style="thin">
        <color theme="0"/>
      </right>
      <top style="thin">
        <color theme="0"/>
      </top>
      <bottom style="thin">
        <color theme="0"/>
      </bottom>
      <diagonal/>
    </border>
    <border>
      <left/>
      <right/>
      <top style="thick">
        <color theme="0"/>
      </top>
      <bottom/>
      <diagonal/>
    </border>
    <border>
      <left style="medium">
        <color theme="0"/>
      </left>
      <right/>
      <top/>
      <bottom style="medium">
        <color theme="0"/>
      </bottom>
      <diagonal/>
    </border>
    <border>
      <left/>
      <right style="medium">
        <color theme="0"/>
      </right>
      <top/>
      <bottom style="medium">
        <color theme="0"/>
      </bottom>
      <diagonal/>
    </border>
    <border>
      <left style="medium">
        <color theme="0"/>
      </left>
      <right style="medium">
        <color theme="0"/>
      </right>
      <top/>
      <bottom/>
      <diagonal/>
    </border>
    <border>
      <left style="medium">
        <color theme="0"/>
      </left>
      <right style="medium">
        <color theme="0"/>
      </right>
      <top style="thick">
        <color theme="0"/>
      </top>
      <bottom style="medium">
        <color theme="0"/>
      </bottom>
      <diagonal/>
    </border>
    <border>
      <left style="medium">
        <color theme="0"/>
      </left>
      <right style="thin">
        <color theme="0"/>
      </right>
      <top/>
      <bottom/>
      <diagonal/>
    </border>
    <border>
      <left style="medium">
        <color theme="0" tint="-0.499984740745262"/>
      </left>
      <right/>
      <top style="medium">
        <color theme="0"/>
      </top>
      <bottom style="medium">
        <color theme="0"/>
      </bottom>
      <diagonal/>
    </border>
    <border>
      <left style="medium">
        <color theme="0" tint="-0.499984740745262"/>
      </left>
      <right style="medium">
        <color theme="0"/>
      </right>
      <top style="medium">
        <color theme="0"/>
      </top>
      <bottom/>
      <diagonal/>
    </border>
    <border>
      <left style="medium">
        <color theme="0" tint="-0.499984740745262"/>
      </left>
      <right style="medium">
        <color theme="0"/>
      </right>
      <top/>
      <bottom style="medium">
        <color theme="0"/>
      </bottom>
      <diagonal/>
    </border>
    <border>
      <left style="medium">
        <color theme="0" tint="-0.499984740745262"/>
      </left>
      <right/>
      <top/>
      <bottom style="medium">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1" tint="0.499984740745262"/>
      </left>
      <right style="thin">
        <color theme="1" tint="0.499984740745262"/>
      </right>
      <top style="hair">
        <color indexed="64"/>
      </top>
      <bottom style="hair">
        <color indexed="64"/>
      </bottom>
      <diagonal/>
    </border>
    <border>
      <left style="thin">
        <color indexed="64"/>
      </left>
      <right style="thin">
        <color indexed="64"/>
      </right>
      <top style="thin">
        <color indexed="64"/>
      </top>
      <bottom/>
      <diagonal/>
    </border>
    <border>
      <left style="thin">
        <color theme="0"/>
      </left>
      <right style="thin">
        <color indexed="64"/>
      </right>
      <top style="thin">
        <color indexed="64"/>
      </top>
      <bottom style="medium">
        <color theme="0"/>
      </bottom>
      <diagonal/>
    </border>
    <border>
      <left style="thin">
        <color indexed="64"/>
      </left>
      <right style="thin">
        <color indexed="64"/>
      </right>
      <top style="thin">
        <color indexed="64"/>
      </top>
      <bottom style="medium">
        <color theme="0"/>
      </bottom>
      <diagonal/>
    </border>
    <border>
      <left style="thin">
        <color indexed="64"/>
      </left>
      <right style="thin">
        <color theme="0"/>
      </right>
      <top style="thin">
        <color indexed="64"/>
      </top>
      <bottom style="thick">
        <color theme="0"/>
      </bottom>
      <diagonal/>
    </border>
    <border>
      <left style="thin">
        <color indexed="64"/>
      </left>
      <right style="thin">
        <color indexed="64"/>
      </right>
      <top style="thin">
        <color indexed="64"/>
      </top>
      <bottom style="thick">
        <color theme="0"/>
      </bottom>
      <diagonal/>
    </border>
    <border>
      <left style="thin">
        <color theme="0"/>
      </left>
      <right style="thin">
        <color indexed="64"/>
      </right>
      <top style="thin">
        <color indexed="64"/>
      </top>
      <bottom style="thick">
        <color theme="0"/>
      </bottom>
      <diagonal/>
    </border>
    <border>
      <left style="thin">
        <color theme="0"/>
      </left>
      <right style="thin">
        <color indexed="64"/>
      </right>
      <top style="thick">
        <color theme="0"/>
      </top>
      <bottom/>
      <diagonal/>
    </border>
    <border>
      <left style="thin">
        <color indexed="64"/>
      </left>
      <right/>
      <top style="thin">
        <color indexed="64"/>
      </top>
      <bottom style="thick">
        <color theme="0"/>
      </bottom>
      <diagonal/>
    </border>
    <border>
      <left style="thin">
        <color theme="0"/>
      </left>
      <right style="thin">
        <color indexed="64"/>
      </right>
      <top style="medium">
        <color theme="0"/>
      </top>
      <bottom/>
      <diagonal/>
    </border>
    <border>
      <left/>
      <right style="thin">
        <color indexed="64"/>
      </right>
      <top style="thin">
        <color indexed="64"/>
      </top>
      <bottom style="thick">
        <color theme="0"/>
      </bottom>
      <diagonal/>
    </border>
    <border>
      <left style="thin">
        <color theme="1" tint="0.499984740745262"/>
      </left>
      <right style="thin">
        <color theme="1" tint="0.499984740745262"/>
      </right>
      <top/>
      <bottom style="hair">
        <color indexed="64"/>
      </bottom>
      <diagonal/>
    </border>
    <border>
      <left style="thin">
        <color theme="0"/>
      </left>
      <right style="thin">
        <color indexed="64"/>
      </right>
      <top style="thin">
        <color indexed="64"/>
      </top>
      <bottom style="thin">
        <color indexed="64"/>
      </bottom>
      <diagonal/>
    </border>
    <border>
      <left style="medium">
        <color theme="0"/>
      </left>
      <right style="medium">
        <color theme="0"/>
      </right>
      <top style="medium">
        <color theme="0"/>
      </top>
      <bottom style="thin">
        <color indexed="64"/>
      </bottom>
      <diagonal/>
    </border>
    <border>
      <left style="thin">
        <color auto="1"/>
      </left>
      <right/>
      <top/>
      <bottom/>
      <diagonal/>
    </border>
    <border diagonalUp="1" diagonalDown="1">
      <left style="thin">
        <color theme="1" tint="0.499984740745262"/>
      </left>
      <right style="thin">
        <color theme="1" tint="0.499984740745262"/>
      </right>
      <top style="hair">
        <color indexed="64"/>
      </top>
      <bottom style="hair">
        <color indexed="64"/>
      </bottom>
      <diagonal style="thin">
        <color theme="1" tint="0.499984740745262"/>
      </diagonal>
    </border>
    <border>
      <left/>
      <right style="thin">
        <color theme="1" tint="0.499984740745262"/>
      </right>
      <top/>
      <bottom/>
      <diagonal/>
    </border>
    <border>
      <left style="thin">
        <color theme="1" tint="0.499984740745262"/>
      </left>
      <right/>
      <top style="hair">
        <color indexed="64"/>
      </top>
      <bottom style="hair">
        <color indexed="64"/>
      </bottom>
      <diagonal/>
    </border>
    <border>
      <left/>
      <right style="thin">
        <color theme="1" tint="0.499984740745262"/>
      </right>
      <top style="hair">
        <color indexed="64"/>
      </top>
      <bottom style="hair">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top/>
      <bottom style="medium">
        <color auto="1"/>
      </bottom>
      <diagonal/>
    </border>
    <border>
      <left/>
      <right style="medium">
        <color auto="1"/>
      </right>
      <top/>
      <bottom style="medium">
        <color auto="1"/>
      </bottom>
      <diagonal/>
    </border>
    <border>
      <left style="thin">
        <color indexed="64"/>
      </left>
      <right style="thin">
        <color theme="1" tint="0.499984740745262"/>
      </right>
      <top style="hair">
        <color indexed="64"/>
      </top>
      <bottom style="hair">
        <color indexed="64"/>
      </bottom>
      <diagonal/>
    </border>
    <border>
      <left style="thin">
        <color indexed="64"/>
      </left>
      <right style="thin">
        <color theme="1" tint="0.499984740745262"/>
      </right>
      <top style="hair">
        <color indexed="64"/>
      </top>
      <bottom style="thin">
        <color indexed="64"/>
      </bottom>
      <diagonal/>
    </border>
    <border>
      <left style="thin">
        <color theme="1" tint="0.499984740745262"/>
      </left>
      <right/>
      <top/>
      <bottom/>
      <diagonal/>
    </border>
    <border>
      <left/>
      <right/>
      <top style="hair">
        <color indexed="64"/>
      </top>
      <bottom style="hair">
        <color indexed="64"/>
      </bottom>
      <diagonal/>
    </border>
    <border>
      <left/>
      <right/>
      <top/>
      <bottom style="hair">
        <color indexed="64"/>
      </bottom>
      <diagonal/>
    </border>
    <border>
      <left style="thin">
        <color indexed="64"/>
      </left>
      <right/>
      <top/>
      <bottom style="hair">
        <color indexed="64"/>
      </bottom>
      <diagonal/>
    </border>
    <border>
      <left style="thin">
        <color indexed="64"/>
      </left>
      <right/>
      <top style="hair">
        <color indexed="64"/>
      </top>
      <bottom style="hair">
        <color indexed="64"/>
      </bottom>
      <diagonal/>
    </border>
    <border>
      <left style="thin">
        <color theme="1" tint="0.499984740745262"/>
      </left>
      <right style="thin">
        <color theme="1" tint="0.499984740745262"/>
      </right>
      <top style="hair">
        <color indexed="64"/>
      </top>
      <bottom/>
      <diagonal/>
    </border>
    <border>
      <left style="hair">
        <color indexed="64"/>
      </left>
      <right/>
      <top style="hair">
        <color indexed="64"/>
      </top>
      <bottom/>
      <diagonal/>
    </border>
    <border>
      <left/>
      <right/>
      <top style="hair">
        <color indexed="64"/>
      </top>
      <bottom/>
      <diagonal/>
    </border>
    <border>
      <left/>
      <right style="hair">
        <color indexed="64"/>
      </right>
      <top style="hair">
        <color indexed="64"/>
      </top>
      <bottom/>
      <diagonal/>
    </border>
    <border>
      <left style="hair">
        <color indexed="64"/>
      </left>
      <right/>
      <top/>
      <bottom style="hair">
        <color indexed="64"/>
      </bottom>
      <diagonal/>
    </border>
    <border>
      <left/>
      <right style="hair">
        <color indexed="64"/>
      </right>
      <top/>
      <bottom style="hair">
        <color indexed="64"/>
      </bottom>
      <diagonal/>
    </border>
    <border>
      <left style="thick">
        <color auto="1"/>
      </left>
      <right/>
      <top/>
      <bottom/>
      <diagonal/>
    </border>
    <border>
      <left style="thick">
        <color auto="1"/>
      </left>
      <right style="thin">
        <color indexed="64"/>
      </right>
      <top style="thin">
        <color indexed="64"/>
      </top>
      <bottom/>
      <diagonal/>
    </border>
    <border>
      <left style="thick">
        <color auto="1"/>
      </left>
      <right style="medium">
        <color theme="0"/>
      </right>
      <top style="medium">
        <color theme="0"/>
      </top>
      <bottom/>
      <diagonal/>
    </border>
    <border>
      <left style="thick">
        <color auto="1"/>
      </left>
      <right style="medium">
        <color theme="0"/>
      </right>
      <top/>
      <bottom style="medium">
        <color theme="0"/>
      </bottom>
      <diagonal/>
    </border>
    <border>
      <left style="thick">
        <color auto="1"/>
      </left>
      <right style="thin">
        <color theme="1" tint="0.499984740745262"/>
      </right>
      <top style="hair">
        <color indexed="64"/>
      </top>
      <bottom style="hair">
        <color indexed="64"/>
      </bottom>
      <diagonal/>
    </border>
    <border>
      <left/>
      <right style="thin">
        <color indexed="64"/>
      </right>
      <top style="hair">
        <color indexed="64"/>
      </top>
      <bottom style="hair">
        <color indexed="64"/>
      </bottom>
      <diagonal/>
    </border>
    <border>
      <left style="double">
        <color theme="1" tint="0.499984740745262"/>
      </left>
      <right style="thin">
        <color theme="1" tint="0.499984740745262"/>
      </right>
      <top style="double">
        <color theme="1" tint="0.499984740745262"/>
      </top>
      <bottom style="hair">
        <color indexed="64"/>
      </bottom>
      <diagonal/>
    </border>
    <border>
      <left style="thin">
        <color theme="1" tint="0.499984740745262"/>
      </left>
      <right style="thin">
        <color theme="1" tint="0.499984740745262"/>
      </right>
      <top style="double">
        <color theme="1" tint="0.499984740745262"/>
      </top>
      <bottom style="hair">
        <color indexed="64"/>
      </bottom>
      <diagonal/>
    </border>
    <border>
      <left style="thin">
        <color theme="1" tint="0.499984740745262"/>
      </left>
      <right style="double">
        <color theme="1" tint="0.499984740745262"/>
      </right>
      <top style="double">
        <color theme="1" tint="0.499984740745262"/>
      </top>
      <bottom style="hair">
        <color indexed="64"/>
      </bottom>
      <diagonal/>
    </border>
    <border>
      <left style="double">
        <color theme="1" tint="0.499984740745262"/>
      </left>
      <right style="thin">
        <color theme="1" tint="0.499984740745262"/>
      </right>
      <top style="hair">
        <color indexed="64"/>
      </top>
      <bottom style="hair">
        <color indexed="64"/>
      </bottom>
      <diagonal/>
    </border>
    <border>
      <left style="thin">
        <color theme="1" tint="0.499984740745262"/>
      </left>
      <right style="double">
        <color theme="1" tint="0.499984740745262"/>
      </right>
      <top style="hair">
        <color indexed="64"/>
      </top>
      <bottom style="hair">
        <color indexed="64"/>
      </bottom>
      <diagonal/>
    </border>
    <border>
      <left style="double">
        <color theme="1" tint="0.499984740745262"/>
      </left>
      <right style="thin">
        <color theme="1" tint="0.499984740745262"/>
      </right>
      <top style="hair">
        <color indexed="64"/>
      </top>
      <bottom style="double">
        <color theme="1" tint="0.499984740745262"/>
      </bottom>
      <diagonal/>
    </border>
    <border>
      <left style="thin">
        <color theme="1" tint="0.499984740745262"/>
      </left>
      <right style="thin">
        <color theme="1" tint="0.499984740745262"/>
      </right>
      <top style="hair">
        <color indexed="64"/>
      </top>
      <bottom style="double">
        <color theme="1" tint="0.499984740745262"/>
      </bottom>
      <diagonal/>
    </border>
    <border>
      <left/>
      <right/>
      <top/>
      <bottom style="double">
        <color theme="1" tint="0.499984740745262"/>
      </bottom>
      <diagonal/>
    </border>
    <border>
      <left style="thin">
        <color theme="1" tint="0.499984740745262"/>
      </left>
      <right style="double">
        <color theme="1" tint="0.499984740745262"/>
      </right>
      <top style="hair">
        <color indexed="64"/>
      </top>
      <bottom style="double">
        <color theme="1" tint="0.499984740745262"/>
      </bottom>
      <diagonal/>
    </border>
    <border>
      <left style="double">
        <color theme="1" tint="0.499984740745262"/>
      </left>
      <right style="thin">
        <color theme="1" tint="0.499984740745262"/>
      </right>
      <top style="hair">
        <color indexed="64"/>
      </top>
      <bottom/>
      <diagonal/>
    </border>
    <border>
      <left style="thin">
        <color theme="1" tint="0.499984740745262"/>
      </left>
      <right style="double">
        <color theme="1" tint="0.499984740745262"/>
      </right>
      <top style="hair">
        <color indexed="64"/>
      </top>
      <bottom/>
      <diagonal/>
    </border>
    <border>
      <left style="double">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thin">
        <color theme="1" tint="0.499984740745262"/>
      </right>
      <top style="double">
        <color theme="1" tint="0.499984740745262"/>
      </top>
      <bottom style="double">
        <color theme="1" tint="0.499984740745262"/>
      </bottom>
      <diagonal/>
    </border>
    <border>
      <left style="thin">
        <color theme="1" tint="0.499984740745262"/>
      </left>
      <right style="double">
        <color theme="1" tint="0.499984740745262"/>
      </right>
      <top style="double">
        <color theme="1" tint="0.499984740745262"/>
      </top>
      <bottom style="double">
        <color theme="1" tint="0.499984740745262"/>
      </bottom>
      <diagonal/>
    </border>
    <border>
      <left/>
      <right style="thin">
        <color theme="1" tint="0.499984740745262"/>
      </right>
      <top style="hair">
        <color indexed="64"/>
      </top>
      <bottom style="double">
        <color theme="1" tint="0.499984740745262"/>
      </bottom>
      <diagonal/>
    </border>
    <border>
      <left/>
      <right/>
      <top style="double">
        <color theme="1" tint="0.499984740745262"/>
      </top>
      <bottom/>
      <diagonal/>
    </border>
    <border>
      <left style="medium">
        <color indexed="64"/>
      </left>
      <right style="thin">
        <color indexed="64"/>
      </right>
      <top style="medium">
        <color indexed="64"/>
      </top>
      <bottom/>
      <diagonal/>
    </border>
    <border>
      <left/>
      <right style="thin">
        <color indexed="8"/>
      </right>
      <top style="medium">
        <color indexed="64"/>
      </top>
      <bottom style="medium">
        <color indexed="8"/>
      </bottom>
      <diagonal/>
    </border>
    <border>
      <left style="thin">
        <color indexed="8"/>
      </left>
      <right style="thin">
        <color indexed="8"/>
      </right>
      <top style="medium">
        <color indexed="64"/>
      </top>
      <bottom style="medium">
        <color indexed="8"/>
      </bottom>
      <diagonal/>
    </border>
    <border>
      <left style="thin">
        <color indexed="8"/>
      </left>
      <right style="medium">
        <color indexed="64"/>
      </right>
      <top style="medium">
        <color indexed="64"/>
      </top>
      <bottom style="medium">
        <color indexed="8"/>
      </bottom>
      <diagonal/>
    </border>
    <border>
      <left style="medium">
        <color indexed="64"/>
      </left>
      <right style="medium">
        <color indexed="8"/>
      </right>
      <top/>
      <bottom/>
      <diagonal/>
    </border>
    <border>
      <left style="thin">
        <color theme="1" tint="0.499984740745262"/>
      </left>
      <right style="medium">
        <color indexed="64"/>
      </right>
      <top style="hair">
        <color indexed="64"/>
      </top>
      <bottom style="hair">
        <color indexed="64"/>
      </bottom>
      <diagonal/>
    </border>
    <border>
      <left style="medium">
        <color indexed="64"/>
      </left>
      <right style="medium">
        <color indexed="8"/>
      </right>
      <top/>
      <bottom style="medium">
        <color indexed="64"/>
      </bottom>
      <diagonal/>
    </border>
    <border>
      <left style="thin">
        <color theme="1" tint="0.499984740745262"/>
      </left>
      <right style="thin">
        <color theme="1" tint="0.499984740745262"/>
      </right>
      <top style="hair">
        <color indexed="64"/>
      </top>
      <bottom style="medium">
        <color indexed="64"/>
      </bottom>
      <diagonal/>
    </border>
    <border>
      <left style="thin">
        <color theme="1" tint="0.499984740745262"/>
      </left>
      <right style="medium">
        <color indexed="64"/>
      </right>
      <top style="hair">
        <color indexed="64"/>
      </top>
      <bottom style="medium">
        <color indexed="64"/>
      </bottom>
      <diagonal/>
    </border>
    <border>
      <left style="thin">
        <color rgb="FFA9A9A9"/>
      </left>
      <right/>
      <top/>
      <bottom/>
      <diagonal/>
    </border>
    <border>
      <left style="thin">
        <color indexed="64"/>
      </left>
      <right style="thin">
        <color indexed="64"/>
      </right>
      <top/>
      <bottom/>
      <diagonal/>
    </border>
  </borders>
  <cellStyleXfs count="29">
    <xf numFmtId="0" fontId="0" fillId="0" borderId="0"/>
    <xf numFmtId="0" fontId="1" fillId="4" borderId="0" applyNumberFormat="0" applyBorder="0" applyAlignment="0" applyProtection="0"/>
    <xf numFmtId="0" fontId="55" fillId="5" borderId="0" applyNumberFormat="0" applyBorder="0" applyAlignment="0" applyProtection="0"/>
    <xf numFmtId="164" fontId="1" fillId="0" borderId="0" applyFont="0" applyFill="0" applyBorder="0" applyAlignment="0" applyProtection="0"/>
    <xf numFmtId="9" fontId="27" fillId="0" borderId="0" applyFont="0" applyFill="0" applyBorder="0" applyAlignment="0" applyProtection="0"/>
    <xf numFmtId="0" fontId="57" fillId="6" borderId="30" applyNumberFormat="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56" fillId="17" borderId="59" applyNumberFormat="0" applyProtection="0">
      <alignment horizontal="center" vertical="center"/>
      <protection locked="0"/>
    </xf>
    <xf numFmtId="49" fontId="56" fillId="7" borderId="59" applyNumberFormat="0">
      <alignment horizontal="center" vertical="center"/>
    </xf>
    <xf numFmtId="0" fontId="56" fillId="33" borderId="59" applyNumberFormat="0" applyProtection="0">
      <alignment horizontal="center" vertical="center"/>
      <protection locked="0"/>
    </xf>
    <xf numFmtId="0" fontId="56" fillId="34" borderId="59">
      <alignment horizontal="center" vertical="center"/>
    </xf>
    <xf numFmtId="0" fontId="56" fillId="35" borderId="59">
      <alignment horizontal="center" vertical="center"/>
      <protection locked="0"/>
    </xf>
    <xf numFmtId="0" fontId="62" fillId="36" borderId="0">
      <alignment horizontal="center" vertical="center"/>
    </xf>
    <xf numFmtId="0" fontId="56" fillId="13" borderId="59">
      <alignment horizontal="center" vertical="center"/>
      <protection locked="0"/>
    </xf>
    <xf numFmtId="0" fontId="58" fillId="37" borderId="60">
      <alignment horizontal="center" vertical="center"/>
    </xf>
    <xf numFmtId="0" fontId="62" fillId="36" borderId="0">
      <alignment horizontal="center" vertical="center"/>
    </xf>
    <xf numFmtId="0" fontId="56" fillId="38" borderId="59">
      <alignment horizontal="center" vertical="center"/>
    </xf>
    <xf numFmtId="0" fontId="58" fillId="20" borderId="60">
      <alignment horizontal="center" vertical="center"/>
    </xf>
    <xf numFmtId="0" fontId="85" fillId="0" borderId="0" applyNumberFormat="0" applyFill="0" applyBorder="0" applyAlignment="0" applyProtection="0"/>
  </cellStyleXfs>
  <cellXfs count="909">
    <xf numFmtId="0" fontId="0" fillId="0" borderId="0" xfId="0"/>
    <xf numFmtId="0" fontId="56" fillId="17" borderId="59" xfId="17" applyProtection="1">
      <alignment horizontal="center" vertical="center"/>
    </xf>
    <xf numFmtId="0" fontId="0" fillId="7" borderId="0" xfId="0" applyFill="1"/>
    <xf numFmtId="0" fontId="29" fillId="9" borderId="31" xfId="0" applyFont="1" applyFill="1" applyBorder="1" applyAlignment="1">
      <alignment horizontal="center" vertical="center" wrapText="1"/>
    </xf>
    <xf numFmtId="0" fontId="0" fillId="10" borderId="31" xfId="0" applyFill="1" applyBorder="1" applyAlignment="1">
      <alignment horizontal="center"/>
    </xf>
    <xf numFmtId="2" fontId="0" fillId="10" borderId="31" xfId="0" applyNumberFormat="1" applyFill="1" applyBorder="1" applyAlignment="1">
      <alignment horizontal="center"/>
    </xf>
    <xf numFmtId="0" fontId="0" fillId="7" borderId="0" xfId="0" applyFill="1" applyBorder="1" applyAlignment="1">
      <alignment horizontal="center"/>
    </xf>
    <xf numFmtId="0" fontId="30" fillId="8" borderId="31" xfId="0" applyFont="1" applyFill="1" applyBorder="1" applyAlignment="1">
      <alignment horizontal="center"/>
    </xf>
    <xf numFmtId="0" fontId="30" fillId="8" borderId="31" xfId="0" applyFont="1" applyFill="1" applyBorder="1"/>
    <xf numFmtId="2" fontId="0" fillId="8" borderId="31" xfId="0" applyNumberFormat="1" applyFont="1" applyFill="1" applyBorder="1" applyAlignment="1">
      <alignment horizontal="center"/>
    </xf>
    <xf numFmtId="168" fontId="0" fillId="10" borderId="31" xfId="0" applyNumberFormat="1" applyFont="1" applyFill="1" applyBorder="1" applyAlignment="1">
      <alignment horizontal="center"/>
    </xf>
    <xf numFmtId="0" fontId="0" fillId="8" borderId="31" xfId="0" applyFont="1" applyFill="1" applyBorder="1" applyAlignment="1">
      <alignment horizontal="center"/>
    </xf>
    <xf numFmtId="0" fontId="0" fillId="10" borderId="31" xfId="0" applyFont="1" applyFill="1" applyBorder="1" applyAlignment="1">
      <alignment horizontal="center"/>
    </xf>
    <xf numFmtId="0" fontId="0" fillId="8" borderId="31" xfId="0" applyFill="1" applyBorder="1" applyAlignment="1">
      <alignment horizontal="center"/>
    </xf>
    <xf numFmtId="2" fontId="0" fillId="10" borderId="31" xfId="0" applyNumberFormat="1" applyFont="1" applyFill="1" applyBorder="1" applyAlignment="1">
      <alignment horizontal="center"/>
    </xf>
    <xf numFmtId="167" fontId="0" fillId="10" borderId="31" xfId="0" applyNumberFormat="1" applyFont="1" applyFill="1" applyBorder="1" applyAlignment="1">
      <alignment horizontal="center"/>
    </xf>
    <xf numFmtId="0" fontId="0" fillId="7" borderId="31" xfId="0" applyFill="1" applyBorder="1"/>
    <xf numFmtId="0" fontId="0" fillId="7" borderId="31" xfId="0" applyFill="1" applyBorder="1" applyAlignment="1">
      <alignment horizontal="center"/>
    </xf>
    <xf numFmtId="1" fontId="0" fillId="7" borderId="31" xfId="0" applyNumberFormat="1" applyFill="1" applyBorder="1" applyAlignment="1">
      <alignment horizontal="center"/>
    </xf>
    <xf numFmtId="0" fontId="0" fillId="7" borderId="32" xfId="0" applyFill="1" applyBorder="1" applyAlignment="1"/>
    <xf numFmtId="0" fontId="0" fillId="7" borderId="32" xfId="0" applyFill="1" applyBorder="1" applyAlignment="1">
      <alignment horizontal="center"/>
    </xf>
    <xf numFmtId="0" fontId="0" fillId="7" borderId="0" xfId="0" applyFill="1" applyBorder="1" applyAlignment="1"/>
    <xf numFmtId="2" fontId="0" fillId="7" borderId="31" xfId="0" applyNumberFormat="1" applyFill="1" applyBorder="1" applyAlignment="1">
      <alignment horizontal="center"/>
    </xf>
    <xf numFmtId="0" fontId="0" fillId="7" borderId="33" xfId="0" applyFill="1" applyBorder="1" applyAlignment="1"/>
    <xf numFmtId="1" fontId="0" fillId="8" borderId="31" xfId="0" applyNumberFormat="1" applyFont="1" applyFill="1" applyBorder="1" applyAlignment="1">
      <alignment horizontal="center"/>
    </xf>
    <xf numFmtId="0" fontId="0" fillId="7" borderId="36" xfId="0" applyFill="1" applyBorder="1" applyAlignment="1"/>
    <xf numFmtId="167" fontId="0" fillId="8" borderId="31" xfId="0" applyNumberFormat="1" applyFill="1" applyBorder="1" applyAlignment="1">
      <alignment horizontal="center"/>
    </xf>
    <xf numFmtId="0" fontId="31" fillId="7" borderId="0" xfId="0" applyFont="1" applyFill="1" applyAlignment="1">
      <alignment horizontal="right"/>
    </xf>
    <xf numFmtId="0" fontId="0" fillId="7" borderId="0" xfId="0" applyFill="1"/>
    <xf numFmtId="0" fontId="0" fillId="9" borderId="31" xfId="0" applyFill="1" applyBorder="1" applyAlignment="1">
      <alignment horizontal="center" wrapText="1"/>
    </xf>
    <xf numFmtId="0" fontId="0" fillId="8" borderId="31" xfId="0" applyFill="1" applyBorder="1" applyAlignment="1">
      <alignment horizontal="center"/>
    </xf>
    <xf numFmtId="2" fontId="0" fillId="10" borderId="31" xfId="0" applyNumberFormat="1" applyFill="1" applyBorder="1" applyAlignment="1">
      <alignment horizontal="center"/>
    </xf>
    <xf numFmtId="0" fontId="0" fillId="0" borderId="31" xfId="0" applyBorder="1"/>
    <xf numFmtId="0" fontId="7" fillId="0" borderId="31" xfId="0" applyFont="1" applyBorder="1"/>
    <xf numFmtId="0" fontId="3" fillId="12" borderId="31" xfId="0" applyFont="1" applyFill="1" applyBorder="1" applyAlignment="1">
      <alignment horizontal="center"/>
    </xf>
    <xf numFmtId="166" fontId="0" fillId="0" borderId="31" xfId="0" applyNumberFormat="1" applyBorder="1" applyAlignment="1">
      <alignment horizontal="center"/>
    </xf>
    <xf numFmtId="0" fontId="9" fillId="0" borderId="31" xfId="0" applyFont="1" applyBorder="1" applyAlignment="1">
      <alignment horizontal="right"/>
    </xf>
    <xf numFmtId="0" fontId="29" fillId="0" borderId="31" xfId="0" applyFont="1" applyBorder="1"/>
    <xf numFmtId="0" fontId="3" fillId="7" borderId="31" xfId="0" applyFont="1" applyFill="1" applyBorder="1" applyAlignment="1">
      <alignment horizontal="center"/>
    </xf>
    <xf numFmtId="0" fontId="3" fillId="7" borderId="31" xfId="0" applyFont="1" applyFill="1" applyBorder="1"/>
    <xf numFmtId="0" fontId="0" fillId="7" borderId="31" xfId="0" applyFill="1" applyBorder="1" applyAlignment="1">
      <alignment horizontal="center"/>
    </xf>
    <xf numFmtId="0" fontId="0" fillId="7" borderId="31" xfId="0" applyFont="1" applyFill="1" applyBorder="1" applyAlignment="1">
      <alignment horizontal="center"/>
    </xf>
    <xf numFmtId="2" fontId="0" fillId="7" borderId="0" xfId="0" applyNumberFormat="1" applyFill="1" applyAlignment="1">
      <alignment horizontal="center"/>
    </xf>
    <xf numFmtId="168" fontId="0" fillId="8" borderId="31" xfId="0" applyNumberFormat="1" applyFill="1" applyBorder="1" applyAlignment="1">
      <alignment horizontal="center"/>
    </xf>
    <xf numFmtId="169" fontId="0" fillId="10" borderId="31" xfId="0" applyNumberFormat="1" applyFill="1" applyBorder="1" applyAlignment="1">
      <alignment horizontal="center"/>
    </xf>
    <xf numFmtId="168" fontId="0" fillId="10" borderId="31" xfId="0" applyNumberFormat="1" applyFill="1" applyBorder="1" applyAlignment="1">
      <alignment horizontal="center"/>
    </xf>
    <xf numFmtId="1" fontId="0" fillId="8" borderId="31" xfId="0" applyNumberFormat="1" applyFill="1" applyBorder="1" applyAlignment="1">
      <alignment horizontal="center"/>
    </xf>
    <xf numFmtId="0" fontId="0" fillId="9" borderId="31" xfId="0" applyFill="1" applyBorder="1" applyAlignment="1">
      <alignment horizontal="center" vertical="center" wrapText="1"/>
    </xf>
    <xf numFmtId="0" fontId="0" fillId="7" borderId="0" xfId="0" applyFill="1" applyBorder="1" applyAlignment="1">
      <alignment horizontal="center"/>
    </xf>
    <xf numFmtId="167" fontId="0" fillId="10" borderId="34" xfId="0" applyNumberFormat="1" applyFont="1" applyFill="1" applyBorder="1" applyAlignment="1">
      <alignment horizontal="center"/>
    </xf>
    <xf numFmtId="0" fontId="0" fillId="7" borderId="0" xfId="0" applyFill="1" applyBorder="1"/>
    <xf numFmtId="168" fontId="0" fillId="8" borderId="31" xfId="0" applyNumberFormat="1" applyFont="1" applyFill="1" applyBorder="1" applyAlignment="1">
      <alignment horizontal="center"/>
    </xf>
    <xf numFmtId="1" fontId="0" fillId="10" borderId="31" xfId="0" applyNumberFormat="1" applyFill="1" applyBorder="1" applyAlignment="1">
      <alignment horizontal="center" vertical="center"/>
    </xf>
    <xf numFmtId="168" fontId="0" fillId="7" borderId="0" xfId="0" applyNumberFormat="1" applyFill="1"/>
    <xf numFmtId="167" fontId="0" fillId="8" borderId="31" xfId="0" applyNumberFormat="1" applyFont="1" applyFill="1" applyBorder="1" applyAlignment="1">
      <alignment horizontal="center"/>
    </xf>
    <xf numFmtId="0" fontId="0" fillId="7" borderId="31" xfId="0" applyFill="1" applyBorder="1" applyAlignment="1">
      <alignment horizontal="center"/>
    </xf>
    <xf numFmtId="0" fontId="0" fillId="7" borderId="0" xfId="0" applyFill="1" applyBorder="1" applyAlignment="1">
      <alignment horizontal="center"/>
    </xf>
    <xf numFmtId="0" fontId="0" fillId="8" borderId="34" xfId="0" applyFont="1" applyFill="1" applyBorder="1" applyAlignment="1">
      <alignment horizontal="center"/>
    </xf>
    <xf numFmtId="167" fontId="0" fillId="8" borderId="38" xfId="0" applyNumberFormat="1" applyFill="1" applyBorder="1" applyAlignment="1">
      <alignment horizontal="center"/>
    </xf>
    <xf numFmtId="0" fontId="0" fillId="8" borderId="38" xfId="0" applyFont="1" applyFill="1" applyBorder="1" applyAlignment="1">
      <alignment horizontal="center"/>
    </xf>
    <xf numFmtId="1" fontId="3" fillId="8" borderId="31" xfId="0" applyNumberFormat="1" applyFont="1" applyFill="1" applyBorder="1" applyAlignment="1">
      <alignment horizontal="center" vertical="center"/>
    </xf>
    <xf numFmtId="0" fontId="0" fillId="13" borderId="35" xfId="0" applyFill="1" applyBorder="1" applyAlignment="1">
      <alignment horizontal="center"/>
    </xf>
    <xf numFmtId="0" fontId="33" fillId="13" borderId="33" xfId="0" applyFont="1" applyFill="1" applyBorder="1" applyAlignment="1">
      <alignment horizontal="center"/>
    </xf>
    <xf numFmtId="0" fontId="34" fillId="9" borderId="39" xfId="0" applyFont="1" applyFill="1" applyBorder="1" applyAlignment="1">
      <alignment horizontal="center" vertical="center" wrapText="1"/>
    </xf>
    <xf numFmtId="164" fontId="27" fillId="8" borderId="31" xfId="3" applyFont="1" applyFill="1" applyBorder="1" applyAlignment="1">
      <alignment horizontal="center"/>
    </xf>
    <xf numFmtId="164" fontId="3" fillId="7" borderId="0" xfId="3" applyFont="1" applyFill="1"/>
    <xf numFmtId="164" fontId="3" fillId="12" borderId="31" xfId="3" applyFont="1" applyFill="1" applyBorder="1" applyAlignment="1" applyProtection="1">
      <alignment horizontal="center"/>
      <protection locked="0"/>
    </xf>
    <xf numFmtId="1" fontId="0" fillId="7" borderId="0" xfId="0" applyNumberFormat="1" applyFill="1" applyAlignment="1">
      <alignment horizontal="center"/>
    </xf>
    <xf numFmtId="0" fontId="3" fillId="12" borderId="31" xfId="0" applyNumberFormat="1" applyFont="1" applyFill="1" applyBorder="1" applyAlignment="1" applyProtection="1">
      <alignment horizontal="center"/>
      <protection locked="0"/>
    </xf>
    <xf numFmtId="0" fontId="0" fillId="7" borderId="0" xfId="0" applyFill="1" applyAlignment="1">
      <alignment horizontal="left"/>
    </xf>
    <xf numFmtId="1" fontId="0" fillId="0" borderId="31" xfId="0" applyNumberFormat="1" applyBorder="1" applyAlignment="1">
      <alignment horizontal="center"/>
    </xf>
    <xf numFmtId="0" fontId="15" fillId="0" borderId="31" xfId="0" applyFont="1" applyBorder="1" applyAlignment="1">
      <alignment horizontal="center"/>
    </xf>
    <xf numFmtId="0" fontId="35" fillId="0" borderId="0" xfId="0" applyFont="1" applyAlignment="1">
      <alignment horizontal="center"/>
    </xf>
    <xf numFmtId="10" fontId="3" fillId="7" borderId="0" xfId="4" applyNumberFormat="1" applyFont="1" applyFill="1" applyAlignment="1">
      <alignment horizontal="center"/>
    </xf>
    <xf numFmtId="165" fontId="0" fillId="0" borderId="31" xfId="0" applyNumberFormat="1" applyBorder="1"/>
    <xf numFmtId="0" fontId="7" fillId="10" borderId="34" xfId="0" applyFont="1" applyFill="1" applyBorder="1"/>
    <xf numFmtId="0" fontId="0" fillId="10" borderId="0" xfId="0" applyFill="1" applyBorder="1"/>
    <xf numFmtId="166" fontId="0" fillId="10" borderId="32" xfId="0" applyNumberFormat="1" applyFill="1" applyBorder="1" applyAlignment="1">
      <alignment horizontal="center"/>
    </xf>
    <xf numFmtId="0" fontId="9" fillId="7" borderId="0" xfId="0" applyFont="1" applyFill="1"/>
    <xf numFmtId="0" fontId="0" fillId="12" borderId="31" xfId="0" applyFill="1" applyBorder="1" applyAlignment="1">
      <alignment horizontal="center"/>
    </xf>
    <xf numFmtId="166" fontId="0" fillId="0" borderId="0" xfId="0" applyNumberFormat="1" applyBorder="1" applyAlignment="1">
      <alignment horizontal="center"/>
    </xf>
    <xf numFmtId="9" fontId="27" fillId="12" borderId="31" xfId="4" applyFont="1" applyFill="1" applyBorder="1" applyAlignment="1">
      <alignment horizontal="center"/>
    </xf>
    <xf numFmtId="0" fontId="3" fillId="7" borderId="31" xfId="0" applyFont="1" applyFill="1" applyBorder="1" applyAlignment="1">
      <alignment horizontal="left"/>
    </xf>
    <xf numFmtId="164" fontId="27" fillId="12" borderId="31" xfId="3" applyFont="1" applyFill="1" applyBorder="1" applyAlignment="1">
      <alignment horizontal="left"/>
    </xf>
    <xf numFmtId="0" fontId="3" fillId="12" borderId="31" xfId="0" applyFont="1" applyFill="1" applyBorder="1" applyAlignment="1">
      <alignment horizontal="left"/>
    </xf>
    <xf numFmtId="166" fontId="0" fillId="13" borderId="32" xfId="0" applyNumberFormat="1" applyFill="1" applyBorder="1" applyAlignment="1">
      <alignment horizontal="center"/>
    </xf>
    <xf numFmtId="0" fontId="0" fillId="13" borderId="33" xfId="0" applyFill="1" applyBorder="1"/>
    <xf numFmtId="0" fontId="3" fillId="13" borderId="33" xfId="0" applyFont="1" applyFill="1" applyBorder="1" applyAlignment="1">
      <alignment horizontal="center"/>
    </xf>
    <xf numFmtId="0" fontId="9" fillId="0" borderId="39" xfId="0" applyFont="1" applyBorder="1" applyAlignment="1">
      <alignment horizontal="right"/>
    </xf>
    <xf numFmtId="0" fontId="0" fillId="0" borderId="39" xfId="0" applyBorder="1"/>
    <xf numFmtId="0" fontId="3" fillId="7" borderId="39" xfId="0" applyFont="1" applyFill="1" applyBorder="1" applyAlignment="1">
      <alignment horizontal="center"/>
    </xf>
    <xf numFmtId="166" fontId="0" fillId="0" borderId="39" xfId="0" applyNumberFormat="1" applyBorder="1" applyAlignment="1">
      <alignment horizontal="center"/>
    </xf>
    <xf numFmtId="0" fontId="0" fillId="0" borderId="37" xfId="0" applyBorder="1"/>
    <xf numFmtId="0" fontId="7" fillId="0" borderId="37" xfId="0" applyFont="1" applyBorder="1" applyAlignment="1">
      <alignment horizontal="center"/>
    </xf>
    <xf numFmtId="0" fontId="7" fillId="13" borderId="33" xfId="0" applyFont="1" applyFill="1" applyBorder="1" applyAlignment="1">
      <alignment horizontal="left"/>
    </xf>
    <xf numFmtId="166" fontId="0" fillId="13" borderId="33" xfId="0" applyNumberFormat="1" applyFill="1" applyBorder="1" applyAlignment="1">
      <alignment horizontal="center"/>
    </xf>
    <xf numFmtId="166" fontId="7" fillId="13" borderId="31" xfId="0" applyNumberFormat="1" applyFont="1" applyFill="1" applyBorder="1" applyAlignment="1">
      <alignment horizontal="left"/>
    </xf>
    <xf numFmtId="0" fontId="33" fillId="13" borderId="33" xfId="0" applyFont="1" applyFill="1" applyBorder="1" applyAlignment="1">
      <alignment horizontal="center"/>
    </xf>
    <xf numFmtId="0" fontId="0" fillId="13" borderId="35" xfId="0" applyFill="1" applyBorder="1" applyAlignment="1">
      <alignment horizontal="center"/>
    </xf>
    <xf numFmtId="0" fontId="0" fillId="0" borderId="0" xfId="0" applyFill="1"/>
    <xf numFmtId="3" fontId="0" fillId="8" borderId="31" xfId="0" applyNumberFormat="1" applyFont="1" applyFill="1" applyBorder="1" applyAlignment="1">
      <alignment horizontal="center"/>
    </xf>
    <xf numFmtId="2" fontId="0" fillId="7" borderId="37" xfId="0" applyNumberFormat="1" applyFill="1" applyBorder="1" applyAlignment="1">
      <alignment horizontal="center"/>
    </xf>
    <xf numFmtId="0" fontId="0" fillId="13" borderId="40" xfId="0" applyFill="1" applyBorder="1" applyAlignment="1">
      <alignment horizontal="center"/>
    </xf>
    <xf numFmtId="0" fontId="0" fillId="7" borderId="40" xfId="0" applyFill="1" applyBorder="1"/>
    <xf numFmtId="0" fontId="0" fillId="9" borderId="40" xfId="0" applyFill="1" applyBorder="1" applyAlignment="1">
      <alignment horizontal="center"/>
    </xf>
    <xf numFmtId="0" fontId="0" fillId="9" borderId="40" xfId="0" applyFill="1" applyBorder="1" applyAlignment="1">
      <alignment horizontal="center" wrapText="1"/>
    </xf>
    <xf numFmtId="2" fontId="0" fillId="10" borderId="40" xfId="0" applyNumberFormat="1" applyFill="1" applyBorder="1" applyAlignment="1">
      <alignment horizontal="center"/>
    </xf>
    <xf numFmtId="0" fontId="0" fillId="10" borderId="40" xfId="0" applyFill="1" applyBorder="1" applyAlignment="1">
      <alignment horizontal="center"/>
    </xf>
    <xf numFmtId="1" fontId="0" fillId="10" borderId="40" xfId="0" applyNumberFormat="1" applyFill="1" applyBorder="1" applyAlignment="1">
      <alignment horizontal="center"/>
    </xf>
    <xf numFmtId="1" fontId="0" fillId="7" borderId="40" xfId="0" applyNumberFormat="1" applyFill="1" applyBorder="1" applyAlignment="1">
      <alignment horizontal="center"/>
    </xf>
    <xf numFmtId="0" fontId="36" fillId="10" borderId="40" xfId="0" applyFont="1" applyFill="1" applyBorder="1" applyAlignment="1">
      <alignment horizontal="center"/>
    </xf>
    <xf numFmtId="167" fontId="0" fillId="7" borderId="40" xfId="0" applyNumberFormat="1" applyFill="1" applyBorder="1" applyAlignment="1">
      <alignment horizontal="center"/>
    </xf>
    <xf numFmtId="0" fontId="0" fillId="7" borderId="40" xfId="0" applyFill="1" applyBorder="1" applyAlignment="1">
      <alignment horizontal="center"/>
    </xf>
    <xf numFmtId="2" fontId="0" fillId="7" borderId="40" xfId="0" applyNumberFormat="1" applyFill="1" applyBorder="1" applyAlignment="1">
      <alignment horizontal="center"/>
    </xf>
    <xf numFmtId="0" fontId="0" fillId="0" borderId="40" xfId="0" applyFill="1" applyBorder="1" applyAlignment="1">
      <alignment horizontal="center"/>
    </xf>
    <xf numFmtId="2" fontId="0" fillId="0" borderId="40" xfId="0" applyNumberFormat="1" applyFill="1" applyBorder="1" applyAlignment="1">
      <alignment horizontal="center"/>
    </xf>
    <xf numFmtId="167" fontId="0" fillId="10" borderId="40" xfId="0" applyNumberFormat="1" applyFill="1" applyBorder="1" applyAlignment="1">
      <alignment horizontal="center"/>
    </xf>
    <xf numFmtId="0" fontId="9" fillId="7" borderId="0" xfId="0" applyFont="1" applyFill="1" applyAlignment="1">
      <alignment horizontal="right"/>
    </xf>
    <xf numFmtId="166" fontId="0" fillId="7" borderId="0" xfId="0" applyNumberFormat="1" applyFill="1"/>
    <xf numFmtId="0" fontId="27" fillId="4" borderId="31" xfId="1" applyFont="1" applyBorder="1" applyAlignment="1">
      <alignment horizontal="center" vertical="center"/>
    </xf>
    <xf numFmtId="0" fontId="27" fillId="4" borderId="31" xfId="1" applyFont="1" applyBorder="1" applyAlignment="1">
      <alignment horizontal="center" vertical="center" wrapText="1"/>
    </xf>
    <xf numFmtId="0" fontId="0" fillId="7" borderId="0" xfId="0" applyFill="1" applyBorder="1" applyAlignment="1">
      <alignment horizontal="right"/>
    </xf>
    <xf numFmtId="0" fontId="38" fillId="7" borderId="0" xfId="5" applyFont="1" applyFill="1" applyBorder="1" applyAlignment="1">
      <alignment horizontal="center"/>
    </xf>
    <xf numFmtId="1" fontId="38" fillId="7" borderId="0" xfId="5" applyNumberFormat="1" applyFont="1" applyFill="1" applyBorder="1" applyAlignment="1">
      <alignment horizontal="center"/>
    </xf>
    <xf numFmtId="168" fontId="38" fillId="7" borderId="0" xfId="5" applyNumberFormat="1" applyFont="1" applyFill="1" applyBorder="1" applyAlignment="1">
      <alignment vertical="center"/>
    </xf>
    <xf numFmtId="0" fontId="38" fillId="7" borderId="0" xfId="5" applyFont="1" applyFill="1" applyBorder="1" applyAlignment="1">
      <alignment horizontal="right"/>
    </xf>
    <xf numFmtId="1" fontId="38" fillId="7" borderId="0" xfId="5" applyNumberFormat="1" applyFont="1" applyFill="1" applyBorder="1" applyAlignment="1">
      <alignment horizontal="left"/>
    </xf>
    <xf numFmtId="2" fontId="3" fillId="10" borderId="31" xfId="0" applyNumberFormat="1" applyFont="1" applyFill="1" applyBorder="1" applyAlignment="1" applyProtection="1">
      <alignment horizontal="center"/>
      <protection locked="0"/>
    </xf>
    <xf numFmtId="0" fontId="3" fillId="10" borderId="31" xfId="0" applyNumberFormat="1" applyFont="1" applyFill="1" applyBorder="1" applyAlignment="1" applyProtection="1">
      <alignment horizontal="center"/>
      <protection locked="0"/>
    </xf>
    <xf numFmtId="1" fontId="3" fillId="10" borderId="31" xfId="0" applyNumberFormat="1" applyFont="1" applyFill="1" applyBorder="1" applyAlignment="1" applyProtection="1">
      <alignment horizontal="center"/>
      <protection locked="0"/>
    </xf>
    <xf numFmtId="0" fontId="7" fillId="7" borderId="0" xfId="0" applyFont="1" applyFill="1" applyAlignment="1">
      <alignment horizontal="right"/>
    </xf>
    <xf numFmtId="2" fontId="37" fillId="12" borderId="31" xfId="0" applyNumberFormat="1" applyFont="1" applyFill="1" applyBorder="1" applyAlignment="1" applyProtection="1">
      <alignment horizontal="center"/>
      <protection locked="0"/>
    </xf>
    <xf numFmtId="0" fontId="3" fillId="0" borderId="34" xfId="0" applyFont="1" applyBorder="1" applyAlignment="1">
      <alignment horizontal="right"/>
    </xf>
    <xf numFmtId="0" fontId="0" fillId="7" borderId="0" xfId="0" applyFill="1" applyAlignment="1">
      <alignment horizontal="right"/>
    </xf>
    <xf numFmtId="0" fontId="0" fillId="0" borderId="31" xfId="0" applyBorder="1" applyAlignment="1">
      <alignment horizontal="right"/>
    </xf>
    <xf numFmtId="167" fontId="0" fillId="7" borderId="0" xfId="0" applyNumberFormat="1" applyFill="1"/>
    <xf numFmtId="170" fontId="3" fillId="7" borderId="0" xfId="4" applyNumberFormat="1" applyFont="1" applyFill="1"/>
    <xf numFmtId="2" fontId="0" fillId="7" borderId="0" xfId="0" applyNumberFormat="1" applyFill="1"/>
    <xf numFmtId="1" fontId="0" fillId="7" borderId="0" xfId="0" applyNumberFormat="1" applyFill="1"/>
    <xf numFmtId="0" fontId="0" fillId="2" borderId="0" xfId="0" applyFill="1"/>
    <xf numFmtId="0" fontId="0" fillId="0" borderId="0" xfId="0"/>
    <xf numFmtId="0" fontId="0" fillId="0" borderId="0"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3" fillId="0" borderId="0" xfId="0" applyFont="1" applyFill="1" applyBorder="1" applyAlignment="1">
      <alignment horizontal="left"/>
    </xf>
    <xf numFmtId="0" fontId="0" fillId="0" borderId="23" xfId="0" applyBorder="1"/>
    <xf numFmtId="0" fontId="3" fillId="0" borderId="0" xfId="0" applyFont="1" applyBorder="1"/>
    <xf numFmtId="0" fontId="3" fillId="0" borderId="0" xfId="0" applyFont="1" applyFill="1" applyBorder="1"/>
    <xf numFmtId="0" fontId="16" fillId="0" borderId="0" xfId="0" applyFont="1" applyFill="1" applyBorder="1"/>
    <xf numFmtId="0" fontId="16" fillId="2" borderId="0" xfId="0" applyFont="1" applyFill="1"/>
    <xf numFmtId="0" fontId="7" fillId="0" borderId="0" xfId="0" applyFont="1" applyBorder="1"/>
    <xf numFmtId="0" fontId="3" fillId="0" borderId="0" xfId="0" applyFont="1" applyBorder="1" applyAlignment="1">
      <alignment horizontal="left"/>
    </xf>
    <xf numFmtId="0" fontId="9" fillId="0" borderId="0" xfId="0" applyFont="1" applyBorder="1"/>
    <xf numFmtId="0" fontId="7" fillId="0" borderId="0" xfId="0" applyFont="1" applyBorder="1" applyAlignment="1">
      <alignment horizontal="center"/>
    </xf>
    <xf numFmtId="0" fontId="9" fillId="0" borderId="0" xfId="0" applyFont="1" applyBorder="1" applyAlignment="1">
      <alignment horizontal="left"/>
    </xf>
    <xf numFmtId="0" fontId="0" fillId="0" borderId="0" xfId="0" applyFill="1" applyBorder="1"/>
    <xf numFmtId="0" fontId="15" fillId="0" borderId="0" xfId="0" applyFont="1" applyBorder="1"/>
    <xf numFmtId="0" fontId="0" fillId="0" borderId="24" xfId="0" applyBorder="1"/>
    <xf numFmtId="0" fontId="3" fillId="0" borderId="25" xfId="0" applyFont="1" applyBorder="1" applyAlignment="1">
      <alignment vertical="center"/>
    </xf>
    <xf numFmtId="0" fontId="9" fillId="0" borderId="0" xfId="0" applyFont="1" applyFill="1" applyBorder="1"/>
    <xf numFmtId="0" fontId="3" fillId="0" borderId="22" xfId="0" applyFont="1" applyBorder="1" applyAlignment="1"/>
    <xf numFmtId="0" fontId="3" fillId="0" borderId="22" xfId="0" applyFont="1" applyBorder="1"/>
    <xf numFmtId="0" fontId="0" fillId="7" borderId="0" xfId="0" applyFill="1" applyBorder="1"/>
    <xf numFmtId="0" fontId="22" fillId="7" borderId="0" xfId="0" applyFont="1" applyFill="1"/>
    <xf numFmtId="165" fontId="0" fillId="7" borderId="0" xfId="0" applyNumberFormat="1" applyFill="1"/>
    <xf numFmtId="0" fontId="0" fillId="7" borderId="0" xfId="0" applyFill="1" applyBorder="1" applyAlignment="1">
      <alignment horizontal="center"/>
    </xf>
    <xf numFmtId="1" fontId="0" fillId="7" borderId="0" xfId="0" applyNumberFormat="1" applyFill="1" applyBorder="1" applyAlignment="1">
      <alignment horizontal="center"/>
    </xf>
    <xf numFmtId="2" fontId="0" fillId="7" borderId="0" xfId="0" applyNumberFormat="1" applyFill="1" applyBorder="1" applyAlignment="1">
      <alignment horizontal="center"/>
    </xf>
    <xf numFmtId="10" fontId="27" fillId="8" borderId="31" xfId="4" applyNumberFormat="1" applyFont="1" applyFill="1" applyBorder="1" applyAlignment="1">
      <alignment horizontal="center"/>
    </xf>
    <xf numFmtId="9" fontId="39" fillId="13" borderId="0" xfId="4" applyNumberFormat="1" applyFont="1" applyFill="1"/>
    <xf numFmtId="0" fontId="0" fillId="7" borderId="0" xfId="0" applyFill="1" applyBorder="1" applyAlignment="1">
      <alignment horizontal="center"/>
    </xf>
    <xf numFmtId="0" fontId="0" fillId="7" borderId="31" xfId="0" applyFill="1" applyBorder="1" applyAlignment="1">
      <alignment horizontal="center"/>
    </xf>
    <xf numFmtId="0" fontId="30" fillId="7" borderId="31" xfId="0" applyFont="1" applyFill="1" applyBorder="1" applyAlignment="1">
      <alignment horizontal="center"/>
    </xf>
    <xf numFmtId="0" fontId="30" fillId="7" borderId="31" xfId="0" applyFont="1" applyFill="1" applyBorder="1"/>
    <xf numFmtId="2" fontId="0" fillId="7" borderId="31" xfId="0" applyNumberFormat="1" applyFont="1" applyFill="1" applyBorder="1" applyAlignment="1">
      <alignment horizontal="center"/>
    </xf>
    <xf numFmtId="1" fontId="0" fillId="7" borderId="31" xfId="0" applyNumberFormat="1" applyFont="1" applyFill="1" applyBorder="1" applyAlignment="1">
      <alignment horizontal="center"/>
    </xf>
    <xf numFmtId="10" fontId="27" fillId="7" borderId="31" xfId="4" applyNumberFormat="1" applyFont="1" applyFill="1" applyBorder="1" applyAlignment="1">
      <alignment horizontal="center"/>
    </xf>
    <xf numFmtId="168" fontId="0" fillId="7" borderId="31" xfId="0" applyNumberFormat="1" applyFont="1" applyFill="1" applyBorder="1" applyAlignment="1">
      <alignment horizontal="center"/>
    </xf>
    <xf numFmtId="167" fontId="0" fillId="7" borderId="31" xfId="0" applyNumberFormat="1" applyFont="1" applyFill="1" applyBorder="1" applyAlignment="1">
      <alignment horizontal="center"/>
    </xf>
    <xf numFmtId="3" fontId="0" fillId="7" borderId="31" xfId="0" applyNumberFormat="1" applyFont="1" applyFill="1" applyBorder="1" applyAlignment="1">
      <alignment horizontal="center"/>
    </xf>
    <xf numFmtId="167" fontId="0" fillId="7" borderId="31" xfId="0" applyNumberFormat="1" applyFill="1" applyBorder="1" applyAlignment="1">
      <alignment horizontal="center"/>
    </xf>
    <xf numFmtId="167" fontId="0" fillId="7" borderId="34" xfId="0" applyNumberFormat="1" applyFont="1" applyFill="1" applyBorder="1" applyAlignment="1">
      <alignment horizontal="center"/>
    </xf>
    <xf numFmtId="0" fontId="0" fillId="7" borderId="0" xfId="0" applyFill="1" applyBorder="1" applyAlignment="1">
      <alignment horizontal="center"/>
    </xf>
    <xf numFmtId="0" fontId="30" fillId="7" borderId="0" xfId="0" applyFont="1" applyFill="1" applyBorder="1" applyAlignment="1">
      <alignment horizontal="center"/>
    </xf>
    <xf numFmtId="9" fontId="27" fillId="15" borderId="41" xfId="4" applyFont="1" applyFill="1" applyBorder="1" applyAlignment="1">
      <alignment horizontal="center" vertical="center"/>
    </xf>
    <xf numFmtId="172" fontId="0" fillId="15" borderId="41" xfId="0" applyNumberFormat="1" applyFill="1" applyBorder="1" applyAlignment="1">
      <alignment horizontal="center" vertical="center"/>
    </xf>
    <xf numFmtId="0" fontId="0" fillId="15" borderId="41" xfId="0" applyFill="1" applyBorder="1" applyAlignment="1">
      <alignment horizontal="center"/>
    </xf>
    <xf numFmtId="9" fontId="27" fillId="16" borderId="41" xfId="4" applyFont="1" applyFill="1" applyBorder="1" applyAlignment="1">
      <alignment horizontal="center" vertical="center"/>
    </xf>
    <xf numFmtId="172" fontId="0" fillId="16" borderId="41" xfId="0" applyNumberFormat="1" applyFill="1" applyBorder="1" applyAlignment="1">
      <alignment horizontal="center" vertical="center"/>
    </xf>
    <xf numFmtId="0" fontId="0" fillId="16" borderId="41" xfId="0" applyFill="1" applyBorder="1" applyAlignment="1">
      <alignment horizontal="center"/>
    </xf>
    <xf numFmtId="167" fontId="30" fillId="13" borderId="26" xfId="0" applyNumberFormat="1" applyFont="1" applyFill="1" applyBorder="1" applyAlignment="1">
      <alignment horizontal="center"/>
    </xf>
    <xf numFmtId="14" fontId="0" fillId="7" borderId="0" xfId="0" applyNumberFormat="1" applyFill="1" applyAlignment="1">
      <alignment horizontal="left"/>
    </xf>
    <xf numFmtId="0" fontId="0" fillId="7" borderId="8" xfId="0" applyFill="1" applyBorder="1"/>
    <xf numFmtId="0" fontId="0" fillId="7" borderId="9" xfId="0" applyFill="1" applyBorder="1"/>
    <xf numFmtId="0" fontId="0" fillId="7" borderId="10" xfId="0" applyFill="1" applyBorder="1"/>
    <xf numFmtId="0" fontId="0" fillId="7" borderId="11" xfId="0" applyFill="1" applyBorder="1"/>
    <xf numFmtId="0" fontId="0" fillId="7" borderId="12" xfId="0" applyFill="1" applyBorder="1"/>
    <xf numFmtId="2" fontId="57" fillId="7" borderId="30" xfId="5" applyNumberFormat="1" applyFill="1" applyBorder="1" applyAlignment="1">
      <alignment horizontal="center"/>
    </xf>
    <xf numFmtId="167" fontId="0" fillId="7" borderId="0" xfId="0" applyNumberFormat="1" applyFill="1" applyBorder="1" applyAlignment="1">
      <alignment horizontal="center"/>
    </xf>
    <xf numFmtId="0" fontId="57" fillId="7" borderId="30" xfId="5" applyFill="1" applyBorder="1" applyAlignment="1">
      <alignment horizontal="center"/>
    </xf>
    <xf numFmtId="0" fontId="1" fillId="4" borderId="0" xfId="1" applyBorder="1" applyAlignment="1"/>
    <xf numFmtId="173" fontId="0" fillId="7" borderId="0" xfId="0" applyNumberFormat="1" applyFill="1" applyBorder="1" applyAlignment="1">
      <alignment horizontal="center"/>
    </xf>
    <xf numFmtId="0" fontId="40" fillId="7" borderId="11" xfId="0" applyFont="1" applyFill="1" applyBorder="1"/>
    <xf numFmtId="3" fontId="0" fillId="7" borderId="0" xfId="0" applyNumberFormat="1" applyFill="1" applyBorder="1" applyAlignment="1">
      <alignment horizontal="center"/>
    </xf>
    <xf numFmtId="0" fontId="0" fillId="7" borderId="13" xfId="0" applyFill="1" applyBorder="1"/>
    <xf numFmtId="0" fontId="0" fillId="7" borderId="14" xfId="0" applyFill="1" applyBorder="1" applyAlignment="1">
      <alignment horizontal="right"/>
    </xf>
    <xf numFmtId="0" fontId="0" fillId="7" borderId="14" xfId="0" applyFill="1" applyBorder="1"/>
    <xf numFmtId="0" fontId="0" fillId="7" borderId="15" xfId="0" applyFill="1" applyBorder="1"/>
    <xf numFmtId="1" fontId="57" fillId="7" borderId="30" xfId="5" applyNumberFormat="1" applyFill="1" applyBorder="1" applyAlignment="1">
      <alignment horizontal="center"/>
    </xf>
    <xf numFmtId="0" fontId="0" fillId="7" borderId="0" xfId="0" applyFill="1" applyBorder="1" applyAlignment="1">
      <alignment horizontal="center" vertical="center"/>
    </xf>
    <xf numFmtId="1" fontId="0" fillId="7" borderId="0" xfId="0" applyNumberFormat="1" applyFill="1" applyBorder="1" applyAlignment="1">
      <alignment horizontal="center" vertical="center"/>
    </xf>
    <xf numFmtId="0" fontId="0" fillId="7" borderId="0" xfId="0" applyFill="1" applyBorder="1" applyAlignment="1">
      <alignment horizontal="left" vertical="center"/>
    </xf>
    <xf numFmtId="0" fontId="0" fillId="7" borderId="0" xfId="0" applyFill="1" applyBorder="1" applyAlignment="1">
      <alignment horizontal="right" vertical="center"/>
    </xf>
    <xf numFmtId="172" fontId="0" fillId="7" borderId="0" xfId="0" applyNumberFormat="1" applyFill="1" applyBorder="1" applyAlignment="1">
      <alignment horizontal="center" vertical="center"/>
    </xf>
    <xf numFmtId="0" fontId="41" fillId="7" borderId="0" xfId="0" applyFont="1" applyFill="1" applyBorder="1" applyAlignment="1">
      <alignment horizontal="right"/>
    </xf>
    <xf numFmtId="0" fontId="42" fillId="7" borderId="0" xfId="0" applyFont="1" applyFill="1" applyBorder="1" applyAlignment="1">
      <alignment horizontal="right"/>
    </xf>
    <xf numFmtId="172" fontId="28" fillId="7" borderId="0" xfId="0" applyNumberFormat="1" applyFont="1" applyFill="1" applyBorder="1" applyAlignment="1">
      <alignment horizontal="right"/>
    </xf>
    <xf numFmtId="172" fontId="28" fillId="7" borderId="0" xfId="0" applyNumberFormat="1" applyFont="1" applyFill="1" applyBorder="1" applyAlignment="1">
      <alignment horizontal="center"/>
    </xf>
    <xf numFmtId="172" fontId="28" fillId="7" borderId="0" xfId="0" applyNumberFormat="1" applyFont="1" applyFill="1" applyBorder="1" applyAlignment="1">
      <alignment horizontal="left"/>
    </xf>
    <xf numFmtId="173" fontId="0" fillId="7" borderId="0" xfId="0" applyNumberForma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horizontal="right"/>
    </xf>
    <xf numFmtId="0" fontId="0" fillId="7" borderId="0" xfId="0" applyFill="1" applyAlignment="1">
      <alignment horizontal="center"/>
    </xf>
    <xf numFmtId="2" fontId="27" fillId="7" borderId="0" xfId="4" applyNumberFormat="1" applyFont="1" applyFill="1" applyAlignment="1">
      <alignment horizontal="center"/>
    </xf>
    <xf numFmtId="167" fontId="0" fillId="7" borderId="0" xfId="0" applyNumberFormat="1" applyFill="1" applyAlignment="1">
      <alignment horizontal="center"/>
    </xf>
    <xf numFmtId="0" fontId="0" fillId="7" borderId="0" xfId="0" applyFill="1" applyBorder="1" applyAlignment="1">
      <alignment horizontal="left"/>
    </xf>
    <xf numFmtId="0" fontId="30" fillId="7" borderId="0" xfId="0" applyFont="1" applyFill="1" applyAlignment="1">
      <alignment horizontal="right"/>
    </xf>
    <xf numFmtId="0" fontId="30" fillId="7" borderId="0" xfId="0" applyFont="1" applyFill="1" applyAlignment="1">
      <alignment horizontal="center"/>
    </xf>
    <xf numFmtId="167" fontId="27" fillId="7" borderId="0" xfId="4" applyNumberFormat="1" applyFont="1" applyFill="1" applyBorder="1" applyAlignment="1">
      <alignment horizontal="center"/>
    </xf>
    <xf numFmtId="2" fontId="0" fillId="7" borderId="0" xfId="0" applyNumberFormat="1" applyFill="1" applyBorder="1" applyAlignment="1">
      <alignment vertical="center"/>
    </xf>
    <xf numFmtId="168" fontId="0" fillId="7" borderId="0" xfId="0" applyNumberFormat="1" applyFill="1" applyBorder="1" applyAlignment="1">
      <alignment horizontal="center"/>
    </xf>
    <xf numFmtId="2" fontId="0" fillId="7" borderId="0" xfId="0" applyNumberFormat="1" applyFill="1" applyBorder="1" applyAlignment="1">
      <alignment horizontal="right"/>
    </xf>
    <xf numFmtId="0" fontId="30" fillId="7" borderId="0" xfId="0" applyFont="1" applyFill="1" applyBorder="1" applyAlignment="1">
      <alignment horizontal="right"/>
    </xf>
    <xf numFmtId="0" fontId="30" fillId="0" borderId="0" xfId="0" applyFont="1" applyFill="1" applyBorder="1" applyAlignment="1">
      <alignment horizontal="center"/>
    </xf>
    <xf numFmtId="2" fontId="0" fillId="0" borderId="41" xfId="0" applyNumberFormat="1" applyFill="1" applyBorder="1" applyAlignment="1">
      <alignment horizontal="center"/>
    </xf>
    <xf numFmtId="2" fontId="0" fillId="13" borderId="26" xfId="0" applyNumberFormat="1" applyFill="1" applyBorder="1" applyAlignment="1">
      <alignment horizontal="center"/>
    </xf>
    <xf numFmtId="0" fontId="0" fillId="13" borderId="26" xfId="0" applyFill="1" applyBorder="1" applyAlignment="1">
      <alignment horizontal="center"/>
    </xf>
    <xf numFmtId="2" fontId="0" fillId="17" borderId="26" xfId="0" applyNumberFormat="1" applyFill="1" applyBorder="1" applyAlignment="1">
      <alignment horizontal="center"/>
    </xf>
    <xf numFmtId="0" fontId="0" fillId="17" borderId="26" xfId="0" applyFill="1" applyBorder="1" applyAlignment="1">
      <alignment horizontal="center"/>
    </xf>
    <xf numFmtId="167" fontId="0" fillId="13" borderId="26" xfId="0" applyNumberFormat="1" applyFill="1" applyBorder="1" applyAlignment="1">
      <alignment horizontal="center"/>
    </xf>
    <xf numFmtId="167" fontId="0" fillId="17" borderId="26" xfId="0" applyNumberFormat="1" applyFill="1" applyBorder="1" applyAlignment="1">
      <alignment horizontal="center"/>
    </xf>
    <xf numFmtId="9" fontId="27" fillId="7" borderId="0" xfId="4" applyFont="1" applyFill="1" applyBorder="1" applyAlignment="1">
      <alignment horizontal="center"/>
    </xf>
    <xf numFmtId="0" fontId="28" fillId="7" borderId="0" xfId="0" applyFont="1" applyFill="1" applyAlignment="1">
      <alignment horizontal="center"/>
    </xf>
    <xf numFmtId="0" fontId="28" fillId="7" borderId="0" xfId="0" applyFont="1" applyFill="1" applyAlignment="1">
      <alignment horizontal="left"/>
    </xf>
    <xf numFmtId="0" fontId="43" fillId="7" borderId="0" xfId="0" applyFont="1" applyFill="1" applyBorder="1"/>
    <xf numFmtId="2" fontId="44" fillId="7" borderId="0" xfId="0" applyNumberFormat="1" applyFont="1" applyFill="1" applyBorder="1" applyAlignment="1">
      <alignment horizontal="center"/>
    </xf>
    <xf numFmtId="0" fontId="38" fillId="10" borderId="31" xfId="5" applyFont="1" applyFill="1" applyBorder="1" applyAlignment="1">
      <alignment horizontal="center"/>
    </xf>
    <xf numFmtId="1" fontId="38" fillId="10" borderId="31" xfId="5" applyNumberFormat="1" applyFont="1" applyFill="1" applyBorder="1" applyAlignment="1">
      <alignment horizontal="center"/>
    </xf>
    <xf numFmtId="168" fontId="38" fillId="10" borderId="31" xfId="5" applyNumberFormat="1" applyFont="1" applyFill="1" applyBorder="1" applyAlignment="1">
      <alignment horizontal="center" vertical="center"/>
    </xf>
    <xf numFmtId="0" fontId="43" fillId="7" borderId="26" xfId="0" applyFont="1" applyFill="1" applyBorder="1" applyAlignment="1">
      <alignment horizontal="center" vertical="center"/>
    </xf>
    <xf numFmtId="0" fontId="0" fillId="9" borderId="31" xfId="0" applyFill="1" applyBorder="1" applyAlignment="1">
      <alignment horizontal="center" vertical="center" wrapText="1"/>
    </xf>
    <xf numFmtId="0" fontId="0" fillId="9" borderId="31" xfId="0" applyFill="1" applyBorder="1" applyAlignment="1">
      <alignment horizontal="center" vertical="center"/>
    </xf>
    <xf numFmtId="0" fontId="0" fillId="0" borderId="0" xfId="0" applyAlignment="1">
      <alignment horizontal="center" vertical="center"/>
    </xf>
    <xf numFmtId="0" fontId="30" fillId="0" borderId="0" xfId="0" applyFont="1" applyAlignment="1">
      <alignment horizontal="left" vertical="center"/>
    </xf>
    <xf numFmtId="0" fontId="0" fillId="10" borderId="42" xfId="0" applyFill="1" applyBorder="1" applyAlignment="1">
      <alignment horizontal="center" vertical="center"/>
    </xf>
    <xf numFmtId="0" fontId="0" fillId="10" borderId="0" xfId="0" applyFill="1" applyBorder="1" applyAlignment="1">
      <alignment horizontal="center" vertical="center"/>
    </xf>
    <xf numFmtId="0" fontId="0" fillId="10" borderId="43" xfId="0" applyFill="1" applyBorder="1" applyAlignment="1">
      <alignment horizontal="center" vertical="center"/>
    </xf>
    <xf numFmtId="0" fontId="0" fillId="18" borderId="0" xfId="0" applyFill="1" applyAlignment="1">
      <alignment horizontal="center" vertical="center"/>
    </xf>
    <xf numFmtId="0" fontId="0" fillId="0" borderId="0" xfId="0" applyAlignment="1">
      <alignment horizontal="left" vertical="center"/>
    </xf>
    <xf numFmtId="0" fontId="0" fillId="10" borderId="31" xfId="0" applyFont="1" applyFill="1" applyBorder="1" applyAlignment="1">
      <alignment horizontal="right" vertical="center"/>
    </xf>
    <xf numFmtId="167" fontId="45" fillId="18" borderId="31" xfId="5" applyNumberFormat="1" applyFont="1" applyFill="1" applyBorder="1" applyAlignment="1">
      <alignment horizontal="center"/>
    </xf>
    <xf numFmtId="0" fontId="0" fillId="10" borderId="31" xfId="0" applyFont="1" applyFill="1" applyBorder="1" applyAlignment="1">
      <alignment horizontal="left" vertical="top"/>
    </xf>
    <xf numFmtId="0" fontId="0" fillId="9" borderId="0" xfId="0" applyFill="1" applyAlignment="1">
      <alignment horizontal="center" vertical="center"/>
    </xf>
    <xf numFmtId="0" fontId="0" fillId="10" borderId="42" xfId="0" applyFont="1" applyFill="1" applyBorder="1" applyAlignment="1">
      <alignment horizontal="center" vertical="center"/>
    </xf>
    <xf numFmtId="2" fontId="0" fillId="10" borderId="39" xfId="0" applyNumberFormat="1" applyFill="1" applyBorder="1" applyAlignment="1">
      <alignment horizontal="center" vertical="center"/>
    </xf>
    <xf numFmtId="0" fontId="0" fillId="10" borderId="44" xfId="0" applyFill="1" applyBorder="1" applyAlignment="1">
      <alignment horizontal="center" vertical="center"/>
    </xf>
    <xf numFmtId="0" fontId="0" fillId="10" borderId="36" xfId="0" applyFill="1" applyBorder="1" applyAlignment="1">
      <alignment horizontal="center" vertical="center"/>
    </xf>
    <xf numFmtId="0" fontId="0" fillId="10" borderId="45" xfId="0" applyFill="1" applyBorder="1" applyAlignment="1">
      <alignment horizontal="center" vertical="center"/>
    </xf>
    <xf numFmtId="0" fontId="0" fillId="10" borderId="31" xfId="0" applyFont="1" applyFill="1" applyBorder="1" applyAlignment="1">
      <alignment horizontal="left" vertical="center"/>
    </xf>
    <xf numFmtId="0" fontId="0" fillId="13" borderId="46" xfId="0" applyFill="1" applyBorder="1" applyAlignment="1">
      <alignment horizontal="center" vertical="center"/>
    </xf>
    <xf numFmtId="0" fontId="0" fillId="13" borderId="40" xfId="0" applyFill="1" applyBorder="1" applyAlignment="1">
      <alignment horizontal="center" vertical="center"/>
    </xf>
    <xf numFmtId="0" fontId="0" fillId="0" borderId="0" xfId="0" applyFill="1" applyBorder="1"/>
    <xf numFmtId="174" fontId="46" fillId="9" borderId="31" xfId="0" applyNumberFormat="1" applyFont="1" applyFill="1" applyBorder="1" applyAlignment="1">
      <alignment horizontal="center"/>
    </xf>
    <xf numFmtId="174" fontId="0" fillId="19" borderId="46" xfId="0" applyNumberFormat="1" applyFill="1" applyBorder="1" applyAlignment="1">
      <alignment horizontal="center" vertical="center"/>
    </xf>
    <xf numFmtId="174" fontId="0" fillId="19" borderId="40" xfId="0" applyNumberFormat="1" applyFill="1" applyBorder="1" applyAlignment="1">
      <alignment horizontal="center"/>
    </xf>
    <xf numFmtId="0" fontId="30" fillId="0" borderId="0" xfId="0" applyFont="1" applyFill="1" applyBorder="1" applyAlignment="1">
      <alignment horizontal="right"/>
    </xf>
    <xf numFmtId="2" fontId="41" fillId="9" borderId="31" xfId="0" applyNumberFormat="1" applyFont="1" applyFill="1" applyBorder="1" applyAlignment="1">
      <alignment horizontal="center"/>
    </xf>
    <xf numFmtId="0" fontId="47" fillId="0" borderId="0" xfId="0" applyFont="1" applyAlignment="1">
      <alignment horizontal="center" vertical="center"/>
    </xf>
    <xf numFmtId="0" fontId="0" fillId="0" borderId="47" xfId="0" applyBorder="1" applyAlignment="1">
      <alignment horizontal="center" vertical="center"/>
    </xf>
    <xf numFmtId="0" fontId="0" fillId="10" borderId="48" xfId="0" applyFill="1" applyBorder="1" applyAlignment="1">
      <alignment horizontal="center" vertical="center"/>
    </xf>
    <xf numFmtId="0" fontId="0" fillId="10" borderId="35" xfId="0" applyFill="1" applyBorder="1" applyAlignment="1">
      <alignment horizontal="center" vertical="center"/>
    </xf>
    <xf numFmtId="0" fontId="0" fillId="10" borderId="49" xfId="0" applyFill="1" applyBorder="1" applyAlignment="1">
      <alignment horizontal="center" vertical="center"/>
    </xf>
    <xf numFmtId="0" fontId="0" fillId="20" borderId="34" xfId="0" applyFill="1" applyBorder="1" applyAlignment="1">
      <alignment horizontal="center" vertical="center"/>
    </xf>
    <xf numFmtId="0" fontId="0" fillId="20" borderId="33" xfId="0" applyFill="1" applyBorder="1" applyAlignment="1">
      <alignment horizontal="center" vertical="center"/>
    </xf>
    <xf numFmtId="0" fontId="0" fillId="20" borderId="32" xfId="0" applyFill="1" applyBorder="1" applyAlignment="1">
      <alignment horizontal="center" vertical="center"/>
    </xf>
    <xf numFmtId="0" fontId="0" fillId="0" borderId="0" xfId="0" applyAlignment="1">
      <alignment vertical="center"/>
    </xf>
    <xf numFmtId="0" fontId="0" fillId="10" borderId="31" xfId="0" applyFill="1" applyBorder="1" applyAlignment="1">
      <alignment horizontal="center" vertical="center"/>
    </xf>
    <xf numFmtId="0" fontId="0" fillId="18" borderId="31" xfId="0" applyFill="1" applyBorder="1" applyAlignment="1">
      <alignment horizontal="center" vertical="center"/>
    </xf>
    <xf numFmtId="0" fontId="0" fillId="17" borderId="27" xfId="0" applyFill="1" applyBorder="1" applyAlignment="1">
      <alignment horizontal="center"/>
    </xf>
    <xf numFmtId="167" fontId="0" fillId="13" borderId="27" xfId="0" applyNumberFormat="1" applyFill="1" applyBorder="1" applyAlignment="1">
      <alignment horizontal="center"/>
    </xf>
    <xf numFmtId="167" fontId="0" fillId="17" borderId="27" xfId="0" applyNumberFormat="1" applyFill="1" applyBorder="1" applyAlignment="1">
      <alignment horizontal="center"/>
    </xf>
    <xf numFmtId="0" fontId="48" fillId="10" borderId="0" xfId="0" applyFont="1" applyFill="1" applyBorder="1" applyAlignment="1">
      <alignment horizontal="center" vertical="center"/>
    </xf>
    <xf numFmtId="0" fontId="49" fillId="10" borderId="0" xfId="0" applyFont="1" applyFill="1" applyBorder="1" applyAlignment="1">
      <alignment horizontal="right" vertical="center"/>
    </xf>
    <xf numFmtId="9" fontId="48" fillId="10" borderId="0" xfId="0" applyNumberFormat="1" applyFont="1" applyFill="1" applyBorder="1" applyAlignment="1">
      <alignment horizontal="center" vertical="center"/>
    </xf>
    <xf numFmtId="0" fontId="0" fillId="13" borderId="27" xfId="0" applyFill="1" applyBorder="1" applyAlignment="1">
      <alignment horizontal="center"/>
    </xf>
    <xf numFmtId="0" fontId="48" fillId="10" borderId="0" xfId="0" applyFont="1" applyFill="1" applyBorder="1" applyAlignment="1">
      <alignment horizontal="right" vertical="center"/>
    </xf>
    <xf numFmtId="167" fontId="41" fillId="9" borderId="31" xfId="5" applyNumberFormat="1" applyFont="1" applyFill="1" applyBorder="1" applyAlignment="1">
      <alignment horizontal="center"/>
    </xf>
    <xf numFmtId="0" fontId="0" fillId="10" borderId="31" xfId="0" applyFill="1" applyBorder="1" applyAlignment="1">
      <alignment horizontal="left" vertical="center"/>
    </xf>
    <xf numFmtId="167" fontId="46" fillId="9" borderId="31" xfId="5" applyNumberFormat="1" applyFont="1" applyFill="1" applyBorder="1" applyAlignment="1">
      <alignment horizontal="center"/>
    </xf>
    <xf numFmtId="0" fontId="0" fillId="14" borderId="34" xfId="0" applyFill="1" applyBorder="1" applyAlignment="1">
      <alignment horizontal="center" vertical="center"/>
    </xf>
    <xf numFmtId="0" fontId="0" fillId="14" borderId="33" xfId="0" applyFill="1" applyBorder="1" applyAlignment="1">
      <alignment horizontal="center" vertical="center"/>
    </xf>
    <xf numFmtId="0" fontId="0" fillId="14" borderId="32" xfId="0" applyFill="1" applyBorder="1" applyAlignment="1">
      <alignment horizontal="center" vertical="center"/>
    </xf>
    <xf numFmtId="0" fontId="0" fillId="10" borderId="34" xfId="0" applyFill="1" applyBorder="1" applyAlignment="1">
      <alignment horizontal="center" vertical="center"/>
    </xf>
    <xf numFmtId="0" fontId="0" fillId="10" borderId="33" xfId="0" applyFill="1" applyBorder="1" applyAlignment="1">
      <alignment horizontal="center" vertical="center"/>
    </xf>
    <xf numFmtId="0" fontId="0" fillId="10" borderId="32" xfId="0" applyFill="1" applyBorder="1" applyAlignment="1">
      <alignment horizontal="center" vertical="center"/>
    </xf>
    <xf numFmtId="0" fontId="0" fillId="10" borderId="31" xfId="0" applyFill="1" applyBorder="1" applyAlignment="1">
      <alignment horizontal="right"/>
    </xf>
    <xf numFmtId="1" fontId="41" fillId="11" borderId="31" xfId="5" applyNumberFormat="1" applyFont="1" applyFill="1" applyBorder="1" applyAlignment="1">
      <alignment horizontal="center"/>
    </xf>
    <xf numFmtId="0" fontId="0" fillId="10" borderId="31" xfId="0" applyFill="1" applyBorder="1"/>
    <xf numFmtId="167" fontId="57" fillId="18" borderId="31" xfId="5" applyNumberFormat="1" applyFill="1" applyBorder="1" applyAlignment="1">
      <alignment horizontal="center"/>
    </xf>
    <xf numFmtId="0" fontId="0" fillId="10" borderId="0" xfId="0" applyFill="1" applyBorder="1" applyAlignment="1">
      <alignment horizontal="left" vertical="center"/>
    </xf>
    <xf numFmtId="0" fontId="46" fillId="10" borderId="31" xfId="0" applyFont="1" applyFill="1" applyBorder="1" applyAlignment="1">
      <alignment horizontal="right"/>
    </xf>
    <xf numFmtId="2" fontId="0" fillId="11" borderId="31" xfId="0" applyNumberFormat="1" applyFill="1" applyBorder="1" applyAlignment="1">
      <alignment horizontal="center"/>
    </xf>
    <xf numFmtId="168" fontId="0" fillId="11" borderId="31" xfId="0" applyNumberFormat="1" applyFill="1" applyBorder="1" applyAlignment="1">
      <alignment horizontal="center"/>
    </xf>
    <xf numFmtId="0" fontId="46" fillId="10" borderId="31" xfId="0" applyFont="1" applyFill="1" applyBorder="1" applyAlignment="1">
      <alignment horizontal="right" vertical="center"/>
    </xf>
    <xf numFmtId="167" fontId="0" fillId="11" borderId="31" xfId="0" applyNumberFormat="1" applyFill="1" applyBorder="1" applyAlignment="1">
      <alignment horizontal="center"/>
    </xf>
    <xf numFmtId="0" fontId="0" fillId="10" borderId="31" xfId="0" applyFill="1" applyBorder="1" applyAlignment="1">
      <alignment horizontal="right" vertical="center"/>
    </xf>
    <xf numFmtId="168" fontId="0" fillId="11" borderId="31" xfId="0" applyNumberFormat="1" applyFill="1" applyBorder="1" applyAlignment="1">
      <alignment horizontal="center" vertical="center"/>
    </xf>
    <xf numFmtId="167" fontId="41" fillId="11" borderId="31" xfId="5" applyNumberFormat="1" applyFont="1" applyFill="1" applyBorder="1" applyAlignment="1">
      <alignment horizontal="center"/>
    </xf>
    <xf numFmtId="9" fontId="48" fillId="10" borderId="43" xfId="0" applyNumberFormat="1" applyFont="1" applyFill="1" applyBorder="1" applyAlignment="1">
      <alignment horizontal="center" vertical="center"/>
    </xf>
    <xf numFmtId="0" fontId="0" fillId="13" borderId="40" xfId="0" applyFill="1" applyBorder="1" applyAlignment="1">
      <alignment horizontal="center"/>
    </xf>
    <xf numFmtId="0" fontId="0" fillId="9" borderId="40" xfId="0" applyFill="1" applyBorder="1" applyAlignment="1">
      <alignment horizontal="center"/>
    </xf>
    <xf numFmtId="0" fontId="0" fillId="7" borderId="40" xfId="0" applyFill="1" applyBorder="1" applyAlignment="1">
      <alignment horizontal="center"/>
    </xf>
    <xf numFmtId="1" fontId="0" fillId="8" borderId="31" xfId="0" applyNumberFormat="1" applyFont="1" applyFill="1" applyBorder="1" applyAlignment="1">
      <alignment horizontal="center" vertical="center"/>
    </xf>
    <xf numFmtId="0" fontId="0" fillId="8" borderId="31" xfId="0" applyFill="1" applyBorder="1" applyAlignment="1">
      <alignment horizontal="center" vertical="center"/>
    </xf>
    <xf numFmtId="167" fontId="0" fillId="10" borderId="31" xfId="0" applyNumberFormat="1" applyFont="1" applyFill="1" applyBorder="1" applyAlignment="1">
      <alignment horizontal="center" vertical="center"/>
    </xf>
    <xf numFmtId="0" fontId="0" fillId="8" borderId="31" xfId="0" applyFont="1" applyFill="1" applyBorder="1" applyAlignment="1">
      <alignment horizontal="center" vertical="center"/>
    </xf>
    <xf numFmtId="2" fontId="0" fillId="10" borderId="31" xfId="0" applyNumberFormat="1" applyFont="1" applyFill="1" applyBorder="1" applyAlignment="1">
      <alignment horizontal="center" vertical="center"/>
    </xf>
    <xf numFmtId="0" fontId="0" fillId="10" borderId="31" xfId="0" applyFont="1" applyFill="1" applyBorder="1" applyAlignment="1">
      <alignment horizontal="center" vertical="center"/>
    </xf>
    <xf numFmtId="2" fontId="0" fillId="10" borderId="31" xfId="0" applyNumberFormat="1" applyFill="1" applyBorder="1" applyAlignment="1">
      <alignment horizontal="center" vertical="center"/>
    </xf>
    <xf numFmtId="2" fontId="0" fillId="8" borderId="31" xfId="0" applyNumberFormat="1" applyFont="1" applyFill="1" applyBorder="1" applyAlignment="1">
      <alignment horizontal="center" vertical="center"/>
    </xf>
    <xf numFmtId="168" fontId="0" fillId="8" borderId="51" xfId="0" applyNumberFormat="1" applyFont="1" applyFill="1" applyBorder="1" applyAlignment="1">
      <alignment horizontal="center"/>
    </xf>
    <xf numFmtId="0" fontId="0" fillId="7" borderId="52" xfId="0" applyFill="1" applyBorder="1" applyAlignment="1">
      <alignment horizontal="center"/>
    </xf>
    <xf numFmtId="0" fontId="27" fillId="7" borderId="0" xfId="0" applyFont="1" applyFill="1"/>
    <xf numFmtId="0" fontId="0" fillId="7" borderId="0" xfId="0" applyFill="1" applyAlignment="1">
      <alignment wrapText="1"/>
    </xf>
    <xf numFmtId="0" fontId="0" fillId="7" borderId="0" xfId="0" applyFill="1" applyBorder="1" applyAlignment="1">
      <alignment horizontal="center"/>
    </xf>
    <xf numFmtId="167" fontId="0" fillId="8" borderId="38" xfId="0" applyNumberFormat="1" applyFill="1" applyBorder="1" applyAlignment="1">
      <alignment horizontal="center" vertical="center"/>
    </xf>
    <xf numFmtId="0" fontId="0" fillId="7" borderId="31" xfId="0" applyFill="1" applyBorder="1" applyAlignment="1">
      <alignment horizontal="center" vertical="center"/>
    </xf>
    <xf numFmtId="0" fontId="0" fillId="7" borderId="31" xfId="0" applyFont="1" applyFill="1" applyBorder="1" applyAlignment="1">
      <alignment horizontal="center" vertical="center"/>
    </xf>
    <xf numFmtId="0" fontId="0" fillId="10" borderId="40" xfId="0" applyFill="1" applyBorder="1" applyAlignment="1">
      <alignment horizontal="center" vertical="center"/>
    </xf>
    <xf numFmtId="2" fontId="0" fillId="10" borderId="40" xfId="0" applyNumberFormat="1" applyFill="1" applyBorder="1" applyAlignment="1">
      <alignment horizontal="center" vertical="center"/>
    </xf>
    <xf numFmtId="1" fontId="0" fillId="10" borderId="40" xfId="0" applyNumberFormat="1" applyFill="1" applyBorder="1" applyAlignment="1">
      <alignment horizontal="center" vertical="center"/>
    </xf>
    <xf numFmtId="168" fontId="0" fillId="8" borderId="31" xfId="0" applyNumberFormat="1" applyFont="1" applyFill="1" applyBorder="1" applyAlignment="1">
      <alignment horizontal="center" vertical="center"/>
    </xf>
    <xf numFmtId="0" fontId="0" fillId="7" borderId="0" xfId="0" applyFill="1" applyBorder="1" applyAlignment="1">
      <alignment horizontal="center"/>
    </xf>
    <xf numFmtId="0" fontId="0" fillId="7" borderId="0" xfId="0" applyFill="1" applyAlignment="1">
      <alignment vertical="center"/>
    </xf>
    <xf numFmtId="167" fontId="0" fillId="7" borderId="0" xfId="0" applyNumberFormat="1" applyFill="1" applyAlignment="1">
      <alignment vertical="center"/>
    </xf>
    <xf numFmtId="0" fontId="30" fillId="0" borderId="0" xfId="0" applyFont="1"/>
    <xf numFmtId="0" fontId="0" fillId="7" borderId="32" xfId="0" applyFill="1" applyBorder="1" applyAlignment="1">
      <alignment wrapText="1"/>
    </xf>
    <xf numFmtId="0" fontId="0" fillId="7" borderId="31" xfId="0" applyFill="1" applyBorder="1" applyAlignment="1">
      <alignment horizontal="center" wrapText="1"/>
    </xf>
    <xf numFmtId="0" fontId="0" fillId="7" borderId="34" xfId="0" applyFill="1" applyBorder="1" applyAlignment="1">
      <alignment wrapText="1"/>
    </xf>
    <xf numFmtId="0" fontId="0" fillId="7" borderId="33" xfId="0" applyFill="1" applyBorder="1" applyAlignment="1">
      <alignment wrapText="1"/>
    </xf>
    <xf numFmtId="167" fontId="56" fillId="7" borderId="59" xfId="18" applyNumberFormat="1">
      <alignment horizontal="center" vertical="center"/>
    </xf>
    <xf numFmtId="0" fontId="56" fillId="34" borderId="59" xfId="20">
      <alignment horizontal="center" vertical="center"/>
    </xf>
    <xf numFmtId="2" fontId="56" fillId="17" borderId="59" xfId="17" applyNumberFormat="1" applyProtection="1">
      <alignment horizontal="center" vertical="center"/>
    </xf>
    <xf numFmtId="2" fontId="56" fillId="7" borderId="59" xfId="18" applyNumberFormat="1">
      <alignment horizontal="center" vertical="center"/>
    </xf>
    <xf numFmtId="0" fontId="56" fillId="33" borderId="59" xfId="19" applyProtection="1">
      <alignment horizontal="center" vertical="center"/>
    </xf>
    <xf numFmtId="0" fontId="0" fillId="13" borderId="59" xfId="23" applyFont="1">
      <alignment horizontal="center" vertical="center"/>
      <protection locked="0"/>
    </xf>
    <xf numFmtId="0" fontId="62" fillId="36" borderId="0" xfId="22">
      <alignment horizontal="center" vertical="center"/>
    </xf>
    <xf numFmtId="0" fontId="56" fillId="17" borderId="70" xfId="17" applyBorder="1" applyProtection="1">
      <alignment horizontal="center" vertical="center"/>
    </xf>
    <xf numFmtId="0" fontId="56" fillId="13" borderId="70" xfId="23" applyBorder="1">
      <alignment horizontal="center" vertical="center"/>
      <protection locked="0"/>
    </xf>
    <xf numFmtId="0" fontId="56" fillId="34" borderId="70" xfId="20" applyBorder="1">
      <alignment horizontal="center" vertical="center"/>
    </xf>
    <xf numFmtId="1" fontId="56" fillId="17" borderId="70" xfId="17" applyNumberFormat="1" applyBorder="1" applyProtection="1">
      <alignment horizontal="center" vertical="center"/>
    </xf>
    <xf numFmtId="2" fontId="56" fillId="17" borderId="70" xfId="17" applyNumberFormat="1" applyBorder="1" applyProtection="1">
      <alignment horizontal="center" vertical="center"/>
    </xf>
    <xf numFmtId="0" fontId="0" fillId="13" borderId="70" xfId="23" applyFont="1" applyBorder="1">
      <alignment horizontal="center" vertical="center"/>
      <protection locked="0"/>
    </xf>
    <xf numFmtId="167" fontId="56" fillId="7" borderId="70" xfId="18" applyNumberFormat="1" applyBorder="1">
      <alignment horizontal="center" vertical="center"/>
    </xf>
    <xf numFmtId="2" fontId="0" fillId="10" borderId="37" xfId="0" applyNumberFormat="1" applyFill="1" applyBorder="1" applyAlignment="1">
      <alignment horizontal="center"/>
    </xf>
    <xf numFmtId="1" fontId="0" fillId="7" borderId="37" xfId="0" applyNumberFormat="1" applyFill="1" applyBorder="1" applyAlignment="1">
      <alignment horizontal="center"/>
    </xf>
    <xf numFmtId="0" fontId="0" fillId="7" borderId="37" xfId="0" applyFill="1" applyBorder="1" applyAlignment="1">
      <alignment horizontal="center"/>
    </xf>
    <xf numFmtId="0" fontId="0" fillId="7" borderId="0" xfId="0" applyFill="1" applyBorder="1" applyAlignment="1">
      <alignment wrapText="1"/>
    </xf>
    <xf numFmtId="0" fontId="62" fillId="36" borderId="26" xfId="22" applyBorder="1" applyAlignment="1">
      <alignment horizontal="center" vertical="center" wrapText="1"/>
    </xf>
    <xf numFmtId="0" fontId="0" fillId="7" borderId="6" xfId="0" applyFill="1" applyBorder="1" applyAlignment="1">
      <alignment wrapText="1"/>
    </xf>
    <xf numFmtId="0" fontId="0" fillId="7" borderId="72" xfId="0" applyFill="1" applyBorder="1" applyAlignment="1">
      <alignment horizontal="center" wrapText="1"/>
    </xf>
    <xf numFmtId="0" fontId="56" fillId="7" borderId="59" xfId="18" applyNumberFormat="1">
      <alignment horizontal="center" vertical="center"/>
    </xf>
    <xf numFmtId="0" fontId="56" fillId="17" borderId="59" xfId="17" applyAlignment="1" applyProtection="1">
      <alignment horizontal="center" vertical="center"/>
    </xf>
    <xf numFmtId="1" fontId="56" fillId="7" borderId="59" xfId="18" applyNumberFormat="1">
      <alignment horizontal="center" vertical="center"/>
    </xf>
    <xf numFmtId="0" fontId="56" fillId="0" borderId="0" xfId="0" applyFont="1" applyFill="1" applyBorder="1" applyAlignment="1">
      <alignment vertical="center"/>
    </xf>
    <xf numFmtId="0" fontId="56" fillId="17" borderId="0" xfId="0" applyFont="1" applyFill="1" applyBorder="1" applyAlignment="1">
      <alignment vertical="center"/>
    </xf>
    <xf numFmtId="0" fontId="56" fillId="17" borderId="4" xfId="0" applyFont="1" applyFill="1" applyBorder="1" applyAlignment="1">
      <alignment vertical="center"/>
    </xf>
    <xf numFmtId="0" fontId="56" fillId="17" borderId="73" xfId="0" applyFont="1" applyFill="1" applyBorder="1" applyAlignment="1">
      <alignment vertical="center"/>
    </xf>
    <xf numFmtId="0" fontId="56" fillId="0" borderId="0" xfId="0" applyFont="1" applyBorder="1" applyAlignment="1">
      <alignment vertical="center"/>
    </xf>
    <xf numFmtId="0" fontId="56" fillId="0" borderId="0" xfId="0" applyFont="1" applyAlignment="1">
      <alignment vertical="center"/>
    </xf>
    <xf numFmtId="0" fontId="56" fillId="0" borderId="0" xfId="0" applyFont="1" applyAlignment="1">
      <alignment horizontal="center" vertical="center"/>
    </xf>
    <xf numFmtId="0" fontId="60" fillId="0" borderId="0" xfId="0" applyFont="1" applyBorder="1" applyAlignment="1">
      <alignment horizontal="center" vertical="center"/>
    </xf>
    <xf numFmtId="0" fontId="61" fillId="0" borderId="0" xfId="0" applyFont="1" applyBorder="1" applyAlignment="1">
      <alignment horizontal="center" vertical="center"/>
    </xf>
    <xf numFmtId="0" fontId="61" fillId="0" borderId="0" xfId="0" applyFont="1" applyFill="1" applyBorder="1" applyAlignment="1">
      <alignment horizontal="center" vertical="center"/>
    </xf>
    <xf numFmtId="0" fontId="56" fillId="34" borderId="76" xfId="20" applyBorder="1">
      <alignment horizontal="center" vertical="center"/>
    </xf>
    <xf numFmtId="0" fontId="56" fillId="34" borderId="76" xfId="20" applyBorder="1" applyAlignment="1">
      <alignment horizontal="right" vertical="center"/>
    </xf>
    <xf numFmtId="0" fontId="56" fillId="34" borderId="77" xfId="20" applyBorder="1" applyAlignment="1">
      <alignment horizontal="left" vertical="center"/>
    </xf>
    <xf numFmtId="0" fontId="56" fillId="7" borderId="77" xfId="18" applyNumberFormat="1" applyBorder="1">
      <alignment horizontal="center" vertical="center"/>
    </xf>
    <xf numFmtId="0" fontId="56" fillId="13" borderId="76" xfId="23" applyFont="1" applyBorder="1">
      <alignment horizontal="center" vertical="center"/>
      <protection locked="0"/>
    </xf>
    <xf numFmtId="0" fontId="56" fillId="0" borderId="78" xfId="0" applyFont="1" applyBorder="1" applyAlignment="1">
      <alignment vertical="center"/>
    </xf>
    <xf numFmtId="0" fontId="56" fillId="0" borderId="79" xfId="0" applyFont="1" applyBorder="1" applyAlignment="1">
      <alignment vertical="center"/>
    </xf>
    <xf numFmtId="0" fontId="56" fillId="0" borderId="80" xfId="0" applyFont="1" applyBorder="1" applyAlignment="1">
      <alignment vertical="center"/>
    </xf>
    <xf numFmtId="0" fontId="56" fillId="0" borderId="81" xfId="0" applyFont="1" applyBorder="1" applyAlignment="1">
      <alignment vertical="center"/>
    </xf>
    <xf numFmtId="0" fontId="56" fillId="0" borderId="20" xfId="0" applyFont="1" applyBorder="1" applyAlignment="1">
      <alignment vertical="center"/>
    </xf>
    <xf numFmtId="0" fontId="56" fillId="17" borderId="59" xfId="17" applyBorder="1" applyProtection="1">
      <alignment horizontal="center" vertical="center"/>
      <protection locked="0"/>
    </xf>
    <xf numFmtId="0" fontId="56" fillId="7" borderId="59" xfId="18" applyNumberFormat="1" applyBorder="1">
      <alignment horizontal="center" vertical="center"/>
    </xf>
    <xf numFmtId="0" fontId="56" fillId="34" borderId="59" xfId="20" applyBorder="1">
      <alignment horizontal="center" vertical="center"/>
    </xf>
    <xf numFmtId="0" fontId="56" fillId="0" borderId="81" xfId="0" applyFont="1" applyBorder="1" applyAlignment="1">
      <alignment horizontal="center" vertical="center"/>
    </xf>
    <xf numFmtId="0" fontId="56" fillId="0" borderId="20" xfId="0" applyFont="1" applyBorder="1" applyAlignment="1">
      <alignment horizontal="center" vertical="center"/>
    </xf>
    <xf numFmtId="0" fontId="56" fillId="0" borderId="21" xfId="0" applyFont="1" applyBorder="1" applyAlignment="1">
      <alignment vertical="center"/>
    </xf>
    <xf numFmtId="0" fontId="56" fillId="0" borderId="82" xfId="0" applyFont="1" applyBorder="1" applyAlignment="1">
      <alignment vertical="center"/>
    </xf>
    <xf numFmtId="0" fontId="56" fillId="0" borderId="83" xfId="0" applyFont="1" applyBorder="1" applyAlignment="1">
      <alignment vertical="center"/>
    </xf>
    <xf numFmtId="0" fontId="0" fillId="0" borderId="0" xfId="0"/>
    <xf numFmtId="0" fontId="56" fillId="0" borderId="7" xfId="0" applyFont="1" applyBorder="1" applyAlignment="1">
      <alignment vertical="center"/>
    </xf>
    <xf numFmtId="0" fontId="56" fillId="17" borderId="76" xfId="17" applyBorder="1" applyProtection="1">
      <alignment horizontal="center" vertical="center"/>
    </xf>
    <xf numFmtId="0" fontId="56" fillId="34" borderId="84" xfId="20" applyFont="1" applyBorder="1">
      <alignment horizontal="center" vertical="center"/>
    </xf>
    <xf numFmtId="0" fontId="56" fillId="17" borderId="84" xfId="17" applyNumberFormat="1" applyFont="1" applyBorder="1" applyProtection="1">
      <alignment horizontal="center" vertical="center"/>
    </xf>
    <xf numFmtId="0" fontId="56" fillId="13" borderId="84" xfId="23" applyFont="1" applyBorder="1">
      <alignment horizontal="center" vertical="center"/>
      <protection locked="0"/>
    </xf>
    <xf numFmtId="0" fontId="56" fillId="0" borderId="4" xfId="0" applyFont="1" applyBorder="1" applyAlignment="1">
      <alignment vertical="center"/>
    </xf>
    <xf numFmtId="0" fontId="56" fillId="7" borderId="85" xfId="18" applyNumberFormat="1" applyFont="1" applyBorder="1">
      <alignment horizontal="center" vertical="center"/>
    </xf>
    <xf numFmtId="0" fontId="56" fillId="0" borderId="6" xfId="0" applyFont="1" applyBorder="1" applyAlignment="1">
      <alignment vertical="center"/>
    </xf>
    <xf numFmtId="0" fontId="56" fillId="17" borderId="76" xfId="17" applyBorder="1" applyProtection="1">
      <alignment horizontal="center" vertical="center"/>
      <protection locked="0"/>
    </xf>
    <xf numFmtId="0" fontId="0" fillId="0" borderId="0" xfId="0" quotePrefix="1" applyFont="1" applyBorder="1" applyAlignment="1">
      <alignment vertical="top"/>
    </xf>
    <xf numFmtId="0" fontId="0" fillId="0" borderId="0" xfId="0" quotePrefix="1" applyFont="1" applyFill="1" applyBorder="1" applyAlignment="1">
      <alignment vertical="top"/>
    </xf>
    <xf numFmtId="0" fontId="56" fillId="0" borderId="0" xfId="0" applyFont="1" applyBorder="1" applyAlignment="1">
      <alignment horizontal="left" vertical="center"/>
    </xf>
    <xf numFmtId="0" fontId="56" fillId="0" borderId="4" xfId="0" applyFont="1" applyBorder="1" applyAlignment="1">
      <alignment horizontal="left" vertical="center"/>
    </xf>
    <xf numFmtId="0" fontId="0" fillId="0" borderId="0" xfId="0" applyAlignment="1">
      <alignment horizontal="center" vertical="center"/>
    </xf>
    <xf numFmtId="0" fontId="0" fillId="13" borderId="59" xfId="23" applyFont="1" applyAlignment="1">
      <alignment horizontal="center" vertical="center"/>
      <protection locked="0"/>
    </xf>
    <xf numFmtId="0" fontId="56" fillId="7" borderId="59" xfId="18" applyNumberFormat="1" applyAlignment="1">
      <alignment horizontal="center" vertical="center"/>
    </xf>
    <xf numFmtId="1" fontId="0" fillId="7" borderId="31" xfId="0" applyNumberFormat="1" applyFill="1" applyBorder="1" applyAlignment="1">
      <alignment horizontal="center" vertical="center"/>
    </xf>
    <xf numFmtId="0" fontId="0" fillId="7" borderId="0" xfId="0" applyFill="1" applyAlignment="1">
      <alignment horizontal="center" vertical="center"/>
    </xf>
    <xf numFmtId="0" fontId="31" fillId="7" borderId="0" xfId="0" applyFont="1" applyFill="1" applyAlignment="1">
      <alignment horizontal="center" vertical="center"/>
    </xf>
    <xf numFmtId="167" fontId="56" fillId="7" borderId="59" xfId="18" applyNumberFormat="1" applyAlignment="1">
      <alignment horizontal="center" vertical="center"/>
    </xf>
    <xf numFmtId="0" fontId="0" fillId="0" borderId="74" xfId="0" applyBorder="1" applyAlignment="1">
      <alignment horizontal="center" vertical="center"/>
    </xf>
    <xf numFmtId="0" fontId="56" fillId="34" borderId="59" xfId="20" applyAlignment="1">
      <alignment horizontal="center" vertical="center"/>
    </xf>
    <xf numFmtId="0" fontId="56" fillId="33" borderId="59" xfId="19" applyAlignment="1" applyProtection="1">
      <alignment horizontal="center" vertical="center"/>
    </xf>
    <xf numFmtId="2" fontId="56" fillId="17" borderId="59" xfId="17" applyNumberFormat="1" applyAlignment="1" applyProtection="1">
      <alignment horizontal="center" vertical="center"/>
    </xf>
    <xf numFmtId="1" fontId="56" fillId="7" borderId="59" xfId="18" applyNumberFormat="1" applyAlignment="1">
      <alignment horizontal="center" vertical="center"/>
    </xf>
    <xf numFmtId="2" fontId="56" fillId="7" borderId="59" xfId="18" applyNumberFormat="1" applyAlignment="1">
      <alignment horizontal="center" vertical="center"/>
    </xf>
    <xf numFmtId="2" fontId="56" fillId="34" borderId="76" xfId="20" applyNumberFormat="1" applyBorder="1">
      <alignment horizontal="center" vertical="center"/>
    </xf>
    <xf numFmtId="167" fontId="56" fillId="34" borderId="76" xfId="20" applyNumberFormat="1" applyBorder="1">
      <alignment horizontal="center" vertical="center"/>
    </xf>
    <xf numFmtId="2" fontId="56" fillId="0" borderId="0" xfId="0" applyNumberFormat="1" applyFont="1" applyAlignment="1">
      <alignment vertical="center"/>
    </xf>
    <xf numFmtId="0" fontId="58" fillId="37" borderId="75" xfId="24" applyBorder="1" applyAlignment="1">
      <alignment horizontal="center" vertical="center"/>
    </xf>
    <xf numFmtId="0" fontId="0" fillId="10" borderId="31" xfId="0" applyNumberFormat="1" applyFont="1" applyFill="1" applyBorder="1" applyAlignment="1">
      <alignment horizontal="center"/>
    </xf>
    <xf numFmtId="0" fontId="56" fillId="0" borderId="2" xfId="0" quotePrefix="1" applyFont="1" applyBorder="1" applyAlignment="1">
      <alignment horizontal="center" vertical="top"/>
    </xf>
    <xf numFmtId="0" fontId="56" fillId="17" borderId="76" xfId="17" applyBorder="1" applyAlignment="1">
      <alignment vertical="center"/>
      <protection locked="0"/>
    </xf>
    <xf numFmtId="168" fontId="56" fillId="34" borderId="76" xfId="20" applyNumberFormat="1" applyBorder="1">
      <alignment horizontal="center" vertical="center"/>
    </xf>
    <xf numFmtId="0" fontId="56" fillId="7" borderId="59" xfId="18" applyNumberFormat="1">
      <alignment horizontal="center" vertical="center"/>
    </xf>
    <xf numFmtId="0" fontId="56" fillId="7" borderId="59" xfId="18" applyNumberFormat="1" applyAlignment="1">
      <alignment horizontal="center" vertical="center"/>
    </xf>
    <xf numFmtId="0" fontId="58" fillId="37" borderId="0" xfId="24" applyBorder="1" applyAlignment="1">
      <alignment horizontal="right" vertical="center"/>
    </xf>
    <xf numFmtId="0" fontId="56" fillId="0" borderId="0" xfId="0" applyFont="1" applyBorder="1" applyAlignment="1">
      <alignment horizontal="center" vertical="center"/>
    </xf>
    <xf numFmtId="0" fontId="56" fillId="33" borderId="59" xfId="19" applyBorder="1" applyProtection="1">
      <alignment horizontal="center" vertical="center"/>
    </xf>
    <xf numFmtId="0" fontId="65" fillId="13" borderId="59" xfId="23" applyFont="1" applyBorder="1">
      <alignment horizontal="center" vertical="center"/>
      <protection locked="0"/>
    </xf>
    <xf numFmtId="0" fontId="58" fillId="0" borderId="0" xfId="0" applyFont="1" applyBorder="1" applyAlignment="1">
      <alignment vertical="center"/>
    </xf>
    <xf numFmtId="0" fontId="56" fillId="33" borderId="59" xfId="19" applyBorder="1" applyProtection="1">
      <alignment horizontal="center" vertical="center"/>
      <protection locked="0"/>
    </xf>
    <xf numFmtId="0" fontId="56" fillId="33" borderId="59" xfId="19" applyNumberFormat="1" applyBorder="1" applyProtection="1">
      <alignment horizontal="center" vertical="center"/>
    </xf>
    <xf numFmtId="0" fontId="56" fillId="33" borderId="59" xfId="19" applyBorder="1" applyAlignment="1" applyProtection="1">
      <alignment horizontal="center" vertical="center"/>
    </xf>
    <xf numFmtId="0" fontId="64" fillId="13" borderId="59" xfId="23" applyFont="1" applyBorder="1" applyAlignment="1">
      <alignment horizontal="right" vertical="center"/>
      <protection locked="0"/>
    </xf>
    <xf numFmtId="0" fontId="0" fillId="0" borderId="0" xfId="0" quotePrefix="1" applyBorder="1" applyAlignment="1">
      <alignment vertical="top"/>
    </xf>
    <xf numFmtId="0" fontId="0" fillId="0" borderId="82" xfId="0" applyBorder="1"/>
    <xf numFmtId="0" fontId="0" fillId="0" borderId="79" xfId="0" applyBorder="1"/>
    <xf numFmtId="0" fontId="56" fillId="0" borderId="79" xfId="0" applyFont="1" applyFill="1" applyBorder="1" applyAlignment="1">
      <alignment vertical="center"/>
    </xf>
    <xf numFmtId="168" fontId="56" fillId="17" borderId="59" xfId="17" applyNumberFormat="1" applyProtection="1">
      <alignment horizontal="center" vertical="center"/>
    </xf>
    <xf numFmtId="1" fontId="56" fillId="17" borderId="59" xfId="17" applyNumberFormat="1" applyProtection="1">
      <alignment horizontal="center" vertical="center"/>
    </xf>
    <xf numFmtId="0" fontId="58" fillId="37" borderId="0" xfId="24" applyBorder="1" applyAlignment="1"/>
    <xf numFmtId="0" fontId="58" fillId="37" borderId="0" xfId="24" applyBorder="1" applyAlignment="1">
      <alignment horizontal="right"/>
    </xf>
    <xf numFmtId="2" fontId="56" fillId="17" borderId="59" xfId="17" applyNumberFormat="1" applyProtection="1">
      <alignment horizontal="center" vertical="center"/>
      <protection locked="0"/>
    </xf>
    <xf numFmtId="1" fontId="56" fillId="17" borderId="59" xfId="17" applyNumberFormat="1" applyProtection="1">
      <alignment horizontal="center" vertical="center"/>
      <protection locked="0"/>
    </xf>
    <xf numFmtId="0" fontId="56" fillId="17" borderId="59" xfId="17" applyNumberFormat="1" applyProtection="1">
      <alignment horizontal="center" vertical="center"/>
      <protection locked="0"/>
    </xf>
    <xf numFmtId="0" fontId="56" fillId="35" borderId="59" xfId="21">
      <alignment horizontal="center" vertical="center"/>
      <protection locked="0"/>
    </xf>
    <xf numFmtId="1" fontId="56" fillId="33" borderId="59" xfId="19" applyNumberFormat="1" applyProtection="1">
      <alignment horizontal="center" vertical="center"/>
    </xf>
    <xf numFmtId="0" fontId="56" fillId="34" borderId="59" xfId="20">
      <alignment horizontal="center" vertical="center"/>
    </xf>
    <xf numFmtId="165" fontId="70" fillId="3" borderId="0" xfId="0" applyNumberFormat="1" applyFont="1" applyFill="1"/>
    <xf numFmtId="0" fontId="56" fillId="3" borderId="0" xfId="0" applyFont="1" applyFill="1" applyAlignment="1">
      <alignment horizontal="center"/>
    </xf>
    <xf numFmtId="0" fontId="56" fillId="3" borderId="0" xfId="0" applyFont="1" applyFill="1"/>
    <xf numFmtId="0" fontId="70" fillId="3" borderId="0" xfId="0" applyFont="1" applyFill="1"/>
    <xf numFmtId="0" fontId="56" fillId="2" borderId="8" xfId="0" applyFont="1" applyFill="1" applyBorder="1"/>
    <xf numFmtId="0" fontId="56" fillId="2" borderId="9" xfId="0" applyFont="1" applyFill="1" applyBorder="1"/>
    <xf numFmtId="0" fontId="56" fillId="2" borderId="10" xfId="0" applyFont="1" applyFill="1" applyBorder="1"/>
    <xf numFmtId="0" fontId="71" fillId="2" borderId="0" xfId="0" applyFont="1" applyFill="1" applyBorder="1"/>
    <xf numFmtId="0" fontId="72" fillId="2" borderId="12" xfId="0" applyFont="1" applyFill="1" applyBorder="1" applyAlignment="1">
      <alignment horizontal="left"/>
    </xf>
    <xf numFmtId="0" fontId="56" fillId="2" borderId="0" xfId="0" applyFont="1" applyFill="1" applyBorder="1" applyAlignment="1">
      <alignment horizontal="right"/>
    </xf>
    <xf numFmtId="0" fontId="56" fillId="2" borderId="12" xfId="0" applyFont="1" applyFill="1" applyBorder="1"/>
    <xf numFmtId="0" fontId="56" fillId="2" borderId="11" xfId="0" applyFont="1" applyFill="1" applyBorder="1" applyAlignment="1">
      <alignment horizontal="center"/>
    </xf>
    <xf numFmtId="0" fontId="56" fillId="2" borderId="0" xfId="0" applyFont="1" applyFill="1" applyBorder="1"/>
    <xf numFmtId="0" fontId="73" fillId="2" borderId="0" xfId="0" applyFont="1" applyFill="1" applyBorder="1"/>
    <xf numFmtId="0" fontId="72" fillId="2" borderId="0" xfId="0" applyFont="1" applyFill="1" applyBorder="1" applyAlignment="1">
      <alignment horizontal="right"/>
    </xf>
    <xf numFmtId="0" fontId="56" fillId="2" borderId="0" xfId="0" applyFont="1" applyFill="1" applyBorder="1" applyAlignment="1">
      <alignment horizontal="center"/>
    </xf>
    <xf numFmtId="0" fontId="75" fillId="3" borderId="0" xfId="0" applyFont="1" applyFill="1"/>
    <xf numFmtId="0" fontId="76" fillId="2" borderId="11" xfId="0" applyFont="1" applyFill="1" applyBorder="1" applyAlignment="1">
      <alignment horizontal="center"/>
    </xf>
    <xf numFmtId="0" fontId="56" fillId="2" borderId="12" xfId="0" applyFont="1" applyFill="1" applyBorder="1" applyAlignment="1">
      <alignment horizontal="left"/>
    </xf>
    <xf numFmtId="0" fontId="71" fillId="7" borderId="0" xfId="0" applyFont="1" applyFill="1" applyBorder="1"/>
    <xf numFmtId="0" fontId="56" fillId="3" borderId="0" xfId="0" applyFont="1" applyFill="1" applyBorder="1"/>
    <xf numFmtId="0" fontId="77" fillId="3" borderId="0" xfId="0" applyFont="1" applyFill="1" applyBorder="1" applyAlignment="1">
      <alignment horizontal="left"/>
    </xf>
    <xf numFmtId="168" fontId="77" fillId="3" borderId="0" xfId="0" applyNumberFormat="1" applyFont="1" applyFill="1" applyBorder="1" applyAlignment="1">
      <alignment horizontal="right"/>
    </xf>
    <xf numFmtId="0" fontId="71" fillId="7" borderId="0" xfId="0" quotePrefix="1" applyFont="1" applyFill="1" applyBorder="1" applyAlignment="1">
      <alignment horizontal="left"/>
    </xf>
    <xf numFmtId="168" fontId="78" fillId="3" borderId="0" xfId="0" applyNumberFormat="1" applyFont="1" applyFill="1" applyBorder="1" applyAlignment="1">
      <alignment horizontal="left"/>
    </xf>
    <xf numFmtId="0" fontId="79" fillId="3" borderId="0" xfId="0" applyFont="1" applyFill="1" applyBorder="1"/>
    <xf numFmtId="0" fontId="56" fillId="7" borderId="0" xfId="0" quotePrefix="1" applyFont="1" applyFill="1" applyBorder="1" applyAlignment="1">
      <alignment horizontal="left"/>
    </xf>
    <xf numFmtId="0" fontId="56" fillId="7" borderId="0" xfId="0" applyFont="1" applyFill="1" applyBorder="1"/>
    <xf numFmtId="2" fontId="72" fillId="3" borderId="0" xfId="0" applyNumberFormat="1" applyFont="1" applyFill="1" applyBorder="1"/>
    <xf numFmtId="0" fontId="72" fillId="3" borderId="0" xfId="0" applyFont="1" applyFill="1" applyBorder="1"/>
    <xf numFmtId="0" fontId="72" fillId="3" borderId="0" xfId="0" applyFont="1" applyFill="1"/>
    <xf numFmtId="0" fontId="56" fillId="2" borderId="13" xfId="0" applyFont="1" applyFill="1" applyBorder="1" applyAlignment="1">
      <alignment horizontal="center"/>
    </xf>
    <xf numFmtId="0" fontId="56" fillId="2" borderId="14" xfId="0" applyFont="1" applyFill="1" applyBorder="1"/>
    <xf numFmtId="0" fontId="56" fillId="2" borderId="15" xfId="0" applyFont="1" applyFill="1" applyBorder="1"/>
    <xf numFmtId="164" fontId="56" fillId="33" borderId="59" xfId="19" applyNumberFormat="1" applyProtection="1">
      <alignment horizontal="center" vertical="center"/>
    </xf>
    <xf numFmtId="164" fontId="56" fillId="34" borderId="59" xfId="20" applyNumberFormat="1">
      <alignment horizontal="center" vertical="center"/>
    </xf>
    <xf numFmtId="0" fontId="56" fillId="38" borderId="59" xfId="20" applyFill="1">
      <alignment horizontal="center" vertical="center"/>
    </xf>
    <xf numFmtId="0" fontId="56" fillId="35" borderId="70" xfId="21" applyBorder="1">
      <alignment horizontal="center" vertical="center"/>
      <protection locked="0"/>
    </xf>
    <xf numFmtId="164" fontId="56" fillId="33" borderId="70" xfId="19" applyNumberFormat="1" applyBorder="1" applyProtection="1">
      <alignment horizontal="center" vertical="center"/>
    </xf>
    <xf numFmtId="164" fontId="56" fillId="34" borderId="70" xfId="20" applyNumberFormat="1" applyBorder="1">
      <alignment horizontal="center" vertical="center"/>
    </xf>
    <xf numFmtId="164" fontId="56" fillId="17" borderId="70" xfId="17" applyNumberFormat="1" applyBorder="1" applyProtection="1">
      <alignment horizontal="center" vertical="center"/>
    </xf>
    <xf numFmtId="164" fontId="56" fillId="34" borderId="70" xfId="20" applyNumberFormat="1" applyFont="1" applyBorder="1">
      <alignment horizontal="center" vertical="center"/>
    </xf>
    <xf numFmtId="0" fontId="58" fillId="37" borderId="0" xfId="24" applyBorder="1" applyAlignment="1">
      <alignment horizontal="center" vertical="center" wrapText="1"/>
    </xf>
    <xf numFmtId="0" fontId="58" fillId="37" borderId="50" xfId="24" applyBorder="1" applyAlignment="1">
      <alignment horizontal="center" vertical="center"/>
    </xf>
    <xf numFmtId="0" fontId="58" fillId="37" borderId="39" xfId="24" applyBorder="1" applyAlignment="1">
      <alignment horizontal="center" vertical="center"/>
    </xf>
    <xf numFmtId="0" fontId="58" fillId="37" borderId="50" xfId="24" applyBorder="1" applyAlignment="1">
      <alignment horizontal="center" vertical="center" wrapText="1"/>
    </xf>
    <xf numFmtId="0" fontId="56" fillId="17" borderId="59" xfId="17" applyNumberFormat="1" applyProtection="1">
      <alignment horizontal="center" vertical="center"/>
    </xf>
    <xf numFmtId="0" fontId="58" fillId="37" borderId="17" xfId="24" applyBorder="1" applyAlignment="1">
      <alignment horizontal="right"/>
    </xf>
    <xf numFmtId="0" fontId="28" fillId="7" borderId="0" xfId="0" applyFont="1" applyFill="1" applyAlignment="1">
      <alignment horizontal="center" vertical="center"/>
    </xf>
    <xf numFmtId="0" fontId="0" fillId="7" borderId="40" xfId="0" applyFill="1" applyBorder="1" applyAlignment="1">
      <alignment horizontal="center" vertical="center"/>
    </xf>
    <xf numFmtId="0" fontId="58" fillId="37" borderId="40" xfId="24" applyBorder="1" applyAlignment="1">
      <alignment horizontal="center"/>
    </xf>
    <xf numFmtId="0" fontId="0" fillId="0" borderId="0" xfId="0" applyBorder="1"/>
    <xf numFmtId="0" fontId="0" fillId="0" borderId="0" xfId="0" applyBorder="1"/>
    <xf numFmtId="0" fontId="0" fillId="0" borderId="93" xfId="0" applyBorder="1"/>
    <xf numFmtId="0" fontId="0" fillId="0" borderId="94" xfId="0" applyBorder="1"/>
    <xf numFmtId="0" fontId="0" fillId="0" borderId="88" xfId="0" applyBorder="1"/>
    <xf numFmtId="0" fontId="0" fillId="0" borderId="96" xfId="0" applyBorder="1"/>
    <xf numFmtId="0" fontId="56" fillId="0" borderId="0" xfId="0" applyFont="1" applyAlignment="1">
      <alignment horizontal="center" vertical="center" wrapText="1"/>
    </xf>
    <xf numFmtId="0" fontId="62" fillId="36" borderId="0" xfId="22" applyAlignment="1">
      <alignment horizontal="center" vertical="center" wrapText="1"/>
    </xf>
    <xf numFmtId="0" fontId="56" fillId="33" borderId="59" xfId="19" applyBorder="1" applyProtection="1">
      <alignment horizontal="center" vertical="center"/>
      <protection locked="0"/>
    </xf>
    <xf numFmtId="0" fontId="58" fillId="37" borderId="0" xfId="24" applyBorder="1" applyAlignment="1">
      <alignment horizontal="right" vertical="center"/>
    </xf>
    <xf numFmtId="0" fontId="56" fillId="0" borderId="0" xfId="0" applyFont="1" applyBorder="1" applyAlignment="1">
      <alignment horizontal="center" vertical="center"/>
    </xf>
    <xf numFmtId="0" fontId="0" fillId="0" borderId="0" xfId="0" applyBorder="1"/>
    <xf numFmtId="0" fontId="58" fillId="37" borderId="0" xfId="24" applyBorder="1" applyAlignment="1">
      <alignment horizontal="center" vertical="center"/>
    </xf>
    <xf numFmtId="0" fontId="58" fillId="37" borderId="0" xfId="24" applyBorder="1" applyAlignment="1">
      <alignment horizontal="center" vertical="center"/>
    </xf>
    <xf numFmtId="0" fontId="56" fillId="34" borderId="59" xfId="20" applyBorder="1" applyAlignment="1">
      <alignment horizontal="center" vertical="center"/>
    </xf>
    <xf numFmtId="0" fontId="56" fillId="17" borderId="59" xfId="17" applyBorder="1" applyAlignment="1" applyProtection="1">
      <alignment horizontal="center" vertical="center"/>
    </xf>
    <xf numFmtId="2" fontId="56" fillId="17" borderId="76" xfId="17" applyNumberFormat="1" applyBorder="1" applyAlignment="1" applyProtection="1">
      <alignment horizontal="center" vertical="center"/>
    </xf>
    <xf numFmtId="0" fontId="0" fillId="0" borderId="0" xfId="0" applyBorder="1"/>
    <xf numFmtId="0" fontId="58" fillId="37" borderId="31" xfId="24" applyBorder="1" applyAlignment="1">
      <alignment horizontal="center" vertical="center" wrapText="1"/>
    </xf>
    <xf numFmtId="0" fontId="56" fillId="34" borderId="59" xfId="20">
      <alignment horizontal="center" vertical="center"/>
    </xf>
    <xf numFmtId="168" fontId="56" fillId="34" borderId="59" xfId="20" applyNumberFormat="1" applyAlignment="1">
      <alignment horizontal="center" vertical="center"/>
    </xf>
    <xf numFmtId="0" fontId="58" fillId="37" borderId="0" xfId="24" applyBorder="1" applyAlignment="1">
      <alignment vertical="center" wrapText="1"/>
    </xf>
    <xf numFmtId="2" fontId="56" fillId="17" borderId="76" xfId="17" applyNumberFormat="1" applyBorder="1" applyAlignment="1" applyProtection="1">
      <alignment horizontal="right" vertical="center"/>
    </xf>
    <xf numFmtId="168" fontId="43" fillId="7" borderId="0" xfId="0" applyNumberFormat="1" applyFont="1" applyFill="1"/>
    <xf numFmtId="2" fontId="56" fillId="17" borderId="76" xfId="17" applyNumberFormat="1" applyBorder="1" applyProtection="1">
      <alignment horizontal="center" vertical="center"/>
    </xf>
    <xf numFmtId="0" fontId="0" fillId="7" borderId="97" xfId="0" applyFill="1" applyBorder="1" applyAlignment="1">
      <alignment horizontal="center" vertical="center"/>
    </xf>
    <xf numFmtId="0" fontId="0" fillId="13" borderId="101" xfId="23" applyFont="1" applyBorder="1" applyAlignment="1">
      <alignment horizontal="center" vertical="center"/>
      <protection locked="0"/>
    </xf>
    <xf numFmtId="0" fontId="0" fillId="13" borderId="59" xfId="23" applyFont="1" applyBorder="1" applyAlignment="1">
      <alignment horizontal="center" vertical="center"/>
      <protection locked="0"/>
    </xf>
    <xf numFmtId="2" fontId="56" fillId="33" borderId="59" xfId="19" applyNumberFormat="1" applyBorder="1" applyAlignment="1" applyProtection="1">
      <alignment horizontal="center" vertical="center"/>
    </xf>
    <xf numFmtId="2" fontId="56" fillId="17" borderId="59" xfId="17" applyNumberFormat="1" applyBorder="1" applyAlignment="1" applyProtection="1">
      <alignment horizontal="center" vertical="center"/>
    </xf>
    <xf numFmtId="0" fontId="0" fillId="7" borderId="97" xfId="0" applyFill="1" applyBorder="1"/>
    <xf numFmtId="0" fontId="80" fillId="0" borderId="0" xfId="0" applyFont="1" applyBorder="1" applyAlignment="1">
      <alignment vertical="center"/>
    </xf>
    <xf numFmtId="0" fontId="81" fillId="0" borderId="0" xfId="0" quotePrefix="1" applyFont="1" applyFill="1" applyBorder="1" applyAlignment="1">
      <alignment vertical="top"/>
    </xf>
    <xf numFmtId="0" fontId="81" fillId="0" borderId="0" xfId="0" quotePrefix="1" applyFont="1" applyBorder="1" applyAlignment="1">
      <alignment vertical="top"/>
    </xf>
    <xf numFmtId="0" fontId="80" fillId="0" borderId="0" xfId="0" applyFont="1" applyFill="1" applyBorder="1" applyAlignment="1">
      <alignment vertical="center"/>
    </xf>
    <xf numFmtId="0" fontId="56" fillId="7" borderId="77" xfId="18" applyNumberFormat="1" applyFont="1" applyBorder="1">
      <alignment horizontal="center" vertical="center"/>
    </xf>
    <xf numFmtId="0" fontId="56" fillId="34" borderId="76" xfId="20" applyFont="1" applyBorder="1">
      <alignment horizontal="center" vertical="center"/>
    </xf>
    <xf numFmtId="2" fontId="56" fillId="34" borderId="76" xfId="20" applyNumberFormat="1" applyFont="1" applyBorder="1">
      <alignment horizontal="center" vertical="center"/>
    </xf>
    <xf numFmtId="1" fontId="56" fillId="17" borderId="76" xfId="17" applyNumberFormat="1" applyBorder="1" applyAlignment="1" applyProtection="1">
      <alignment horizontal="center" vertical="center"/>
    </xf>
    <xf numFmtId="168" fontId="56" fillId="17" borderId="76" xfId="17" applyNumberFormat="1" applyBorder="1" applyAlignment="1" applyProtection="1">
      <alignment horizontal="right" vertical="center"/>
    </xf>
    <xf numFmtId="0" fontId="56" fillId="34" borderId="59" xfId="20" applyNumberFormat="1">
      <alignment horizontal="center" vertical="center"/>
    </xf>
    <xf numFmtId="1" fontId="56" fillId="17" borderId="76" xfId="17" applyNumberFormat="1" applyBorder="1" applyAlignment="1" applyProtection="1">
      <alignment vertical="center"/>
    </xf>
    <xf numFmtId="0" fontId="56" fillId="7" borderId="77" xfId="18" applyNumberFormat="1" applyBorder="1">
      <alignment horizontal="center" vertical="center"/>
    </xf>
    <xf numFmtId="0" fontId="58" fillId="37" borderId="0" xfId="24" applyBorder="1" applyAlignment="1">
      <alignment horizontal="center" vertical="center" wrapText="1"/>
    </xf>
    <xf numFmtId="164" fontId="56" fillId="38" borderId="70" xfId="3" applyFont="1" applyFill="1" applyBorder="1" applyAlignment="1">
      <alignment vertical="center"/>
    </xf>
    <xf numFmtId="175" fontId="56" fillId="33" borderId="70" xfId="19" applyNumberFormat="1" applyBorder="1" applyAlignment="1" applyProtection="1">
      <alignment horizontal="center" vertical="center"/>
    </xf>
    <xf numFmtId="1" fontId="56" fillId="17" borderId="70" xfId="17" applyNumberFormat="1" applyBorder="1" applyAlignment="1" applyProtection="1">
      <alignment horizontal="center" vertical="center"/>
    </xf>
    <xf numFmtId="0" fontId="56" fillId="34" borderId="59" xfId="20">
      <alignment horizontal="center" vertical="center"/>
    </xf>
    <xf numFmtId="0" fontId="56" fillId="7" borderId="77" xfId="18" applyNumberFormat="1" applyBorder="1">
      <alignment horizontal="center" vertical="center"/>
    </xf>
    <xf numFmtId="0" fontId="56" fillId="34" borderId="59" xfId="20">
      <alignment horizontal="center" vertical="center"/>
    </xf>
    <xf numFmtId="1" fontId="56" fillId="17" borderId="76" xfId="17" applyNumberFormat="1" applyBorder="1" applyProtection="1">
      <alignment horizontal="center" vertical="center"/>
    </xf>
    <xf numFmtId="1" fontId="56" fillId="33" borderId="76" xfId="19" applyNumberFormat="1" applyBorder="1" applyProtection="1">
      <alignment horizontal="center" vertical="center"/>
    </xf>
    <xf numFmtId="0" fontId="56" fillId="0" borderId="6" xfId="0" applyFont="1" applyFill="1" applyBorder="1" applyAlignment="1">
      <alignment vertical="center"/>
    </xf>
    <xf numFmtId="0" fontId="0" fillId="0" borderId="6" xfId="0" applyBorder="1"/>
    <xf numFmtId="0" fontId="56" fillId="7" borderId="103" xfId="18" applyNumberFormat="1" applyBorder="1">
      <alignment horizontal="center" vertical="center"/>
    </xf>
    <xf numFmtId="0" fontId="56" fillId="17" borderId="104" xfId="17" applyBorder="1" applyProtection="1">
      <alignment horizontal="center" vertical="center"/>
    </xf>
    <xf numFmtId="0" fontId="56" fillId="34" borderId="104" xfId="20" applyBorder="1">
      <alignment horizontal="center" vertical="center"/>
    </xf>
    <xf numFmtId="0" fontId="56" fillId="7" borderId="105" xfId="18" applyNumberFormat="1" applyBorder="1">
      <alignment horizontal="center" vertical="center"/>
    </xf>
    <xf numFmtId="0" fontId="56" fillId="7" borderId="106" xfId="18" applyNumberFormat="1" applyBorder="1">
      <alignment horizontal="center" vertical="center"/>
    </xf>
    <xf numFmtId="0" fontId="56" fillId="17" borderId="59" xfId="17" applyBorder="1" applyProtection="1">
      <alignment horizontal="center" vertical="center"/>
    </xf>
    <xf numFmtId="0" fontId="56" fillId="7" borderId="107" xfId="18" applyNumberFormat="1" applyBorder="1">
      <alignment horizontal="center" vertical="center"/>
    </xf>
    <xf numFmtId="0" fontId="56" fillId="7" borderId="108" xfId="18" applyNumberFormat="1" applyBorder="1">
      <alignment horizontal="center" vertical="center"/>
    </xf>
    <xf numFmtId="0" fontId="56" fillId="7" borderId="111" xfId="18" applyNumberFormat="1" applyBorder="1">
      <alignment horizontal="center" vertical="center"/>
    </xf>
    <xf numFmtId="0" fontId="56" fillId="7" borderId="112" xfId="18" applyNumberFormat="1" applyBorder="1">
      <alignment horizontal="center" vertical="center"/>
    </xf>
    <xf numFmtId="0" fontId="56" fillId="17" borderId="91" xfId="17" applyBorder="1" applyProtection="1">
      <alignment horizontal="center" vertical="center"/>
    </xf>
    <xf numFmtId="171" fontId="74" fillId="2" borderId="0" xfId="0" applyNumberFormat="1" applyFont="1" applyFill="1" applyBorder="1" applyAlignment="1">
      <alignment horizontal="left"/>
    </xf>
    <xf numFmtId="9" fontId="56" fillId="17" borderId="91" xfId="17" applyNumberFormat="1" applyBorder="1" applyProtection="1">
      <alignment horizontal="center" vertical="center"/>
    </xf>
    <xf numFmtId="0" fontId="56" fillId="7" borderId="113" xfId="18" applyNumberFormat="1" applyBorder="1">
      <alignment horizontal="center" vertical="center"/>
    </xf>
    <xf numFmtId="0" fontId="56" fillId="7" borderId="114" xfId="18" applyNumberFormat="1" applyBorder="1">
      <alignment horizontal="center" vertical="center"/>
    </xf>
    <xf numFmtId="0" fontId="56" fillId="34" borderId="115" xfId="20" applyBorder="1">
      <alignment horizontal="center" vertical="center"/>
    </xf>
    <xf numFmtId="0" fontId="56" fillId="7" borderId="116" xfId="18" applyNumberFormat="1" applyBorder="1">
      <alignment horizontal="center" vertical="center"/>
    </xf>
    <xf numFmtId="0" fontId="56" fillId="7" borderId="117" xfId="18" applyNumberFormat="1" applyBorder="1">
      <alignment horizontal="center" vertical="center"/>
    </xf>
    <xf numFmtId="0" fontId="56" fillId="7" borderId="103" xfId="18" quotePrefix="1" applyNumberFormat="1" applyBorder="1">
      <alignment horizontal="center" vertical="center"/>
    </xf>
    <xf numFmtId="0" fontId="71" fillId="2" borderId="118" xfId="0" quotePrefix="1" applyFont="1" applyFill="1" applyBorder="1" applyAlignment="1">
      <alignment horizontal="left"/>
    </xf>
    <xf numFmtId="2" fontId="56" fillId="17" borderId="104" xfId="17" applyNumberFormat="1" applyBorder="1" applyProtection="1">
      <alignment horizontal="center" vertical="center"/>
    </xf>
    <xf numFmtId="2" fontId="56" fillId="17" borderId="59" xfId="17" applyNumberFormat="1" applyBorder="1" applyProtection="1">
      <alignment horizontal="center" vertical="center"/>
    </xf>
    <xf numFmtId="0" fontId="56" fillId="7" borderId="108" xfId="18" quotePrefix="1" applyNumberFormat="1" applyBorder="1">
      <alignment horizontal="center" vertical="center"/>
    </xf>
    <xf numFmtId="0" fontId="71" fillId="2" borderId="110" xfId="0" quotePrefix="1" applyFont="1" applyFill="1" applyBorder="1" applyAlignment="1">
      <alignment horizontal="left"/>
    </xf>
    <xf numFmtId="0" fontId="56" fillId="34" borderId="109" xfId="20" applyBorder="1">
      <alignment horizontal="center" vertical="center"/>
    </xf>
    <xf numFmtId="0" fontId="71" fillId="7" borderId="118" xfId="0" applyFont="1" applyFill="1" applyBorder="1"/>
    <xf numFmtId="0" fontId="56" fillId="7" borderId="106" xfId="18" quotePrefix="1" applyNumberFormat="1" applyBorder="1">
      <alignment horizontal="center" vertical="center"/>
    </xf>
    <xf numFmtId="0" fontId="71" fillId="14" borderId="110" xfId="0" applyFont="1" applyFill="1" applyBorder="1"/>
    <xf numFmtId="0" fontId="56" fillId="7" borderId="118" xfId="0" quotePrefix="1" applyFont="1" applyFill="1" applyBorder="1" applyAlignment="1">
      <alignment horizontal="left"/>
    </xf>
    <xf numFmtId="0" fontId="72" fillId="7" borderId="110" xfId="0" applyFont="1" applyFill="1" applyBorder="1"/>
    <xf numFmtId="2" fontId="56" fillId="17" borderId="109" xfId="17" applyNumberFormat="1" applyBorder="1" applyProtection="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56" fillId="33" borderId="76" xfId="19" applyBorder="1" applyProtection="1">
      <alignment horizontal="center" vertical="center"/>
    </xf>
    <xf numFmtId="0" fontId="58" fillId="37" borderId="26" xfId="24" applyBorder="1" applyAlignment="1">
      <alignment horizontal="center" vertical="center"/>
    </xf>
    <xf numFmtId="2" fontId="56" fillId="34" borderId="59" xfId="20" applyNumberFormat="1" applyBorder="1" applyAlignment="1">
      <alignment horizontal="center" vertical="center"/>
    </xf>
    <xf numFmtId="0" fontId="56" fillId="7" borderId="77" xfId="18" applyNumberFormat="1" applyBorder="1">
      <alignment horizontal="center" vertical="center"/>
    </xf>
    <xf numFmtId="0" fontId="56" fillId="7" borderId="77" xfId="18" applyNumberFormat="1" applyBorder="1">
      <alignment horizontal="center" vertical="center"/>
    </xf>
    <xf numFmtId="0" fontId="18" fillId="2" borderId="0" xfId="0" applyFont="1" applyFill="1" applyBorder="1" applyAlignment="1">
      <alignment horizontal="center" vertical="top" wrapText="1"/>
    </xf>
    <xf numFmtId="3" fontId="19" fillId="2" borderId="0" xfId="0" applyNumberFormat="1" applyFont="1" applyFill="1" applyBorder="1" applyAlignment="1">
      <alignment horizontal="center" vertical="top" wrapText="1"/>
    </xf>
    <xf numFmtId="0" fontId="19" fillId="2" borderId="0" xfId="0" applyFont="1" applyFill="1" applyBorder="1" applyAlignment="1">
      <alignment horizontal="center" vertical="top" wrapText="1"/>
    </xf>
    <xf numFmtId="3" fontId="20" fillId="2" borderId="0" xfId="0" applyNumberFormat="1" applyFont="1" applyFill="1" applyBorder="1" applyAlignment="1">
      <alignment horizontal="center" vertical="top" wrapText="1"/>
    </xf>
    <xf numFmtId="0" fontId="62" fillId="36" borderId="119" xfId="22" applyBorder="1" applyAlignment="1">
      <alignment horizontal="center" vertical="center"/>
    </xf>
    <xf numFmtId="0" fontId="58" fillId="37" borderId="120" xfId="24" applyBorder="1" applyAlignment="1">
      <alignment horizontal="center" vertical="center" wrapText="1"/>
    </xf>
    <xf numFmtId="0" fontId="58" fillId="37" borderId="121" xfId="24" applyBorder="1" applyAlignment="1">
      <alignment horizontal="center" vertical="center" wrapText="1"/>
    </xf>
    <xf numFmtId="0" fontId="58" fillId="37" borderId="122" xfId="24" applyBorder="1" applyAlignment="1">
      <alignment horizontal="center" vertical="center" wrapText="1"/>
    </xf>
    <xf numFmtId="0" fontId="58" fillId="37" borderId="123" xfId="24" applyBorder="1" applyAlignment="1">
      <alignment horizontal="center" vertical="center" wrapText="1"/>
    </xf>
    <xf numFmtId="0" fontId="56" fillId="7" borderId="59" xfId="18" applyNumberFormat="1" applyBorder="1" applyAlignment="1">
      <alignment horizontal="center" vertical="center"/>
    </xf>
    <xf numFmtId="3" fontId="56" fillId="7" borderId="59" xfId="18" applyNumberFormat="1" applyBorder="1" applyAlignment="1">
      <alignment horizontal="center" vertical="center"/>
    </xf>
    <xf numFmtId="3" fontId="56" fillId="7" borderId="124" xfId="18" applyNumberFormat="1" applyBorder="1" applyAlignment="1">
      <alignment horizontal="center" vertical="center"/>
    </xf>
    <xf numFmtId="0" fontId="56" fillId="7" borderId="124" xfId="18" applyNumberFormat="1" applyBorder="1" applyAlignment="1">
      <alignment horizontal="center" vertical="center"/>
    </xf>
    <xf numFmtId="0" fontId="58" fillId="37" borderId="125" xfId="24" applyBorder="1" applyAlignment="1">
      <alignment horizontal="center" vertical="center" wrapText="1"/>
    </xf>
    <xf numFmtId="3" fontId="56" fillId="7" borderId="126" xfId="18" applyNumberFormat="1" applyBorder="1" applyAlignment="1">
      <alignment horizontal="center" vertical="center"/>
    </xf>
    <xf numFmtId="3" fontId="56" fillId="7" borderId="127" xfId="18" applyNumberFormat="1" applyBorder="1" applyAlignment="1">
      <alignment horizontal="center" vertical="center"/>
    </xf>
    <xf numFmtId="2" fontId="56" fillId="34" borderId="59" xfId="20" applyNumberFormat="1" applyAlignment="1">
      <alignment horizontal="center" vertical="center"/>
    </xf>
    <xf numFmtId="0" fontId="82" fillId="36" borderId="6" xfId="25" applyFont="1" applyBorder="1" applyAlignment="1">
      <alignment horizontal="center" vertical="center"/>
    </xf>
    <xf numFmtId="0" fontId="56" fillId="0" borderId="92" xfId="0" applyFont="1" applyBorder="1" applyAlignment="1">
      <alignment vertical="center"/>
    </xf>
    <xf numFmtId="0" fontId="56" fillId="0" borderId="93" xfId="0" applyFont="1" applyBorder="1" applyAlignment="1">
      <alignment vertical="center"/>
    </xf>
    <xf numFmtId="0" fontId="56" fillId="0" borderId="95" xfId="0" applyFont="1" applyBorder="1" applyAlignment="1">
      <alignment vertical="center"/>
    </xf>
    <xf numFmtId="0" fontId="56" fillId="0" borderId="88" xfId="0" applyFont="1" applyBorder="1" applyAlignment="1">
      <alignment vertical="center"/>
    </xf>
    <xf numFmtId="0" fontId="58" fillId="20" borderId="60" xfId="27">
      <alignment horizontal="center" vertical="center"/>
    </xf>
    <xf numFmtId="0" fontId="85" fillId="17" borderId="73" xfId="28" applyFill="1" applyBorder="1" applyAlignment="1">
      <alignment vertical="center"/>
    </xf>
    <xf numFmtId="0" fontId="56" fillId="17" borderId="128" xfId="0" applyFont="1" applyFill="1" applyBorder="1" applyAlignment="1">
      <alignment vertical="center"/>
    </xf>
    <xf numFmtId="0" fontId="85" fillId="17" borderId="128" xfId="28" applyFill="1" applyBorder="1" applyAlignment="1">
      <alignment vertical="center"/>
    </xf>
    <xf numFmtId="0" fontId="87" fillId="17" borderId="73" xfId="0" applyFont="1" applyFill="1" applyBorder="1" applyAlignment="1">
      <alignment horizontal="center" vertical="center"/>
    </xf>
    <xf numFmtId="0" fontId="87" fillId="17" borderId="0" xfId="0" applyFont="1" applyFill="1" applyBorder="1" applyAlignment="1">
      <alignment vertical="center"/>
    </xf>
    <xf numFmtId="0" fontId="87" fillId="17" borderId="128" xfId="0" applyFont="1" applyFill="1" applyBorder="1" applyAlignment="1">
      <alignment horizontal="center" vertical="center"/>
    </xf>
    <xf numFmtId="0" fontId="58" fillId="37" borderId="0" xfId="24" applyBorder="1" applyAlignment="1">
      <alignment horizontal="right" vertical="center"/>
    </xf>
    <xf numFmtId="0" fontId="58" fillId="37" borderId="60" xfId="24" applyAlignment="1">
      <alignment horizontal="right" vertical="center"/>
    </xf>
    <xf numFmtId="0" fontId="56" fillId="34" borderId="59" xfId="20">
      <alignment horizontal="center" vertical="center"/>
    </xf>
    <xf numFmtId="0" fontId="68" fillId="33" borderId="59" xfId="19" applyFont="1" applyBorder="1" applyAlignment="1" applyProtection="1">
      <alignment vertical="center"/>
      <protection locked="0"/>
    </xf>
    <xf numFmtId="0" fontId="56" fillId="33" borderId="59" xfId="19" applyNumberFormat="1" applyBorder="1" applyAlignment="1" applyProtection="1">
      <alignment horizontal="center" vertical="center"/>
    </xf>
    <xf numFmtId="164" fontId="56" fillId="0" borderId="0" xfId="0" applyNumberFormat="1" applyFont="1" applyAlignment="1">
      <alignment vertical="center"/>
    </xf>
    <xf numFmtId="2" fontId="56" fillId="33" borderId="59" xfId="3" applyNumberFormat="1" applyFont="1" applyFill="1" applyBorder="1" applyAlignment="1" applyProtection="1">
      <alignment horizontal="center" vertical="center"/>
    </xf>
    <xf numFmtId="2" fontId="56" fillId="34" borderId="59" xfId="3" applyNumberFormat="1" applyFont="1" applyFill="1" applyBorder="1" applyAlignment="1">
      <alignment horizontal="center" vertical="center"/>
    </xf>
    <xf numFmtId="0" fontId="58" fillId="37" borderId="0" xfId="24" applyBorder="1" applyAlignment="1">
      <alignment horizontal="center" vertical="center" wrapText="1"/>
    </xf>
    <xf numFmtId="0" fontId="56" fillId="13" borderId="59" xfId="23">
      <alignment horizontal="center" vertical="center"/>
      <protection locked="0"/>
    </xf>
    <xf numFmtId="0" fontId="56" fillId="0" borderId="0" xfId="0" applyFont="1" applyAlignment="1">
      <alignment vertical="center" wrapText="1"/>
    </xf>
    <xf numFmtId="0" fontId="56" fillId="0" borderId="0" xfId="0" applyFont="1" applyFill="1" applyBorder="1" applyAlignment="1">
      <alignment horizontal="left" vertical="center"/>
    </xf>
    <xf numFmtId="0" fontId="56" fillId="7" borderId="77" xfId="18" applyNumberFormat="1" applyBorder="1">
      <alignment horizontal="center" vertical="center"/>
    </xf>
    <xf numFmtId="0" fontId="58" fillId="20" borderId="60" xfId="27">
      <alignment horizontal="center" vertical="center"/>
    </xf>
    <xf numFmtId="0" fontId="0" fillId="0" borderId="0" xfId="0" applyBorder="1" applyAlignment="1">
      <alignment horizontal="center"/>
    </xf>
    <xf numFmtId="0" fontId="0" fillId="0" borderId="0" xfId="0" applyAlignment="1">
      <alignment horizontal="center"/>
    </xf>
    <xf numFmtId="9" fontId="0" fillId="0" borderId="0" xfId="4" applyFont="1" applyBorder="1" applyAlignment="1">
      <alignment horizontal="center"/>
    </xf>
    <xf numFmtId="176" fontId="0" fillId="0" borderId="0" xfId="4" applyNumberFormat="1" applyFont="1" applyBorder="1" applyAlignment="1">
      <alignment horizontal="center"/>
    </xf>
    <xf numFmtId="10" fontId="0" fillId="0" borderId="0" xfId="4" applyNumberFormat="1" applyFont="1" applyBorder="1" applyAlignment="1">
      <alignment horizontal="center"/>
    </xf>
    <xf numFmtId="0" fontId="58" fillId="20" borderId="60" xfId="27" applyAlignment="1">
      <alignment horizontal="center" vertical="center" wrapText="1"/>
    </xf>
    <xf numFmtId="0" fontId="58" fillId="20" borderId="129" xfId="27" applyBorder="1" applyAlignment="1">
      <alignment horizontal="center" vertical="center" wrapText="1"/>
    </xf>
    <xf numFmtId="0" fontId="0" fillId="0" borderId="0" xfId="0" quotePrefix="1" applyBorder="1"/>
    <xf numFmtId="0" fontId="56" fillId="0" borderId="0" xfId="0" quotePrefix="1" applyFont="1" applyAlignment="1">
      <alignment vertical="center"/>
    </xf>
    <xf numFmtId="2" fontId="0" fillId="0" borderId="0" xfId="4" applyNumberFormat="1" applyFont="1" applyBorder="1" applyAlignment="1">
      <alignment horizontal="center"/>
    </xf>
    <xf numFmtId="0" fontId="56" fillId="34" borderId="91" xfId="20" applyBorder="1">
      <alignment horizontal="center" vertical="center"/>
    </xf>
    <xf numFmtId="0" fontId="56" fillId="34" borderId="91" xfId="20" applyNumberFormat="1" applyBorder="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56" fillId="0" borderId="26" xfId="0" applyFont="1" applyBorder="1" applyAlignment="1">
      <alignment horizontal="left" vertical="center"/>
    </xf>
    <xf numFmtId="0" fontId="56" fillId="0" borderId="26" xfId="0" applyFont="1" applyBorder="1" applyAlignment="1">
      <alignment horizontal="center" vertical="center"/>
    </xf>
    <xf numFmtId="14" fontId="56" fillId="0" borderId="27" xfId="0" applyNumberFormat="1" applyFont="1" applyBorder="1" applyAlignment="1">
      <alignment horizontal="center" vertical="center"/>
    </xf>
    <xf numFmtId="14" fontId="56" fillId="0" borderId="28" xfId="0" applyNumberFormat="1" applyFont="1" applyBorder="1" applyAlignment="1">
      <alignment horizontal="center" vertical="center"/>
    </xf>
    <xf numFmtId="0" fontId="58" fillId="37" borderId="89" xfId="24" applyBorder="1" applyAlignment="1">
      <alignment horizontal="center" vertical="center"/>
    </xf>
    <xf numFmtId="0" fontId="58" fillId="37" borderId="88" xfId="24" applyBorder="1" applyAlignment="1">
      <alignment horizontal="center" vertical="center"/>
    </xf>
    <xf numFmtId="0" fontId="58" fillId="37" borderId="60" xfId="24" applyBorder="1" applyAlignment="1">
      <alignment horizontal="center" vertical="center"/>
    </xf>
    <xf numFmtId="0" fontId="58" fillId="37" borderId="90" xfId="24" applyBorder="1" applyAlignment="1">
      <alignment horizontal="center" vertical="center"/>
    </xf>
    <xf numFmtId="0" fontId="58" fillId="37" borderId="87" xfId="24" applyBorder="1" applyAlignment="1">
      <alignment horizontal="center" vertical="center"/>
    </xf>
    <xf numFmtId="0" fontId="56" fillId="33" borderId="59" xfId="19" applyNumberFormat="1" applyAlignment="1" applyProtection="1">
      <alignment horizontal="center" vertical="center"/>
    </xf>
    <xf numFmtId="0" fontId="32" fillId="13" borderId="86" xfId="23" applyFont="1" applyBorder="1" applyAlignment="1">
      <alignment horizontal="center" vertical="center"/>
      <protection locked="0"/>
    </xf>
    <xf numFmtId="0" fontId="32" fillId="13" borderId="0" xfId="23" applyFont="1" applyBorder="1" applyAlignment="1">
      <alignment horizontal="center" vertical="center"/>
      <protection locked="0"/>
    </xf>
    <xf numFmtId="0" fontId="58" fillId="37" borderId="0" xfId="24" applyBorder="1" applyAlignment="1">
      <alignment horizontal="center" vertical="center"/>
    </xf>
    <xf numFmtId="0" fontId="58" fillId="37" borderId="102" xfId="24" applyBorder="1" applyAlignment="1">
      <alignment horizontal="center" vertical="center"/>
    </xf>
    <xf numFmtId="0" fontId="56" fillId="34" borderId="59" xfId="20" applyBorder="1" applyAlignment="1">
      <alignment horizontal="center" vertical="center"/>
    </xf>
    <xf numFmtId="164" fontId="56" fillId="34" borderId="59" xfId="3" applyFont="1" applyFill="1" applyBorder="1" applyAlignment="1">
      <alignment horizontal="center" vertical="center"/>
    </xf>
    <xf numFmtId="164" fontId="56" fillId="33" borderId="59" xfId="3" applyFont="1" applyFill="1" applyBorder="1" applyAlignment="1" applyProtection="1">
      <alignment horizontal="center" vertical="center"/>
    </xf>
    <xf numFmtId="0" fontId="82" fillId="36" borderId="0" xfId="25" applyFont="1" applyAlignment="1">
      <alignment horizontal="center" vertical="center"/>
    </xf>
    <xf numFmtId="0" fontId="58" fillId="37" borderId="73" xfId="24" applyBorder="1" applyAlignment="1">
      <alignment horizontal="right" vertical="center"/>
    </xf>
    <xf numFmtId="0" fontId="58" fillId="37" borderId="0" xfId="24" applyBorder="1" applyAlignment="1">
      <alignment horizontal="right" vertical="center"/>
    </xf>
    <xf numFmtId="0" fontId="58" fillId="37" borderId="4" xfId="24" applyBorder="1" applyAlignment="1">
      <alignment horizontal="right" vertical="center"/>
    </xf>
    <xf numFmtId="0" fontId="56" fillId="33" borderId="59" xfId="19" applyAlignment="1" applyProtection="1">
      <alignment horizontal="right" vertical="center"/>
    </xf>
    <xf numFmtId="0" fontId="62" fillId="36" borderId="0" xfId="25" applyBorder="1">
      <alignment horizontal="center" vertical="center"/>
    </xf>
    <xf numFmtId="0" fontId="68" fillId="33" borderId="59" xfId="19" applyFont="1" applyBorder="1" applyProtection="1">
      <alignment horizontal="center" vertical="center"/>
      <protection locked="0"/>
    </xf>
    <xf numFmtId="10" fontId="56" fillId="17" borderId="76" xfId="17" applyNumberFormat="1" applyBorder="1" applyAlignment="1" applyProtection="1">
      <alignment horizontal="center" vertical="center"/>
    </xf>
    <xf numFmtId="10" fontId="56" fillId="17" borderId="77" xfId="17" applyNumberFormat="1" applyBorder="1" applyAlignment="1" applyProtection="1">
      <alignment horizontal="center" vertical="center"/>
    </xf>
    <xf numFmtId="0" fontId="32" fillId="13" borderId="76" xfId="23" applyFont="1" applyBorder="1" applyAlignment="1">
      <alignment horizontal="center" vertical="center"/>
      <protection locked="0"/>
    </xf>
    <xf numFmtId="0" fontId="32" fillId="13" borderId="87" xfId="23" applyFont="1" applyBorder="1" applyAlignment="1">
      <alignment horizontal="center" vertical="center"/>
      <protection locked="0"/>
    </xf>
    <xf numFmtId="0" fontId="32" fillId="13" borderId="77" xfId="23" applyFont="1" applyBorder="1" applyAlignment="1">
      <alignment horizontal="center" vertical="center"/>
      <protection locked="0"/>
    </xf>
    <xf numFmtId="0" fontId="58" fillId="37" borderId="73" xfId="24" applyBorder="1" applyAlignment="1">
      <alignment horizontal="center" vertical="center"/>
    </xf>
    <xf numFmtId="0" fontId="58" fillId="37" borderId="73" xfId="24" applyFont="1" applyBorder="1" applyAlignment="1">
      <alignment horizontal="center" vertical="center"/>
    </xf>
    <xf numFmtId="0" fontId="58" fillId="37" borderId="0" xfId="24" applyFont="1" applyBorder="1" applyAlignment="1">
      <alignment horizontal="center" vertical="center"/>
    </xf>
    <xf numFmtId="0" fontId="56" fillId="17" borderId="59" xfId="17" applyNumberFormat="1" applyBorder="1" applyAlignment="1" applyProtection="1">
      <alignment horizontal="center" vertical="center"/>
    </xf>
    <xf numFmtId="0" fontId="56" fillId="7" borderId="59" xfId="18" applyNumberFormat="1">
      <alignment horizontal="center" vertical="center"/>
    </xf>
    <xf numFmtId="0" fontId="83" fillId="0" borderId="79" xfId="0" applyFont="1" applyBorder="1" applyAlignment="1">
      <alignment horizontal="right" vertical="center"/>
    </xf>
    <xf numFmtId="0" fontId="56" fillId="0" borderId="5" xfId="0" applyFont="1" applyBorder="1" applyAlignment="1">
      <alignment horizontal="center" vertical="center"/>
    </xf>
    <xf numFmtId="0" fontId="56" fillId="0" borderId="2" xfId="0" applyFont="1" applyBorder="1" applyAlignment="1">
      <alignment horizontal="center" vertical="center"/>
    </xf>
    <xf numFmtId="0" fontId="56" fillId="0" borderId="73" xfId="0" applyFont="1" applyBorder="1" applyAlignment="1">
      <alignment horizontal="center" vertical="center"/>
    </xf>
    <xf numFmtId="0" fontId="56" fillId="0" borderId="0" xfId="0" applyFont="1" applyBorder="1" applyAlignment="1">
      <alignment horizontal="center" vertical="center"/>
    </xf>
    <xf numFmtId="0" fontId="56" fillId="0" borderId="1" xfId="0" applyFont="1" applyBorder="1" applyAlignment="1">
      <alignment horizontal="center" vertical="center"/>
    </xf>
    <xf numFmtId="0" fontId="56" fillId="0" borderId="6" xfId="0" applyFont="1" applyBorder="1" applyAlignment="1">
      <alignment horizontal="center" vertical="center"/>
    </xf>
    <xf numFmtId="0" fontId="63" fillId="36" borderId="0" xfId="25" applyFont="1" applyBorder="1">
      <alignment horizontal="center" vertical="center"/>
    </xf>
    <xf numFmtId="0" fontId="58" fillId="37" borderId="60" xfId="24" applyAlignment="1">
      <alignment horizontal="right" vertical="center"/>
    </xf>
    <xf numFmtId="0" fontId="56" fillId="17" borderId="59" xfId="17" applyBorder="1" applyAlignment="1" applyProtection="1">
      <alignment horizontal="left" vertical="center"/>
      <protection locked="0"/>
    </xf>
    <xf numFmtId="0" fontId="84" fillId="36" borderId="5" xfId="22" applyFont="1" applyBorder="1" applyAlignment="1">
      <alignment horizontal="center" vertical="center"/>
    </xf>
    <xf numFmtId="0" fontId="84" fillId="36" borderId="2" xfId="22" applyFont="1" applyBorder="1" applyAlignment="1">
      <alignment horizontal="center" vertical="center"/>
    </xf>
    <xf numFmtId="0" fontId="84" fillId="36" borderId="3" xfId="22" applyFont="1" applyBorder="1" applyAlignment="1">
      <alignment horizontal="center" vertical="center"/>
    </xf>
    <xf numFmtId="0" fontId="67" fillId="34" borderId="59" xfId="20" applyFont="1" applyAlignment="1">
      <alignment horizontal="center" vertical="center" wrapText="1"/>
    </xf>
    <xf numFmtId="0" fontId="60" fillId="17" borderId="59" xfId="17" applyFont="1" applyBorder="1" applyAlignment="1" applyProtection="1">
      <alignment horizontal="center" vertical="center"/>
      <protection locked="0"/>
    </xf>
    <xf numFmtId="0" fontId="56" fillId="33" borderId="59" xfId="19" applyBorder="1" applyAlignment="1" applyProtection="1">
      <alignment horizontal="left" vertical="center"/>
      <protection locked="0"/>
    </xf>
    <xf numFmtId="0" fontId="58" fillId="37" borderId="75" xfId="24" applyBorder="1" applyAlignment="1">
      <alignment horizontal="right" vertical="center"/>
    </xf>
    <xf numFmtId="0" fontId="58" fillId="37" borderId="60" xfId="24" applyBorder="1" applyAlignment="1">
      <alignment horizontal="right" vertical="center"/>
    </xf>
    <xf numFmtId="0" fontId="69" fillId="37" borderId="0" xfId="24" applyFont="1" applyBorder="1" applyAlignment="1">
      <alignment horizontal="center" vertical="center"/>
    </xf>
    <xf numFmtId="2" fontId="56" fillId="34" borderId="59" xfId="20" applyNumberFormat="1" applyBorder="1" applyAlignment="1">
      <alignment horizontal="center" vertical="center"/>
    </xf>
    <xf numFmtId="2" fontId="56" fillId="34" borderId="76" xfId="20" applyNumberFormat="1" applyBorder="1" applyAlignment="1">
      <alignment horizontal="center" vertical="center"/>
    </xf>
    <xf numFmtId="0" fontId="56" fillId="13" borderId="59" xfId="23" applyBorder="1" applyAlignment="1">
      <alignment horizontal="center" vertical="center"/>
      <protection locked="0"/>
    </xf>
    <xf numFmtId="0" fontId="62" fillId="36" borderId="0" xfId="25" applyBorder="1" applyAlignment="1">
      <alignment horizontal="center" vertical="center"/>
    </xf>
    <xf numFmtId="0" fontId="82" fillId="36" borderId="6" xfId="25" applyFont="1" applyBorder="1" applyAlignment="1">
      <alignment horizontal="center" vertical="center"/>
    </xf>
    <xf numFmtId="0" fontId="0" fillId="7" borderId="0" xfId="0" applyFill="1" applyBorder="1" applyAlignment="1">
      <alignment horizontal="center"/>
    </xf>
    <xf numFmtId="0" fontId="62" fillId="36" borderId="60" xfId="22" applyBorder="1" applyAlignment="1">
      <alignment horizontal="center" vertical="center" wrapText="1"/>
    </xf>
    <xf numFmtId="0" fontId="62" fillId="36" borderId="26" xfId="22" applyBorder="1" applyAlignment="1">
      <alignment horizontal="center" vertical="center" wrapText="1"/>
    </xf>
    <xf numFmtId="0" fontId="62" fillId="36" borderId="65" xfId="22" applyBorder="1">
      <alignment horizontal="center" vertical="center"/>
    </xf>
    <xf numFmtId="0" fontId="62" fillId="36" borderId="64" xfId="22" applyBorder="1">
      <alignment horizontal="center" vertical="center"/>
    </xf>
    <xf numFmtId="0" fontId="62" fillId="36" borderId="67" xfId="22" applyBorder="1">
      <alignment horizontal="center" vertical="center"/>
    </xf>
    <xf numFmtId="0" fontId="62" fillId="36" borderId="5" xfId="22" applyBorder="1" applyAlignment="1">
      <alignment horizontal="center" vertical="center" wrapText="1"/>
    </xf>
    <xf numFmtId="0" fontId="62" fillId="36" borderId="27" xfId="22" applyBorder="1" applyAlignment="1">
      <alignment horizontal="center" vertical="center" wrapText="1"/>
    </xf>
    <xf numFmtId="0" fontId="62" fillId="36" borderId="0" xfId="22">
      <alignment horizontal="center" vertical="center"/>
    </xf>
    <xf numFmtId="0" fontId="62" fillId="36" borderId="61" xfId="22" applyBorder="1">
      <alignment horizontal="center" vertical="center"/>
    </xf>
    <xf numFmtId="0" fontId="62" fillId="36" borderId="62" xfId="22" applyBorder="1">
      <alignment horizontal="center" vertical="center"/>
    </xf>
    <xf numFmtId="0" fontId="62" fillId="36" borderId="68" xfId="22" applyBorder="1" applyAlignment="1">
      <alignment horizontal="center" vertical="center" wrapText="1"/>
    </xf>
    <xf numFmtId="0" fontId="62" fillId="36" borderId="71" xfId="22" applyBorder="1" applyAlignment="1">
      <alignment horizontal="center" vertical="center" wrapText="1"/>
    </xf>
    <xf numFmtId="0" fontId="0" fillId="7" borderId="31" xfId="0" applyFill="1" applyBorder="1" applyAlignment="1">
      <alignment horizontal="center"/>
    </xf>
    <xf numFmtId="0" fontId="0" fillId="7" borderId="44" xfId="0" applyFill="1" applyBorder="1" applyAlignment="1">
      <alignment horizontal="center" wrapText="1"/>
    </xf>
    <xf numFmtId="0" fontId="0" fillId="7" borderId="45" xfId="0" applyFill="1" applyBorder="1" applyAlignment="1">
      <alignment horizontal="center"/>
    </xf>
    <xf numFmtId="0" fontId="0" fillId="7" borderId="48" xfId="0" applyFill="1" applyBorder="1" applyAlignment="1">
      <alignment horizontal="center"/>
    </xf>
    <xf numFmtId="0" fontId="0" fillId="7" borderId="49" xfId="0" applyFill="1" applyBorder="1" applyAlignment="1">
      <alignment horizontal="center"/>
    </xf>
    <xf numFmtId="0" fontId="59" fillId="36" borderId="60" xfId="22" applyFont="1" applyBorder="1" applyAlignment="1">
      <alignment horizontal="center" vertical="center" wrapText="1"/>
    </xf>
    <xf numFmtId="0" fontId="59" fillId="36" borderId="26" xfId="22" applyFont="1" applyBorder="1" applyAlignment="1">
      <alignment horizontal="center" vertical="center" wrapText="1"/>
    </xf>
    <xf numFmtId="0" fontId="62" fillId="36" borderId="66" xfId="22" applyBorder="1" applyAlignment="1">
      <alignment horizontal="center" vertical="center" wrapText="1"/>
    </xf>
    <xf numFmtId="0" fontId="62" fillId="36" borderId="69" xfId="22" applyBorder="1">
      <alignment horizontal="center" vertical="center"/>
    </xf>
    <xf numFmtId="0" fontId="62" fillId="36" borderId="63" xfId="22" applyBorder="1">
      <alignment horizontal="center" vertical="center"/>
    </xf>
    <xf numFmtId="0" fontId="62" fillId="36" borderId="4" xfId="22" applyBorder="1" applyAlignment="1">
      <alignment horizontal="center" vertical="center" wrapText="1"/>
    </xf>
    <xf numFmtId="0" fontId="62" fillId="36" borderId="28" xfId="22" applyBorder="1" applyAlignment="1">
      <alignment horizontal="center" vertical="center" wrapText="1"/>
    </xf>
    <xf numFmtId="0" fontId="33" fillId="13" borderId="31" xfId="0" applyFont="1" applyFill="1" applyBorder="1" applyAlignment="1">
      <alignment horizontal="center"/>
    </xf>
    <xf numFmtId="0" fontId="33" fillId="13" borderId="34" xfId="0" applyFont="1" applyFill="1" applyBorder="1" applyAlignment="1">
      <alignment horizontal="center"/>
    </xf>
    <xf numFmtId="0" fontId="33" fillId="13" borderId="38" xfId="0" applyFont="1" applyFill="1" applyBorder="1" applyAlignment="1">
      <alignment horizontal="center"/>
    </xf>
    <xf numFmtId="0" fontId="33" fillId="13" borderId="53" xfId="0" applyFont="1" applyFill="1" applyBorder="1" applyAlignment="1">
      <alignment horizontal="center"/>
    </xf>
    <xf numFmtId="0" fontId="33" fillId="13" borderId="33" xfId="0" applyFont="1" applyFill="1" applyBorder="1" applyAlignment="1">
      <alignment horizontal="center"/>
    </xf>
    <xf numFmtId="0" fontId="33" fillId="13" borderId="32" xfId="0" applyFont="1" applyFill="1" applyBorder="1" applyAlignment="1">
      <alignment horizontal="center"/>
    </xf>
    <xf numFmtId="0" fontId="0" fillId="13" borderId="40" xfId="0" applyFill="1" applyBorder="1" applyAlignment="1">
      <alignment horizontal="center"/>
    </xf>
    <xf numFmtId="0" fontId="0" fillId="9" borderId="31" xfId="0" applyFill="1" applyBorder="1" applyAlignment="1">
      <alignment horizontal="center" vertical="center" wrapText="1"/>
    </xf>
    <xf numFmtId="0" fontId="34" fillId="9" borderId="31" xfId="0" applyFont="1" applyFill="1" applyBorder="1" applyAlignment="1">
      <alignment horizontal="center" vertical="center" wrapText="1"/>
    </xf>
    <xf numFmtId="0" fontId="0" fillId="9" borderId="31" xfId="0" applyFont="1" applyFill="1" applyBorder="1" applyAlignment="1">
      <alignment horizontal="center" vertical="center" wrapText="1"/>
    </xf>
    <xf numFmtId="0" fontId="0" fillId="9" borderId="34" xfId="0" applyFill="1" applyBorder="1" applyAlignment="1">
      <alignment horizontal="center" vertical="center" wrapText="1"/>
    </xf>
    <xf numFmtId="0" fontId="0" fillId="9" borderId="31" xfId="0" applyFill="1" applyBorder="1" applyAlignment="1">
      <alignment horizontal="center" vertical="center"/>
    </xf>
    <xf numFmtId="0" fontId="0" fillId="9" borderId="38" xfId="0" applyFill="1" applyBorder="1" applyAlignment="1">
      <alignment horizontal="center" vertical="center" wrapText="1"/>
    </xf>
    <xf numFmtId="0" fontId="0" fillId="9" borderId="39" xfId="0" applyFill="1" applyBorder="1" applyAlignment="1">
      <alignment horizontal="center" vertical="center" wrapText="1"/>
    </xf>
    <xf numFmtId="0" fontId="0" fillId="9" borderId="37" xfId="0" applyFill="1" applyBorder="1" applyAlignment="1">
      <alignment horizontal="center" vertical="center" wrapText="1"/>
    </xf>
    <xf numFmtId="0" fontId="0" fillId="9" borderId="54" xfId="0" applyFill="1" applyBorder="1" applyAlignment="1">
      <alignment horizontal="center" vertical="center" wrapText="1"/>
    </xf>
    <xf numFmtId="0" fontId="0" fillId="9" borderId="55" xfId="0" applyFill="1" applyBorder="1" applyAlignment="1">
      <alignment horizontal="center" vertical="center" wrapText="1"/>
    </xf>
    <xf numFmtId="0" fontId="0" fillId="9" borderId="40" xfId="0" applyFill="1" applyBorder="1" applyAlignment="1">
      <alignment horizontal="center"/>
    </xf>
    <xf numFmtId="0" fontId="0" fillId="7" borderId="40" xfId="0" applyFill="1" applyBorder="1" applyAlignment="1">
      <alignment horizontal="center"/>
    </xf>
    <xf numFmtId="0" fontId="0" fillId="13" borderId="34" xfId="0" applyFill="1" applyBorder="1" applyAlignment="1">
      <alignment horizontal="center"/>
    </xf>
    <xf numFmtId="0" fontId="0" fillId="13" borderId="33" xfId="0" applyFill="1" applyBorder="1" applyAlignment="1">
      <alignment horizontal="center"/>
    </xf>
    <xf numFmtId="0" fontId="0" fillId="13" borderId="53" xfId="0" applyFill="1" applyBorder="1" applyAlignment="1">
      <alignment horizontal="center"/>
    </xf>
    <xf numFmtId="0" fontId="0" fillId="13" borderId="56" xfId="0" applyFill="1" applyBorder="1" applyAlignment="1">
      <alignment horizontal="center"/>
    </xf>
    <xf numFmtId="0" fontId="0" fillId="13" borderId="35" xfId="0" applyFill="1" applyBorder="1" applyAlignment="1">
      <alignment horizontal="center"/>
    </xf>
    <xf numFmtId="0" fontId="58" fillId="37" borderId="5" xfId="24" applyBorder="1" applyAlignment="1">
      <alignment horizontal="center" vertical="center"/>
    </xf>
    <xf numFmtId="0" fontId="58" fillId="37" borderId="2" xfId="24" applyBorder="1" applyAlignment="1">
      <alignment horizontal="center" vertical="center"/>
    </xf>
    <xf numFmtId="0" fontId="58" fillId="37" borderId="3" xfId="24" applyBorder="1" applyAlignment="1">
      <alignment horizontal="center" vertical="center"/>
    </xf>
    <xf numFmtId="0" fontId="58" fillId="37" borderId="60" xfId="24" applyFont="1" applyBorder="1" applyAlignment="1">
      <alignment horizontal="center" vertical="center"/>
    </xf>
    <xf numFmtId="10" fontId="56" fillId="34" borderId="59" xfId="20" applyNumberFormat="1" applyAlignment="1">
      <alignment horizontal="center" vertical="center"/>
    </xf>
    <xf numFmtId="0" fontId="56" fillId="7" borderId="77" xfId="18" applyNumberFormat="1" applyBorder="1">
      <alignment horizontal="center" vertical="center"/>
    </xf>
    <xf numFmtId="0" fontId="56" fillId="7" borderId="59" xfId="18" applyNumberFormat="1" applyBorder="1">
      <alignment horizontal="center" vertical="center"/>
    </xf>
    <xf numFmtId="0" fontId="58" fillId="37" borderId="0" xfId="24" applyBorder="1" applyAlignment="1">
      <alignment horizontal="center" vertical="center" wrapText="1"/>
    </xf>
    <xf numFmtId="0" fontId="56" fillId="33" borderId="59" xfId="19" applyBorder="1" applyProtection="1">
      <alignment horizontal="center" vertical="center"/>
      <protection locked="0"/>
    </xf>
    <xf numFmtId="0" fontId="62" fillId="36" borderId="73" xfId="22" applyBorder="1" applyAlignment="1">
      <alignment horizontal="center" vertical="center"/>
    </xf>
    <xf numFmtId="0" fontId="62" fillId="36" borderId="0" xfId="22" applyBorder="1" applyAlignment="1">
      <alignment horizontal="center" vertical="center"/>
    </xf>
    <xf numFmtId="0" fontId="56" fillId="0" borderId="79" xfId="0" applyFont="1" applyBorder="1" applyAlignment="1">
      <alignment horizontal="right" vertical="center"/>
    </xf>
    <xf numFmtId="0" fontId="58" fillId="37" borderId="60" xfId="24">
      <alignment horizontal="center" vertical="center"/>
    </xf>
    <xf numFmtId="0" fontId="66" fillId="36" borderId="5" xfId="22" applyFont="1" applyBorder="1" applyAlignment="1">
      <alignment horizontal="center" vertical="center"/>
    </xf>
    <xf numFmtId="0" fontId="66" fillId="36" borderId="2" xfId="22" applyFont="1" applyBorder="1" applyAlignment="1">
      <alignment horizontal="center" vertical="center"/>
    </xf>
    <xf numFmtId="0" fontId="66" fillId="36" borderId="3" xfId="22" applyFont="1" applyBorder="1" applyAlignment="1">
      <alignment horizontal="center" vertical="center"/>
    </xf>
    <xf numFmtId="0" fontId="56" fillId="17" borderId="59" xfId="17" applyFont="1" applyBorder="1" applyAlignment="1" applyProtection="1">
      <alignment horizontal="center" vertical="center"/>
    </xf>
    <xf numFmtId="0" fontId="56" fillId="17" borderId="76" xfId="17" applyFont="1" applyBorder="1" applyAlignment="1" applyProtection="1">
      <alignment horizontal="center" vertical="center"/>
    </xf>
    <xf numFmtId="0" fontId="0" fillId="9" borderId="57" xfId="0" applyFill="1" applyBorder="1" applyAlignment="1">
      <alignment horizontal="center"/>
    </xf>
    <xf numFmtId="0" fontId="0" fillId="9" borderId="58" xfId="0" applyFill="1" applyBorder="1" applyAlignment="1">
      <alignment horizontal="center"/>
    </xf>
    <xf numFmtId="0" fontId="0" fillId="9" borderId="46" xfId="0" applyFill="1" applyBorder="1" applyAlignment="1">
      <alignment horizontal="center"/>
    </xf>
    <xf numFmtId="0" fontId="58" fillId="37" borderId="40" xfId="24" applyBorder="1" applyAlignment="1">
      <alignment horizontal="center"/>
    </xf>
    <xf numFmtId="0" fontId="58" fillId="37" borderId="39" xfId="24" applyBorder="1" applyAlignment="1">
      <alignment horizontal="center" vertical="center" wrapText="1"/>
    </xf>
    <xf numFmtId="0" fontId="58" fillId="37" borderId="37" xfId="24" applyBorder="1" applyAlignment="1">
      <alignment horizontal="center" vertical="center" wrapText="1"/>
    </xf>
    <xf numFmtId="0" fontId="58" fillId="37" borderId="31" xfId="24" applyBorder="1" applyAlignment="1">
      <alignment horizontal="center" vertical="center" wrapText="1"/>
    </xf>
    <xf numFmtId="0" fontId="62" fillId="36" borderId="5" xfId="22" applyBorder="1">
      <alignment horizontal="center" vertical="center"/>
    </xf>
    <xf numFmtId="0" fontId="62" fillId="36" borderId="98" xfId="22" applyBorder="1">
      <alignment horizontal="center" vertical="center"/>
    </xf>
    <xf numFmtId="0" fontId="62" fillId="36" borderId="60" xfId="22" applyBorder="1">
      <alignment horizontal="center" vertical="center"/>
    </xf>
    <xf numFmtId="0" fontId="58" fillId="37" borderId="44" xfId="24" applyBorder="1" applyAlignment="1">
      <alignment horizontal="center" vertical="center"/>
    </xf>
    <xf numFmtId="0" fontId="58" fillId="37" borderId="36" xfId="24" applyBorder="1" applyAlignment="1">
      <alignment horizontal="center" vertical="center"/>
    </xf>
    <xf numFmtId="0" fontId="58" fillId="37" borderId="45" xfId="24" applyBorder="1" applyAlignment="1">
      <alignment horizontal="center" vertical="center"/>
    </xf>
    <xf numFmtId="0" fontId="58" fillId="37" borderId="42" xfId="24" applyBorder="1" applyAlignment="1">
      <alignment horizontal="center" vertical="center"/>
    </xf>
    <xf numFmtId="0" fontId="58" fillId="37" borderId="43" xfId="24" applyBorder="1" applyAlignment="1">
      <alignment horizontal="center" vertical="center"/>
    </xf>
    <xf numFmtId="0" fontId="58" fillId="37" borderId="39" xfId="24" applyBorder="1" applyAlignment="1">
      <alignment horizontal="center" vertical="top" wrapText="1"/>
    </xf>
    <xf numFmtId="0" fontId="58" fillId="37" borderId="37" xfId="24" applyBorder="1" applyAlignment="1">
      <alignment horizontal="center" vertical="top" wrapText="1"/>
    </xf>
    <xf numFmtId="0" fontId="58" fillId="37" borderId="34" xfId="24" applyBorder="1" applyAlignment="1">
      <alignment horizontal="center" vertical="center" wrapText="1"/>
    </xf>
    <xf numFmtId="0" fontId="58" fillId="37" borderId="99" xfId="24" applyBorder="1" applyAlignment="1">
      <alignment horizontal="center" vertical="center" wrapText="1"/>
    </xf>
    <xf numFmtId="0" fontId="58" fillId="37" borderId="100" xfId="24" applyBorder="1" applyAlignment="1">
      <alignment horizontal="center" vertical="center" wrapText="1"/>
    </xf>
    <xf numFmtId="0" fontId="58" fillId="37" borderId="34" xfId="24" applyBorder="1" applyAlignment="1">
      <alignment horizontal="center" vertical="top" wrapText="1"/>
    </xf>
    <xf numFmtId="0" fontId="58" fillId="37" borderId="32" xfId="24" applyBorder="1" applyAlignment="1">
      <alignment horizontal="center" vertical="top" wrapText="1"/>
    </xf>
    <xf numFmtId="0" fontId="58" fillId="37" borderId="31" xfId="24" applyBorder="1" applyAlignment="1">
      <alignment horizontal="center" vertical="center"/>
    </xf>
    <xf numFmtId="0" fontId="86" fillId="17" borderId="73" xfId="0" applyFont="1" applyFill="1" applyBorder="1" applyAlignment="1">
      <alignment horizontal="center" vertical="center"/>
    </xf>
    <xf numFmtId="0" fontId="86" fillId="17" borderId="0" xfId="0" applyFont="1" applyFill="1" applyBorder="1" applyAlignment="1">
      <alignment horizontal="center" vertical="center"/>
    </xf>
    <xf numFmtId="0" fontId="86" fillId="17" borderId="4" xfId="0" applyFont="1" applyFill="1" applyBorder="1" applyAlignment="1">
      <alignment horizontal="center" vertical="center"/>
    </xf>
    <xf numFmtId="0" fontId="58" fillId="20" borderId="60" xfId="27">
      <alignment horizontal="center" vertical="center"/>
    </xf>
    <xf numFmtId="0" fontId="0" fillId="7" borderId="0" xfId="0" applyFill="1" applyBorder="1" applyAlignment="1">
      <alignment horizontal="right" vertical="center"/>
    </xf>
    <xf numFmtId="0" fontId="50" fillId="14" borderId="0" xfId="2" applyFont="1" applyFill="1" applyBorder="1" applyAlignment="1">
      <alignment horizontal="center"/>
    </xf>
    <xf numFmtId="0" fontId="50" fillId="14" borderId="0" xfId="2" applyFont="1" applyFill="1" applyBorder="1" applyAlignment="1">
      <alignment horizontal="center" vertical="center"/>
    </xf>
    <xf numFmtId="0" fontId="50" fillId="21" borderId="0" xfId="2" applyFont="1" applyFill="1" applyBorder="1" applyAlignment="1">
      <alignment horizontal="center"/>
    </xf>
    <xf numFmtId="0" fontId="0" fillId="0" borderId="0" xfId="0" applyAlignment="1">
      <alignment horizontal="center" vertical="center"/>
    </xf>
    <xf numFmtId="0" fontId="0" fillId="0" borderId="0" xfId="0" applyAlignment="1">
      <alignment horizontal="left" vertical="center"/>
    </xf>
    <xf numFmtId="0" fontId="50" fillId="14" borderId="34" xfId="2" applyFont="1" applyFill="1" applyBorder="1" applyAlignment="1">
      <alignment horizontal="center"/>
    </xf>
    <xf numFmtId="0" fontId="50" fillId="14" borderId="33" xfId="2" applyFont="1" applyFill="1" applyBorder="1" applyAlignment="1">
      <alignment horizontal="center"/>
    </xf>
    <xf numFmtId="0" fontId="50" fillId="14" borderId="32" xfId="2" applyFont="1" applyFill="1" applyBorder="1" applyAlignment="1">
      <alignment horizontal="center"/>
    </xf>
    <xf numFmtId="0" fontId="50" fillId="20" borderId="34" xfId="2" applyFont="1" applyFill="1" applyBorder="1" applyAlignment="1">
      <alignment horizontal="center"/>
    </xf>
    <xf numFmtId="0" fontId="50" fillId="20" borderId="33" xfId="2" applyFont="1" applyFill="1" applyBorder="1" applyAlignment="1">
      <alignment horizontal="center"/>
    </xf>
    <xf numFmtId="0" fontId="50" fillId="20" borderId="32" xfId="2" applyFont="1" applyFill="1" applyBorder="1" applyAlignment="1">
      <alignment horizontal="center"/>
    </xf>
    <xf numFmtId="0" fontId="0" fillId="7" borderId="0" xfId="0" applyFill="1" applyAlignment="1">
      <alignment horizontal="left"/>
    </xf>
    <xf numFmtId="14" fontId="0" fillId="7" borderId="0" xfId="0" applyNumberFormat="1" applyFill="1" applyAlignment="1">
      <alignment horizontal="left"/>
    </xf>
    <xf numFmtId="0" fontId="0" fillId="10" borderId="31" xfId="0" applyFill="1" applyBorder="1" applyAlignment="1">
      <alignment horizontal="right" vertical="center"/>
    </xf>
    <xf numFmtId="0" fontId="50" fillId="14" borderId="44" xfId="2" applyFont="1" applyFill="1" applyBorder="1" applyAlignment="1">
      <alignment horizontal="center"/>
    </xf>
    <xf numFmtId="0" fontId="50" fillId="14" borderId="36" xfId="2" applyFont="1" applyFill="1" applyBorder="1" applyAlignment="1">
      <alignment horizontal="center"/>
    </xf>
    <xf numFmtId="0" fontId="50" fillId="14" borderId="45" xfId="2" applyFont="1" applyFill="1" applyBorder="1" applyAlignment="1">
      <alignment horizontal="center"/>
    </xf>
    <xf numFmtId="0" fontId="50" fillId="20" borderId="42" xfId="2" applyFont="1" applyFill="1" applyBorder="1" applyAlignment="1">
      <alignment horizontal="center"/>
    </xf>
    <xf numFmtId="0" fontId="50" fillId="20" borderId="0" xfId="2" applyFont="1" applyFill="1" applyBorder="1" applyAlignment="1">
      <alignment horizontal="center"/>
    </xf>
    <xf numFmtId="0" fontId="50" fillId="20" borderId="43" xfId="2" applyFont="1" applyFill="1" applyBorder="1" applyAlignment="1">
      <alignment horizontal="center"/>
    </xf>
    <xf numFmtId="0" fontId="8" fillId="13" borderId="34" xfId="0" applyFont="1" applyFill="1" applyBorder="1" applyAlignment="1">
      <alignment horizontal="center" vertical="center"/>
    </xf>
    <xf numFmtId="0" fontId="8" fillId="13" borderId="33" xfId="0" applyFont="1" applyFill="1" applyBorder="1" applyAlignment="1">
      <alignment horizontal="center" vertical="center"/>
    </xf>
    <xf numFmtId="0" fontId="8" fillId="13" borderId="32" xfId="0" applyFont="1" applyFill="1" applyBorder="1" applyAlignment="1">
      <alignment horizontal="center" vertical="center"/>
    </xf>
    <xf numFmtId="0" fontId="0" fillId="13" borderId="32" xfId="0" applyFill="1" applyBorder="1" applyAlignment="1">
      <alignment horizontal="center"/>
    </xf>
    <xf numFmtId="0" fontId="7" fillId="0" borderId="31" xfId="0" applyFont="1" applyBorder="1" applyAlignment="1">
      <alignment horizontal="right"/>
    </xf>
    <xf numFmtId="0" fontId="8" fillId="13" borderId="31" xfId="0" applyFont="1" applyFill="1" applyBorder="1" applyAlignment="1">
      <alignment horizontal="center" vertical="center"/>
    </xf>
    <xf numFmtId="0" fontId="0" fillId="13" borderId="31" xfId="0" applyFill="1" applyBorder="1" applyAlignment="1">
      <alignment horizontal="center"/>
    </xf>
    <xf numFmtId="0" fontId="10" fillId="9" borderId="31" xfId="0" applyFont="1" applyFill="1" applyBorder="1" applyAlignment="1">
      <alignment horizontal="center" vertical="center"/>
    </xf>
    <xf numFmtId="0" fontId="71" fillId="2" borderId="11" xfId="0" applyFont="1" applyFill="1" applyBorder="1" applyAlignment="1">
      <alignment horizontal="center"/>
    </xf>
    <xf numFmtId="0" fontId="71" fillId="2" borderId="0" xfId="0" applyFont="1" applyFill="1" applyBorder="1" applyAlignment="1">
      <alignment horizontal="center"/>
    </xf>
    <xf numFmtId="0" fontId="71" fillId="2" borderId="12" xfId="0" applyFont="1" applyFill="1" applyBorder="1" applyAlignment="1">
      <alignment horizontal="center"/>
    </xf>
    <xf numFmtId="0" fontId="56" fillId="7" borderId="104" xfId="18" applyNumberFormat="1" applyBorder="1">
      <alignment horizontal="center" vertical="center"/>
    </xf>
    <xf numFmtId="0" fontId="56" fillId="7" borderId="59" xfId="18" applyNumberFormat="1" applyBorder="1" applyAlignment="1">
      <alignment horizontal="right" vertical="center"/>
    </xf>
    <xf numFmtId="0" fontId="56" fillId="7" borderId="115" xfId="18" applyNumberFormat="1" applyBorder="1" applyAlignment="1">
      <alignment horizontal="right" vertical="center"/>
    </xf>
    <xf numFmtId="0" fontId="7" fillId="9" borderId="34" xfId="0" applyFont="1" applyFill="1" applyBorder="1" applyAlignment="1">
      <alignment horizontal="center" vertical="center" wrapText="1"/>
    </xf>
    <xf numFmtId="0" fontId="7" fillId="9" borderId="32" xfId="0" applyFont="1" applyFill="1" applyBorder="1" applyAlignment="1">
      <alignment horizontal="center" vertical="center" wrapText="1"/>
    </xf>
    <xf numFmtId="0" fontId="7" fillId="0" borderId="42" xfId="0" applyFont="1" applyBorder="1" applyAlignment="1">
      <alignment horizontal="left"/>
    </xf>
    <xf numFmtId="0" fontId="7" fillId="0" borderId="0" xfId="0" applyFont="1" applyBorder="1" applyAlignment="1">
      <alignment horizontal="left"/>
    </xf>
    <xf numFmtId="0" fontId="7" fillId="0" borderId="34" xfId="0" applyFont="1" applyBorder="1" applyAlignment="1">
      <alignment horizontal="left"/>
    </xf>
    <xf numFmtId="0" fontId="7" fillId="0" borderId="32" xfId="0" applyFont="1" applyBorder="1" applyAlignment="1">
      <alignment horizontal="left"/>
    </xf>
    <xf numFmtId="0" fontId="10" fillId="9" borderId="34" xfId="0" applyFont="1" applyFill="1" applyBorder="1" applyAlignment="1">
      <alignment horizontal="center" vertical="center"/>
    </xf>
    <xf numFmtId="0" fontId="10" fillId="9" borderId="33" xfId="0" applyFont="1" applyFill="1" applyBorder="1" applyAlignment="1">
      <alignment horizontal="center" vertical="center"/>
    </xf>
    <xf numFmtId="0" fontId="10" fillId="9" borderId="32" xfId="0" applyFont="1" applyFill="1" applyBorder="1" applyAlignment="1">
      <alignment horizontal="center" vertical="center"/>
    </xf>
    <xf numFmtId="0" fontId="7" fillId="0" borderId="43" xfId="0" applyFont="1" applyBorder="1" applyAlignment="1">
      <alignment horizontal="left"/>
    </xf>
    <xf numFmtId="0" fontId="19" fillId="7" borderId="0" xfId="0" applyFont="1" applyFill="1" applyAlignment="1">
      <alignment horizontal="left" vertical="center" wrapText="1"/>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0"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37" fillId="20" borderId="34" xfId="0" applyFont="1" applyFill="1" applyBorder="1" applyAlignment="1">
      <alignment horizontal="center"/>
    </xf>
    <xf numFmtId="0" fontId="37" fillId="20" borderId="32" xfId="0" applyFont="1" applyFill="1" applyBorder="1" applyAlignment="1">
      <alignment horizontal="center"/>
    </xf>
    <xf numFmtId="167" fontId="37" fillId="20" borderId="34" xfId="0" applyNumberFormat="1" applyFont="1" applyFill="1" applyBorder="1" applyAlignment="1">
      <alignment horizontal="center"/>
    </xf>
    <xf numFmtId="167" fontId="37" fillId="20" borderId="32" xfId="0" applyNumberFormat="1" applyFont="1" applyFill="1" applyBorder="1" applyAlignment="1">
      <alignment horizontal="center"/>
    </xf>
    <xf numFmtId="0" fontId="17" fillId="0" borderId="16" xfId="0" applyFont="1" applyBorder="1" applyAlignment="1">
      <alignment horizontal="center" vertical="center"/>
    </xf>
    <xf numFmtId="0" fontId="17" fillId="0" borderId="17" xfId="0" applyFont="1" applyBorder="1" applyAlignment="1">
      <alignment horizontal="center" vertical="center"/>
    </xf>
    <xf numFmtId="0" fontId="17" fillId="0" borderId="18" xfId="0" applyFont="1" applyBorder="1" applyAlignment="1">
      <alignment horizontal="center" vertical="center"/>
    </xf>
    <xf numFmtId="0" fontId="17" fillId="0" borderId="19" xfId="0" applyFont="1" applyBorder="1" applyAlignment="1">
      <alignment horizontal="center" vertical="center"/>
    </xf>
    <xf numFmtId="0" fontId="17" fillId="0" borderId="0" xfId="0" applyFont="1" applyBorder="1" applyAlignment="1">
      <alignment horizontal="center" vertical="center"/>
    </xf>
    <xf numFmtId="0" fontId="17" fillId="0" borderId="20" xfId="0" applyFont="1" applyBorder="1" applyAlignment="1">
      <alignment horizontal="center" vertical="center"/>
    </xf>
    <xf numFmtId="0" fontId="17" fillId="0" borderId="21" xfId="0" applyFont="1" applyBorder="1" applyAlignment="1">
      <alignment horizontal="center" vertical="center"/>
    </xf>
    <xf numFmtId="0" fontId="17" fillId="0" borderId="22" xfId="0" applyFont="1" applyBorder="1" applyAlignment="1">
      <alignment horizontal="center" vertical="center"/>
    </xf>
    <xf numFmtId="0" fontId="17" fillId="0" borderId="23" xfId="0" applyFont="1" applyBorder="1" applyAlignment="1">
      <alignment horizontal="center" vertical="center"/>
    </xf>
    <xf numFmtId="0" fontId="7" fillId="0" borderId="0" xfId="0" applyFont="1" applyBorder="1" applyAlignment="1">
      <alignment horizontal="center"/>
    </xf>
    <xf numFmtId="0" fontId="9" fillId="0" borderId="0" xfId="0" applyFont="1" applyBorder="1" applyAlignment="1">
      <alignment horizontal="left"/>
    </xf>
    <xf numFmtId="168" fontId="37" fillId="20" borderId="34" xfId="0" applyNumberFormat="1" applyFont="1" applyFill="1" applyBorder="1" applyAlignment="1">
      <alignment horizontal="center"/>
    </xf>
    <xf numFmtId="168" fontId="37" fillId="20" borderId="32" xfId="0" applyNumberFormat="1" applyFont="1" applyFill="1" applyBorder="1" applyAlignment="1">
      <alignment horizontal="center"/>
    </xf>
    <xf numFmtId="168" fontId="37" fillId="15" borderId="0" xfId="0" applyNumberFormat="1" applyFont="1" applyFill="1" applyBorder="1" applyAlignment="1">
      <alignment horizontal="center"/>
    </xf>
    <xf numFmtId="167" fontId="37" fillId="15" borderId="0" xfId="0" applyNumberFormat="1" applyFont="1" applyFill="1" applyBorder="1" applyAlignment="1">
      <alignment horizontal="center"/>
    </xf>
    <xf numFmtId="0" fontId="37" fillId="20" borderId="29" xfId="0" applyFont="1" applyFill="1" applyBorder="1" applyAlignment="1">
      <alignment horizontal="center" vertical="center"/>
    </xf>
    <xf numFmtId="0" fontId="37" fillId="20" borderId="25" xfId="0" applyFont="1" applyFill="1" applyBorder="1" applyAlignment="1">
      <alignment horizontal="center" vertical="center"/>
    </xf>
    <xf numFmtId="0" fontId="21" fillId="0" borderId="16"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0" fontId="21" fillId="0" borderId="19" xfId="0" applyFont="1" applyBorder="1" applyAlignment="1">
      <alignment horizontal="center" vertical="center"/>
    </xf>
    <xf numFmtId="0" fontId="21" fillId="0" borderId="0" xfId="0" applyFont="1" applyBorder="1" applyAlignment="1">
      <alignment horizontal="center" vertical="center"/>
    </xf>
    <xf numFmtId="0" fontId="21" fillId="0" borderId="20" xfId="0" applyFont="1" applyBorder="1" applyAlignment="1">
      <alignment horizontal="center" vertical="center"/>
    </xf>
    <xf numFmtId="0" fontId="21" fillId="0" borderId="21" xfId="0" applyFont="1" applyBorder="1" applyAlignment="1">
      <alignment horizontal="center" vertical="center"/>
    </xf>
    <xf numFmtId="0" fontId="21" fillId="0" borderId="22" xfId="0" applyFont="1" applyBorder="1" applyAlignment="1">
      <alignment horizontal="center" vertical="center"/>
    </xf>
    <xf numFmtId="0" fontId="21" fillId="0" borderId="23" xfId="0" applyFont="1" applyBorder="1" applyAlignment="1">
      <alignment horizontal="center" vertical="center"/>
    </xf>
    <xf numFmtId="0" fontId="0" fillId="0" borderId="0" xfId="0" applyAlignment="1">
      <alignment horizontal="center"/>
    </xf>
    <xf numFmtId="0" fontId="8" fillId="13" borderId="0" xfId="0" applyFont="1" applyFill="1" applyBorder="1" applyAlignment="1">
      <alignment horizontal="center" vertical="center"/>
    </xf>
    <xf numFmtId="168" fontId="56" fillId="17" borderId="59" xfId="17" applyNumberFormat="1" applyAlignment="1" applyProtection="1">
      <alignment horizontal="center" vertical="center"/>
    </xf>
    <xf numFmtId="49" fontId="56" fillId="17" borderId="76" xfId="17" applyNumberFormat="1" applyBorder="1" applyAlignment="1" applyProtection="1">
      <alignment horizontal="center" vertical="center"/>
    </xf>
    <xf numFmtId="49" fontId="56" fillId="17" borderId="77" xfId="17" applyNumberFormat="1" applyBorder="1" applyAlignment="1" applyProtection="1">
      <alignment horizontal="center" vertical="center"/>
    </xf>
  </cellXfs>
  <cellStyles count="29">
    <cellStyle name="20% - Ênfase1" xfId="1" builtinId="30" customBuiltin="1"/>
    <cellStyle name="20% - Ênfase2" xfId="7" builtinId="34" customBuiltin="1"/>
    <cellStyle name="20% - Ênfase3" xfId="9" builtinId="38" customBuiltin="1"/>
    <cellStyle name="20% - Ênfase4" xfId="11" builtinId="42" customBuiltin="1"/>
    <cellStyle name="20% - Ênfase5" xfId="13" builtinId="46" customBuiltin="1"/>
    <cellStyle name="20% - Ênfase6" xfId="15" builtinId="50" customBuiltin="1"/>
    <cellStyle name="40% - Ênfase1" xfId="6" builtinId="31" customBuiltin="1"/>
    <cellStyle name="40% - Ênfase2" xfId="8" builtinId="35" customBuiltin="1"/>
    <cellStyle name="40% - Ênfase3" xfId="10" builtinId="39" customBuiltin="1"/>
    <cellStyle name="40% - Ênfase4" xfId="12" builtinId="43" customBuiltin="1"/>
    <cellStyle name="40% - Ênfase5" xfId="14" builtinId="47" customBuiltin="1"/>
    <cellStyle name="40% - Ênfase6" xfId="16" builtinId="51" customBuiltin="1"/>
    <cellStyle name="Dados Chave" xfId="26"/>
    <cellStyle name="Dados Editáveis" xfId="17"/>
    <cellStyle name="Dados Fixos" xfId="18"/>
    <cellStyle name="Dados Obrigatórios com validação DDs" xfId="23"/>
    <cellStyle name="Dados Opcionais" xfId="19"/>
    <cellStyle name="Ênfase1" xfId="2" builtinId="29" customBuiltin="1"/>
    <cellStyle name="Estilo 1" xfId="25"/>
    <cellStyle name="Fixos" xfId="27"/>
    <cellStyle name="Fórmulas" xfId="20"/>
    <cellStyle name="Hiperlink" xfId="28" builtinId="8"/>
    <cellStyle name="Moeda" xfId="3" builtinId="4" customBuiltin="1"/>
    <cellStyle name="Normal" xfId="0" builtinId="0" customBuiltin="1"/>
    <cellStyle name="Porcentagem" xfId="4" builtinId="5"/>
    <cellStyle name="Saída" xfId="5" builtinId="21" customBuiltin="1"/>
    <cellStyle name="Script" xfId="21"/>
    <cellStyle name="Subtítulos" xfId="24"/>
    <cellStyle name="Títulos" xfId="22"/>
  </cellStyles>
  <dxfs count="167">
    <dxf>
      <font>
        <color rgb="FFC00000"/>
      </font>
    </dxf>
    <dxf>
      <font>
        <color theme="0" tint="-0.14996795556505021"/>
      </font>
    </dxf>
    <dxf>
      <font>
        <color theme="0" tint="-0.14996795556505021"/>
      </font>
    </dxf>
    <dxf>
      <font>
        <color theme="0" tint="-0.14996795556505021"/>
      </font>
    </dxf>
    <dxf>
      <font>
        <color theme="0"/>
      </font>
    </dxf>
    <dxf>
      <font>
        <color theme="0"/>
      </font>
    </dxf>
    <dxf>
      <fill>
        <patternFill>
          <bgColor theme="0" tint="-0.14996795556505021"/>
        </patternFill>
      </fill>
      <border>
        <left style="thin">
          <color indexed="64"/>
        </left>
        <right style="thin">
          <color indexed="64"/>
        </right>
        <top style="thin">
          <color indexed="64"/>
        </top>
        <bottom style="thin">
          <color indexed="64"/>
        </bottom>
      </border>
    </dxf>
    <dxf>
      <fill>
        <patternFill>
          <bgColor theme="0" tint="-0.14996795556505021"/>
        </patternFill>
      </fill>
      <border>
        <left style="thin">
          <color indexed="64"/>
        </left>
        <right style="thin">
          <color indexed="64"/>
        </right>
        <top style="thin">
          <color indexed="64"/>
        </top>
        <bottom style="thin">
          <color indexed="64"/>
        </bottom>
      </border>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numFmt numFmtId="0" formatCode="General"/>
    </dxf>
    <dxf>
      <numFmt numFmtId="0" formatCode="General"/>
    </dxf>
    <dxf>
      <numFmt numFmtId="0" formatCode="General"/>
    </dxf>
    <dxf>
      <numFmt numFmtId="0" formatCode="General"/>
    </dxf>
    <dxf>
      <numFmt numFmtId="0" formatCode="General"/>
    </dxf>
    <dxf>
      <border outline="0">
        <top style="thin">
          <color indexed="64"/>
        </top>
        <bottom style="hair">
          <color indexed="64"/>
        </bottom>
      </border>
    </dxf>
    <dxf>
      <alignment horizontal="center" vertical="center" textRotation="0" wrapText="1"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2" formatCode="0.00"/>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4" formatCode="0.00%"/>
      <alignment horizontal="center" textRotation="0" wrapText="0" indent="0" justifyLastLine="0" shrinkToFit="0" readingOrder="0"/>
    </dxf>
    <dxf>
      <alignment horizontal="center" textRotation="0" wrapText="0" indent="0" justifyLastLine="0" shrinkToFit="0" readingOrder="0"/>
    </dxf>
    <dxf>
      <numFmt numFmtId="176" formatCode="[$-F400]h:mm:ss\ AM/PM"/>
      <alignment horizontal="center" textRotation="0" wrapText="0" indent="0" justifyLastLine="0" shrinkToFit="0" readingOrder="0"/>
    </dxf>
    <dxf>
      <numFmt numFmtId="176" formatCode="[$-F400]h:mm:ss\ AM/PM"/>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alignment horizontal="center" vertical="center" textRotation="0" wrapText="1" indent="0" justifyLastLine="0" shrinkToFit="0" readingOrder="0"/>
    </dxf>
    <dxf>
      <protection locked="1" hidden="0"/>
    </dxf>
    <dxf>
      <protection locked="1" hidden="0"/>
    </dxf>
    <dxf>
      <border outline="0">
        <top style="thin">
          <color indexed="64"/>
        </top>
        <bottom style="hair">
          <color indexed="64"/>
        </bottom>
      </border>
    </dxf>
    <dxf>
      <protection locked="1" hidden="0"/>
    </dxf>
    <dxf>
      <alignment horizontal="center" vertical="center" textRotation="0" wrapText="1" indent="0" justifyLastLine="0" shrinkToFit="0" readingOrder="0"/>
      <border diagonalUp="0" diagonalDown="0" outline="0">
        <left style="thin">
          <color indexed="64"/>
        </left>
        <right style="thin">
          <color indexed="64"/>
        </right>
        <top/>
        <bottom/>
      </border>
    </dxf>
    <dxf>
      <fill>
        <patternFill>
          <bgColor theme="5" tint="0.59996337778862885"/>
        </patternFill>
      </fill>
    </dxf>
    <dxf>
      <fill>
        <patternFill>
          <bgColor theme="5" tint="0.59996337778862885"/>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14996795556505021"/>
      </font>
    </dxf>
    <dxf>
      <font>
        <color theme="0" tint="-0.14996795556505021"/>
      </font>
    </dxf>
    <dxf>
      <font>
        <color theme="0"/>
      </font>
    </dxf>
    <dxf>
      <font>
        <color theme="0"/>
      </font>
    </dxf>
    <dxf>
      <font>
        <color theme="0"/>
      </font>
    </dxf>
    <dxf>
      <font>
        <color theme="0"/>
      </font>
    </dxf>
    <dxf>
      <font>
        <color theme="0"/>
      </font>
    </dxf>
    <dxf>
      <font>
        <color theme="0"/>
      </font>
    </dxf>
    <dxf>
      <font>
        <color theme="0"/>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b/>
        <i val="0"/>
        <color theme="0"/>
      </font>
      <fill>
        <patternFill>
          <bgColor rgb="FFFF0000"/>
        </patternFill>
      </fill>
    </dxf>
    <dxf>
      <font>
        <color theme="0" tint="-0.24994659260841701"/>
      </font>
    </dxf>
    <dxf>
      <font>
        <b/>
        <i val="0"/>
        <color theme="0"/>
      </font>
      <fill>
        <patternFill>
          <bgColor rgb="FFFF0000"/>
        </patternFill>
      </fill>
    </dxf>
    <dxf>
      <font>
        <color theme="0" tint="-0.24994659260841701"/>
      </font>
    </dxf>
    <dxf>
      <font>
        <color theme="0" tint="-0.14996795556505021"/>
      </font>
    </dxf>
    <dxf>
      <font>
        <color theme="0" tint="-0.14996795556505021"/>
      </font>
    </dxf>
    <dxf>
      <font>
        <color theme="0" tint="-0.14996795556505021"/>
      </font>
    </dxf>
    <dxf>
      <font>
        <color theme="9" tint="-0.24994659260841701"/>
      </font>
      <fill>
        <patternFill>
          <bgColor rgb="FFFFFF00"/>
        </patternFill>
      </fill>
    </dxf>
    <dxf>
      <font>
        <color theme="0" tint="-0.14996795556505021"/>
      </font>
    </dxf>
    <dxf>
      <font>
        <color theme="0" tint="-0.14996795556505021"/>
      </font>
    </dxf>
    <dxf>
      <font>
        <color theme="9" tint="-0.24994659260841701"/>
      </font>
      <fill>
        <patternFill>
          <bgColor rgb="FFFFFF00"/>
        </patternFill>
      </fill>
    </dxf>
    <dxf>
      <font>
        <color theme="9" tint="-0.24994659260841701"/>
      </font>
      <fill>
        <patternFill>
          <bgColor rgb="FFFFFF00"/>
        </patternFill>
      </fill>
    </dxf>
    <dxf>
      <font>
        <color theme="0" tint="-0.24994659260841701"/>
      </font>
    </dxf>
    <dxf>
      <font>
        <color theme="0" tint="-0.24994659260841701"/>
      </font>
    </dxf>
    <dxf>
      <font>
        <color theme="0" tint="-0.24994659260841701"/>
      </font>
    </dxf>
    <dxf>
      <font>
        <b/>
        <i val="0"/>
        <color theme="0"/>
      </font>
      <fill>
        <patternFill>
          <bgColor rgb="FFFF0000"/>
        </patternFill>
      </fill>
    </dxf>
    <dxf>
      <font>
        <color theme="0" tint="-0.14996795556505021"/>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dxf>
    <dxf>
      <font>
        <color theme="7" tint="0.39994506668294322"/>
      </font>
      <fill>
        <patternFill>
          <bgColor theme="7" tint="0.39994506668294322"/>
        </patternFill>
      </fill>
    </dxf>
    <dxf>
      <font>
        <color theme="0"/>
      </font>
      <fill>
        <patternFill>
          <bgColor theme="0"/>
        </patternFill>
      </fill>
      <border>
        <left/>
        <right/>
        <top/>
        <bottom/>
      </border>
    </dxf>
    <dxf>
      <font>
        <color theme="0"/>
      </font>
    </dxf>
    <dxf>
      <font>
        <color theme="0"/>
      </font>
    </dxf>
    <dxf>
      <font>
        <color theme="0"/>
      </font>
    </dxf>
    <dxf>
      <font>
        <color theme="0"/>
      </font>
    </dxf>
    <dxf>
      <font>
        <color theme="0"/>
      </font>
    </dxf>
    <dxf>
      <font>
        <color theme="0"/>
      </font>
      <fill>
        <patternFill>
          <bgColor theme="0"/>
        </patternFill>
      </fill>
      <border>
        <left/>
        <right/>
        <top/>
        <bottom/>
      </border>
    </dxf>
  </dxfs>
  <tableStyles count="0" defaultTableStyle="TableStyleMedium9" defaultPivotStyle="PivotStyleLight16"/>
  <colors>
    <mruColors>
      <color rgb="FFA9A9A9"/>
      <color rgb="FF464646"/>
      <color rgb="FFFFFFFF"/>
      <color rgb="FFCCFFFF"/>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90462372980209"/>
          <c:y val="7.5914664513089758E-2"/>
          <c:w val="0.79671464454040053"/>
          <c:h val="0.86813212362295511"/>
        </c:manualLayout>
      </c:layout>
      <c:barChart>
        <c:barDir val="col"/>
        <c:grouping val="percentStacked"/>
        <c:varyColors val="0"/>
        <c:ser>
          <c:idx val="0"/>
          <c:order val="0"/>
          <c:tx>
            <c:strRef>
              <c:f>'Pre Punching-PF03'!$C$29</c:f>
              <c:strCache>
                <c:ptCount val="1"/>
                <c:pt idx="0">
                  <c:v>Tempo de Corte</c:v>
                </c:pt>
              </c:strCache>
            </c:strRef>
          </c:tx>
          <c:spPr>
            <a:solidFill>
              <a:srgbClr val="FF000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Punching-PF03'!$E$29</c:f>
              <c:numCache>
                <c:formatCode>0%</c:formatCode>
                <c:ptCount val="1"/>
                <c:pt idx="0">
                  <c:v>0.18</c:v>
                </c:pt>
              </c:numCache>
            </c:numRef>
          </c:val>
          <c:extLst>
            <c:ext xmlns:c16="http://schemas.microsoft.com/office/drawing/2014/chart" uri="{C3380CC4-5D6E-409C-BE32-E72D297353CC}">
              <c16:uniqueId val="{00000000-80A0-4FBD-99D5-2FDFD53E55D2}"/>
            </c:ext>
          </c:extLst>
        </c:ser>
        <c:ser>
          <c:idx val="1"/>
          <c:order val="1"/>
          <c:tx>
            <c:strRef>
              <c:f>'Pre Punching-PF03'!$C$28</c:f>
              <c:strCache>
                <c:ptCount val="1"/>
                <c:pt idx="0">
                  <c:v>Tempo Livre para Avanço</c:v>
                </c:pt>
              </c:strCache>
            </c:strRef>
          </c:tx>
          <c:spPr>
            <a:solidFill>
              <a:srgbClr val="00B050"/>
            </a:solidFill>
          </c:spPr>
          <c:invertIfNegative val="0"/>
          <c:dLbls>
            <c:spPr>
              <a:noFill/>
              <a:ln w="25400">
                <a:noFill/>
              </a:ln>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pt-B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'Pre Punching-PF03'!$E$27</c:f>
              <c:strCache>
                <c:ptCount val="1"/>
                <c:pt idx="0">
                  <c:v>%</c:v>
                </c:pt>
              </c:strCache>
            </c:strRef>
          </c:cat>
          <c:val>
            <c:numRef>
              <c:f>'Pre Punching-PF03'!$E$28</c:f>
              <c:numCache>
                <c:formatCode>0%</c:formatCode>
                <c:ptCount val="1"/>
                <c:pt idx="0">
                  <c:v>0.82000000000000006</c:v>
                </c:pt>
              </c:numCache>
            </c:numRef>
          </c:val>
          <c:extLst>
            <c:ext xmlns:c16="http://schemas.microsoft.com/office/drawing/2014/chart" uri="{C3380CC4-5D6E-409C-BE32-E72D297353CC}">
              <c16:uniqueId val="{00000001-80A0-4FBD-99D5-2FDFD53E55D2}"/>
            </c:ext>
          </c:extLst>
        </c:ser>
        <c:dLbls>
          <c:showLegendKey val="0"/>
          <c:showVal val="0"/>
          <c:showCatName val="0"/>
          <c:showSerName val="0"/>
          <c:showPercent val="0"/>
          <c:showBubbleSize val="0"/>
        </c:dLbls>
        <c:gapWidth val="376"/>
        <c:overlap val="100"/>
        <c:axId val="674949864"/>
        <c:axId val="1"/>
      </c:barChart>
      <c:catAx>
        <c:axId val="674949864"/>
        <c:scaling>
          <c:orientation val="minMax"/>
        </c:scaling>
        <c:delete val="1"/>
        <c:axPos val="b"/>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9864"/>
        <c:crosses val="autoZero"/>
        <c:crossBetween val="between"/>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504443676981781"/>
          <c:y val="0"/>
          <c:w val="0.70884004602051376"/>
          <c:h val="1"/>
        </c:manualLayout>
      </c:layout>
      <c:pieChart>
        <c:varyColors val="1"/>
        <c:ser>
          <c:idx val="0"/>
          <c:order val="0"/>
          <c:tx>
            <c:strRef>
              <c:f>'Pre Punching-PF03'!$C$31:$C$32</c:f>
              <c:strCache>
                <c:ptCount val="1"/>
                <c:pt idx="0">
                  <c:v>Ângulo de Alimentação</c:v>
                </c:pt>
              </c:strCache>
            </c:strRef>
          </c:tx>
          <c:spPr>
            <a:solidFill>
              <a:srgbClr val="00B050"/>
            </a:solidFill>
            <a:ln>
              <a:noFill/>
            </a:ln>
          </c:spPr>
          <c:dPt>
            <c:idx val="0"/>
            <c:bubble3D val="0"/>
            <c:extLst>
              <c:ext xmlns:c16="http://schemas.microsoft.com/office/drawing/2014/chart" uri="{C3380CC4-5D6E-409C-BE32-E72D297353CC}">
                <c16:uniqueId val="{00000000-1121-462B-AF24-547D66342D0D}"/>
              </c:ext>
            </c:extLst>
          </c:dPt>
          <c:dPt>
            <c:idx val="1"/>
            <c:bubble3D val="0"/>
            <c:spPr>
              <a:solidFill>
                <a:srgbClr val="FF0000"/>
              </a:solidFill>
              <a:ln>
                <a:noFill/>
              </a:ln>
            </c:spPr>
            <c:extLst>
              <c:ext xmlns:c16="http://schemas.microsoft.com/office/drawing/2014/chart" uri="{C3380CC4-5D6E-409C-BE32-E72D297353CC}">
                <c16:uniqueId val="{00000001-1121-462B-AF24-547D66342D0D}"/>
              </c:ext>
            </c:extLst>
          </c:dPt>
          <c:dPt>
            <c:idx val="2"/>
            <c:bubble3D val="0"/>
            <c:extLst>
              <c:ext xmlns:c16="http://schemas.microsoft.com/office/drawing/2014/chart" uri="{C3380CC4-5D6E-409C-BE32-E72D297353CC}">
                <c16:uniqueId val="{00000002-1121-462B-AF24-547D66342D0D}"/>
              </c:ext>
            </c:extLst>
          </c:dPt>
          <c:cat>
            <c:multiLvlStrRef>
              <c:f>('Pre Punching-PF03'!$C$37:$E$38,'Pre Punching-PF03'!$G$37:$G$38)</c:f>
              <c:multiLvlStrCache>
                <c:ptCount val="4"/>
                <c:lvl>
                  <c:pt idx="3">
                    <c:v>40</c:v>
                  </c:pt>
                </c:lvl>
                <c:lvl>
                  <c:pt idx="2">
                    <c:v>148°</c:v>
                  </c:pt>
                  <c:pt idx="3">
                    <c:v>148°</c:v>
                  </c:pt>
                </c:lvl>
              </c:multiLvlStrCache>
            </c:multiLvlStrRef>
          </c:cat>
          <c:val>
            <c:numRef>
              <c:f>'Pre Punching-PF03'!$E$37:$G$37</c:f>
              <c:numCache>
                <c:formatCode>0\°</c:formatCode>
                <c:ptCount val="3"/>
                <c:pt idx="0">
                  <c:v>147.60000000000002</c:v>
                </c:pt>
                <c:pt idx="1">
                  <c:v>64.8</c:v>
                </c:pt>
                <c:pt idx="2">
                  <c:v>147.60000000000002</c:v>
                </c:pt>
              </c:numCache>
            </c:numRef>
          </c:val>
          <c:extLst>
            <c:ext xmlns:c16="http://schemas.microsoft.com/office/drawing/2014/chart" uri="{C3380CC4-5D6E-409C-BE32-E72D297353CC}">
              <c16:uniqueId val="{00000003-1121-462B-AF24-547D66342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Punching-PF03'!$F$51:$F$54</c:f>
              <c:numCache>
                <c:formatCode>#,#00</c:formatCode>
                <c:ptCount val="4"/>
                <c:pt idx="0" formatCode="General">
                  <c:v>0</c:v>
                </c:pt>
                <c:pt idx="1">
                  <c:v>22.222222222222218</c:v>
                </c:pt>
                <c:pt idx="2">
                  <c:v>129.77777777777777</c:v>
                </c:pt>
                <c:pt idx="3">
                  <c:v>152</c:v>
                </c:pt>
              </c:numCache>
            </c:numRef>
          </c:xVal>
          <c:yVal>
            <c:numRef>
              <c:f>'Pre Punching-PF03'!$H$51:$H$54</c:f>
              <c:numCache>
                <c:formatCode>General</c:formatCode>
                <c:ptCount val="4"/>
                <c:pt idx="0">
                  <c:v>0</c:v>
                </c:pt>
                <c:pt idx="1">
                  <c:v>40</c:v>
                </c:pt>
                <c:pt idx="2">
                  <c:v>40</c:v>
                </c:pt>
                <c:pt idx="3">
                  <c:v>0</c:v>
                </c:pt>
              </c:numCache>
            </c:numRef>
          </c:yVal>
          <c:smooth val="0"/>
          <c:extLst>
            <c:ext xmlns:c16="http://schemas.microsoft.com/office/drawing/2014/chart" uri="{C3380CC4-5D6E-409C-BE32-E72D297353CC}">
              <c16:uniqueId val="{00000000-A408-4FC4-AAFB-B61C79AA924F}"/>
            </c:ext>
          </c:extLst>
        </c:ser>
        <c:dLbls>
          <c:showLegendKey val="0"/>
          <c:showVal val="0"/>
          <c:showCatName val="0"/>
          <c:showSerName val="0"/>
          <c:showPercent val="0"/>
          <c:showBubbleSize val="0"/>
        </c:dLbls>
        <c:axId val="674944616"/>
        <c:axId val="1"/>
      </c:scatterChart>
      <c:valAx>
        <c:axId val="674944616"/>
        <c:scaling>
          <c:orientation val="minMax"/>
        </c:scaling>
        <c:delete val="0"/>
        <c:axPos val="b"/>
        <c:numFmt formatCode="General" sourceLinked="1"/>
        <c:majorTickMark val="cross"/>
        <c:minorTickMark val="in"/>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numFmt formatCode="General" sourceLinked="1"/>
        <c:majorTickMark val="out"/>
        <c:minorTickMark val="in"/>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4616"/>
        <c:crosses val="autoZero"/>
        <c:crossBetween val="midCat"/>
      </c:valAx>
    </c:plotArea>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'Pre Punching-PF01'!$L$11:$L$14</c:f>
              <c:numCache>
                <c:formatCode>#,#00</c:formatCode>
                <c:ptCount val="4"/>
                <c:pt idx="0" formatCode="General">
                  <c:v>0</c:v>
                </c:pt>
                <c:pt idx="1">
                  <c:v>2.7777777777777772</c:v>
                </c:pt>
                <c:pt idx="2">
                  <c:v>47.222222222222221</c:v>
                </c:pt>
                <c:pt idx="3">
                  <c:v>50</c:v>
                </c:pt>
              </c:numCache>
            </c:numRef>
          </c:xVal>
          <c:yVal>
            <c:numRef>
              <c:f>'Pre Punching-PF01'!$N$11:$N$14</c:f>
              <c:numCache>
                <c:formatCode>#,#00</c:formatCode>
                <c:ptCount val="4"/>
                <c:pt idx="0" formatCode="General">
                  <c:v>0</c:v>
                </c:pt>
                <c:pt idx="1">
                  <c:v>10</c:v>
                </c:pt>
                <c:pt idx="2">
                  <c:v>10</c:v>
                </c:pt>
                <c:pt idx="3" formatCode="General">
                  <c:v>0</c:v>
                </c:pt>
              </c:numCache>
            </c:numRef>
          </c:yVal>
          <c:smooth val="0"/>
          <c:extLst>
            <c:ext xmlns:c16="http://schemas.microsoft.com/office/drawing/2014/chart" uri="{C3380CC4-5D6E-409C-BE32-E72D297353CC}">
              <c16:uniqueId val="{00000000-A414-4FA4-8B68-F6FC2A37F111}"/>
            </c:ext>
          </c:extLst>
        </c:ser>
        <c:dLbls>
          <c:showLegendKey val="0"/>
          <c:showVal val="0"/>
          <c:showCatName val="0"/>
          <c:showSerName val="0"/>
          <c:showPercent val="0"/>
          <c:showBubbleSize val="0"/>
        </c:dLbls>
        <c:axId val="674941336"/>
        <c:axId val="1"/>
      </c:scatterChart>
      <c:valAx>
        <c:axId val="674941336"/>
        <c:scaling>
          <c:orientation val="minMax"/>
        </c:scaling>
        <c:delete val="0"/>
        <c:axPos val="b"/>
        <c:majorGridlines>
          <c:spPr>
            <a:ln w="6350">
              <a:prstDash val="lgDash"/>
            </a:ln>
          </c:spPr>
        </c:majorGridlines>
        <c:minorGridlines>
          <c:spPr>
            <a:ln w="6350">
              <a:prstDash val="lgDash"/>
            </a:ln>
          </c:spPr>
        </c:minorGridlines>
        <c:title>
          <c:tx>
            <c:rich>
              <a:bodyPr/>
              <a:lstStyle/>
              <a:p>
                <a:pPr>
                  <a:defRPr/>
                </a:pPr>
                <a:r>
                  <a:rPr lang="pt-BR"/>
                  <a:t>Avanço(m)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Velocidade (m/s)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41336"/>
        <c:crosses val="autoZero"/>
        <c:crossBetween val="midCat"/>
      </c:valAx>
    </c:plotArea>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Punching-PF01'!$C$60</c:f>
              <c:numCache>
                <c:formatCode>0.00</c:formatCode>
                <c:ptCount val="1"/>
                <c:pt idx="0">
                  <c:v>1</c:v>
                </c:pt>
              </c:numCache>
            </c:numRef>
          </c:val>
          <c:extLst>
            <c:ext xmlns:c16="http://schemas.microsoft.com/office/drawing/2014/chart" uri="{C3380CC4-5D6E-409C-BE32-E72D297353CC}">
              <c16:uniqueId val="{00000000-2DB8-468E-9647-196707CE4BF0}"/>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Punching-PF01'!$C$61</c:f>
              <c:numCache>
                <c:formatCode>0,000</c:formatCode>
                <c:ptCount val="1"/>
                <c:pt idx="0">
                  <c:v>0.33333333333333337</c:v>
                </c:pt>
              </c:numCache>
            </c:numRef>
          </c:val>
          <c:extLst>
            <c:ext xmlns:c16="http://schemas.microsoft.com/office/drawing/2014/chart" uri="{C3380CC4-5D6E-409C-BE32-E72D297353CC}">
              <c16:uniqueId val="{00000001-2DB8-468E-9647-196707CE4BF0}"/>
            </c:ext>
          </c:extLst>
        </c:ser>
        <c:ser>
          <c:idx val="2"/>
          <c:order val="2"/>
          <c:tx>
            <c:v>Fator de Correção</c:v>
          </c:tx>
          <c:spPr>
            <a:solidFill>
              <a:srgbClr val="00B0F0"/>
            </a:solidFill>
          </c:spPr>
          <c:invertIfNegative val="0"/>
          <c:dLbls>
            <c:dLbl>
              <c:idx val="0"/>
              <c:spPr/>
              <c:txPr>
                <a:bodyPr/>
                <a:lstStyle/>
                <a:p>
                  <a:pPr>
                    <a:defRPr/>
                  </a:pPr>
                  <a:endParaRPr lang="pt-B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2DB8-468E-9647-196707CE4BF0}"/>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strLit>
              <c:ptCount val="1"/>
              <c:pt idx="0">
                <c:v>Tempo (s)</c:v>
              </c:pt>
            </c:strLit>
          </c:cat>
          <c:val>
            <c:numRef>
              <c:f>'Pre Punching-PF01'!$C$64</c:f>
              <c:numCache>
                <c:formatCode>0,000</c:formatCode>
                <c:ptCount val="1"/>
                <c:pt idx="0">
                  <c:v>0.125</c:v>
                </c:pt>
              </c:numCache>
            </c:numRef>
          </c:val>
          <c:extLst>
            <c:ext xmlns:c16="http://schemas.microsoft.com/office/drawing/2014/chart" uri="{C3380CC4-5D6E-409C-BE32-E72D297353CC}">
              <c16:uniqueId val="{00000003-2DB8-468E-9647-196707CE4BF0}"/>
            </c:ext>
          </c:extLst>
        </c:ser>
        <c:dLbls>
          <c:showLegendKey val="0"/>
          <c:showVal val="0"/>
          <c:showCatName val="0"/>
          <c:showSerName val="0"/>
          <c:showPercent val="0"/>
          <c:showBubbleSize val="0"/>
        </c:dLbls>
        <c:gapWidth val="75"/>
        <c:overlap val="100"/>
        <c:axId val="674943304"/>
        <c:axId val="1"/>
      </c:barChart>
      <c:catAx>
        <c:axId val="674943304"/>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4330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Programação</a:t>
            </a:r>
          </a:p>
        </c:rich>
      </c:tx>
      <c:overlay val="0"/>
    </c:title>
    <c:autoTitleDeleted val="0"/>
    <c:plotArea>
      <c:layout/>
      <c:scatterChart>
        <c:scatterStyle val="lineMarker"/>
        <c:varyColors val="0"/>
        <c:ser>
          <c:idx val="0"/>
          <c:order val="0"/>
          <c:tx>
            <c:v>Linha 1</c:v>
          </c:tx>
          <c:marker>
            <c:symbol val="none"/>
          </c:marker>
          <c:xVal>
            <c:numRef>
              <c:f>'[2]PRE PUNCHING PF01'!$M$29:$M$32</c:f>
              <c:numCache>
                <c:formatCode>General</c:formatCode>
                <c:ptCount val="4"/>
                <c:pt idx="0">
                  <c:v>0</c:v>
                </c:pt>
                <c:pt idx="1">
                  <c:v>6.25</c:v>
                </c:pt>
                <c:pt idx="2">
                  <c:v>93.750000000000014</c:v>
                </c:pt>
                <c:pt idx="3">
                  <c:v>100.00000000000001</c:v>
                </c:pt>
              </c:numCache>
            </c:numRef>
          </c:xVal>
          <c:yVal>
            <c:numRef>
              <c:f>'[2]PRE PUNCHING PF01'!$O$29:$O$32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0-E6F6-4321-83EB-44EEE55C70E4}"/>
            </c:ext>
          </c:extLst>
        </c:ser>
        <c:ser>
          <c:idx val="1"/>
          <c:order val="1"/>
          <c:tx>
            <c:v>Linha 2</c:v>
          </c:tx>
          <c:marker>
            <c:symbol val="none"/>
          </c:marker>
          <c:xVal>
            <c:numRef>
              <c:f>'[2]PRE PUNCHING PF01'!$P$29:$P$32</c:f>
              <c:numCache>
                <c:formatCode>General</c:formatCode>
                <c:ptCount val="4"/>
                <c:pt idx="0">
                  <c:v>0</c:v>
                </c:pt>
                <c:pt idx="1">
                  <c:v>6.25</c:v>
                </c:pt>
                <c:pt idx="2">
                  <c:v>6.25</c:v>
                </c:pt>
                <c:pt idx="3">
                  <c:v>12.5</c:v>
                </c:pt>
              </c:numCache>
            </c:numRef>
          </c:xVal>
          <c:yVal>
            <c:numRef>
              <c:f>'[2]PRE PUNCHING PF01'!$R$29:$R$32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1-E6F6-4321-83EB-44EEE55C70E4}"/>
            </c:ext>
          </c:extLst>
        </c:ser>
        <c:ser>
          <c:idx val="2"/>
          <c:order val="2"/>
          <c:tx>
            <c:v>Linha 3</c:v>
          </c:tx>
          <c:marker>
            <c:symbol val="none"/>
          </c:marker>
          <c:xVal>
            <c:numRef>
              <c:f>'[2]PRE PUNCHING PF01'!$S$29:$S$32</c:f>
              <c:numCache>
                <c:formatCode>General</c:formatCode>
                <c:ptCount val="4"/>
                <c:pt idx="0">
                  <c:v>0</c:v>
                </c:pt>
                <c:pt idx="1">
                  <c:v>6.25</c:v>
                </c:pt>
                <c:pt idx="2">
                  <c:v>1293.7500000000002</c:v>
                </c:pt>
                <c:pt idx="3">
                  <c:v>1300.0000000000002</c:v>
                </c:pt>
              </c:numCache>
            </c:numRef>
          </c:xVal>
          <c:yVal>
            <c:numRef>
              <c:f>'[2]PRE PUNCHING PF01'!$U$29:$U$32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2-E6F6-4321-83EB-44EEE55C70E4}"/>
            </c:ext>
          </c:extLst>
        </c:ser>
        <c:ser>
          <c:idx val="3"/>
          <c:order val="3"/>
          <c:tx>
            <c:v>Linha 4</c:v>
          </c:tx>
          <c:marker>
            <c:symbol val="none"/>
          </c:marker>
          <c:xVal>
            <c:numRef>
              <c:f>'[2]PRE PUNCHING PF01'!$V$29:$V$32</c:f>
              <c:numCache>
                <c:formatCode>General</c:formatCode>
                <c:ptCount val="4"/>
                <c:pt idx="0">
                  <c:v>0</c:v>
                </c:pt>
                <c:pt idx="1">
                  <c:v>6.25</c:v>
                </c:pt>
                <c:pt idx="2">
                  <c:v>654.75</c:v>
                </c:pt>
                <c:pt idx="3">
                  <c:v>661</c:v>
                </c:pt>
              </c:numCache>
            </c:numRef>
          </c:xVal>
          <c:yVal>
            <c:numRef>
              <c:f>'[2]PRE PUNCHING PF01'!$X$29:$X$32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3-E6F6-4321-83EB-44EEE55C70E4}"/>
            </c:ext>
          </c:extLst>
        </c:ser>
        <c:ser>
          <c:idx val="4"/>
          <c:order val="4"/>
          <c:tx>
            <c:v>Linha 5</c:v>
          </c:tx>
          <c:marker>
            <c:symbol val="none"/>
          </c:marker>
          <c:xVal>
            <c:numRef>
              <c:f>'[2]PRE PUNCHING PF01'!$Y$29:$Y$32</c:f>
              <c:numCache>
                <c:formatCode>General</c:formatCode>
                <c:ptCount val="4"/>
                <c:pt idx="0">
                  <c:v>0</c:v>
                </c:pt>
                <c:pt idx="1">
                  <c:v>6.25</c:v>
                </c:pt>
                <c:pt idx="2">
                  <c:v>1024.75</c:v>
                </c:pt>
                <c:pt idx="3">
                  <c:v>1031</c:v>
                </c:pt>
              </c:numCache>
            </c:numRef>
          </c:xVal>
          <c:yVal>
            <c:numRef>
              <c:f>'[2]PRE PUNCHING PF01'!$AA$29:$AA$32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4-E6F6-4321-83EB-44EEE55C70E4}"/>
            </c:ext>
          </c:extLst>
        </c:ser>
        <c:ser>
          <c:idx val="5"/>
          <c:order val="5"/>
          <c:tx>
            <c:v>Linha 6</c:v>
          </c:tx>
          <c:marker>
            <c:symbol val="none"/>
          </c:marker>
          <c:xVal>
            <c:numRef>
              <c:f>'[2]PRE PUNCHING PF01'!$AB$29:$AB$32</c:f>
              <c:numCache>
                <c:formatCode>General</c:formatCode>
                <c:ptCount val="4"/>
                <c:pt idx="0">
                  <c:v>0</c:v>
                </c:pt>
                <c:pt idx="1">
                  <c:v>6.25</c:v>
                </c:pt>
                <c:pt idx="2">
                  <c:v>262.75</c:v>
                </c:pt>
                <c:pt idx="3">
                  <c:v>269</c:v>
                </c:pt>
              </c:numCache>
            </c:numRef>
          </c:xVal>
          <c:yVal>
            <c:numRef>
              <c:f>'[2]PRE PUNCHING PF01'!$AD$29:$AD$32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5-E6F6-4321-83EB-44EEE55C70E4}"/>
            </c:ext>
          </c:extLst>
        </c:ser>
        <c:ser>
          <c:idx val="6"/>
          <c:order val="6"/>
          <c:tx>
            <c:v>Linha 7</c:v>
          </c:tx>
          <c:marker>
            <c:symbol val="none"/>
          </c:marker>
          <c:xVal>
            <c:numRef>
              <c:f>'[2]PRE PUNCHING PF01'!$AE$29:$AE$32</c:f>
              <c:numCache>
                <c:formatCode>General</c:formatCode>
                <c:ptCount val="4"/>
                <c:pt idx="0">
                  <c:v>0</c:v>
                </c:pt>
                <c:pt idx="1">
                  <c:v>6.25</c:v>
                </c:pt>
                <c:pt idx="2">
                  <c:v>654.75</c:v>
                </c:pt>
                <c:pt idx="3">
                  <c:v>661</c:v>
                </c:pt>
              </c:numCache>
            </c:numRef>
          </c:xVal>
          <c:yVal>
            <c:numRef>
              <c:f>'[2]PRE PUNCHING PF01'!$AG$29:$AG$32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6-E6F6-4321-83EB-44EEE55C70E4}"/>
            </c:ext>
          </c:extLst>
        </c:ser>
        <c:ser>
          <c:idx val="7"/>
          <c:order val="7"/>
          <c:tx>
            <c:v>Linha 8</c:v>
          </c:tx>
          <c:marker>
            <c:symbol val="none"/>
          </c:marker>
          <c:xVal>
            <c:numRef>
              <c:f>'[2]PRE PUNCHING PF01'!$AH$29:$AH$32</c:f>
              <c:numCache>
                <c:formatCode>General</c:formatCode>
                <c:ptCount val="4"/>
                <c:pt idx="0">
                  <c:v>0</c:v>
                </c:pt>
                <c:pt idx="1">
                  <c:v>6.25</c:v>
                </c:pt>
                <c:pt idx="2">
                  <c:v>1293.7500000000002</c:v>
                </c:pt>
                <c:pt idx="3">
                  <c:v>1300.0000000000002</c:v>
                </c:pt>
              </c:numCache>
            </c:numRef>
          </c:xVal>
          <c:yVal>
            <c:numRef>
              <c:f>'[2]PRE PUNCHING PF01'!$AJ$29:$AJ$32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7-E6F6-4321-83EB-44EEE55C70E4}"/>
            </c:ext>
          </c:extLst>
        </c:ser>
        <c:ser>
          <c:idx val="8"/>
          <c:order val="8"/>
          <c:tx>
            <c:v>Linha 9</c:v>
          </c:tx>
          <c:marker>
            <c:symbol val="none"/>
          </c:marker>
          <c:xVal>
            <c:numRef>
              <c:f>'[2]PRE PUNCHING PF01'!$AK$29:$AK$32</c:f>
              <c:numCache>
                <c:formatCode>General</c:formatCode>
                <c:ptCount val="4"/>
                <c:pt idx="0">
                  <c:v>0</c:v>
                </c:pt>
                <c:pt idx="1">
                  <c:v>6.25</c:v>
                </c:pt>
                <c:pt idx="2">
                  <c:v>654.75</c:v>
                </c:pt>
                <c:pt idx="3">
                  <c:v>661</c:v>
                </c:pt>
              </c:numCache>
            </c:numRef>
          </c:xVal>
          <c:yVal>
            <c:numRef>
              <c:f>'[2]PRE PUNCHING PF01'!$AM$29:$AM$32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8-E6F6-4321-83EB-44EEE55C70E4}"/>
            </c:ext>
          </c:extLst>
        </c:ser>
        <c:ser>
          <c:idx val="9"/>
          <c:order val="9"/>
          <c:tx>
            <c:v>Linha 10</c:v>
          </c:tx>
          <c:marker>
            <c:symbol val="none"/>
          </c:marker>
          <c:xVal>
            <c:numRef>
              <c:f>'[2]PRE PUNCHING PF01'!$AN$29:$AN$32</c:f>
              <c:numCache>
                <c:formatCode>General</c:formatCode>
                <c:ptCount val="4"/>
                <c:pt idx="0">
                  <c:v>0</c:v>
                </c:pt>
                <c:pt idx="1">
                  <c:v>6.25</c:v>
                </c:pt>
                <c:pt idx="2">
                  <c:v>727.75</c:v>
                </c:pt>
                <c:pt idx="3">
                  <c:v>734</c:v>
                </c:pt>
              </c:numCache>
            </c:numRef>
          </c:xVal>
          <c:yVal>
            <c:numRef>
              <c:f>'[2]PRE PUNCHING PF01'!$AP$29:$AP$32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9-E6F6-4321-83EB-44EEE55C70E4}"/>
            </c:ext>
          </c:extLst>
        </c:ser>
        <c:ser>
          <c:idx val="10"/>
          <c:order val="10"/>
          <c:tx>
            <c:v>Linha 11</c:v>
          </c:tx>
          <c:marker>
            <c:symbol val="none"/>
          </c:marker>
          <c:xVal>
            <c:numRef>
              <c:f>'[2]PRE PUNCHING PF01'!$AQ$29:$AQ$32</c:f>
              <c:numCache>
                <c:formatCode>General</c:formatCode>
                <c:ptCount val="4"/>
                <c:pt idx="0">
                  <c:v>0</c:v>
                </c:pt>
                <c:pt idx="1">
                  <c:v>6.25</c:v>
                </c:pt>
                <c:pt idx="2">
                  <c:v>559.75</c:v>
                </c:pt>
                <c:pt idx="3">
                  <c:v>566</c:v>
                </c:pt>
              </c:numCache>
            </c:numRef>
          </c:xVal>
          <c:yVal>
            <c:numRef>
              <c:f>'[2]PRE PUNCHING PF01'!$AS$29:$AS$32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A-E6F6-4321-83EB-44EEE55C70E4}"/>
            </c:ext>
          </c:extLst>
        </c:ser>
        <c:ser>
          <c:idx val="11"/>
          <c:order val="11"/>
          <c:tx>
            <c:v>Linha 12</c:v>
          </c:tx>
          <c:marker>
            <c:symbol val="none"/>
          </c:marker>
          <c:xVal>
            <c:numRef>
              <c:f>'[2]PRE PUNCHING PF01'!$AT$29:$AT$32</c:f>
              <c:numCache>
                <c:formatCode>General</c:formatCode>
                <c:ptCount val="4"/>
                <c:pt idx="0">
                  <c:v>0</c:v>
                </c:pt>
                <c:pt idx="1">
                  <c:v>6.25</c:v>
                </c:pt>
                <c:pt idx="2">
                  <c:v>654.75</c:v>
                </c:pt>
                <c:pt idx="3">
                  <c:v>661</c:v>
                </c:pt>
              </c:numCache>
            </c:numRef>
          </c:xVal>
          <c:yVal>
            <c:numRef>
              <c:f>'[2]PRE PUNCHING PF01'!$AV$29:$AV$32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B-E6F6-4321-83EB-44EEE55C70E4}"/>
            </c:ext>
          </c:extLst>
        </c:ser>
        <c:ser>
          <c:idx val="12"/>
          <c:order val="12"/>
          <c:tx>
            <c:v>Linha 13</c:v>
          </c:tx>
          <c:marker>
            <c:symbol val="none"/>
          </c:marker>
          <c:xVal>
            <c:numRef>
              <c:f>'[2]PRE PUNCHING PF01'!$AW$29:$AW$32</c:f>
              <c:numCache>
                <c:formatCode>General</c:formatCode>
                <c:ptCount val="4"/>
                <c:pt idx="0">
                  <c:v>0</c:v>
                </c:pt>
                <c:pt idx="1">
                  <c:v>6.25</c:v>
                </c:pt>
                <c:pt idx="2">
                  <c:v>1293.7500000000002</c:v>
                </c:pt>
                <c:pt idx="3">
                  <c:v>1300.0000000000002</c:v>
                </c:pt>
              </c:numCache>
            </c:numRef>
          </c:xVal>
          <c:yVal>
            <c:numRef>
              <c:f>'[2]PRE PUNCHING PF01'!$AY$29:$AY$32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C-E6F6-4321-83EB-44EEE55C70E4}"/>
            </c:ext>
          </c:extLst>
        </c:ser>
        <c:ser>
          <c:idx val="13"/>
          <c:order val="13"/>
          <c:tx>
            <c:v>Linha 14</c:v>
          </c:tx>
          <c:marker>
            <c:symbol val="none"/>
          </c:marker>
          <c:xVal>
            <c:numRef>
              <c:f>'[2]PRE PUNCHING PF01'!$AZ$29:$AZ$32</c:f>
              <c:numCache>
                <c:formatCode>General</c:formatCode>
                <c:ptCount val="4"/>
                <c:pt idx="0">
                  <c:v>0</c:v>
                </c:pt>
                <c:pt idx="1">
                  <c:v>6.25</c:v>
                </c:pt>
                <c:pt idx="2">
                  <c:v>1303.2500000000002</c:v>
                </c:pt>
                <c:pt idx="3">
                  <c:v>1309.5000000000002</c:v>
                </c:pt>
              </c:numCache>
            </c:numRef>
          </c:xVal>
          <c:yVal>
            <c:numRef>
              <c:f>'[2]PRE PUNCHING PF01'!$BB$29:$BB$32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D-E6F6-4321-83EB-44EEE55C70E4}"/>
            </c:ext>
          </c:extLst>
        </c:ser>
        <c:ser>
          <c:idx val="14"/>
          <c:order val="14"/>
          <c:tx>
            <c:v>Linha 15</c:v>
          </c:tx>
          <c:marker>
            <c:symbol val="none"/>
          </c:marker>
          <c:xVal>
            <c:numRef>
              <c:f>'[2]PRE PUNCHING PF01'!$BC$29:$BC$32</c:f>
              <c:numCache>
                <c:formatCode>General</c:formatCode>
                <c:ptCount val="4"/>
                <c:pt idx="0">
                  <c:v>0</c:v>
                </c:pt>
                <c:pt idx="1">
                  <c:v>6.25</c:v>
                </c:pt>
                <c:pt idx="2">
                  <c:v>-6.25</c:v>
                </c:pt>
                <c:pt idx="3">
                  <c:v>0</c:v>
                </c:pt>
              </c:numCache>
            </c:numRef>
          </c:xVal>
          <c:yVal>
            <c:numRef>
              <c:f>'[2]PRE PUNCHING PF01'!$BE$29:$BE$32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E-E6F6-4321-83EB-44EEE55C70E4}"/>
            </c:ext>
          </c:extLst>
        </c:ser>
        <c:ser>
          <c:idx val="15"/>
          <c:order val="15"/>
          <c:tx>
            <c:v>Linha 16</c:v>
          </c:tx>
          <c:marker>
            <c:symbol val="none"/>
          </c:marker>
          <c:xVal>
            <c:numRef>
              <c:f>'[2]PRE PUNCHING PF01'!$BF$29:$BF$32</c:f>
              <c:numCache>
                <c:formatCode>General</c:formatCode>
                <c:ptCount val="4"/>
                <c:pt idx="0">
                  <c:v>0</c:v>
                </c:pt>
                <c:pt idx="1">
                  <c:v>6.25</c:v>
                </c:pt>
                <c:pt idx="2">
                  <c:v>-6.25</c:v>
                </c:pt>
                <c:pt idx="3">
                  <c:v>0</c:v>
                </c:pt>
              </c:numCache>
            </c:numRef>
          </c:xVal>
          <c:yVal>
            <c:numRef>
              <c:f>'[2]PRE PUNCHING PF01'!$BH$29:$BH$32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0F-E6F6-4321-83EB-44EEE55C70E4}"/>
            </c:ext>
          </c:extLst>
        </c:ser>
        <c:ser>
          <c:idx val="16"/>
          <c:order val="16"/>
          <c:tx>
            <c:v>Linha 17</c:v>
          </c:tx>
          <c:marker>
            <c:symbol val="none"/>
          </c:marker>
          <c:xVal>
            <c:numRef>
              <c:f>'[2]PRE PUNCHING PF01'!$BI$29:$BI$32</c:f>
              <c:numCache>
                <c:formatCode>General</c:formatCode>
                <c:ptCount val="4"/>
                <c:pt idx="0">
                  <c:v>0</c:v>
                </c:pt>
                <c:pt idx="1">
                  <c:v>6.25</c:v>
                </c:pt>
                <c:pt idx="2">
                  <c:v>-6.25</c:v>
                </c:pt>
                <c:pt idx="3">
                  <c:v>0</c:v>
                </c:pt>
              </c:numCache>
            </c:numRef>
          </c:xVal>
          <c:yVal>
            <c:numRef>
              <c:f>'[2]PRE PUNCHING PF01'!$BK$29:$BK$32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0-E6F6-4321-83EB-44EEE55C70E4}"/>
            </c:ext>
          </c:extLst>
        </c:ser>
        <c:ser>
          <c:idx val="17"/>
          <c:order val="17"/>
          <c:tx>
            <c:v>Linha 18</c:v>
          </c:tx>
          <c:marker>
            <c:symbol val="none"/>
          </c:marker>
          <c:xVal>
            <c:numRef>
              <c:f>'[2]PRE PUNCHING PF01'!$BL$29:$BL$32</c:f>
              <c:numCache>
                <c:formatCode>General</c:formatCode>
                <c:ptCount val="4"/>
                <c:pt idx="0">
                  <c:v>0</c:v>
                </c:pt>
                <c:pt idx="1">
                  <c:v>6.25</c:v>
                </c:pt>
                <c:pt idx="2">
                  <c:v>-6.25</c:v>
                </c:pt>
                <c:pt idx="3">
                  <c:v>0</c:v>
                </c:pt>
              </c:numCache>
            </c:numRef>
          </c:xVal>
          <c:yVal>
            <c:numRef>
              <c:f>'[2]PRE PUNCHING PF01'!$BN$29:$BN$32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1-E6F6-4321-83EB-44EEE55C70E4}"/>
            </c:ext>
          </c:extLst>
        </c:ser>
        <c:ser>
          <c:idx val="18"/>
          <c:order val="18"/>
          <c:tx>
            <c:v>Linha 19</c:v>
          </c:tx>
          <c:marker>
            <c:symbol val="none"/>
          </c:marker>
          <c:xVal>
            <c:numRef>
              <c:f>'[2]PRE PUNCHING PF01'!$BO$29:$BO$32</c:f>
              <c:numCache>
                <c:formatCode>General</c:formatCode>
                <c:ptCount val="4"/>
                <c:pt idx="0">
                  <c:v>0</c:v>
                </c:pt>
                <c:pt idx="1">
                  <c:v>6.25</c:v>
                </c:pt>
                <c:pt idx="2">
                  <c:v>-6.25</c:v>
                </c:pt>
                <c:pt idx="3">
                  <c:v>0</c:v>
                </c:pt>
              </c:numCache>
            </c:numRef>
          </c:xVal>
          <c:yVal>
            <c:numRef>
              <c:f>'[2]PRE PUNCHING PF01'!$BQ$29:$BQ$32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2-E6F6-4321-83EB-44EEE55C70E4}"/>
            </c:ext>
          </c:extLst>
        </c:ser>
        <c:ser>
          <c:idx val="19"/>
          <c:order val="19"/>
          <c:tx>
            <c:v>Linha 20</c:v>
          </c:tx>
          <c:marker>
            <c:symbol val="none"/>
          </c:marker>
          <c:xVal>
            <c:numRef>
              <c:f>'[2]PRE PUNCHING PF01'!$BR$29:$BR$32</c:f>
              <c:numCache>
                <c:formatCode>General</c:formatCode>
                <c:ptCount val="4"/>
                <c:pt idx="0">
                  <c:v>0</c:v>
                </c:pt>
                <c:pt idx="1">
                  <c:v>6.25</c:v>
                </c:pt>
                <c:pt idx="2">
                  <c:v>-6.25</c:v>
                </c:pt>
                <c:pt idx="3">
                  <c:v>0</c:v>
                </c:pt>
              </c:numCache>
            </c:numRef>
          </c:xVal>
          <c:yVal>
            <c:numRef>
              <c:f>'[2]PRE PUNCHING PF01'!$BT$29:$BT$32</c:f>
              <c:numCache>
                <c:formatCode>General</c:formatCode>
                <c:ptCount val="4"/>
                <c:pt idx="0">
                  <c:v>0</c:v>
                </c:pt>
                <c:pt idx="1">
                  <c:v>15</c:v>
                </c:pt>
                <c:pt idx="2">
                  <c:v>15</c:v>
                </c:pt>
                <c:pt idx="3">
                  <c:v>0</c:v>
                </c:pt>
              </c:numCache>
            </c:numRef>
          </c:yVal>
          <c:smooth val="0"/>
          <c:extLst>
            <c:ext xmlns:c16="http://schemas.microsoft.com/office/drawing/2014/chart" uri="{C3380CC4-5D6E-409C-BE32-E72D297353CC}">
              <c16:uniqueId val="{00000013-E6F6-4321-83EB-44EEE55C70E4}"/>
            </c:ext>
          </c:extLst>
        </c:ser>
        <c:dLbls>
          <c:showLegendKey val="0"/>
          <c:showVal val="0"/>
          <c:showCatName val="0"/>
          <c:showSerName val="0"/>
          <c:showPercent val="0"/>
          <c:showBubbleSize val="0"/>
        </c:dLbls>
        <c:axId val="674936416"/>
        <c:axId val="1"/>
      </c:scatterChart>
      <c:valAx>
        <c:axId val="674936416"/>
        <c:scaling>
          <c:orientation val="minMax"/>
        </c:scaling>
        <c:delete val="0"/>
        <c:axPos val="b"/>
        <c:title>
          <c:tx>
            <c:rich>
              <a:bodyPr/>
              <a:lstStyle/>
              <a:p>
                <a:pPr>
                  <a:defRPr/>
                </a:pPr>
                <a:r>
                  <a:rPr lang="pt-BR"/>
                  <a:t>Avanço (m)</a:t>
                </a:r>
              </a:p>
            </c:rich>
          </c:tx>
          <c:overlay val="0"/>
        </c:title>
        <c:numFmt formatCode="General" sourceLinked="1"/>
        <c:majorTickMark val="none"/>
        <c:minorTickMark val="none"/>
        <c:tickLblPos val="low"/>
        <c:txPr>
          <a:bodyPr rot="0" vert="horz"/>
          <a:lstStyle/>
          <a:p>
            <a:pPr>
              <a:defRPr sz="1000" b="0" i="0" u="none" strike="noStrike" baseline="0">
                <a:solidFill>
                  <a:srgbClr val="000000"/>
                </a:solidFill>
                <a:latin typeface="Calibri"/>
                <a:ea typeface="Calibri"/>
                <a:cs typeface="Calibri"/>
              </a:defRPr>
            </a:pPr>
            <a:endParaRPr lang="pt-BR"/>
          </a:p>
        </c:txPr>
        <c:crossAx val="1"/>
        <c:crosses val="autoZero"/>
        <c:crossBetween val="midCat"/>
      </c:valAx>
      <c:valAx>
        <c:axId val="1"/>
        <c:scaling>
          <c:orientation val="minMax"/>
        </c:scaling>
        <c:delete val="0"/>
        <c:axPos val="l"/>
        <c:majorGridlines/>
        <c:title>
          <c:tx>
            <c:rich>
              <a:bodyPr/>
              <a:lstStyle/>
              <a:p>
                <a:pPr>
                  <a:defRPr/>
                </a:pPr>
                <a:r>
                  <a:rPr lang="pt-BR"/>
                  <a:t>Tempo (s)</a:t>
                </a:r>
              </a:p>
            </c:rich>
          </c:tx>
          <c:overlay val="0"/>
        </c:title>
        <c:numFmt formatCode="General" sourceLinked="1"/>
        <c:majorTickMark val="none"/>
        <c:minorTickMark val="none"/>
        <c:tickLblPos val="nextTo"/>
        <c:txPr>
          <a:bodyPr rot="0" vert="horz"/>
          <a:lstStyle/>
          <a:p>
            <a:pPr>
              <a:defRPr sz="1000" b="0" i="0" u="none" strike="noStrike" baseline="0">
                <a:solidFill>
                  <a:srgbClr val="000000"/>
                </a:solidFill>
                <a:latin typeface="Calibri"/>
                <a:ea typeface="Calibri"/>
                <a:cs typeface="Calibri"/>
              </a:defRPr>
            </a:pPr>
            <a:endParaRPr lang="pt-BR"/>
          </a:p>
        </c:txPr>
        <c:crossAx val="674936416"/>
        <c:crosses val="autoZero"/>
        <c:crossBetween val="midCat"/>
      </c:valAx>
    </c:plotArea>
    <c:legend>
      <c:legendPos val="r"/>
      <c:overlay val="0"/>
    </c:legend>
    <c:plotVisOnly val="0"/>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pt-BR"/>
    </a:p>
  </c:txPr>
  <c:printSettings>
    <c:headerFooter/>
    <c:pageMargins b="0.78740157499999996" l="0.511811024" r="0.511811024" t="0.78740157499999996" header="0.31496062000000025" footer="0.3149606200000002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Não Contínuo</a:t>
            </a:r>
          </a:p>
        </c:rich>
      </c:tx>
      <c:overlay val="0"/>
    </c:title>
    <c:autoTitleDeleted val="0"/>
    <c:plotArea>
      <c:layout/>
      <c:barChart>
        <c:barDir val="col"/>
        <c:grouping val="percentStacked"/>
        <c:varyColors val="0"/>
        <c:ser>
          <c:idx val="0"/>
          <c:order val="0"/>
          <c:tx>
            <c:v>Hidráulico (Av+Re)</c:v>
          </c:tx>
          <c:spPr>
            <a:solidFill>
              <a:srgbClr val="FF000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Punching-PF01'!$C$71</c:f>
              <c:numCache>
                <c:formatCode>0.00</c:formatCode>
                <c:ptCount val="1"/>
                <c:pt idx="0">
                  <c:v>1</c:v>
                </c:pt>
              </c:numCache>
            </c:numRef>
          </c:val>
          <c:extLst>
            <c:ext xmlns:c16="http://schemas.microsoft.com/office/drawing/2014/chart" uri="{C3380CC4-5D6E-409C-BE32-E72D297353CC}">
              <c16:uniqueId val="{00000000-2678-46E1-A85C-B38456C058F5}"/>
            </c:ext>
          </c:extLst>
        </c:ser>
        <c:ser>
          <c:idx val="1"/>
          <c:order val="1"/>
          <c:tx>
            <c:v>MP (Avanço)</c:v>
          </c:tx>
          <c:spPr>
            <a:solidFill>
              <a:srgbClr val="00B05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Punching-PF01'!$C$72</c:f>
              <c:numCache>
                <c:formatCode>0,000</c:formatCode>
                <c:ptCount val="1"/>
                <c:pt idx="0">
                  <c:v>65.839666666666673</c:v>
                </c:pt>
              </c:numCache>
            </c:numRef>
          </c:val>
          <c:extLst>
            <c:ext xmlns:c16="http://schemas.microsoft.com/office/drawing/2014/chart" uri="{C3380CC4-5D6E-409C-BE32-E72D297353CC}">
              <c16:uniqueId val="{00000001-2678-46E1-A85C-B38456C058F5}"/>
            </c:ext>
          </c:extLst>
        </c:ser>
        <c:ser>
          <c:idx val="2"/>
          <c:order val="2"/>
          <c:tx>
            <c:v>Fator de Correção</c:v>
          </c:tx>
          <c:spPr>
            <a:solidFill>
              <a:srgbClr val="00B0F0"/>
            </a:solidFill>
          </c:spPr>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
              <c:pt idx="0">
                <c:v>Tempo (s)</c:v>
              </c:pt>
            </c:strLit>
          </c:cat>
          <c:val>
            <c:numRef>
              <c:f>'Pre Punching-PF01'!$C$75</c:f>
              <c:numCache>
                <c:formatCode>0,000</c:formatCode>
                <c:ptCount val="1"/>
                <c:pt idx="0">
                  <c:v>13.125</c:v>
                </c:pt>
              </c:numCache>
            </c:numRef>
          </c:val>
          <c:extLst>
            <c:ext xmlns:c16="http://schemas.microsoft.com/office/drawing/2014/chart" uri="{C3380CC4-5D6E-409C-BE32-E72D297353CC}">
              <c16:uniqueId val="{00000002-2678-46E1-A85C-B38456C058F5}"/>
            </c:ext>
          </c:extLst>
        </c:ser>
        <c:dLbls>
          <c:showLegendKey val="0"/>
          <c:showVal val="0"/>
          <c:showCatName val="0"/>
          <c:showSerName val="0"/>
          <c:showPercent val="0"/>
          <c:showBubbleSize val="0"/>
        </c:dLbls>
        <c:gapWidth val="75"/>
        <c:overlap val="100"/>
        <c:axId val="674939040"/>
        <c:axId val="1"/>
      </c:barChart>
      <c:catAx>
        <c:axId val="674939040"/>
        <c:scaling>
          <c:orientation val="minMax"/>
        </c:scaling>
        <c:delete val="0"/>
        <c:axPos val="b"/>
        <c:numFmt formatCode="General" sourceLinked="1"/>
        <c:majorTickMark val="none"/>
        <c:minorTickMark val="none"/>
        <c:tickLblPos val="nextTo"/>
        <c:crossAx val="1"/>
        <c:crosses val="autoZero"/>
        <c:auto val="1"/>
        <c:lblAlgn val="ctr"/>
        <c:lblOffset val="100"/>
        <c:noMultiLvlLbl val="0"/>
      </c:catAx>
      <c:valAx>
        <c:axId val="1"/>
        <c:scaling>
          <c:orientation val="minMax"/>
        </c:scaling>
        <c:delete val="0"/>
        <c:axPos val="l"/>
        <c:majorGridlines/>
        <c:numFmt formatCode="0%" sourceLinked="1"/>
        <c:majorTickMark val="none"/>
        <c:minorTickMark val="none"/>
        <c:tickLblPos val="nextTo"/>
        <c:spPr>
          <a:ln w="9525">
            <a:noFill/>
          </a:ln>
        </c:spPr>
        <c:txPr>
          <a:bodyPr rot="0" vert="horz"/>
          <a:lstStyle/>
          <a:p>
            <a:pPr>
              <a:defRPr/>
            </a:pPr>
            <a:endParaRPr lang="pt-BR"/>
          </a:p>
        </c:txPr>
        <c:crossAx val="674939040"/>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Punching-PF01'!$E$14</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Punching-PF01'!$F$14</c:f>
              <c:numCache>
                <c:formatCode>0%</c:formatCode>
                <c:ptCount val="1"/>
                <c:pt idx="0">
                  <c:v>0.8999999999999998</c:v>
                </c:pt>
              </c:numCache>
            </c:numRef>
          </c:val>
          <c:extLst>
            <c:ext xmlns:c16="http://schemas.microsoft.com/office/drawing/2014/chart" uri="{C3380CC4-5D6E-409C-BE32-E72D297353CC}">
              <c16:uniqueId val="{00000000-93EB-4BB1-9AAC-263D58A7623E}"/>
            </c:ext>
          </c:extLst>
        </c:ser>
        <c:ser>
          <c:idx val="1"/>
          <c:order val="1"/>
          <c:tx>
            <c:strRef>
              <c:f>'Pre Punching-PF01'!$E$15</c:f>
              <c:strCache>
                <c:ptCount val="1"/>
                <c:pt idx="0">
                  <c:v>Inificiência</c:v>
                </c:pt>
              </c:strCache>
            </c:strRef>
          </c:tx>
          <c:invertIfNegative val="0"/>
          <c:dPt>
            <c:idx val="0"/>
            <c:invertIfNegative val="0"/>
            <c:bubble3D val="0"/>
            <c:spPr>
              <a:ln cap="sq">
                <a:bevel/>
              </a:ln>
            </c:spPr>
            <c:extLst>
              <c:ext xmlns:c16="http://schemas.microsoft.com/office/drawing/2014/chart" uri="{C3380CC4-5D6E-409C-BE32-E72D297353CC}">
                <c16:uniqueId val="{00000001-93EB-4BB1-9AAC-263D58A7623E}"/>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Punching-PF01'!$F$15</c:f>
              <c:numCache>
                <c:formatCode>0%</c:formatCode>
                <c:ptCount val="1"/>
                <c:pt idx="0">
                  <c:v>0.1000000000000002</c:v>
                </c:pt>
              </c:numCache>
            </c:numRef>
          </c:val>
          <c:extLst>
            <c:ext xmlns:c16="http://schemas.microsoft.com/office/drawing/2014/chart" uri="{C3380CC4-5D6E-409C-BE32-E72D297353CC}">
              <c16:uniqueId val="{00000002-93EB-4BB1-9AAC-263D58A7623E}"/>
            </c:ext>
          </c:extLst>
        </c:ser>
        <c:dLbls>
          <c:showLegendKey val="0"/>
          <c:showVal val="0"/>
          <c:showCatName val="0"/>
          <c:showSerName val="0"/>
          <c:showPercent val="0"/>
          <c:showBubbleSize val="0"/>
        </c:dLbls>
        <c:gapWidth val="56"/>
        <c:overlap val="100"/>
        <c:axId val="674946584"/>
        <c:axId val="1"/>
      </c:barChart>
      <c:catAx>
        <c:axId val="674946584"/>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46584"/>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'Pre Punching-PF01'!$CE$31</c:f>
              <c:strCache>
                <c:ptCount val="1"/>
                <c:pt idx="0">
                  <c:v>Desempenho</c:v>
                </c:pt>
              </c:strCache>
            </c:strRef>
          </c:tx>
          <c:invertIfNegative val="0"/>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Punching-PF01'!$CF$31</c:f>
              <c:numCache>
                <c:formatCode>0%</c:formatCode>
                <c:ptCount val="1"/>
                <c:pt idx="0">
                  <c:v>0.99291207428146133</c:v>
                </c:pt>
              </c:numCache>
            </c:numRef>
          </c:val>
          <c:extLst>
            <c:ext xmlns:c16="http://schemas.microsoft.com/office/drawing/2014/chart" uri="{C3380CC4-5D6E-409C-BE32-E72D297353CC}">
              <c16:uniqueId val="{00000000-7CBE-4F4C-BD55-710160102D89}"/>
            </c:ext>
          </c:extLst>
        </c:ser>
        <c:ser>
          <c:idx val="1"/>
          <c:order val="1"/>
          <c:tx>
            <c:strRef>
              <c:f>'Pre Punching-PF01'!$CE$32</c:f>
              <c:strCache>
                <c:ptCount val="1"/>
                <c:pt idx="0">
                  <c:v>Ineficiência</c:v>
                </c:pt>
              </c:strCache>
            </c:strRef>
          </c:tx>
          <c:invertIfNegative val="0"/>
          <c:dPt>
            <c:idx val="0"/>
            <c:invertIfNegative val="0"/>
            <c:bubble3D val="0"/>
            <c:spPr>
              <a:ln cap="sq">
                <a:bevel/>
              </a:ln>
            </c:spPr>
            <c:extLst>
              <c:ext xmlns:c16="http://schemas.microsoft.com/office/drawing/2014/chart" uri="{C3380CC4-5D6E-409C-BE32-E72D297353CC}">
                <c16:uniqueId val="{00000001-7CBE-4F4C-BD55-710160102D89}"/>
              </c:ext>
            </c:extLst>
          </c:dPt>
          <c:dLbls>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'Pre Punching-PF01'!$CF$32</c:f>
              <c:numCache>
                <c:formatCode>0%</c:formatCode>
                <c:ptCount val="1"/>
                <c:pt idx="0">
                  <c:v>7.0879257185386679E-3</c:v>
                </c:pt>
              </c:numCache>
            </c:numRef>
          </c:val>
          <c:extLst>
            <c:ext xmlns:c16="http://schemas.microsoft.com/office/drawing/2014/chart" uri="{C3380CC4-5D6E-409C-BE32-E72D297353CC}">
              <c16:uniqueId val="{00000002-7CBE-4F4C-BD55-710160102D89}"/>
            </c:ext>
          </c:extLst>
        </c:ser>
        <c:dLbls>
          <c:showLegendKey val="0"/>
          <c:showVal val="0"/>
          <c:showCatName val="0"/>
          <c:showSerName val="0"/>
          <c:showPercent val="0"/>
          <c:showBubbleSize val="0"/>
        </c:dLbls>
        <c:gapWidth val="56"/>
        <c:overlap val="100"/>
        <c:axId val="674953472"/>
        <c:axId val="1"/>
      </c:barChart>
      <c:catAx>
        <c:axId val="674953472"/>
        <c:scaling>
          <c:orientation val="minMax"/>
        </c:scaling>
        <c:delete val="1"/>
        <c:axPos val="b"/>
        <c:majorTickMark val="out"/>
        <c:minorTickMark val="none"/>
        <c:tickLblPos val="nextTo"/>
        <c:crossAx val="1"/>
        <c:crosses val="autoZero"/>
        <c:auto val="1"/>
        <c:lblAlgn val="ctr"/>
        <c:lblOffset val="100"/>
        <c:noMultiLvlLbl val="0"/>
      </c:catAx>
      <c:valAx>
        <c:axId val="1"/>
        <c:scaling>
          <c:orientation val="minMax"/>
        </c:scaling>
        <c:delete val="1"/>
        <c:axPos val="l"/>
        <c:numFmt formatCode="0%" sourceLinked="1"/>
        <c:majorTickMark val="out"/>
        <c:minorTickMark val="none"/>
        <c:tickLblPos val="nextTo"/>
        <c:crossAx val="674953472"/>
        <c:crosses val="autoZero"/>
        <c:crossBetween val="between"/>
      </c:valAx>
    </c:plotArea>
    <c:legend>
      <c:legendPos val="b"/>
      <c:overlay val="0"/>
    </c:legend>
    <c:plotVisOnly val="1"/>
    <c:dispBlanksAs val="gap"/>
    <c:showDLblsOverMax val="0"/>
  </c:chart>
  <c:spPr>
    <a:ln>
      <a:noFill/>
    </a:ln>
  </c:spPr>
  <c:printSettings>
    <c:headerFooter/>
    <c:pageMargins b="0.78740157499999996" l="0.511811024" r="0.511811024" t="0.78740157499999996" header="0.31496062000000025" footer="0.31496062000000025"/>
    <c:pageSetup/>
  </c:printSettings>
</c:chartSpace>
</file>

<file path=xl/ctrlProps/ctrlProp1.xml><?xml version="1.0" encoding="utf-8"?>
<formControlPr xmlns="http://schemas.microsoft.com/office/spreadsheetml/2009/9/main" objectType="CheckBox" fmlaLink="$G$27" lockText="1"/>
</file>

<file path=xl/ctrlProps/ctrlProp2.xml><?xml version="1.0" encoding="utf-8"?>
<formControlPr xmlns="http://schemas.microsoft.com/office/spreadsheetml/2009/9/main" objectType="CheckBox" fmlaLink="$I$27" lockText="1"/>
</file>

<file path=xl/ctrlProps/ctrlProp3.xml><?xml version="1.0" encoding="utf-8"?>
<formControlPr xmlns="http://schemas.microsoft.com/office/spreadsheetml/2009/9/main" objectType="CheckBox" fmlaLink="$C$27" lockText="1"/>
</file>

<file path=xl/ctrlProps/ctrlProp4.xml><?xml version="1.0" encoding="utf-8"?>
<formControlPr xmlns="http://schemas.microsoft.com/office/spreadsheetml/2009/9/main" objectType="CheckBox" fmlaLink="$E$27" lockText="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CheckBox" fmlaLink="$E$34" lockText="1" noThreeD="1"/>
</file>

<file path=xl/ctrlProps/ctrlProp7.xml><?xml version="1.0" encoding="utf-8"?>
<formControlPr xmlns="http://schemas.microsoft.com/office/spreadsheetml/2009/9/main" objectType="Radio" firstButton="1" fmlaLink="$F$1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CheckBox" fmlaLink="$E$20" lockText="1"/>
</file>

<file path=xl/ctrlProps/ctrlProp11.xml><?xml version="1.0" encoding="utf-8"?>
<formControlPr xmlns="http://schemas.microsoft.com/office/spreadsheetml/2009/9/main" objectType="Radio" checked="Checked" firstButton="1" fmlaLink="$F$17" lockText="1" noThreeD="1"/>
</file>

<file path=xl/ctrlProps/ctrlProp12.xml><?xml version="1.0" encoding="utf-8"?>
<formControlPr xmlns="http://schemas.microsoft.com/office/spreadsheetml/2009/9/main" objectType="CheckBox" fmlaLink="$E$21" lockText="1"/>
</file>

<file path=xl/ctrlProps/ctrlProp13.xml><?xml version="1.0" encoding="utf-8"?>
<formControlPr xmlns="http://schemas.microsoft.com/office/spreadsheetml/2009/9/main" objectType="Spin" dx="15" fmlaLink="$D$17" inc="5" max="120" min="10" page="10" val="120"/>
</file>

<file path=xl/ctrlProps/ctrlProp14.xml><?xml version="1.0" encoding="utf-8"?>
<formControlPr xmlns="http://schemas.microsoft.com/office/spreadsheetml/2009/9/main" objectType="Spin" dx="15" fmlaLink="$D$20" max="25" min="1" page="10" val="10"/>
</file>

<file path=xl/ctrlProps/ctrlProp15.xml><?xml version="1.0" encoding="utf-8"?>
<formControlPr xmlns="http://schemas.microsoft.com/office/spreadsheetml/2009/9/main" objectType="Scroll" dx="15" fmlaLink="$D$23" horiz="1" max="6000" min="1" page="100" val="152"/>
</file>

<file path=xl/ctrlProps/ctrlProp16.xml><?xml version="1.0" encoding="utf-8"?>
<formControlPr xmlns="http://schemas.microsoft.com/office/spreadsheetml/2009/9/main" objectType="Spin" dx="15" fmlaLink="$D$19" max="40" min="1" page="10" val="4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3.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3" Type="http://schemas.openxmlformats.org/officeDocument/2006/relationships/hyperlink" Target="#Investimentos!A1"/><Relationship Id="rId2" Type="http://schemas.openxmlformats.org/officeDocument/2006/relationships/hyperlink" Target="#'Perfil Padr&#227;o'!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hyperlink" Target="#Investimentos!A1"/><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hyperlink" Target="#'Hora-M&#225;quina'!A1"/><Relationship Id="rId7" Type="http://schemas.openxmlformats.org/officeDocument/2006/relationships/hyperlink" Target="#'Carbono Equivalente'!A1"/><Relationship Id="rId2" Type="http://schemas.openxmlformats.org/officeDocument/2006/relationships/hyperlink" Target="#'Largura de Tira - Tubo'!A1"/><Relationship Id="rId1" Type="http://schemas.openxmlformats.org/officeDocument/2006/relationships/hyperlink" Target="#Embalagem!A1"/><Relationship Id="rId6" Type="http://schemas.openxmlformats.org/officeDocument/2006/relationships/hyperlink" Target="#'Peso de Tira'!A1"/><Relationship Id="rId5" Type="http://schemas.openxmlformats.org/officeDocument/2006/relationships/hyperlink" Target="#Simuladores!A1"/><Relationship Id="rId10" Type="http://schemas.openxmlformats.org/officeDocument/2006/relationships/image" Target="../media/image12.png"/><Relationship Id="rId4" Type="http://schemas.openxmlformats.org/officeDocument/2006/relationships/hyperlink" Target="#'Bobina x tira'!A1"/><Relationship Id="rId9" Type="http://schemas.openxmlformats.org/officeDocument/2006/relationships/image" Target="../media/image11.jpeg"/></Relationships>
</file>

<file path=xl/drawings/_rels/drawing8.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13.x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5.emf"/><Relationship Id="rId1" Type="http://schemas.openxmlformats.org/officeDocument/2006/relationships/image" Target="../media/image14.emf"/></Relationships>
</file>

<file path=xl/drawings/_rels/drawing14.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26</xdr:row>
          <xdr:rowOff>9525</xdr:rowOff>
        </xdr:from>
        <xdr:to>
          <xdr:col>7</xdr:col>
          <xdr:colOff>152400</xdr:colOff>
          <xdr:row>27</xdr:row>
          <xdr:rowOff>0</xdr:rowOff>
        </xdr:to>
        <xdr:sp macro="" textlink="">
          <xdr:nvSpPr>
            <xdr:cNvPr id="134151" name="Check Box 7" hidden="1">
              <a:extLst>
                <a:ext uri="{63B3BB69-23CF-44E3-9099-C40C66FF867C}">
                  <a14:compatExt spid="_x0000_s1341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26</xdr:row>
          <xdr:rowOff>9525</xdr:rowOff>
        </xdr:from>
        <xdr:to>
          <xdr:col>9</xdr:col>
          <xdr:colOff>142875</xdr:colOff>
          <xdr:row>27</xdr:row>
          <xdr:rowOff>0</xdr:rowOff>
        </xdr:to>
        <xdr:sp macro="" textlink="">
          <xdr:nvSpPr>
            <xdr:cNvPr id="134152" name="Check Box 8" hidden="1">
              <a:extLst>
                <a:ext uri="{63B3BB69-23CF-44E3-9099-C40C66FF867C}">
                  <a14:compatExt spid="_x0000_s1341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9525</xdr:rowOff>
        </xdr:from>
        <xdr:to>
          <xdr:col>3</xdr:col>
          <xdr:colOff>152400</xdr:colOff>
          <xdr:row>27</xdr:row>
          <xdr:rowOff>0</xdr:rowOff>
        </xdr:to>
        <xdr:sp macro="" textlink="">
          <xdr:nvSpPr>
            <xdr:cNvPr id="134153" name="Check Box 9" hidden="1">
              <a:extLst>
                <a:ext uri="{63B3BB69-23CF-44E3-9099-C40C66FF867C}">
                  <a14:compatExt spid="_x0000_s1341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514350</xdr:colOff>
          <xdr:row>26</xdr:row>
          <xdr:rowOff>9525</xdr:rowOff>
        </xdr:from>
        <xdr:to>
          <xdr:col>4</xdr:col>
          <xdr:colOff>762000</xdr:colOff>
          <xdr:row>27</xdr:row>
          <xdr:rowOff>0</xdr:rowOff>
        </xdr:to>
        <xdr:sp macro="" textlink="">
          <xdr:nvSpPr>
            <xdr:cNvPr id="134154" name="Check Box 10" hidden="1">
              <a:extLst>
                <a:ext uri="{63B3BB69-23CF-44E3-9099-C40C66FF867C}">
                  <a14:compatExt spid="_x0000_s1341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211230</xdr:colOff>
      <xdr:row>4</xdr:row>
      <xdr:rowOff>134093</xdr:rowOff>
    </xdr:to>
    <xdr:pic>
      <xdr:nvPicPr>
        <xdr:cNvPr id="5" name="Imagem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048125" y="409575"/>
          <a:ext cx="2047875" cy="4484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16</xdr:row>
          <xdr:rowOff>0</xdr:rowOff>
        </xdr:from>
        <xdr:to>
          <xdr:col>6</xdr:col>
          <xdr:colOff>0</xdr:colOff>
          <xdr:row>19</xdr:row>
          <xdr:rowOff>0</xdr:rowOff>
        </xdr:to>
        <xdr:sp macro="" textlink="">
          <xdr:nvSpPr>
            <xdr:cNvPr id="134172" name="Group Box 28" hidden="1">
              <a:extLst>
                <a:ext uri="{63B3BB69-23CF-44E3-9099-C40C66FF867C}">
                  <a14:compatExt spid="_x0000_s1341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33</xdr:row>
          <xdr:rowOff>0</xdr:rowOff>
        </xdr:from>
        <xdr:to>
          <xdr:col>5</xdr:col>
          <xdr:colOff>0</xdr:colOff>
          <xdr:row>34</xdr:row>
          <xdr:rowOff>0</xdr:rowOff>
        </xdr:to>
        <xdr:sp macro="" textlink="">
          <xdr:nvSpPr>
            <xdr:cNvPr id="134270" name="Check Box 126" hidden="1">
              <a:extLst>
                <a:ext uri="{63B3BB69-23CF-44E3-9099-C40C66FF867C}">
                  <a14:compatExt spid="_x0000_s13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0</xdr:colOff>
      <xdr:row>36</xdr:row>
      <xdr:rowOff>19049</xdr:rowOff>
    </xdr:from>
    <xdr:to>
      <xdr:col>9</xdr:col>
      <xdr:colOff>428624</xdr:colOff>
      <xdr:row>80</xdr:row>
      <xdr:rowOff>44823</xdr:rowOff>
    </xdr:to>
    <xdr:sp macro="" textlink="">
      <xdr:nvSpPr>
        <xdr:cNvPr id="2" name="CaixaDeTexto 1"/>
        <xdr:cNvSpPr txBox="1"/>
      </xdr:nvSpPr>
      <xdr:spPr>
        <a:xfrm>
          <a:off x="3877235" y="6406402"/>
          <a:ext cx="4955801" cy="440727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xdr:twoCellAnchor>
    <xdr:from>
      <xdr:col>1</xdr:col>
      <xdr:colOff>66675</xdr:colOff>
      <xdr:row>148</xdr:row>
      <xdr:rowOff>28575</xdr:rowOff>
    </xdr:from>
    <xdr:to>
      <xdr:col>16</xdr:col>
      <xdr:colOff>104775</xdr:colOff>
      <xdr:row>158</xdr:row>
      <xdr:rowOff>85724</xdr:rowOff>
    </xdr:to>
    <xdr:sp macro="" textlink="">
      <xdr:nvSpPr>
        <xdr:cNvPr id="15" name="CaixaDeTexto 14"/>
        <xdr:cNvSpPr txBox="1"/>
      </xdr:nvSpPr>
      <xdr:spPr>
        <a:xfrm>
          <a:off x="3762375" y="18278475"/>
          <a:ext cx="9324975" cy="1952624"/>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900">
              <a:latin typeface="voestalpine" panose="020B0500030000000000" pitchFamily="34" charset="0"/>
            </a:rPr>
            <a:t>Notas:</a:t>
          </a: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34385" name="Option Button 241" hidden="1">
              <a:extLst>
                <a:ext uri="{63B3BB69-23CF-44E3-9099-C40C66FF867C}">
                  <a14:compatExt spid="_x0000_s1343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34386" name="Option Button 242" hidden="1">
              <a:extLst>
                <a:ext uri="{63B3BB69-23CF-44E3-9099-C40C66FF867C}">
                  <a14:compatExt spid="_x0000_s1343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134387" name="Option Button 243" hidden="1">
              <a:extLst>
                <a:ext uri="{63B3BB69-23CF-44E3-9099-C40C66FF867C}">
                  <a14:compatExt spid="_x0000_s1343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xdr:colOff>
      <xdr:row>0</xdr:row>
      <xdr:rowOff>9524</xdr:rowOff>
    </xdr:from>
    <xdr:to>
      <xdr:col>2</xdr:col>
      <xdr:colOff>95251</xdr:colOff>
      <xdr:row>0</xdr:row>
      <xdr:rowOff>247650</xdr:rowOff>
    </xdr:to>
    <xdr:sp macro="" textlink="">
      <xdr:nvSpPr>
        <xdr:cNvPr id="5" name="Retângulo de cantos arredondados 4">
          <a:hlinkClick xmlns:r="http://schemas.openxmlformats.org/officeDocument/2006/relationships" r:id="rId1"/>
        </xdr:cNvPr>
        <xdr:cNvSpPr/>
      </xdr:nvSpPr>
      <xdr:spPr>
        <a:xfrm>
          <a:off x="95251" y="9524"/>
          <a:ext cx="657225" cy="238126"/>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95250</xdr:colOff>
      <xdr:row>0</xdr:row>
      <xdr:rowOff>0</xdr:rowOff>
    </xdr:from>
    <xdr:to>
      <xdr:col>2</xdr:col>
      <xdr:colOff>1419225</xdr:colOff>
      <xdr:row>0</xdr:row>
      <xdr:rowOff>246945</xdr:rowOff>
    </xdr:to>
    <xdr:sp macro="" textlink="">
      <xdr:nvSpPr>
        <xdr:cNvPr id="4" name="Retângulo de cantos arredondados 3">
          <a:hlinkClick xmlns:r="http://schemas.openxmlformats.org/officeDocument/2006/relationships" r:id="rId2"/>
        </xdr:cNvPr>
        <xdr:cNvSpPr/>
      </xdr:nvSpPr>
      <xdr:spPr>
        <a:xfrm>
          <a:off x="752475" y="0"/>
          <a:ext cx="1323975" cy="24694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twoCellAnchor>
    <xdr:from>
      <xdr:col>0</xdr:col>
      <xdr:colOff>0</xdr:colOff>
      <xdr:row>16</xdr:row>
      <xdr:rowOff>161925</xdr:rowOff>
    </xdr:from>
    <xdr:to>
      <xdr:col>2</xdr:col>
      <xdr:colOff>3495675</xdr:colOff>
      <xdr:row>43</xdr:row>
      <xdr:rowOff>66675</xdr:rowOff>
    </xdr:to>
    <xdr:sp macro="" textlink="">
      <xdr:nvSpPr>
        <xdr:cNvPr id="8" name="CaixaDeTexto 7"/>
        <xdr:cNvSpPr txBox="1"/>
      </xdr:nvSpPr>
      <xdr:spPr>
        <a:xfrm>
          <a:off x="0" y="3162300"/>
          <a:ext cx="4152900" cy="45339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xdr:colOff>
      <xdr:row>0</xdr:row>
      <xdr:rowOff>0</xdr:rowOff>
    </xdr:from>
    <xdr:to>
      <xdr:col>2</xdr:col>
      <xdr:colOff>9525</xdr:colOff>
      <xdr:row>1</xdr:row>
      <xdr:rowOff>9524</xdr:rowOff>
    </xdr:to>
    <xdr:sp macro="" textlink="">
      <xdr:nvSpPr>
        <xdr:cNvPr id="2" name="Retângulo de cantos arredondados 1">
          <a:hlinkClick xmlns:r="http://schemas.openxmlformats.org/officeDocument/2006/relationships" r:id="rId1"/>
        </xdr:cNvPr>
        <xdr:cNvSpPr/>
      </xdr:nvSpPr>
      <xdr:spPr>
        <a:xfrm>
          <a:off x="152400" y="0"/>
          <a:ext cx="60960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1</xdr:col>
      <xdr:colOff>9525</xdr:colOff>
      <xdr:row>10</xdr:row>
      <xdr:rowOff>0</xdr:rowOff>
    </xdr:from>
    <xdr:to>
      <xdr:col>2</xdr:col>
      <xdr:colOff>3600450</xdr:colOff>
      <xdr:row>39</xdr:row>
      <xdr:rowOff>57149</xdr:rowOff>
    </xdr:to>
    <xdr:sp macro="" textlink="">
      <xdr:nvSpPr>
        <xdr:cNvPr id="4" name="CaixaDeTexto 3"/>
        <xdr:cNvSpPr txBox="1"/>
      </xdr:nvSpPr>
      <xdr:spPr>
        <a:xfrm>
          <a:off x="152400" y="2219325"/>
          <a:ext cx="4200525" cy="4781549"/>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 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 </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76200</xdr:colOff>
      <xdr:row>0</xdr:row>
      <xdr:rowOff>0</xdr:rowOff>
    </xdr:from>
    <xdr:to>
      <xdr:col>2</xdr:col>
      <xdr:colOff>1314450</xdr:colOff>
      <xdr:row>1</xdr:row>
      <xdr:rowOff>9524</xdr:rowOff>
    </xdr:to>
    <xdr:sp macro="" textlink="">
      <xdr:nvSpPr>
        <xdr:cNvPr id="5" name="Retângulo de cantos arredondados 4">
          <a:hlinkClick xmlns:r="http://schemas.openxmlformats.org/officeDocument/2006/relationships" r:id="rId2"/>
        </xdr:cNvPr>
        <xdr:cNvSpPr/>
      </xdr:nvSpPr>
      <xdr:spPr>
        <a:xfrm>
          <a:off x="828675" y="0"/>
          <a:ext cx="1238250" cy="276224"/>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xdr:colOff>
      <xdr:row>0</xdr:row>
      <xdr:rowOff>76200</xdr:rowOff>
    </xdr:from>
    <xdr:to>
      <xdr:col>2</xdr:col>
      <xdr:colOff>9525</xdr:colOff>
      <xdr:row>1</xdr:row>
      <xdr:rowOff>152400</xdr:rowOff>
    </xdr:to>
    <xdr:sp macro="" textlink="">
      <xdr:nvSpPr>
        <xdr:cNvPr id="2" name="Retângulo de cantos arredondados 1">
          <a:hlinkClick xmlns:r="http://schemas.openxmlformats.org/officeDocument/2006/relationships" r:id="rId1"/>
        </xdr:cNvPr>
        <xdr:cNvSpPr/>
      </xdr:nvSpPr>
      <xdr:spPr>
        <a:xfrm>
          <a:off x="152400" y="76200"/>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2</xdr:col>
      <xdr:colOff>66676</xdr:colOff>
      <xdr:row>0</xdr:row>
      <xdr:rowOff>76200</xdr:rowOff>
    </xdr:from>
    <xdr:to>
      <xdr:col>2</xdr:col>
      <xdr:colOff>1981200</xdr:colOff>
      <xdr:row>1</xdr:row>
      <xdr:rowOff>152400</xdr:rowOff>
    </xdr:to>
    <xdr:sp macro="" textlink="">
      <xdr:nvSpPr>
        <xdr:cNvPr id="4" name="Retângulo de cantos arredondados 3">
          <a:hlinkClick xmlns:r="http://schemas.openxmlformats.org/officeDocument/2006/relationships" r:id="rId2"/>
        </xdr:cNvPr>
        <xdr:cNvSpPr/>
      </xdr:nvSpPr>
      <xdr:spPr>
        <a:xfrm>
          <a:off x="819151" y="76200"/>
          <a:ext cx="1914524"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CONSULTAR PERFIL PADRÃO</a:t>
          </a:r>
        </a:p>
      </xdr:txBody>
    </xdr:sp>
    <xdr:clientData/>
  </xdr:twoCellAnchor>
  <xdr:twoCellAnchor>
    <xdr:from>
      <xdr:col>3</xdr:col>
      <xdr:colOff>161925</xdr:colOff>
      <xdr:row>31</xdr:row>
      <xdr:rowOff>38100</xdr:rowOff>
    </xdr:from>
    <xdr:to>
      <xdr:col>7</xdr:col>
      <xdr:colOff>542925</xdr:colOff>
      <xdr:row>55</xdr:row>
      <xdr:rowOff>85725</xdr:rowOff>
    </xdr:to>
    <xdr:sp macro="" textlink="">
      <xdr:nvSpPr>
        <xdr:cNvPr id="5" name="CaixaDeTexto 4"/>
        <xdr:cNvSpPr txBox="1"/>
      </xdr:nvSpPr>
      <xdr:spPr>
        <a:xfrm>
          <a:off x="4524375" y="6181725"/>
          <a:ext cx="4200525" cy="46482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b="1">
              <a:solidFill>
                <a:schemeClr val="dk1"/>
              </a:solidFill>
              <a:latin typeface="+mn-lt"/>
              <a:ea typeface="+mn-ea"/>
              <a:cs typeface="+mn-cs"/>
            </a:rPr>
            <a:t>PJT XXX</a:t>
          </a:r>
        </a:p>
        <a:p>
          <a:endParaRPr lang="pt-BR" sz="1100" b="1">
            <a:solidFill>
              <a:schemeClr val="dk1"/>
            </a:solidFill>
            <a:latin typeface="+mn-lt"/>
            <a:ea typeface="+mn-ea"/>
            <a:cs typeface="+mn-cs"/>
          </a:endParaRPr>
        </a:p>
        <a:p>
          <a:r>
            <a:rPr lang="pt-BR" sz="1100" b="1">
              <a:solidFill>
                <a:schemeClr val="dk1"/>
              </a:solidFill>
              <a:latin typeface="+mn-lt"/>
              <a:ea typeface="+mn-ea"/>
              <a:cs typeface="+mn-cs"/>
            </a:rPr>
            <a:t>Considerações:</a:t>
          </a:r>
          <a:endParaRPr lang="pt-BR"/>
        </a:p>
        <a:p>
          <a:pPr fontAlgn="base"/>
          <a:r>
            <a:rPr lang="pt-BR" sz="1100" b="0">
              <a:solidFill>
                <a:schemeClr val="dk1"/>
              </a:solidFill>
              <a:latin typeface="+mn-lt"/>
              <a:ea typeface="+mn-ea"/>
              <a:cs typeface="+mn-cs"/>
            </a:rPr>
            <a:t>-</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Desenho (Tolerâncias e Forma de Medição):</a:t>
          </a:r>
        </a:p>
        <a:p>
          <a:pPr fontAlgn="base"/>
          <a:r>
            <a:rPr lang="pt-BR" sz="1100" b="0">
              <a:solidFill>
                <a:schemeClr val="dk1"/>
              </a:solidFill>
              <a:latin typeface="+mn-lt"/>
              <a:ea typeface="+mn-ea"/>
              <a:cs typeface="+mn-cs"/>
            </a:rPr>
            <a:t>No</a:t>
          </a:r>
          <a:r>
            <a:rPr lang="pt-BR" sz="1100" b="0" baseline="0">
              <a:solidFill>
                <a:schemeClr val="dk1"/>
              </a:solidFill>
              <a:latin typeface="+mn-lt"/>
              <a:ea typeface="+mn-ea"/>
              <a:cs typeface="+mn-cs"/>
            </a:rPr>
            <a:t> caso do projeto ser aprovado comercialmente, a Engenharia irá elaborar um desenho proposta com tolerâncias de acordo com a aplicabilidade do produto e limitações de processo.</a:t>
          </a:r>
        </a:p>
        <a:p>
          <a:pPr fontAlgn="base"/>
          <a:endParaRPr lang="pt-BR" sz="1100" b="0">
            <a:solidFill>
              <a:schemeClr val="dk1"/>
            </a:solidFill>
            <a:latin typeface="+mn-lt"/>
            <a:ea typeface="+mn-ea"/>
            <a:cs typeface="+mn-cs"/>
          </a:endParaRPr>
        </a:p>
        <a:p>
          <a:pPr fontAlgn="base"/>
          <a:r>
            <a:rPr lang="pt-BR" sz="1100" b="1">
              <a:solidFill>
                <a:schemeClr val="dk1"/>
              </a:solidFill>
              <a:latin typeface="+mn-lt"/>
              <a:ea typeface="+mn-ea"/>
              <a:cs typeface="+mn-cs"/>
            </a:rPr>
            <a:t>Produtividade e Perdas</a:t>
          </a:r>
          <a:r>
            <a:rPr lang="pt-BR" sz="1100" b="1" baseline="0">
              <a:solidFill>
                <a:schemeClr val="dk1"/>
              </a:solidFill>
              <a:latin typeface="+mn-lt"/>
              <a:ea typeface="+mn-ea"/>
              <a:cs typeface="+mn-cs"/>
            </a:rPr>
            <a:t>: </a:t>
          </a: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eaLnBrk="1" fontAlgn="base" latinLnBrk="0" hangingPunct="1"/>
          <a:r>
            <a:rPr lang="pt-BR" sz="1100" b="1" baseline="0">
              <a:solidFill>
                <a:schemeClr val="dk1"/>
              </a:solidFill>
              <a:latin typeface="+mn-lt"/>
              <a:ea typeface="+mn-ea"/>
              <a:cs typeface="+mn-cs"/>
            </a:rPr>
            <a:t>Carga Máquina:</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a:p>
        <a:p>
          <a:pPr eaLnBrk="1" fontAlgn="auto" latinLnBrk="0" hangingPunct="1"/>
          <a:r>
            <a:rPr lang="pt-BR" sz="1100" b="1">
              <a:solidFill>
                <a:schemeClr val="dk1"/>
              </a:solidFill>
              <a:latin typeface="+mn-lt"/>
              <a:ea typeface="+mn-ea"/>
              <a:cs typeface="+mn-cs"/>
            </a:rPr>
            <a:t>Investimento :</a:t>
          </a:r>
          <a:endParaRPr lang="pt-BR" sz="1100">
            <a:solidFill>
              <a:schemeClr val="dk1"/>
            </a:solidFill>
            <a:latin typeface="+mn-lt"/>
            <a:ea typeface="+mn-ea"/>
            <a:cs typeface="+mn-cs"/>
          </a:endParaRP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r>
            <a:rPr lang="pt-BR" sz="1100" b="1" baseline="0">
              <a:solidFill>
                <a:schemeClr val="dk1"/>
              </a:solidFill>
              <a:latin typeface="+mn-lt"/>
              <a:ea typeface="+mn-ea"/>
              <a:cs typeface="+mn-cs"/>
            </a:rPr>
            <a:t>Pendências:</a:t>
          </a:r>
          <a:endParaRPr lang="pt-BR"/>
        </a:p>
        <a:p>
          <a:pPr fontAlgn="base"/>
          <a:r>
            <a:rPr lang="pt-BR" sz="1100" baseline="0">
              <a:solidFill>
                <a:schemeClr val="dk1"/>
              </a:solidFill>
              <a:latin typeface="+mn-lt"/>
              <a:ea typeface="+mn-ea"/>
              <a:cs typeface="+mn-cs"/>
            </a:rPr>
            <a:t>-</a:t>
          </a:r>
        </a:p>
        <a:p>
          <a:pPr fontAlgn="base"/>
          <a:endParaRPr lang="pt-BR" sz="1100" baseline="0">
            <a:solidFill>
              <a:schemeClr val="dk1"/>
            </a:solidFill>
            <a:latin typeface="+mn-lt"/>
            <a:ea typeface="+mn-ea"/>
            <a:cs typeface="+mn-cs"/>
          </a:endParaRPr>
        </a:p>
        <a:p>
          <a:pPr fontAlgn="base"/>
          <a:endParaRPr lang="pt-BR" sz="1100" baseline="0">
            <a:solidFill>
              <a:schemeClr val="dk1"/>
            </a:solidFill>
            <a:latin typeface="+mn-lt"/>
            <a:ea typeface="+mn-ea"/>
            <a:cs typeface="+mn-cs"/>
          </a:endParaRPr>
        </a:p>
        <a:p>
          <a:r>
            <a:rPr lang="pt-BR" sz="1100" i="1" baseline="0">
              <a:solidFill>
                <a:schemeClr val="dk1"/>
              </a:solidFill>
              <a:latin typeface="+mn-lt"/>
              <a:ea typeface="+mn-ea"/>
              <a:cs typeface="+mn-cs"/>
            </a:rPr>
            <a:t>Elaborado por:</a:t>
          </a:r>
          <a:endParaRPr lang="pt-BR"/>
        </a:p>
        <a:p>
          <a:r>
            <a:rPr lang="pt-BR" sz="1100" i="1" baseline="0">
              <a:solidFill>
                <a:schemeClr val="dk1"/>
              </a:solidFill>
              <a:latin typeface="+mn-lt"/>
              <a:ea typeface="+mn-ea"/>
              <a:cs typeface="+mn-cs"/>
            </a:rPr>
            <a:t>Revisado por:  </a:t>
          </a:r>
          <a:endParaRPr lang="pt-BR" sz="1100">
            <a:solidFill>
              <a:schemeClr val="dk1"/>
            </a:solidFill>
            <a:latin typeface="+mn-lt"/>
            <a:ea typeface="+mn-ea"/>
            <a:cs typeface="+mn-cs"/>
          </a:endParaRPr>
        </a:p>
        <a:p>
          <a:r>
            <a:rPr lang="pt-BR" sz="1100" i="1" baseline="0">
              <a:solidFill>
                <a:schemeClr val="dk1"/>
              </a:solidFill>
              <a:latin typeface="+mn-lt"/>
              <a:ea typeface="+mn-ea"/>
              <a:cs typeface="+mn-cs"/>
            </a:rPr>
            <a:t>Data:  </a:t>
          </a:r>
          <a:endParaRPr lang="pt-BR" sz="1100">
            <a:solidFill>
              <a:schemeClr val="dk1"/>
            </a:solidFill>
            <a:latin typeface="+mn-lt"/>
            <a:ea typeface="+mn-ea"/>
            <a:cs typeface="+mn-cs"/>
          </a:endParaRPr>
        </a:p>
      </xdr:txBody>
    </xdr:sp>
    <xdr:clientData/>
  </xdr:twoCellAnchor>
  <xdr:twoCellAnchor>
    <xdr:from>
      <xdr:col>2</xdr:col>
      <xdr:colOff>2047875</xdr:colOff>
      <xdr:row>0</xdr:row>
      <xdr:rowOff>76200</xdr:rowOff>
    </xdr:from>
    <xdr:to>
      <xdr:col>2</xdr:col>
      <xdr:colOff>3305175</xdr:colOff>
      <xdr:row>1</xdr:row>
      <xdr:rowOff>161925</xdr:rowOff>
    </xdr:to>
    <xdr:sp macro="" textlink="">
      <xdr:nvSpPr>
        <xdr:cNvPr id="6" name="Retângulo de cantos arredondados 5">
          <a:hlinkClick xmlns:r="http://schemas.openxmlformats.org/officeDocument/2006/relationships" r:id="rId3"/>
        </xdr:cNvPr>
        <xdr:cNvSpPr/>
      </xdr:nvSpPr>
      <xdr:spPr>
        <a:xfrm>
          <a:off x="2800350" y="76200"/>
          <a:ext cx="1257300" cy="2762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219075</xdr:colOff>
          <xdr:row>19</xdr:row>
          <xdr:rowOff>9525</xdr:rowOff>
        </xdr:from>
        <xdr:to>
          <xdr:col>4</xdr:col>
          <xdr:colOff>466725</xdr:colOff>
          <xdr:row>20</xdr:row>
          <xdr:rowOff>0</xdr:rowOff>
        </xdr:to>
        <xdr:sp macro="" textlink="">
          <xdr:nvSpPr>
            <xdr:cNvPr id="163841" name="Check Box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171450</xdr:colOff>
      <xdr:row>2</xdr:row>
      <xdr:rowOff>66675</xdr:rowOff>
    </xdr:from>
    <xdr:to>
      <xdr:col>5</xdr:col>
      <xdr:colOff>268380</xdr:colOff>
      <xdr:row>4</xdr:row>
      <xdr:rowOff>134093</xdr:rowOff>
    </xdr:to>
    <xdr:pic>
      <xdr:nvPicPr>
        <xdr:cNvPr id="6" name="Imagem 5"/>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33825" y="409575"/>
          <a:ext cx="2040030" cy="448418"/>
        </a:xfrm>
        <a:prstGeom prst="rect">
          <a:avLst/>
        </a:prstGeom>
      </xdr:spPr>
    </xdr:pic>
    <xdr:clientData/>
  </xdr:twoCellAnchor>
  <xdr:twoCellAnchor>
    <xdr:from>
      <xdr:col>2</xdr:col>
      <xdr:colOff>0</xdr:colOff>
      <xdr:row>56</xdr:row>
      <xdr:rowOff>9525</xdr:rowOff>
    </xdr:from>
    <xdr:to>
      <xdr:col>9</xdr:col>
      <xdr:colOff>428624</xdr:colOff>
      <xdr:row>80</xdr:row>
      <xdr:rowOff>44823</xdr:rowOff>
    </xdr:to>
    <xdr:sp macro="" textlink="">
      <xdr:nvSpPr>
        <xdr:cNvPr id="9" name="CaixaDeTexto 8"/>
        <xdr:cNvSpPr txBox="1"/>
      </xdr:nvSpPr>
      <xdr:spPr>
        <a:xfrm>
          <a:off x="3762375" y="10220325"/>
          <a:ext cx="4962524" cy="4416798"/>
        </a:xfrm>
        <a:prstGeom prst="rect">
          <a:avLst/>
        </a:prstGeom>
        <a:solidFill>
          <a:schemeClr val="bg2"/>
        </a:solidFill>
        <a:ln w="9525" cmpd="sng">
          <a:solidFill>
            <a:schemeClr val="bg2">
              <a:lumMod val="50000"/>
            </a:schemeClr>
          </a:solidFill>
          <a:prstDash val="sysDot"/>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900">
            <a:latin typeface="voestalpine" panose="020B0500030000000000"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5</xdr:col>
          <xdr:colOff>619125</xdr:colOff>
          <xdr:row>17</xdr:row>
          <xdr:rowOff>0</xdr:rowOff>
        </xdr:to>
        <xdr:sp macro="" textlink="">
          <xdr:nvSpPr>
            <xdr:cNvPr id="163847" name="Option Button 7" hidden="1">
              <a:extLst>
                <a:ext uri="{63B3BB69-23CF-44E3-9099-C40C66FF867C}">
                  <a14:compatExt spid="_x0000_s16384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20</xdr:row>
          <xdr:rowOff>9525</xdr:rowOff>
        </xdr:from>
        <xdr:to>
          <xdr:col>4</xdr:col>
          <xdr:colOff>466725</xdr:colOff>
          <xdr:row>21</xdr:row>
          <xdr:rowOff>0</xdr:rowOff>
        </xdr:to>
        <xdr:sp macro="" textlink="">
          <xdr:nvSpPr>
            <xdr:cNvPr id="163869" name="Check Box 29" hidden="1">
              <a:extLst>
                <a:ext uri="{63B3BB69-23CF-44E3-9099-C40C66FF867C}">
                  <a14:compatExt spid="_x0000_s1638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9525</xdr:colOff>
      <xdr:row>0</xdr:row>
      <xdr:rowOff>38100</xdr:rowOff>
    </xdr:from>
    <xdr:to>
      <xdr:col>2</xdr:col>
      <xdr:colOff>9525</xdr:colOff>
      <xdr:row>1</xdr:row>
      <xdr:rowOff>114300</xdr:rowOff>
    </xdr:to>
    <xdr:sp macro="" textlink="">
      <xdr:nvSpPr>
        <xdr:cNvPr id="2" name="Retângulo de cantos arredondados 1">
          <a:hlinkClick xmlns:r="http://schemas.openxmlformats.org/officeDocument/2006/relationships" r:id="rId1"/>
        </xdr:cNvPr>
        <xdr:cNvSpPr/>
      </xdr:nvSpPr>
      <xdr:spPr>
        <a:xfrm>
          <a:off x="152400" y="38100"/>
          <a:ext cx="87630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twoCellAnchor>
    <xdr:from>
      <xdr:col>0</xdr:col>
      <xdr:colOff>0</xdr:colOff>
      <xdr:row>27</xdr:row>
      <xdr:rowOff>0</xdr:rowOff>
    </xdr:from>
    <xdr:to>
      <xdr:col>2</xdr:col>
      <xdr:colOff>3457576</xdr:colOff>
      <xdr:row>49</xdr:row>
      <xdr:rowOff>85725</xdr:rowOff>
    </xdr:to>
    <xdr:sp macro="" textlink="">
      <xdr:nvSpPr>
        <xdr:cNvPr id="3" name="CaixaDeTexto 2"/>
        <xdr:cNvSpPr txBox="1"/>
      </xdr:nvSpPr>
      <xdr:spPr>
        <a:xfrm>
          <a:off x="0" y="5753100"/>
          <a:ext cx="4476751" cy="4276725"/>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pt-BR" sz="1100">
              <a:solidFill>
                <a:schemeClr val="dk1"/>
              </a:solidFill>
              <a:latin typeface="+mn-lt"/>
              <a:ea typeface="+mn-ea"/>
              <a:cs typeface="+mn-cs"/>
            </a:rPr>
            <a:t>Considerações:</a:t>
          </a:r>
        </a:p>
        <a:p>
          <a:endParaRPr lang="pt-BR" sz="1100">
            <a:solidFill>
              <a:schemeClr val="dk1"/>
            </a:solidFill>
            <a:latin typeface="+mn-lt"/>
            <a:ea typeface="+mn-ea"/>
            <a:cs typeface="+mn-cs"/>
          </a:endParaRPr>
        </a:p>
      </xdr:txBody>
    </xdr:sp>
    <xdr:clientData/>
  </xdr:twoCellAnchor>
  <xdr:twoCellAnchor>
    <xdr:from>
      <xdr:col>2</xdr:col>
      <xdr:colOff>76200</xdr:colOff>
      <xdr:row>0</xdr:row>
      <xdr:rowOff>38100</xdr:rowOff>
    </xdr:from>
    <xdr:to>
      <xdr:col>2</xdr:col>
      <xdr:colOff>1314450</xdr:colOff>
      <xdr:row>1</xdr:row>
      <xdr:rowOff>114300</xdr:rowOff>
    </xdr:to>
    <xdr:sp macro="" textlink="">
      <xdr:nvSpPr>
        <xdr:cNvPr id="4" name="Retângulo de cantos arredondados 3">
          <a:hlinkClick xmlns:r="http://schemas.openxmlformats.org/officeDocument/2006/relationships" r:id="rId2"/>
        </xdr:cNvPr>
        <xdr:cNvSpPr/>
      </xdr:nvSpPr>
      <xdr:spPr>
        <a:xfrm>
          <a:off x="1095375" y="38100"/>
          <a:ext cx="1238250" cy="238125"/>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INVESTIMENTOS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10</xdr:col>
      <xdr:colOff>190500</xdr:colOff>
      <xdr:row>16</xdr:row>
      <xdr:rowOff>19050</xdr:rowOff>
    </xdr:from>
    <xdr:to>
      <xdr:col>13</xdr:col>
      <xdr:colOff>0</xdr:colOff>
      <xdr:row>18</xdr:row>
      <xdr:rowOff>19050</xdr:rowOff>
    </xdr:to>
    <xdr:sp macro="" textlink="">
      <xdr:nvSpPr>
        <xdr:cNvPr id="10" name="Retângulo de cantos arredondados 9">
          <a:hlinkClick xmlns:r="http://schemas.openxmlformats.org/officeDocument/2006/relationships" r:id="rId1"/>
        </xdr:cNvPr>
        <xdr:cNvSpPr/>
      </xdr:nvSpPr>
      <xdr:spPr>
        <a:xfrm>
          <a:off x="7286625" y="26098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Embalagem</a:t>
          </a:r>
        </a:p>
      </xdr:txBody>
    </xdr:sp>
    <xdr:clientData/>
  </xdr:twoCellAnchor>
  <xdr:twoCellAnchor editAs="oneCell">
    <xdr:from>
      <xdr:col>8</xdr:col>
      <xdr:colOff>0</xdr:colOff>
      <xdr:row>4</xdr:row>
      <xdr:rowOff>9525</xdr:rowOff>
    </xdr:from>
    <xdr:to>
      <xdr:col>10</xdr:col>
      <xdr:colOff>0</xdr:colOff>
      <xdr:row>6</xdr:row>
      <xdr:rowOff>9525</xdr:rowOff>
    </xdr:to>
    <xdr:sp macro="" textlink="">
      <xdr:nvSpPr>
        <xdr:cNvPr id="11" name="Retângulo de cantos arredondados 10">
          <a:hlinkClick xmlns:r="http://schemas.openxmlformats.org/officeDocument/2006/relationships" r:id="rId2"/>
        </xdr:cNvPr>
        <xdr:cNvSpPr/>
      </xdr:nvSpPr>
      <xdr:spPr>
        <a:xfrm>
          <a:off x="5610225" y="65722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Tira → Tubo</a:t>
          </a:r>
          <a:endParaRPr lang="pt-BR" sz="1200" b="0">
            <a:solidFill>
              <a:srgbClr val="464646"/>
            </a:solidFill>
            <a:latin typeface="+mn-lt"/>
          </a:endParaRPr>
        </a:p>
      </xdr:txBody>
    </xdr:sp>
    <xdr:clientData/>
  </xdr:twoCellAnchor>
  <xdr:twoCellAnchor editAs="oneCell">
    <xdr:from>
      <xdr:col>10</xdr:col>
      <xdr:colOff>190500</xdr:colOff>
      <xdr:row>13</xdr:row>
      <xdr:rowOff>19050</xdr:rowOff>
    </xdr:from>
    <xdr:to>
      <xdr:col>13</xdr:col>
      <xdr:colOff>0</xdr:colOff>
      <xdr:row>15</xdr:row>
      <xdr:rowOff>19050</xdr:rowOff>
    </xdr:to>
    <xdr:sp macro="" textlink="">
      <xdr:nvSpPr>
        <xdr:cNvPr id="12" name="Retângulo de cantos arredondados 11">
          <a:hlinkClick xmlns:r="http://schemas.openxmlformats.org/officeDocument/2006/relationships" r:id="rId3"/>
        </xdr:cNvPr>
        <xdr:cNvSpPr/>
      </xdr:nvSpPr>
      <xdr:spPr>
        <a:xfrm>
          <a:off x="7286625" y="21240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Hora-Máquina</a:t>
          </a:r>
        </a:p>
      </xdr:txBody>
    </xdr:sp>
    <xdr:clientData/>
  </xdr:twoCellAnchor>
  <xdr:twoCellAnchor editAs="oneCell">
    <xdr:from>
      <xdr:col>10</xdr:col>
      <xdr:colOff>190500</xdr:colOff>
      <xdr:row>7</xdr:row>
      <xdr:rowOff>0</xdr:rowOff>
    </xdr:from>
    <xdr:to>
      <xdr:col>13</xdr:col>
      <xdr:colOff>0</xdr:colOff>
      <xdr:row>9</xdr:row>
      <xdr:rowOff>0</xdr:rowOff>
    </xdr:to>
    <xdr:sp macro="" textlink="">
      <xdr:nvSpPr>
        <xdr:cNvPr id="17" name="Retângulo de cantos arredondados 16">
          <a:hlinkClick xmlns:r="http://schemas.openxmlformats.org/officeDocument/2006/relationships" r:id="rId4"/>
        </xdr:cNvPr>
        <xdr:cNvSpPr/>
      </xdr:nvSpPr>
      <xdr:spPr>
        <a:xfrm>
          <a:off x="6877050" y="1133475"/>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latin typeface="+mn-lt"/>
            </a:rPr>
            <a:t>Bobinas</a:t>
          </a:r>
          <a:endParaRPr lang="pt-BR" sz="1200" b="0">
            <a:solidFill>
              <a:srgbClr val="464646"/>
            </a:solidFill>
            <a:latin typeface="+mn-lt"/>
          </a:endParaRPr>
        </a:p>
      </xdr:txBody>
    </xdr:sp>
    <xdr:clientData/>
  </xdr:twoCellAnchor>
  <xdr:twoCellAnchor editAs="oneCell">
    <xdr:from>
      <xdr:col>8</xdr:col>
      <xdr:colOff>0</xdr:colOff>
      <xdr:row>7</xdr:row>
      <xdr:rowOff>0</xdr:rowOff>
    </xdr:from>
    <xdr:to>
      <xdr:col>10</xdr:col>
      <xdr:colOff>0</xdr:colOff>
      <xdr:row>9</xdr:row>
      <xdr:rowOff>0</xdr:rowOff>
    </xdr:to>
    <xdr:sp macro="" textlink="">
      <xdr:nvSpPr>
        <xdr:cNvPr id="18" name="Retângulo de cantos arredondados 17">
          <a:hlinkClick xmlns:r="http://schemas.openxmlformats.org/officeDocument/2006/relationships" r:id="rId5"/>
        </xdr:cNvPr>
        <xdr:cNvSpPr/>
      </xdr:nvSpPr>
      <xdr:spPr>
        <a:xfrm>
          <a:off x="5610225" y="1133475"/>
          <a:ext cx="14859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Simuladores</a:t>
          </a:r>
        </a:p>
      </xdr:txBody>
    </xdr:sp>
    <xdr:clientData/>
  </xdr:twoCellAnchor>
  <xdr:twoCellAnchor editAs="oneCell">
    <xdr:from>
      <xdr:col>10</xdr:col>
      <xdr:colOff>190500</xdr:colOff>
      <xdr:row>4</xdr:row>
      <xdr:rowOff>1</xdr:rowOff>
    </xdr:from>
    <xdr:to>
      <xdr:col>13</xdr:col>
      <xdr:colOff>0</xdr:colOff>
      <xdr:row>6</xdr:row>
      <xdr:rowOff>1</xdr:rowOff>
    </xdr:to>
    <xdr:sp macro="" textlink="">
      <xdr:nvSpPr>
        <xdr:cNvPr id="24" name="Retângulo de cantos arredondados 23">
          <a:hlinkClick xmlns:r="http://schemas.openxmlformats.org/officeDocument/2006/relationships" r:id="rId6"/>
        </xdr:cNvPr>
        <xdr:cNvSpPr/>
      </xdr:nvSpPr>
      <xdr:spPr>
        <a:xfrm>
          <a:off x="6877050" y="647701"/>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Peso da Tira</a:t>
          </a:r>
        </a:p>
      </xdr:txBody>
    </xdr:sp>
    <xdr:clientData/>
  </xdr:twoCellAnchor>
  <xdr:twoCellAnchor editAs="oneCell">
    <xdr:from>
      <xdr:col>8</xdr:col>
      <xdr:colOff>0</xdr:colOff>
      <xdr:row>10</xdr:row>
      <xdr:rowOff>0</xdr:rowOff>
    </xdr:from>
    <xdr:to>
      <xdr:col>10</xdr:col>
      <xdr:colOff>1</xdr:colOff>
      <xdr:row>12</xdr:row>
      <xdr:rowOff>0</xdr:rowOff>
    </xdr:to>
    <xdr:sp macro="" textlink="">
      <xdr:nvSpPr>
        <xdr:cNvPr id="26" name="Retângulo de cantos arredondados 25">
          <a:hlinkClick xmlns:r="http://schemas.openxmlformats.org/officeDocument/2006/relationships" r:id="rId7"/>
        </xdr:cNvPr>
        <xdr:cNvSpPr/>
      </xdr:nvSpPr>
      <xdr:spPr>
        <a:xfrm>
          <a:off x="5610225" y="1619250"/>
          <a:ext cx="1485901"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a:solidFill>
                <a:srgbClr val="464646"/>
              </a:solidFill>
              <a:latin typeface="+mn-lt"/>
            </a:rPr>
            <a:t>Carbono Equiv.</a:t>
          </a:r>
        </a:p>
      </xdr:txBody>
    </xdr:sp>
    <xdr:clientData/>
  </xdr:twoCellAnchor>
  <xdr:twoCellAnchor editAs="oneCell">
    <xdr:from>
      <xdr:col>10</xdr:col>
      <xdr:colOff>190500</xdr:colOff>
      <xdr:row>10</xdr:row>
      <xdr:rowOff>0</xdr:rowOff>
    </xdr:from>
    <xdr:to>
      <xdr:col>13</xdr:col>
      <xdr:colOff>0</xdr:colOff>
      <xdr:row>12</xdr:row>
      <xdr:rowOff>0</xdr:rowOff>
    </xdr:to>
    <xdr:sp macro="" textlink="">
      <xdr:nvSpPr>
        <xdr:cNvPr id="31" name="Retângulo de cantos arredondados 17">
          <a:hlinkClick xmlns:r="http://schemas.openxmlformats.org/officeDocument/2006/relationships" r:id="rId5"/>
        </xdr:cNvPr>
        <xdr:cNvSpPr/>
      </xdr:nvSpPr>
      <xdr:spPr>
        <a:xfrm>
          <a:off x="6877050" y="1619250"/>
          <a:ext cx="1676400" cy="323850"/>
        </a:xfrm>
        <a:prstGeom prst="snip2DiagRect">
          <a:avLst/>
        </a:prstGeom>
        <a:solidFill>
          <a:srgbClr val="FFFFFF"/>
        </a:solidFill>
        <a:ln w="12700">
          <a:solidFill>
            <a:srgbClr val="A9A9A9"/>
          </a:solidFill>
        </a:ln>
      </xdr:spPr>
      <xdr:style>
        <a:lnRef idx="1">
          <a:schemeClr val="dk1"/>
        </a:lnRef>
        <a:fillRef idx="2">
          <a:schemeClr val="dk1"/>
        </a:fillRef>
        <a:effectRef idx="1">
          <a:schemeClr val="dk1"/>
        </a:effectRef>
        <a:fontRef idx="minor">
          <a:schemeClr val="dk1"/>
        </a:fontRef>
      </xdr:style>
      <xdr:txBody>
        <a:bodyPr vertOverflow="clip" rtlCol="0" anchor="ctr"/>
        <a:lstStyle/>
        <a:p>
          <a:pPr algn="ctr"/>
          <a:r>
            <a:rPr lang="pt-BR" sz="1200" b="0" baseline="0">
              <a:solidFill>
                <a:srgbClr val="464646"/>
              </a:solidFill>
              <a:effectLst/>
              <a:latin typeface="+mn-lt"/>
              <a:ea typeface="+mn-ea"/>
              <a:cs typeface="+mn-cs"/>
            </a:rPr>
            <a:t>Força de Dobra</a:t>
          </a:r>
          <a:endParaRPr lang="pt-BR" sz="1200" b="0">
            <a:solidFill>
              <a:srgbClr val="464646"/>
            </a:solidFill>
            <a:effectLst/>
            <a:latin typeface="+mn-lt"/>
          </a:endParaRPr>
        </a:p>
      </xdr:txBody>
    </xdr:sp>
    <xdr:clientData/>
  </xdr:twoCellAnchor>
  <xdr:twoCellAnchor editAs="absolute">
    <xdr:from>
      <xdr:col>0</xdr:col>
      <xdr:colOff>38097</xdr:colOff>
      <xdr:row>0</xdr:row>
      <xdr:rowOff>133348</xdr:rowOff>
    </xdr:from>
    <xdr:to>
      <xdr:col>2</xdr:col>
      <xdr:colOff>866775</xdr:colOff>
      <xdr:row>19</xdr:row>
      <xdr:rowOff>44918</xdr:rowOff>
    </xdr:to>
    <xdr:grpSp>
      <xdr:nvGrpSpPr>
        <xdr:cNvPr id="3" name="Agrupar 2"/>
        <xdr:cNvGrpSpPr/>
      </xdr:nvGrpSpPr>
      <xdr:grpSpPr>
        <a:xfrm>
          <a:off x="38097" y="133348"/>
          <a:ext cx="2676528" cy="2988145"/>
          <a:chOff x="38097" y="133348"/>
          <a:chExt cx="2676528" cy="2988145"/>
        </a:xfrm>
      </xdr:grpSpPr>
      <xdr:grpSp>
        <xdr:nvGrpSpPr>
          <xdr:cNvPr id="45" name="Agrupar 44"/>
          <xdr:cNvGrpSpPr/>
        </xdr:nvGrpSpPr>
        <xdr:grpSpPr>
          <a:xfrm>
            <a:off x="38097" y="133348"/>
            <a:ext cx="2676528" cy="2988145"/>
            <a:chOff x="257539" y="142875"/>
            <a:chExt cx="1484912" cy="1657795"/>
          </a:xfrm>
        </xdr:grpSpPr>
        <xdr:grpSp>
          <xdr:nvGrpSpPr>
            <xdr:cNvPr id="43" name="Agrupar 42"/>
            <xdr:cNvGrpSpPr/>
          </xdr:nvGrpSpPr>
          <xdr:grpSpPr>
            <a:xfrm>
              <a:off x="257539" y="142875"/>
              <a:ext cx="1484912" cy="1657350"/>
              <a:chOff x="4618785" y="4953000"/>
              <a:chExt cx="1639140" cy="1829488"/>
            </a:xfrm>
          </xdr:grpSpPr>
          <xdr:sp macro="" textlink="">
            <xdr:nvSpPr>
              <xdr:cNvPr id="42" name="Retângulo Arredondado 41"/>
              <xdr:cNvSpPr/>
            </xdr:nvSpPr>
            <xdr:spPr>
              <a:xfrm>
                <a:off x="4618785" y="4953000"/>
                <a:ext cx="1172414" cy="1828801"/>
              </a:xfrm>
              <a:prstGeom prst="roundRect">
                <a:avLst>
                  <a:gd name="adj" fmla="val 4779"/>
                </a:avLst>
              </a:prstGeom>
              <a:solidFill>
                <a:schemeClr val="tx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pt-BR" sz="1100" b="1">
                  <a:solidFill>
                    <a:schemeClr val="tx1"/>
                  </a:solidFill>
                  <a:latin typeface="voestalpine" panose="020B0500030000000000" pitchFamily="34" charset="0"/>
                </a:endParaRPr>
              </a:p>
            </xdr:txBody>
          </xdr:sp>
          <xdr:pic>
            <xdr:nvPicPr>
              <xdr:cNvPr id="7" name="Imagem 6"/>
              <xdr:cNvPicPr>
                <a:picLocks noChangeAspect="1"/>
              </xdr:cNvPicPr>
            </xdr:nvPicPr>
            <xdr:blipFill>
              <a:blip xmlns:r="http://schemas.openxmlformats.org/officeDocument/2006/relationships" r:embed="rId8"/>
              <a:stretch>
                <a:fillRect/>
              </a:stretch>
            </xdr:blipFill>
            <xdr:spPr>
              <a:xfrm rot="5400000">
                <a:off x="4390868" y="5291483"/>
                <a:ext cx="1810435" cy="1171575"/>
              </a:xfrm>
              <a:prstGeom prst="rect">
                <a:avLst/>
              </a:prstGeom>
            </xdr:spPr>
          </xdr:pic>
          <xdr:sp macro="" textlink="">
            <xdr:nvSpPr>
              <xdr:cNvPr id="6" name="Retângulo Arredondado 5"/>
              <xdr:cNvSpPr/>
            </xdr:nvSpPr>
            <xdr:spPr>
              <a:xfrm>
                <a:off x="4895850" y="4953000"/>
                <a:ext cx="1362075" cy="1828800"/>
              </a:xfrm>
              <a:prstGeom prst="roundRect">
                <a:avLst>
                  <a:gd name="adj" fmla="val 4779"/>
                </a:avLst>
              </a:prstGeom>
              <a:solidFill>
                <a:schemeClr val="bg2"/>
              </a:solidFill>
              <a:ln w="12700">
                <a:solidFill>
                  <a:srgbClr val="A9A9A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800" b="0">
                    <a:solidFill>
                      <a:srgbClr val="464646"/>
                    </a:solidFill>
                    <a:latin typeface="voestalpine" panose="020B0500030000000000" pitchFamily="34" charset="0"/>
                  </a:rPr>
                  <a:t>Estudos de Viabilidades</a:t>
                </a:r>
              </a:p>
            </xdr:txBody>
          </xdr:sp>
        </xdr:grpSp>
        <xdr:pic>
          <xdr:nvPicPr>
            <xdr:cNvPr id="44" name="Imagem 43"/>
            <xdr:cNvPicPr>
              <a:picLocks noChangeAspect="1"/>
            </xdr:cNvPicPr>
          </xdr:nvPicPr>
          <xdr:blipFill>
            <a:blip xmlns:r="http://schemas.openxmlformats.org/officeDocument/2006/relationships" r:embed="rId9"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11595" y="1430728"/>
              <a:ext cx="1058543" cy="369942"/>
            </a:xfrm>
            <a:prstGeom prst="rect">
              <a:avLst/>
            </a:prstGeom>
          </xdr:spPr>
        </xdr:pic>
      </xdr:grpSp>
      <xdr:pic>
        <xdr:nvPicPr>
          <xdr:cNvPr id="2" name="Imagem 1"/>
          <xdr:cNvPicPr>
            <a:picLocks noChangeAspect="1"/>
          </xdr:cNvPicPr>
        </xdr:nvPicPr>
        <xdr:blipFill>
          <a:blip xmlns:r="http://schemas.openxmlformats.org/officeDocument/2006/relationships" r:embed="rId10" cstate="print">
            <a:grayscl/>
            <a:extLst>
              <a:ext uri="{28A0092B-C50C-407E-A947-70E740481C1C}">
                <a14:useLocalDpi xmlns:a14="http://schemas.microsoft.com/office/drawing/2010/main" val="0"/>
              </a:ext>
            </a:extLst>
          </a:blip>
          <a:stretch>
            <a:fillRect/>
          </a:stretch>
        </xdr:blipFill>
        <xdr:spPr>
          <a:xfrm rot="20090413">
            <a:off x="884210" y="935064"/>
            <a:ext cx="1419225" cy="1419225"/>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276225</xdr:colOff>
      <xdr:row>35</xdr:row>
      <xdr:rowOff>66675</xdr:rowOff>
    </xdr:from>
    <xdr:to>
      <xdr:col>8</xdr:col>
      <xdr:colOff>66675</xdr:colOff>
      <xdr:row>36</xdr:row>
      <xdr:rowOff>104775</xdr:rowOff>
    </xdr:to>
    <xdr:sp macro="" textlink="">
      <xdr:nvSpPr>
        <xdr:cNvPr id="9" name="CaixaDeTexto 8"/>
        <xdr:cNvSpPr txBox="1"/>
      </xdr:nvSpPr>
      <xdr:spPr>
        <a:xfrm>
          <a:off x="4495800" y="52387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TIRA</a:t>
          </a:r>
        </a:p>
      </xdr:txBody>
    </xdr:sp>
    <xdr:clientData/>
  </xdr:twoCellAnchor>
  <xdr:twoCellAnchor>
    <xdr:from>
      <xdr:col>2</xdr:col>
      <xdr:colOff>781050</xdr:colOff>
      <xdr:row>31</xdr:row>
      <xdr:rowOff>161925</xdr:rowOff>
    </xdr:from>
    <xdr:to>
      <xdr:col>3</xdr:col>
      <xdr:colOff>28575</xdr:colOff>
      <xdr:row>38</xdr:row>
      <xdr:rowOff>9525</xdr:rowOff>
    </xdr:to>
    <xdr:graphicFrame macro="">
      <xdr:nvGraphicFramePr>
        <xdr:cNvPr id="2168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266700</xdr:colOff>
      <xdr:row>32</xdr:row>
      <xdr:rowOff>28575</xdr:rowOff>
    </xdr:from>
    <xdr:to>
      <xdr:col>6</xdr:col>
      <xdr:colOff>333375</xdr:colOff>
      <xdr:row>37</xdr:row>
      <xdr:rowOff>123825</xdr:rowOff>
    </xdr:to>
    <xdr:graphicFrame macro="">
      <xdr:nvGraphicFramePr>
        <xdr:cNvPr id="2168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152400</xdr:colOff>
      <xdr:row>36</xdr:row>
      <xdr:rowOff>133350</xdr:rowOff>
    </xdr:from>
    <xdr:to>
      <xdr:col>8</xdr:col>
      <xdr:colOff>57150</xdr:colOff>
      <xdr:row>36</xdr:row>
      <xdr:rowOff>133350</xdr:rowOff>
    </xdr:to>
    <xdr:cxnSp macro="">
      <xdr:nvCxnSpPr>
        <xdr:cNvPr id="5" name="Conector de seta reta 4"/>
        <xdr:cNvCxnSpPr/>
      </xdr:nvCxnSpPr>
      <xdr:spPr>
        <a:xfrm flipH="1">
          <a:off x="4371975" y="5495925"/>
          <a:ext cx="762000" cy="0"/>
        </a:xfrm>
        <a:prstGeom prst="straightConnector1">
          <a:avLst/>
        </a:prstGeom>
        <a:ln>
          <a:tailEnd type="arrow"/>
        </a:ln>
      </xdr:spPr>
      <xdr:style>
        <a:lnRef idx="3">
          <a:schemeClr val="accent1"/>
        </a:lnRef>
        <a:fillRef idx="0">
          <a:schemeClr val="accent1"/>
        </a:fillRef>
        <a:effectRef idx="2">
          <a:schemeClr val="accent1"/>
        </a:effectRef>
        <a:fontRef idx="minor">
          <a:schemeClr val="tx1"/>
        </a:fontRef>
      </xdr:style>
    </xdr:cxnSp>
    <xdr:clientData/>
  </xdr:twoCellAnchor>
  <xdr:twoCellAnchor>
    <xdr:from>
      <xdr:col>5</xdr:col>
      <xdr:colOff>171450</xdr:colOff>
      <xdr:row>30</xdr:row>
      <xdr:rowOff>180975</xdr:rowOff>
    </xdr:from>
    <xdr:to>
      <xdr:col>5</xdr:col>
      <xdr:colOff>819150</xdr:colOff>
      <xdr:row>32</xdr:row>
      <xdr:rowOff>28575</xdr:rowOff>
    </xdr:to>
    <xdr:sp macro="" textlink="">
      <xdr:nvSpPr>
        <xdr:cNvPr id="12" name="CaixaDeTexto 11"/>
        <xdr:cNvSpPr txBox="1"/>
      </xdr:nvSpPr>
      <xdr:spPr>
        <a:xfrm>
          <a:off x="4124325" y="4591050"/>
          <a:ext cx="6477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0°</a:t>
          </a:r>
        </a:p>
      </xdr:txBody>
    </xdr:sp>
    <xdr:clientData/>
  </xdr:twoCellAnchor>
  <xdr:twoCellAnchor>
    <xdr:from>
      <xdr:col>5</xdr:col>
      <xdr:colOff>123826</xdr:colOff>
      <xdr:row>33</xdr:row>
      <xdr:rowOff>5195</xdr:rowOff>
    </xdr:from>
    <xdr:to>
      <xdr:col>5</xdr:col>
      <xdr:colOff>809625</xdr:colOff>
      <xdr:row>36</xdr:row>
      <xdr:rowOff>142874</xdr:rowOff>
    </xdr:to>
    <xdr:sp macro="" textlink="">
      <xdr:nvSpPr>
        <xdr:cNvPr id="10" name="Arco 9"/>
        <xdr:cNvSpPr/>
      </xdr:nvSpPr>
      <xdr:spPr>
        <a:xfrm>
          <a:off x="4076701" y="4986770"/>
          <a:ext cx="685799" cy="709179"/>
        </a:xfrm>
        <a:prstGeom prst="arc">
          <a:avLst>
            <a:gd name="adj1" fmla="val 16200000"/>
            <a:gd name="adj2" fmla="val 21472734"/>
          </a:avLst>
        </a:prstGeom>
        <a:ln w="38100">
          <a:solidFill>
            <a:srgbClr val="FFFF00"/>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pt-BR"/>
        </a:p>
      </xdr:txBody>
    </xdr:sp>
    <xdr:clientData/>
  </xdr:twoCellAnchor>
  <xdr:twoCellAnchor>
    <xdr:from>
      <xdr:col>6</xdr:col>
      <xdr:colOff>171450</xdr:colOff>
      <xdr:row>31</xdr:row>
      <xdr:rowOff>28575</xdr:rowOff>
    </xdr:from>
    <xdr:to>
      <xdr:col>7</xdr:col>
      <xdr:colOff>342900</xdr:colOff>
      <xdr:row>32</xdr:row>
      <xdr:rowOff>66675</xdr:rowOff>
    </xdr:to>
    <xdr:sp macro="" textlink="">
      <xdr:nvSpPr>
        <xdr:cNvPr id="15" name="CaixaDeTexto 14"/>
        <xdr:cNvSpPr txBox="1"/>
      </xdr:nvSpPr>
      <xdr:spPr>
        <a:xfrm>
          <a:off x="4391025" y="4438650"/>
          <a:ext cx="64770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b="1"/>
            <a:t>PRENSA</a:t>
          </a:r>
        </a:p>
      </xdr:txBody>
    </xdr:sp>
    <xdr:clientData/>
  </xdr:twoCellAnchor>
  <xdr:twoCellAnchor>
    <xdr:from>
      <xdr:col>2</xdr:col>
      <xdr:colOff>161925</xdr:colOff>
      <xdr:row>49</xdr:row>
      <xdr:rowOff>47625</xdr:rowOff>
    </xdr:from>
    <xdr:to>
      <xdr:col>4</xdr:col>
      <xdr:colOff>200025</xdr:colOff>
      <xdr:row>55</xdr:row>
      <xdr:rowOff>104775</xdr:rowOff>
    </xdr:to>
    <xdr:graphicFrame macro="">
      <xdr:nvGraphicFramePr>
        <xdr:cNvPr id="21692"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209550</xdr:colOff>
      <xdr:row>18</xdr:row>
      <xdr:rowOff>104775</xdr:rowOff>
    </xdr:from>
    <xdr:to>
      <xdr:col>5</xdr:col>
      <xdr:colOff>409575</xdr:colOff>
      <xdr:row>18</xdr:row>
      <xdr:rowOff>104775</xdr:rowOff>
    </xdr:to>
    <xdr:cxnSp macro="">
      <xdr:nvCxnSpPr>
        <xdr:cNvPr id="17" name="Conector de seta reta 16"/>
        <xdr:cNvCxnSpPr/>
      </xdr:nvCxnSpPr>
      <xdr:spPr>
        <a:xfrm>
          <a:off x="4162425" y="2714625"/>
          <a:ext cx="2000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56</xdr:row>
      <xdr:rowOff>104775</xdr:rowOff>
    </xdr:from>
    <xdr:to>
      <xdr:col>4</xdr:col>
      <xdr:colOff>600075</xdr:colOff>
      <xdr:row>56</xdr:row>
      <xdr:rowOff>104775</xdr:rowOff>
    </xdr:to>
    <xdr:cxnSp macro="">
      <xdr:nvCxnSpPr>
        <xdr:cNvPr id="19" name="Conector de seta reta 18"/>
        <xdr:cNvCxnSpPr/>
      </xdr:nvCxnSpPr>
      <xdr:spPr>
        <a:xfrm>
          <a:off x="2990850" y="9429750"/>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133350</xdr:colOff>
      <xdr:row>45</xdr:row>
      <xdr:rowOff>114300</xdr:rowOff>
    </xdr:from>
    <xdr:to>
      <xdr:col>4</xdr:col>
      <xdr:colOff>600075</xdr:colOff>
      <xdr:row>45</xdr:row>
      <xdr:rowOff>114300</xdr:rowOff>
    </xdr:to>
    <xdr:cxnSp macro="">
      <xdr:nvCxnSpPr>
        <xdr:cNvPr id="20" name="Conector de seta reta 19"/>
        <xdr:cNvCxnSpPr/>
      </xdr:nvCxnSpPr>
      <xdr:spPr>
        <a:xfrm>
          <a:off x="2990850" y="7381875"/>
          <a:ext cx="466725" cy="0"/>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4</xdr:col>
          <xdr:colOff>552450</xdr:colOff>
          <xdr:row>16</xdr:row>
          <xdr:rowOff>38100</xdr:rowOff>
        </xdr:from>
        <xdr:to>
          <xdr:col>5</xdr:col>
          <xdr:colOff>47625</xdr:colOff>
          <xdr:row>17</xdr:row>
          <xdr:rowOff>0</xdr:rowOff>
        </xdr:to>
        <xdr:sp macro="" textlink="">
          <xdr:nvSpPr>
            <xdr:cNvPr id="21666" name="Spinner 162" descr="Comando utilizado para controlar a velocidade da prensa." hidden="1">
              <a:extLst>
                <a:ext uri="{63B3BB69-23CF-44E3-9099-C40C66FF867C}">
                  <a14:compatExt spid="_x0000_s216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19</xdr:row>
          <xdr:rowOff>28575</xdr:rowOff>
        </xdr:from>
        <xdr:to>
          <xdr:col>5</xdr:col>
          <xdr:colOff>47625</xdr:colOff>
          <xdr:row>19</xdr:row>
          <xdr:rowOff>180975</xdr:rowOff>
        </xdr:to>
        <xdr:sp macro="" textlink="">
          <xdr:nvSpPr>
            <xdr:cNvPr id="21667" name="Spinner 163" descr="Comando utilizado para controlar a velocidade da prensa." hidden="1">
              <a:extLst>
                <a:ext uri="{63B3BB69-23CF-44E3-9099-C40C66FF867C}">
                  <a14:compatExt spid="_x0000_s216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22</xdr:row>
          <xdr:rowOff>9525</xdr:rowOff>
        </xdr:from>
        <xdr:to>
          <xdr:col>7</xdr:col>
          <xdr:colOff>361950</xdr:colOff>
          <xdr:row>22</xdr:row>
          <xdr:rowOff>161925</xdr:rowOff>
        </xdr:to>
        <xdr:sp macro="" textlink="">
          <xdr:nvSpPr>
            <xdr:cNvPr id="21668" name="Scroll Bar 164" hidden="1">
              <a:extLst>
                <a:ext uri="{63B3BB69-23CF-44E3-9099-C40C66FF867C}">
                  <a14:compatExt spid="_x0000_s216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552450</xdr:colOff>
          <xdr:row>18</xdr:row>
          <xdr:rowOff>19050</xdr:rowOff>
        </xdr:from>
        <xdr:to>
          <xdr:col>5</xdr:col>
          <xdr:colOff>47625</xdr:colOff>
          <xdr:row>18</xdr:row>
          <xdr:rowOff>171450</xdr:rowOff>
        </xdr:to>
        <xdr:sp macro="" textlink="">
          <xdr:nvSpPr>
            <xdr:cNvPr id="21669" name="Spinner 165" descr="Comando utilizado para controlar a velocidade da prensa." hidden="1">
              <a:extLst>
                <a:ext uri="{63B3BB69-23CF-44E3-9099-C40C66FF867C}">
                  <a14:compatExt spid="_x0000_s21669"/>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xdr:col>
      <xdr:colOff>95250</xdr:colOff>
      <xdr:row>12</xdr:row>
      <xdr:rowOff>209550</xdr:rowOff>
    </xdr:from>
    <xdr:to>
      <xdr:col>3</xdr:col>
      <xdr:colOff>657225</xdr:colOff>
      <xdr:row>22</xdr:row>
      <xdr:rowOff>38100</xdr:rowOff>
    </xdr:to>
    <xdr:graphicFrame macro="">
      <xdr:nvGraphicFramePr>
        <xdr:cNvPr id="102434"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72</xdr:col>
      <xdr:colOff>247650</xdr:colOff>
      <xdr:row>53</xdr:row>
      <xdr:rowOff>152400</xdr:rowOff>
    </xdr:from>
    <xdr:to>
      <xdr:col>76</xdr:col>
      <xdr:colOff>333375</xdr:colOff>
      <xdr:row>75</xdr:row>
      <xdr:rowOff>66675</xdr:rowOff>
    </xdr:to>
    <xdr:graphicFrame macro="">
      <xdr:nvGraphicFramePr>
        <xdr:cNvPr id="102435"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133350</xdr:colOff>
      <xdr:row>25</xdr:row>
      <xdr:rowOff>161925</xdr:rowOff>
    </xdr:from>
    <xdr:to>
      <xdr:col>81</xdr:col>
      <xdr:colOff>66675</xdr:colOff>
      <xdr:row>51</xdr:row>
      <xdr:rowOff>57150</xdr:rowOff>
    </xdr:to>
    <xdr:graphicFrame macro="">
      <xdr:nvGraphicFramePr>
        <xdr:cNvPr id="10243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542925</xdr:colOff>
      <xdr:row>53</xdr:row>
      <xdr:rowOff>180975</xdr:rowOff>
    </xdr:from>
    <xdr:to>
      <xdr:col>81</xdr:col>
      <xdr:colOff>19050</xdr:colOff>
      <xdr:row>75</xdr:row>
      <xdr:rowOff>95250</xdr:rowOff>
    </xdr:to>
    <xdr:graphicFrame macro="">
      <xdr:nvGraphicFramePr>
        <xdr:cNvPr id="102437"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57150</xdr:colOff>
      <xdr:row>8</xdr:row>
      <xdr:rowOff>180975</xdr:rowOff>
    </xdr:from>
    <xdr:to>
      <xdr:col>5</xdr:col>
      <xdr:colOff>542925</xdr:colOff>
      <xdr:row>22</xdr:row>
      <xdr:rowOff>9525</xdr:rowOff>
    </xdr:to>
    <xdr:graphicFrame macro="">
      <xdr:nvGraphicFramePr>
        <xdr:cNvPr id="10243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81</xdr:col>
      <xdr:colOff>495300</xdr:colOff>
      <xdr:row>25</xdr:row>
      <xdr:rowOff>161925</xdr:rowOff>
    </xdr:from>
    <xdr:to>
      <xdr:col>85</xdr:col>
      <xdr:colOff>466725</xdr:colOff>
      <xdr:row>51</xdr:row>
      <xdr:rowOff>57150</xdr:rowOff>
    </xdr:to>
    <xdr:graphicFrame macro="">
      <xdr:nvGraphicFramePr>
        <xdr:cNvPr id="102439" name="Gráfico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609599</xdr:colOff>
      <xdr:row>4</xdr:row>
      <xdr:rowOff>104775</xdr:rowOff>
    </xdr:from>
    <xdr:to>
      <xdr:col>11</xdr:col>
      <xdr:colOff>285749</xdr:colOff>
      <xdr:row>14</xdr:row>
      <xdr:rowOff>161924</xdr:rowOff>
    </xdr:to>
    <xdr:sp macro="" textlink="">
      <xdr:nvSpPr>
        <xdr:cNvPr id="4" name="CaixaDeTexto 3"/>
        <xdr:cNvSpPr txBox="1"/>
      </xdr:nvSpPr>
      <xdr:spPr>
        <a:xfrm>
          <a:off x="609599" y="914400"/>
          <a:ext cx="6677025" cy="16763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u="sng"/>
            <a:t>Tempos de Setup:</a:t>
          </a:r>
        </a:p>
        <a:p>
          <a:r>
            <a:rPr lang="pt-BR" sz="1100"/>
            <a:t>Passagem</a:t>
          </a:r>
          <a:r>
            <a:rPr lang="pt-BR" sz="1100" baseline="0"/>
            <a:t> de Bobina = 20 minutos</a:t>
          </a:r>
        </a:p>
        <a:p>
          <a:r>
            <a:rPr lang="pt-BR" sz="1100" baseline="0"/>
            <a:t>Troca de Ferramental = 30 minutos</a:t>
          </a:r>
        </a:p>
        <a:p>
          <a:endParaRPr lang="pt-BR" sz="1100" baseline="0"/>
        </a:p>
        <a:p>
          <a:r>
            <a:rPr lang="pt-BR" sz="1100" b="1" u="sng" baseline="0"/>
            <a:t>OBS: </a:t>
          </a:r>
          <a:r>
            <a:rPr lang="pt-BR" sz="1100" baseline="0"/>
            <a:t>Para materiais especiais, as perdas devem ser avaliadas de acordo com o aproveitamento da bobina.</a:t>
          </a:r>
          <a:endParaRPr lang="pt-BR"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123825</xdr:rowOff>
    </xdr:from>
    <xdr:to>
      <xdr:col>1</xdr:col>
      <xdr:colOff>619125</xdr:colOff>
      <xdr:row>2</xdr:row>
      <xdr:rowOff>66675</xdr:rowOff>
    </xdr:to>
    <xdr:sp macro="" textlink="">
      <xdr:nvSpPr>
        <xdr:cNvPr id="2" name="Retângulo de cantos arredondados 1">
          <a:hlinkClick xmlns:r="http://schemas.openxmlformats.org/officeDocument/2006/relationships" r:id="rId1"/>
        </xdr:cNvPr>
        <xdr:cNvSpPr/>
      </xdr:nvSpPr>
      <xdr:spPr>
        <a:xfrm>
          <a:off x="200025" y="123825"/>
          <a:ext cx="609600" cy="266700"/>
        </a:xfrm>
        <a:prstGeom prst="roundRect">
          <a:avLst/>
        </a:prstGeom>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pt-BR" sz="1100" b="1">
              <a:solidFill>
                <a:schemeClr val="accent1">
                  <a:lumMod val="75000"/>
                </a:schemeClr>
              </a:solidFill>
            </a:rPr>
            <a:t>HOME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11</xdr:col>
      <xdr:colOff>115956</xdr:colOff>
      <xdr:row>10</xdr:row>
      <xdr:rowOff>1</xdr:rowOff>
    </xdr:from>
    <xdr:to>
      <xdr:col>12</xdr:col>
      <xdr:colOff>74543</xdr:colOff>
      <xdr:row>12</xdr:row>
      <xdr:rowOff>157370</xdr:rowOff>
    </xdr:to>
    <xdr:sp macro="" textlink="">
      <xdr:nvSpPr>
        <xdr:cNvPr id="3" name="Chave direita 2"/>
        <xdr:cNvSpPr/>
      </xdr:nvSpPr>
      <xdr:spPr>
        <a:xfrm>
          <a:off x="2478156" y="1657351"/>
          <a:ext cx="177662" cy="500269"/>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16</xdr:row>
      <xdr:rowOff>8283</xdr:rowOff>
    </xdr:from>
    <xdr:to>
      <xdr:col>15</xdr:col>
      <xdr:colOff>107672</xdr:colOff>
      <xdr:row>18</xdr:row>
      <xdr:rowOff>165653</xdr:rowOff>
    </xdr:to>
    <xdr:sp macro="" textlink="">
      <xdr:nvSpPr>
        <xdr:cNvPr id="4" name="Chave direita 3"/>
        <xdr:cNvSpPr/>
      </xdr:nvSpPr>
      <xdr:spPr>
        <a:xfrm>
          <a:off x="3178035" y="2675283"/>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xdr:from>
      <xdr:col>14</xdr:col>
      <xdr:colOff>149085</xdr:colOff>
      <xdr:row>20</xdr:row>
      <xdr:rowOff>8285</xdr:rowOff>
    </xdr:from>
    <xdr:to>
      <xdr:col>15</xdr:col>
      <xdr:colOff>107672</xdr:colOff>
      <xdr:row>22</xdr:row>
      <xdr:rowOff>165655</xdr:rowOff>
    </xdr:to>
    <xdr:sp macro="" textlink="">
      <xdr:nvSpPr>
        <xdr:cNvPr id="5" name="Chave direita 4"/>
        <xdr:cNvSpPr/>
      </xdr:nvSpPr>
      <xdr:spPr>
        <a:xfrm>
          <a:off x="3178035" y="3361085"/>
          <a:ext cx="177662" cy="500270"/>
        </a:xfrm>
        <a:prstGeom prst="rightBrace">
          <a:avLst/>
        </a:prstGeom>
      </xdr:spPr>
      <xdr:style>
        <a:lnRef idx="2">
          <a:schemeClr val="dk1"/>
        </a:lnRef>
        <a:fillRef idx="0">
          <a:schemeClr val="dk1"/>
        </a:fillRef>
        <a:effectRef idx="1">
          <a:schemeClr val="dk1"/>
        </a:effectRef>
        <a:fontRef idx="minor">
          <a:schemeClr val="tx1"/>
        </a:fontRef>
      </xdr:style>
      <xdr:txBody>
        <a:bodyPr vertOverflow="clip" rtlCol="0" anchor="ctr"/>
        <a:lstStyle/>
        <a:p>
          <a:endParaRPr lang="pt-BR"/>
        </a:p>
      </xdr:txBody>
    </xdr:sp>
    <xdr:clientData/>
  </xdr:twoCellAnchor>
  <xdr:twoCellAnchor editAs="oneCell">
    <xdr:from>
      <xdr:col>2</xdr:col>
      <xdr:colOff>74544</xdr:colOff>
      <xdr:row>2</xdr:row>
      <xdr:rowOff>74543</xdr:rowOff>
    </xdr:from>
    <xdr:to>
      <xdr:col>10</xdr:col>
      <xdr:colOff>238204</xdr:colOff>
      <xdr:row>6</xdr:row>
      <xdr:rowOff>59635</xdr:rowOff>
    </xdr:to>
    <xdr:pic>
      <xdr:nvPicPr>
        <xdr:cNvPr id="8" name="Imagem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3827" y="422413"/>
          <a:ext cx="1853312" cy="64770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47625</xdr:colOff>
      <xdr:row>16</xdr:row>
      <xdr:rowOff>47625</xdr:rowOff>
    </xdr:from>
    <xdr:to>
      <xdr:col>22</xdr:col>
      <xdr:colOff>161925</xdr:colOff>
      <xdr:row>31</xdr:row>
      <xdr:rowOff>0</xdr:rowOff>
    </xdr:to>
    <xdr:pic>
      <xdr:nvPicPr>
        <xdr:cNvPr id="13107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790825"/>
          <a:ext cx="4476750" cy="24098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104775</xdr:colOff>
      <xdr:row>19</xdr:row>
      <xdr:rowOff>0</xdr:rowOff>
    </xdr:from>
    <xdr:to>
      <xdr:col>47</xdr:col>
      <xdr:colOff>28575</xdr:colOff>
      <xdr:row>29</xdr:row>
      <xdr:rowOff>85725</xdr:rowOff>
    </xdr:to>
    <xdr:pic>
      <xdr:nvPicPr>
        <xdr:cNvPr id="131078" name="Picture 2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314950" y="3257550"/>
          <a:ext cx="496252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33130</xdr:colOff>
      <xdr:row>2</xdr:row>
      <xdr:rowOff>107674</xdr:rowOff>
    </xdr:from>
    <xdr:to>
      <xdr:col>10</xdr:col>
      <xdr:colOff>196790</xdr:colOff>
      <xdr:row>6</xdr:row>
      <xdr:rowOff>92766</xdr:rowOff>
    </xdr:to>
    <xdr:pic>
      <xdr:nvPicPr>
        <xdr:cNvPr id="7" name="Imagem 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22413" y="455544"/>
          <a:ext cx="1853312" cy="64770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14</xdr:col>
      <xdr:colOff>66675</xdr:colOff>
      <xdr:row>2</xdr:row>
      <xdr:rowOff>59856</xdr:rowOff>
    </xdr:from>
    <xdr:to>
      <xdr:col>25</xdr:col>
      <xdr:colOff>151487</xdr:colOff>
      <xdr:row>36</xdr:row>
      <xdr:rowOff>65925</xdr:rowOff>
    </xdr:to>
    <xdr:pic>
      <xdr:nvPicPr>
        <xdr:cNvPr id="2" name="Imagem 1"/>
        <xdr:cNvPicPr>
          <a:picLocks noChangeAspect="1"/>
        </xdr:cNvPicPr>
      </xdr:nvPicPr>
      <xdr:blipFill>
        <a:blip xmlns:r="http://schemas.openxmlformats.org/officeDocument/2006/relationships" r:embed="rId1"/>
        <a:stretch>
          <a:fillRect/>
        </a:stretch>
      </xdr:blipFill>
      <xdr:spPr>
        <a:xfrm>
          <a:off x="7829550" y="440856"/>
          <a:ext cx="6790412" cy="5568669"/>
        </a:xfrm>
        <a:prstGeom prst="rect">
          <a:avLst/>
        </a:prstGeom>
      </xdr:spPr>
    </xdr:pic>
    <xdr:clientData/>
  </xdr:twoCellAnchor>
  <xdr:twoCellAnchor editAs="oneCell">
    <xdr:from>
      <xdr:col>12</xdr:col>
      <xdr:colOff>342899</xdr:colOff>
      <xdr:row>36</xdr:row>
      <xdr:rowOff>55310</xdr:rowOff>
    </xdr:from>
    <xdr:to>
      <xdr:col>28</xdr:col>
      <xdr:colOff>141648</xdr:colOff>
      <xdr:row>70</xdr:row>
      <xdr:rowOff>142157</xdr:rowOff>
    </xdr:to>
    <xdr:pic>
      <xdr:nvPicPr>
        <xdr:cNvPr id="3" name="Imagem 2"/>
        <xdr:cNvPicPr>
          <a:picLocks noChangeAspect="1"/>
        </xdr:cNvPicPr>
      </xdr:nvPicPr>
      <xdr:blipFill>
        <a:blip xmlns:r="http://schemas.openxmlformats.org/officeDocument/2006/relationships" r:embed="rId2"/>
        <a:stretch>
          <a:fillRect/>
        </a:stretch>
      </xdr:blipFill>
      <xdr:spPr>
        <a:xfrm>
          <a:off x="6886574" y="6799010"/>
          <a:ext cx="9552349" cy="559229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lhos%20em%20Andamento/Cristian%20Garcia/ESTUDOS%20CPV/SIMULADOR%20DE%20MARGEM%20PARA%20ITEM%20PADR&#195;O%20(Vers&#227;o%202.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cristian.garcia\Desktop\Parametros%20Prensa-PF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mulador"/>
      <sheetName val="Resumo do Item"/>
      <sheetName val="Banco de Processos"/>
      <sheetName val="Custo Hora-Máquina"/>
      <sheetName val="Banco de Itens"/>
      <sheetName val="Lista Mestre"/>
      <sheetName val="Preço MP"/>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PRE PUNCHING PF01"/>
    </sheetNames>
    <sheetDataSet>
      <sheetData sheetId="0" refreshError="1"/>
      <sheetData sheetId="1">
        <row r="11">
          <cell r="L11">
            <v>0</v>
          </cell>
        </row>
        <row r="29">
          <cell r="M29">
            <v>0</v>
          </cell>
          <cell r="O29">
            <v>0</v>
          </cell>
          <cell r="P29">
            <v>0</v>
          </cell>
          <cell r="R29">
            <v>0</v>
          </cell>
          <cell r="S29">
            <v>0</v>
          </cell>
          <cell r="U29">
            <v>0</v>
          </cell>
          <cell r="V29">
            <v>0</v>
          </cell>
          <cell r="X29">
            <v>0</v>
          </cell>
          <cell r="Y29">
            <v>0</v>
          </cell>
          <cell r="AA29">
            <v>0</v>
          </cell>
          <cell r="AB29">
            <v>0</v>
          </cell>
          <cell r="AD29">
            <v>0</v>
          </cell>
          <cell r="AE29">
            <v>0</v>
          </cell>
          <cell r="AG29">
            <v>0</v>
          </cell>
          <cell r="AH29">
            <v>0</v>
          </cell>
          <cell r="AJ29">
            <v>0</v>
          </cell>
          <cell r="AK29">
            <v>0</v>
          </cell>
          <cell r="AM29">
            <v>0</v>
          </cell>
          <cell r="AN29">
            <v>0</v>
          </cell>
          <cell r="AP29">
            <v>0</v>
          </cell>
          <cell r="AQ29">
            <v>0</v>
          </cell>
          <cell r="AS29">
            <v>0</v>
          </cell>
          <cell r="AT29">
            <v>0</v>
          </cell>
          <cell r="AV29">
            <v>0</v>
          </cell>
          <cell r="AW29">
            <v>0</v>
          </cell>
          <cell r="AY29">
            <v>0</v>
          </cell>
          <cell r="AZ29">
            <v>0</v>
          </cell>
          <cell r="BB29">
            <v>0</v>
          </cell>
          <cell r="BC29">
            <v>0</v>
          </cell>
          <cell r="BE29">
            <v>0</v>
          </cell>
          <cell r="BF29">
            <v>0</v>
          </cell>
          <cell r="BH29">
            <v>0</v>
          </cell>
          <cell r="BI29">
            <v>0</v>
          </cell>
          <cell r="BK29">
            <v>0</v>
          </cell>
          <cell r="BL29">
            <v>0</v>
          </cell>
          <cell r="BN29">
            <v>0</v>
          </cell>
          <cell r="BO29">
            <v>0</v>
          </cell>
          <cell r="BQ29">
            <v>0</v>
          </cell>
          <cell r="BR29">
            <v>0</v>
          </cell>
          <cell r="BT29">
            <v>0</v>
          </cell>
        </row>
        <row r="30">
          <cell r="M30">
            <v>6.25</v>
          </cell>
          <cell r="O30">
            <v>15</v>
          </cell>
          <cell r="P30">
            <v>6.25</v>
          </cell>
          <cell r="R30">
            <v>15</v>
          </cell>
          <cell r="S30">
            <v>6.25</v>
          </cell>
          <cell r="U30">
            <v>15</v>
          </cell>
          <cell r="V30">
            <v>6.25</v>
          </cell>
          <cell r="X30">
            <v>15</v>
          </cell>
          <cell r="Y30">
            <v>6.25</v>
          </cell>
          <cell r="AA30">
            <v>15</v>
          </cell>
          <cell r="AB30">
            <v>6.25</v>
          </cell>
          <cell r="AD30">
            <v>15</v>
          </cell>
          <cell r="AE30">
            <v>6.25</v>
          </cell>
          <cell r="AG30">
            <v>15</v>
          </cell>
          <cell r="AH30">
            <v>6.25</v>
          </cell>
          <cell r="AJ30">
            <v>15</v>
          </cell>
          <cell r="AK30">
            <v>6.25</v>
          </cell>
          <cell r="AM30">
            <v>15</v>
          </cell>
          <cell r="AN30">
            <v>6.25</v>
          </cell>
          <cell r="AP30">
            <v>15</v>
          </cell>
          <cell r="AQ30">
            <v>6.25</v>
          </cell>
          <cell r="AS30">
            <v>15</v>
          </cell>
          <cell r="AT30">
            <v>6.25</v>
          </cell>
          <cell r="AV30">
            <v>15</v>
          </cell>
          <cell r="AW30">
            <v>6.25</v>
          </cell>
          <cell r="AY30">
            <v>15</v>
          </cell>
          <cell r="AZ30">
            <v>6.25</v>
          </cell>
          <cell r="BB30">
            <v>15</v>
          </cell>
          <cell r="BC30">
            <v>6.25</v>
          </cell>
          <cell r="BE30">
            <v>15</v>
          </cell>
          <cell r="BF30">
            <v>6.25</v>
          </cell>
          <cell r="BH30">
            <v>15</v>
          </cell>
          <cell r="BI30">
            <v>6.25</v>
          </cell>
          <cell r="BK30">
            <v>15</v>
          </cell>
          <cell r="BL30">
            <v>6.25</v>
          </cell>
          <cell r="BN30">
            <v>15</v>
          </cell>
          <cell r="BO30">
            <v>6.25</v>
          </cell>
          <cell r="BQ30">
            <v>15</v>
          </cell>
          <cell r="BR30">
            <v>6.25</v>
          </cell>
          <cell r="BT30">
            <v>15</v>
          </cell>
        </row>
        <row r="31">
          <cell r="M31">
            <v>93.750000000000014</v>
          </cell>
          <cell r="O31">
            <v>15</v>
          </cell>
          <cell r="P31">
            <v>6.25</v>
          </cell>
          <cell r="R31">
            <v>15</v>
          </cell>
          <cell r="S31">
            <v>1293.7500000000002</v>
          </cell>
          <cell r="U31">
            <v>15</v>
          </cell>
          <cell r="V31">
            <v>654.75</v>
          </cell>
          <cell r="X31">
            <v>15</v>
          </cell>
          <cell r="Y31">
            <v>1024.75</v>
          </cell>
          <cell r="AA31">
            <v>15</v>
          </cell>
          <cell r="AB31">
            <v>262.75</v>
          </cell>
          <cell r="AD31">
            <v>15</v>
          </cell>
          <cell r="AE31">
            <v>654.75</v>
          </cell>
          <cell r="AG31">
            <v>15</v>
          </cell>
          <cell r="AH31">
            <v>1293.7500000000002</v>
          </cell>
          <cell r="AJ31">
            <v>15</v>
          </cell>
          <cell r="AK31">
            <v>654.75</v>
          </cell>
          <cell r="AM31">
            <v>15</v>
          </cell>
          <cell r="AN31">
            <v>727.75</v>
          </cell>
          <cell r="AP31">
            <v>15</v>
          </cell>
          <cell r="AQ31">
            <v>559.75</v>
          </cell>
          <cell r="AS31">
            <v>15</v>
          </cell>
          <cell r="AT31">
            <v>654.75</v>
          </cell>
          <cell r="AV31">
            <v>15</v>
          </cell>
          <cell r="AW31">
            <v>1293.7500000000002</v>
          </cell>
          <cell r="AY31">
            <v>15</v>
          </cell>
          <cell r="AZ31">
            <v>1303.2500000000002</v>
          </cell>
          <cell r="BB31">
            <v>15</v>
          </cell>
          <cell r="BC31">
            <v>-6.25</v>
          </cell>
          <cell r="BE31">
            <v>15</v>
          </cell>
          <cell r="BF31">
            <v>-6.25</v>
          </cell>
          <cell r="BH31">
            <v>15</v>
          </cell>
          <cell r="BI31">
            <v>-6.25</v>
          </cell>
          <cell r="BK31">
            <v>15</v>
          </cell>
          <cell r="BL31">
            <v>-6.25</v>
          </cell>
          <cell r="BN31">
            <v>15</v>
          </cell>
          <cell r="BO31">
            <v>-6.25</v>
          </cell>
          <cell r="BQ31">
            <v>15</v>
          </cell>
          <cell r="BR31">
            <v>-6.25</v>
          </cell>
          <cell r="BT31">
            <v>15</v>
          </cell>
        </row>
        <row r="32">
          <cell r="M32">
            <v>100.00000000000001</v>
          </cell>
          <cell r="O32">
            <v>0</v>
          </cell>
          <cell r="P32">
            <v>12.5</v>
          </cell>
          <cell r="R32">
            <v>0</v>
          </cell>
          <cell r="S32">
            <v>1300.0000000000002</v>
          </cell>
          <cell r="U32">
            <v>0</v>
          </cell>
          <cell r="V32">
            <v>661</v>
          </cell>
          <cell r="X32">
            <v>0</v>
          </cell>
          <cell r="Y32">
            <v>1031</v>
          </cell>
          <cell r="AA32">
            <v>0</v>
          </cell>
          <cell r="AB32">
            <v>269</v>
          </cell>
          <cell r="AD32">
            <v>0</v>
          </cell>
          <cell r="AE32">
            <v>661</v>
          </cell>
          <cell r="AG32">
            <v>0</v>
          </cell>
          <cell r="AH32">
            <v>1300.0000000000002</v>
          </cell>
          <cell r="AJ32">
            <v>0</v>
          </cell>
          <cell r="AK32">
            <v>661</v>
          </cell>
          <cell r="AM32">
            <v>0</v>
          </cell>
          <cell r="AN32">
            <v>734</v>
          </cell>
          <cell r="AP32">
            <v>0</v>
          </cell>
          <cell r="AQ32">
            <v>566</v>
          </cell>
          <cell r="AS32">
            <v>0</v>
          </cell>
          <cell r="AT32">
            <v>661</v>
          </cell>
          <cell r="AV32">
            <v>0</v>
          </cell>
          <cell r="AW32">
            <v>1300.0000000000002</v>
          </cell>
          <cell r="AY32">
            <v>0</v>
          </cell>
          <cell r="AZ32">
            <v>1309.5000000000002</v>
          </cell>
          <cell r="BB32">
            <v>0</v>
          </cell>
          <cell r="BC32">
            <v>0</v>
          </cell>
          <cell r="BE32">
            <v>0</v>
          </cell>
          <cell r="BF32">
            <v>0</v>
          </cell>
          <cell r="BH32">
            <v>0</v>
          </cell>
          <cell r="BI32">
            <v>0</v>
          </cell>
          <cell r="BK32">
            <v>0</v>
          </cell>
          <cell r="BL32">
            <v>0</v>
          </cell>
          <cell r="BN32">
            <v>0</v>
          </cell>
          <cell r="BO32">
            <v>0</v>
          </cell>
          <cell r="BQ32">
            <v>0</v>
          </cell>
          <cell r="BR32">
            <v>0</v>
          </cell>
          <cell r="BT32">
            <v>0</v>
          </cell>
        </row>
      </sheetData>
    </sheetDataSet>
  </externalBook>
</externalLink>
</file>

<file path=xl/tables/table1.xml><?xml version="1.0" encoding="utf-8"?>
<table xmlns="http://schemas.openxmlformats.org/spreadsheetml/2006/main" id="1" name="Tabela1" displayName="Tabela1" ref="Y1:Z1974" totalsRowShown="0" headerRowDxfId="51" dataDxfId="50" tableBorderDxfId="49" headerRowCellStyle="Fixos" dataCellStyle="Dados Editáveis">
  <autoFilter ref="Y1:Z1974"/>
  <tableColumns count="2">
    <tableColumn id="1" name="Cliente" dataDxfId="48" dataCellStyle="Dados Editáveis"/>
    <tableColumn id="2" name="Segmento Mercado" dataDxfId="47" dataCellStyle="Dados Editáveis"/>
  </tableColumns>
  <tableStyleInfo name="TableStyleLight8" showFirstColumn="0" showLastColumn="0" showRowStripes="1" showColumnStripes="0"/>
</table>
</file>

<file path=xl/tables/table2.xml><?xml version="1.0" encoding="utf-8"?>
<table xmlns="http://schemas.openxmlformats.org/spreadsheetml/2006/main" id="2" name="Tabela2" displayName="Tabela2" ref="A1:W41" totalsRowShown="0" headerRowDxfId="46" dataDxfId="45" headerRowCellStyle="Fixos">
  <autoFilter ref="A1:W41"/>
  <tableColumns count="23">
    <tableColumn id="1" name="Máquina" dataDxfId="44"/>
    <tableColumn id="2" name="Abreviação" dataDxfId="43"/>
    <tableColumn id="3" name="Descrição" dataDxfId="42"/>
    <tableColumn id="4" name="Descrição GPE" dataDxfId="41"/>
    <tableColumn id="5" name="Tipo de Operação" dataDxfId="40"/>
    <tableColumn id="13" name="Classificação de Busca" dataDxfId="39"/>
    <tableColumn id="6" name="Eficiência Leve" dataDxfId="38" dataCellStyle="Porcentagem"/>
    <tableColumn id="7" name="Eficiência Normal" dataDxfId="37" dataCellStyle="Porcentagem"/>
    <tableColumn id="8" name="Eficiência Pesada" dataDxfId="36" dataCellStyle="Porcentagem"/>
    <tableColumn id="9" name="Setup" dataDxfId="35" dataCellStyle="Porcentagem"/>
    <tableColumn id="10" name="Setup In-Line por estágio" dataDxfId="34" dataCellStyle="Porcentagem"/>
    <tableColumn id="11" name="Setup Off-Line por estágio" dataDxfId="33" dataCellStyle="Porcentagem"/>
    <tableColumn id="12" name="Perda Padrão de Processo" dataDxfId="32" dataCellStyle="Porcentagem"/>
    <tableColumn id="14" name="Setup Matriz Leve" dataDxfId="31"/>
    <tableColumn id="15" name="Setup Matriz Média" dataDxfId="30"/>
    <tableColumn id="16" name="Setup Matriz Pesada" dataDxfId="29"/>
    <tableColumn id="17" name="Setup Matriz Troca Rápida" dataDxfId="28"/>
    <tableColumn id="18" name="Setup Corte Faca" dataDxfId="27"/>
    <tableColumn id="19" name="Setup Corte Cisalhamento" dataDxfId="26"/>
    <tableColumn id="20" name="Setup Corte Mordente" dataDxfId="25"/>
    <tableColumn id="21" name="Perda Corte Faca" dataDxfId="24"/>
    <tableColumn id="22" name="Perda Corte Cisalhamento" dataDxfId="23"/>
    <tableColumn id="23" name="Perda Corte Serra" dataDxfId="22"/>
  </tableColumns>
  <tableStyleInfo name="TableStyleLight2" showFirstColumn="0" showLastColumn="0" showRowStripes="1" showColumnStripes="0"/>
</table>
</file>

<file path=xl/tables/table3.xml><?xml version="1.0" encoding="utf-8"?>
<table xmlns="http://schemas.openxmlformats.org/spreadsheetml/2006/main" id="3" name="Tabela3" displayName="Tabela3" ref="AB1:AF41" totalsRowShown="0" headerRowDxfId="21" tableBorderDxfId="20" headerRowCellStyle="Fixos" dataCellStyle="Fórmulas">
  <autoFilter ref="AB1:AF41"/>
  <sortState ref="AB2:AB36">
    <sortCondition ref="AB1:AB36"/>
  </sortState>
  <tableColumns count="5">
    <tableColumn id="1" name="Máquinas After Operation" dataDxfId="19" dataCellStyle="Fórmulas">
      <calculatedColumnFormula array="1">IFERROR(INDEX(Tabela2[Descrição],SMALL(IF(Tabela2[Tipo de Operação]="After Operation",ROW(Tabela2[Tipo de Operação])-1),ROW(AB1))),"-")</calculatedColumnFormula>
    </tableColumn>
    <tableColumn id="2" name="Máquinas Células De Solda" dataDxfId="18" dataCellStyle="Fórmulas">
      <calculatedColumnFormula array="1">IFERROR(INDEX(Tabela2[Descrição],SMALL(IF(Tabela2[Tipo de Operação]="Célula de Solda",ROW(Tabela2[Tipo de Operação])-1),ROW(AB1))),"-")</calculatedColumnFormula>
    </tableColumn>
    <tableColumn id="3" name="Máquinas Conf. Convencional" dataDxfId="17" dataCellStyle="Fórmulas">
      <calculatedColumnFormula array="1">IFERROR(INDEX(Tabela2[Descrição],SMALL(IF(Tabela2[Tipo de Operação]="Tubos Conformação Convencional",ROW(Tabela2[Tipo de Operação])-1),ROW(AB1))),"-")</calculatedColumnFormula>
    </tableColumn>
    <tableColumn id="4" name="Máquinas Direct Forming" dataDxfId="16" dataCellStyle="Fórmulas">
      <calculatedColumnFormula array="1">IFERROR(INDEX(Tabela2[Descrição],SMALL(IF(Tabela2[Tipo de Operação]="Direct Forming",ROW(Tabela2[Tipo de Operação])-1),ROW(AB1))),"-")</calculatedColumnFormula>
    </tableColumn>
    <tableColumn id="5" name="Máquinas Conf. Perfis" dataDxfId="15" dataCellStyle="Fórmulas">
      <calculatedColumnFormula array="1">IFERROR(INDEX(Tabela2[Descrição],SMALL(IF(Tabela2[Tipo de Operação]="Conformação Perfis",ROW(Tabela2[Tipo de Operação])-1),ROW(AB1))),"-")</calculatedColumnFormula>
    </tableColumn>
  </tableColumns>
  <tableStyleInfo name="TableStyleLight8"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8.bin"/><Relationship Id="rId4"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16.x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5.bin"/><Relationship Id="rId4" Type="http://schemas.openxmlformats.org/officeDocument/2006/relationships/comments" Target="../comments9.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onf">
    <tabColor theme="1"/>
  </sheetPr>
  <dimension ref="B1:Z186"/>
  <sheetViews>
    <sheetView showGridLines="0" showRowColHeaders="0" zoomScaleNormal="100" zoomScaleSheetLayoutView="85" workbookViewId="0">
      <selection activeCell="C32" sqref="C32:E32"/>
    </sheetView>
  </sheetViews>
  <sheetFormatPr defaultColWidth="9.140625" defaultRowHeight="12.75" outlineLevelRow="2" x14ac:dyDescent="0.2"/>
  <cols>
    <col min="1" max="1" width="8.85546875" style="384" customWidth="1"/>
    <col min="2" max="2" width="2.7109375" style="384" customWidth="1"/>
    <col min="3" max="3" width="9.140625" style="384"/>
    <col min="4" max="4" width="9.28515625" style="384" bestFit="1" customWidth="1"/>
    <col min="5" max="5" width="11.5703125" style="384" bestFit="1" customWidth="1"/>
    <col min="6" max="6" width="9.28515625" style="384" bestFit="1" customWidth="1"/>
    <col min="7" max="7" width="9.140625" style="384"/>
    <col min="8" max="8" width="10.42578125" style="384" bestFit="1" customWidth="1"/>
    <col min="9" max="9" width="9.28515625" style="384" bestFit="1" customWidth="1"/>
    <col min="10" max="11" width="9.140625" style="384" customWidth="1"/>
    <col min="12" max="12" width="10.42578125" style="384" bestFit="1" customWidth="1"/>
    <col min="13" max="13" width="9.28515625" style="384" bestFit="1" customWidth="1"/>
    <col min="14" max="14" width="10.42578125" style="384" bestFit="1" customWidth="1"/>
    <col min="15" max="15" width="9.5703125" style="384" bestFit="1" customWidth="1"/>
    <col min="16" max="16" width="10.42578125" style="384" bestFit="1" customWidth="1"/>
    <col min="17" max="17" width="2.7109375" style="384" customWidth="1"/>
    <col min="18" max="18" width="3.5703125" style="384" customWidth="1"/>
    <col min="19" max="19" width="12.7109375" style="384" customWidth="1"/>
    <col min="20" max="23" width="10.7109375" style="384" customWidth="1"/>
    <col min="24" max="24" width="15.140625" style="384" bestFit="1" customWidth="1"/>
    <col min="25" max="25" width="11.7109375" style="384" customWidth="1"/>
    <col min="26" max="16384" width="9.140625" style="384"/>
  </cols>
  <sheetData>
    <row r="1" spans="2:21" ht="13.5" thickBot="1" x14ac:dyDescent="0.25">
      <c r="B1" s="383"/>
      <c r="C1" s="383"/>
      <c r="D1" s="383"/>
      <c r="E1" s="383"/>
      <c r="F1" s="383"/>
      <c r="G1" s="383"/>
      <c r="H1" s="383"/>
      <c r="I1" s="383"/>
      <c r="J1" s="383"/>
      <c r="K1" s="383"/>
      <c r="L1" s="383"/>
      <c r="M1" s="383"/>
      <c r="N1" s="383"/>
      <c r="O1" s="383"/>
      <c r="P1" s="383"/>
      <c r="Q1" s="383"/>
    </row>
    <row r="2" spans="2:21" ht="13.5" customHeight="1" x14ac:dyDescent="0.2">
      <c r="B2" s="394"/>
      <c r="C2" s="395"/>
      <c r="D2" s="395"/>
      <c r="E2" s="395"/>
      <c r="F2" s="395"/>
      <c r="G2" s="395"/>
      <c r="H2" s="395"/>
      <c r="I2" s="395"/>
      <c r="J2" s="395"/>
      <c r="K2" s="395"/>
      <c r="L2" s="395"/>
      <c r="M2" s="395"/>
      <c r="N2" s="395"/>
      <c r="O2" s="701" t="str">
        <f>LOOKUP(2,1/($B$164:B186&lt;&gt;""),$B$164:B186)&amp;"_"&amp;TEXT(LOOKUP(2,1/(P164:P186&lt;&gt;""),P164:P186),"aaaa")</f>
        <v>Versão 2.0_2022</v>
      </c>
      <c r="P2" s="701"/>
      <c r="Q2" s="396"/>
    </row>
    <row r="3" spans="2:21" ht="15" customHeight="1" x14ac:dyDescent="0.2">
      <c r="B3" s="397"/>
      <c r="C3" s="702"/>
      <c r="D3" s="703"/>
      <c r="E3" s="703"/>
      <c r="F3" s="703"/>
      <c r="G3" s="708" t="s">
        <v>673</v>
      </c>
      <c r="H3" s="708"/>
      <c r="I3" s="708"/>
      <c r="J3" s="708"/>
      <c r="K3" s="708"/>
      <c r="L3" s="708"/>
      <c r="M3" s="708"/>
      <c r="N3" s="708"/>
      <c r="O3" s="708"/>
      <c r="P3" s="708"/>
      <c r="Q3" s="398"/>
    </row>
    <row r="4" spans="2:21" ht="15" customHeight="1" x14ac:dyDescent="0.2">
      <c r="B4" s="397"/>
      <c r="C4" s="704"/>
      <c r="D4" s="705"/>
      <c r="E4" s="705"/>
      <c r="F4" s="705"/>
      <c r="G4" s="708"/>
      <c r="H4" s="708"/>
      <c r="I4" s="708"/>
      <c r="J4" s="708"/>
      <c r="K4" s="708"/>
      <c r="L4" s="708"/>
      <c r="M4" s="708"/>
      <c r="N4" s="708"/>
      <c r="O4" s="708"/>
      <c r="P4" s="708"/>
      <c r="Q4" s="398"/>
    </row>
    <row r="5" spans="2:21" ht="15" customHeight="1" x14ac:dyDescent="0.2">
      <c r="B5" s="397"/>
      <c r="C5" s="706"/>
      <c r="D5" s="707"/>
      <c r="E5" s="707"/>
      <c r="F5" s="707"/>
      <c r="G5" s="708"/>
      <c r="H5" s="708"/>
      <c r="I5" s="708"/>
      <c r="J5" s="708"/>
      <c r="K5" s="708"/>
      <c r="L5" s="708"/>
      <c r="M5" s="708"/>
      <c r="N5" s="708"/>
      <c r="O5" s="708"/>
      <c r="P5" s="708"/>
      <c r="Q5" s="398"/>
    </row>
    <row r="6" spans="2:21" ht="5.0999999999999996" customHeight="1" x14ac:dyDescent="0.2">
      <c r="B6" s="397"/>
      <c r="C6" s="383"/>
      <c r="D6" s="383"/>
      <c r="E6" s="383"/>
      <c r="F6" s="383"/>
      <c r="G6" s="383"/>
      <c r="H6" s="383"/>
      <c r="I6" s="383"/>
      <c r="J6" s="383"/>
      <c r="K6" s="383"/>
      <c r="L6" s="383"/>
      <c r="M6" s="383"/>
      <c r="N6" s="383"/>
      <c r="O6" s="383"/>
      <c r="P6" s="383"/>
      <c r="Q6" s="398"/>
    </row>
    <row r="7" spans="2:21" ht="5.0999999999999996" customHeight="1" x14ac:dyDescent="0.2">
      <c r="B7" s="397"/>
      <c r="C7" s="383"/>
      <c r="D7" s="383"/>
      <c r="E7" s="383"/>
      <c r="F7" s="383"/>
      <c r="G7" s="383"/>
      <c r="H7" s="383"/>
      <c r="I7" s="383"/>
      <c r="J7" s="383"/>
      <c r="K7" s="383"/>
      <c r="L7" s="383"/>
      <c r="M7" s="383"/>
      <c r="N7" s="383"/>
      <c r="O7" s="383"/>
      <c r="P7" s="383"/>
      <c r="Q7" s="398"/>
    </row>
    <row r="8" spans="2:21" ht="15" customHeight="1" x14ac:dyDescent="0.2">
      <c r="B8" s="397"/>
      <c r="C8" s="709" t="s">
        <v>669</v>
      </c>
      <c r="D8" s="709"/>
      <c r="E8" s="714" t="str">
        <f ca="1">IFERROR(MID(CELL("nome.arquivo",A1),FIND("]",CELL("nome.arquivo",A1))+1,LEN(CELL("nome.arquivo",A1) )),"{Salvar Este Arquivo}")</f>
        <v>PJT XXXX</v>
      </c>
      <c r="F8" s="714"/>
      <c r="G8" s="141"/>
      <c r="H8" s="709" t="s">
        <v>672</v>
      </c>
      <c r="I8" s="709"/>
      <c r="J8" s="715"/>
      <c r="K8" s="715"/>
      <c r="L8" s="715"/>
      <c r="M8" s="383"/>
      <c r="N8" s="711" t="s">
        <v>613</v>
      </c>
      <c r="O8" s="712"/>
      <c r="P8" s="713"/>
      <c r="Q8" s="398"/>
    </row>
    <row r="9" spans="2:21" ht="15" customHeight="1" x14ac:dyDescent="0.2">
      <c r="B9" s="397"/>
      <c r="C9" s="383"/>
      <c r="D9" s="383"/>
      <c r="E9" s="714"/>
      <c r="F9" s="714"/>
      <c r="G9" s="141"/>
      <c r="H9" s="383"/>
      <c r="I9" s="383"/>
      <c r="J9" s="715"/>
      <c r="K9" s="715"/>
      <c r="L9" s="715"/>
      <c r="M9" s="383"/>
      <c r="N9" s="410"/>
      <c r="O9" s="419" t="s">
        <v>615</v>
      </c>
      <c r="P9" s="420"/>
      <c r="Q9" s="398"/>
    </row>
    <row r="10" spans="2:21" ht="15" customHeight="1" x14ac:dyDescent="0.2">
      <c r="B10" s="397"/>
      <c r="C10" s="383"/>
      <c r="D10" s="383"/>
      <c r="E10" s="383"/>
      <c r="F10" s="383"/>
      <c r="G10" s="383"/>
      <c r="H10" s="383"/>
      <c r="I10" s="383"/>
      <c r="J10" s="383"/>
      <c r="K10" s="383"/>
      <c r="L10" s="383"/>
      <c r="M10" s="383"/>
      <c r="N10" s="446"/>
      <c r="O10" s="419" t="s">
        <v>670</v>
      </c>
      <c r="P10" s="420"/>
      <c r="Q10" s="398"/>
    </row>
    <row r="11" spans="2:21" ht="15" customHeight="1" x14ac:dyDescent="0.2">
      <c r="B11" s="397"/>
      <c r="C11" s="709" t="s">
        <v>612</v>
      </c>
      <c r="D11" s="709"/>
      <c r="E11" s="710"/>
      <c r="F11" s="710"/>
      <c r="G11" s="710"/>
      <c r="H11" s="710"/>
      <c r="I11" s="710"/>
      <c r="J11" s="710"/>
      <c r="K11" s="383"/>
      <c r="L11" s="531" t="s">
        <v>756</v>
      </c>
      <c r="M11" s="383"/>
      <c r="N11" s="411"/>
      <c r="O11" s="419" t="s">
        <v>671</v>
      </c>
      <c r="P11" s="420"/>
      <c r="Q11" s="398"/>
    </row>
    <row r="12" spans="2:21" ht="15" customHeight="1" x14ac:dyDescent="0.2">
      <c r="B12" s="397"/>
      <c r="C12" s="709" t="s">
        <v>614</v>
      </c>
      <c r="D12" s="709"/>
      <c r="E12" s="710"/>
      <c r="F12" s="710"/>
      <c r="G12" s="710"/>
      <c r="H12" s="710"/>
      <c r="I12" s="710"/>
      <c r="J12" s="710"/>
      <c r="K12" s="383"/>
      <c r="L12" s="430">
        <v>0</v>
      </c>
      <c r="M12" s="383"/>
      <c r="N12" s="412"/>
      <c r="O12" s="383" t="s">
        <v>631</v>
      </c>
      <c r="P12" s="413"/>
      <c r="Q12" s="398"/>
    </row>
    <row r="13" spans="2:21" ht="15" customHeight="1" x14ac:dyDescent="0.2">
      <c r="B13" s="397"/>
      <c r="C13" s="709" t="s">
        <v>616</v>
      </c>
      <c r="D13" s="709"/>
      <c r="E13" s="716"/>
      <c r="F13" s="716"/>
      <c r="G13" s="716"/>
      <c r="H13" s="716"/>
      <c r="I13" s="716"/>
      <c r="J13" s="716"/>
      <c r="K13" s="383"/>
      <c r="L13" s="383"/>
      <c r="M13" s="383"/>
      <c r="N13" s="414"/>
      <c r="O13" s="415" t="s">
        <v>632</v>
      </c>
      <c r="P13" s="408"/>
      <c r="Q13" s="398"/>
    </row>
    <row r="14" spans="2:21" ht="15" customHeight="1" x14ac:dyDescent="0.2">
      <c r="B14" s="397"/>
      <c r="C14" s="383"/>
      <c r="D14" s="383"/>
      <c r="E14" s="383"/>
      <c r="F14" s="383"/>
      <c r="G14" s="383"/>
      <c r="H14" s="383"/>
      <c r="I14" s="383"/>
      <c r="J14" s="383"/>
      <c r="K14" s="383"/>
      <c r="L14" s="383"/>
      <c r="M14" s="383"/>
      <c r="N14" s="383"/>
      <c r="O14" s="383"/>
      <c r="P14" s="383"/>
      <c r="Q14" s="398"/>
    </row>
    <row r="15" spans="2:21" ht="20.100000000000001" customHeight="1" x14ac:dyDescent="0.2">
      <c r="B15" s="397"/>
      <c r="C15" s="689" t="s">
        <v>647</v>
      </c>
      <c r="D15" s="689"/>
      <c r="E15" s="689"/>
      <c r="F15" s="689"/>
      <c r="G15" s="689"/>
      <c r="H15" s="689"/>
      <c r="I15" s="689"/>
      <c r="J15" s="689"/>
      <c r="K15" s="689"/>
      <c r="L15" s="689"/>
      <c r="M15" s="689"/>
      <c r="N15" s="689"/>
      <c r="O15" s="689"/>
      <c r="P15" s="689"/>
      <c r="Q15" s="398"/>
      <c r="R15"/>
      <c r="S15"/>
      <c r="T15"/>
      <c r="U15"/>
    </row>
    <row r="16" spans="2:21" ht="5.0999999999999996" customHeight="1" x14ac:dyDescent="0.2">
      <c r="B16" s="397"/>
      <c r="C16" s="383"/>
      <c r="D16" s="383"/>
      <c r="E16" s="379"/>
      <c r="F16" s="383"/>
      <c r="G16" s="379"/>
      <c r="H16" s="379"/>
      <c r="I16" s="379"/>
      <c r="J16" s="379"/>
      <c r="K16" s="383"/>
      <c r="L16" s="383"/>
      <c r="M16" s="383"/>
      <c r="N16" s="383"/>
      <c r="O16" s="383"/>
      <c r="P16" s="383"/>
      <c r="Q16" s="398"/>
    </row>
    <row r="17" spans="2:26" ht="15" customHeight="1" x14ac:dyDescent="0.2">
      <c r="B17" s="397"/>
      <c r="C17" s="685" t="s">
        <v>800</v>
      </c>
      <c r="D17" s="686"/>
      <c r="E17" s="686"/>
      <c r="F17" s="447">
        <v>3</v>
      </c>
      <c r="G17" s="448"/>
      <c r="H17" s="673" t="s">
        <v>392</v>
      </c>
      <c r="I17" s="673"/>
      <c r="J17" s="673" t="s">
        <v>623</v>
      </c>
      <c r="K17" s="673"/>
      <c r="L17" s="383"/>
      <c r="M17" s="718" t="s">
        <v>617</v>
      </c>
      <c r="N17" s="718"/>
      <c r="O17" s="399"/>
      <c r="P17" s="400" t="s">
        <v>689</v>
      </c>
      <c r="Q17" s="398"/>
      <c r="R17"/>
      <c r="S17"/>
      <c r="T17"/>
      <c r="U17"/>
    </row>
    <row r="18" spans="2:26" ht="15" customHeight="1" x14ac:dyDescent="0.2">
      <c r="B18" s="397"/>
      <c r="C18" s="685" t="s">
        <v>801</v>
      </c>
      <c r="D18" s="686"/>
      <c r="E18" s="686"/>
      <c r="F18" s="447"/>
      <c r="G18" s="448"/>
      <c r="H18" s="390">
        <f>ROUND((7.85*IF(E22&lt;&gt;0,E22,E24)*G22)/1000,3)</f>
        <v>0</v>
      </c>
      <c r="I18" s="391" t="s">
        <v>393</v>
      </c>
      <c r="J18" s="390">
        <f>(I22*H18)/1000</f>
        <v>0</v>
      </c>
      <c r="K18" s="391" t="s">
        <v>745</v>
      </c>
      <c r="L18" s="383"/>
      <c r="M18" s="383"/>
      <c r="N18" s="383"/>
      <c r="O18" s="401" t="str">
        <f>IFERROR((O17*1000)/H18,"")</f>
        <v/>
      </c>
      <c r="P18" s="400" t="s">
        <v>618</v>
      </c>
      <c r="Q18" s="398"/>
      <c r="R18"/>
      <c r="S18"/>
      <c r="T18"/>
      <c r="U18"/>
    </row>
    <row r="19" spans="2:26" ht="15" customHeight="1" x14ac:dyDescent="0.2">
      <c r="B19" s="397"/>
      <c r="C19" s="685" t="s">
        <v>802</v>
      </c>
      <c r="D19" s="686"/>
      <c r="E19" s="686"/>
      <c r="F19" s="447"/>
      <c r="G19" s="448"/>
      <c r="H19" s="383"/>
      <c r="I19" s="383"/>
      <c r="J19" s="383"/>
      <c r="K19" s="383"/>
      <c r="L19" s="383"/>
      <c r="M19" s="383"/>
      <c r="N19" s="383"/>
      <c r="O19" s="401" t="str">
        <f>IFERROR(ROUNDUP((O17*1000)/J18,0),"")</f>
        <v/>
      </c>
      <c r="P19" s="400" t="s">
        <v>619</v>
      </c>
      <c r="Q19" s="398"/>
      <c r="R19"/>
      <c r="S19"/>
      <c r="T19"/>
      <c r="U19"/>
    </row>
    <row r="20" spans="2:26" ht="15" customHeight="1" x14ac:dyDescent="0.2">
      <c r="B20" s="397"/>
      <c r="C20" s="383"/>
      <c r="D20" s="383"/>
      <c r="E20" s="379"/>
      <c r="F20" s="383"/>
      <c r="G20" s="379"/>
      <c r="H20" s="379"/>
      <c r="I20" s="379"/>
      <c r="J20" s="379"/>
      <c r="K20" s="383"/>
      <c r="L20" s="383"/>
      <c r="M20" s="383"/>
      <c r="N20" s="383"/>
      <c r="O20" s="383"/>
      <c r="P20" s="383"/>
      <c r="Q20" s="398"/>
    </row>
    <row r="21" spans="2:26" ht="15" customHeight="1" x14ac:dyDescent="0.2">
      <c r="B21" s="397"/>
      <c r="C21" s="673" t="s">
        <v>621</v>
      </c>
      <c r="D21" s="673"/>
      <c r="E21" s="673" t="s">
        <v>622</v>
      </c>
      <c r="F21" s="673"/>
      <c r="G21" s="673" t="s">
        <v>95</v>
      </c>
      <c r="H21" s="673"/>
      <c r="I21" s="673" t="s">
        <v>620</v>
      </c>
      <c r="J21" s="673"/>
      <c r="K21" s="383"/>
      <c r="L21" s="383"/>
      <c r="M21" s="383"/>
      <c r="N21" s="444" t="s">
        <v>636</v>
      </c>
      <c r="O21" s="449"/>
      <c r="P21" s="450" t="s">
        <v>687</v>
      </c>
      <c r="Q21" s="398"/>
    </row>
    <row r="22" spans="2:26" ht="15" customHeight="1" x14ac:dyDescent="0.2">
      <c r="B22" s="397"/>
      <c r="C22" s="409"/>
      <c r="D22" s="392" t="s">
        <v>9</v>
      </c>
      <c r="E22" s="409"/>
      <c r="F22" s="392" t="s">
        <v>9</v>
      </c>
      <c r="G22" s="393"/>
      <c r="H22" s="392" t="s">
        <v>9</v>
      </c>
      <c r="I22" s="416"/>
      <c r="J22" s="392" t="s">
        <v>9</v>
      </c>
      <c r="K22" s="383"/>
      <c r="L22" s="383"/>
      <c r="M22" s="383"/>
      <c r="N22" s="383"/>
      <c r="O22" s="383"/>
      <c r="P22" s="383"/>
      <c r="Q22" s="398"/>
    </row>
    <row r="23" spans="2:26" ht="15" customHeight="1" x14ac:dyDescent="0.2">
      <c r="B23" s="397"/>
      <c r="C23" s="383"/>
      <c r="D23" s="383"/>
      <c r="E23" s="673" t="s">
        <v>760</v>
      </c>
      <c r="F23" s="673"/>
      <c r="G23" s="383"/>
      <c r="H23" s="383"/>
      <c r="I23" s="383"/>
      <c r="J23" s="383"/>
      <c r="K23" s="383"/>
      <c r="L23" s="719" t="s">
        <v>712</v>
      </c>
      <c r="M23" s="719"/>
      <c r="N23" s="719"/>
      <c r="O23" s="437" t="s">
        <v>681</v>
      </c>
      <c r="P23" s="437" t="s">
        <v>682</v>
      </c>
      <c r="Q23" s="398"/>
    </row>
    <row r="24" spans="2:26" ht="15" customHeight="1" x14ac:dyDescent="0.2">
      <c r="B24" s="397"/>
      <c r="C24" s="383"/>
      <c r="D24" s="383"/>
      <c r="E24" s="389">
        <f>ROUND((C22-(G22/2))*PI(),0)</f>
        <v>0</v>
      </c>
      <c r="F24" s="392" t="s">
        <v>9</v>
      </c>
      <c r="G24" s="383"/>
      <c r="H24" s="383"/>
      <c r="I24" s="379"/>
      <c r="J24" s="383"/>
      <c r="K24" s="383"/>
      <c r="L24" s="686" t="s">
        <v>685</v>
      </c>
      <c r="M24" s="686"/>
      <c r="N24" s="717"/>
      <c r="O24" s="451" t="s">
        <v>116</v>
      </c>
      <c r="P24" s="451" t="s">
        <v>116</v>
      </c>
      <c r="Q24" s="398"/>
      <c r="R24"/>
    </row>
    <row r="25" spans="2:26" ht="15" customHeight="1" x14ac:dyDescent="0.2">
      <c r="B25" s="397"/>
      <c r="C25" s="383"/>
      <c r="D25" s="383"/>
      <c r="E25" s="379"/>
      <c r="F25" s="383"/>
      <c r="G25" s="379"/>
      <c r="H25" s="379"/>
      <c r="I25" s="379"/>
      <c r="J25" s="379"/>
      <c r="K25" s="383"/>
      <c r="L25" s="686" t="s">
        <v>686</v>
      </c>
      <c r="M25" s="686"/>
      <c r="N25" s="717"/>
      <c r="O25" s="451" t="s">
        <v>116</v>
      </c>
      <c r="P25" s="451" t="s">
        <v>116</v>
      </c>
      <c r="Q25" s="398"/>
    </row>
    <row r="26" spans="2:26" ht="15" customHeight="1" x14ac:dyDescent="0.2">
      <c r="B26" s="397"/>
      <c r="C26" s="673" t="s">
        <v>624</v>
      </c>
      <c r="D26" s="673"/>
      <c r="E26" s="673" t="s">
        <v>625</v>
      </c>
      <c r="F26" s="673"/>
      <c r="G26" s="673" t="s">
        <v>627</v>
      </c>
      <c r="H26" s="673"/>
      <c r="I26" s="673" t="s">
        <v>626</v>
      </c>
      <c r="J26" s="673"/>
      <c r="K26" s="141"/>
      <c r="L26" s="686" t="s">
        <v>683</v>
      </c>
      <c r="M26" s="686"/>
      <c r="N26" s="717"/>
      <c r="O26" s="451" t="s">
        <v>116</v>
      </c>
      <c r="P26" s="451" t="s">
        <v>116</v>
      </c>
      <c r="Q26" s="398"/>
      <c r="R26"/>
    </row>
    <row r="27" spans="2:26" ht="15" customHeight="1" x14ac:dyDescent="0.2">
      <c r="B27" s="397"/>
      <c r="C27" s="690" t="b">
        <v>0</v>
      </c>
      <c r="D27" s="690"/>
      <c r="E27" s="690" t="b">
        <v>0</v>
      </c>
      <c r="F27" s="690"/>
      <c r="G27" s="690" t="b">
        <v>0</v>
      </c>
      <c r="H27" s="690"/>
      <c r="I27" s="690" t="b">
        <v>0</v>
      </c>
      <c r="J27" s="690"/>
      <c r="K27" s="141"/>
      <c r="L27" s="686" t="s">
        <v>684</v>
      </c>
      <c r="M27" s="686"/>
      <c r="N27" s="717"/>
      <c r="O27" s="451" t="s">
        <v>116</v>
      </c>
      <c r="P27" s="451" t="s">
        <v>116</v>
      </c>
      <c r="Q27" s="398"/>
      <c r="R27"/>
    </row>
    <row r="28" spans="2:26" ht="15" customHeight="1" x14ac:dyDescent="0.2">
      <c r="B28" s="397"/>
      <c r="C28" s="141"/>
      <c r="D28" s="141"/>
      <c r="E28" s="141"/>
      <c r="F28" s="141"/>
      <c r="G28" s="379"/>
      <c r="H28" s="379"/>
      <c r="I28" s="379"/>
      <c r="J28" s="379"/>
      <c r="K28" s="383"/>
      <c r="L28" s="383"/>
      <c r="M28" s="383"/>
      <c r="N28" s="383"/>
      <c r="O28" s="383"/>
      <c r="P28" s="383"/>
      <c r="Q28" s="398"/>
      <c r="R28"/>
      <c r="T28" s="661"/>
    </row>
    <row r="29" spans="2:26" ht="20.100000000000001" customHeight="1" x14ac:dyDescent="0.2">
      <c r="B29" s="397"/>
      <c r="C29" s="689" t="s">
        <v>662</v>
      </c>
      <c r="D29" s="689"/>
      <c r="E29" s="689"/>
      <c r="F29" s="689"/>
      <c r="G29" s="689"/>
      <c r="H29" s="689"/>
      <c r="I29" s="689"/>
      <c r="J29" s="689"/>
      <c r="K29" s="689"/>
      <c r="L29" s="689"/>
      <c r="M29" s="689"/>
      <c r="N29" s="689"/>
      <c r="O29" s="689"/>
      <c r="P29" s="689"/>
      <c r="Q29" s="398"/>
    </row>
    <row r="30" spans="2:26" ht="5.0999999999999996" customHeight="1" x14ac:dyDescent="0.2">
      <c r="B30" s="397"/>
      <c r="C30" s="383"/>
      <c r="D30" s="383"/>
      <c r="E30" s="379"/>
      <c r="F30" s="383"/>
      <c r="G30" s="379"/>
      <c r="H30" s="379"/>
      <c r="I30" s="379"/>
      <c r="J30" s="379"/>
      <c r="K30" s="383"/>
      <c r="L30" s="383"/>
      <c r="M30" s="383"/>
      <c r="N30" s="383"/>
      <c r="O30" s="383"/>
      <c r="P30" s="383"/>
      <c r="Q30" s="398"/>
    </row>
    <row r="31" spans="2:26" ht="15" customHeight="1" x14ac:dyDescent="0.2">
      <c r="B31" s="397"/>
      <c r="C31" s="697" t="s">
        <v>49</v>
      </c>
      <c r="D31" s="698"/>
      <c r="E31" s="383"/>
      <c r="F31" s="383"/>
      <c r="G31" s="383"/>
      <c r="H31" s="679" t="s">
        <v>583</v>
      </c>
      <c r="I31" s="679"/>
      <c r="J31" s="673" t="s">
        <v>521</v>
      </c>
      <c r="K31" s="673"/>
      <c r="L31" s="673" t="s">
        <v>648</v>
      </c>
      <c r="M31" s="673"/>
      <c r="N31" s="696" t="s">
        <v>679</v>
      </c>
      <c r="O31" s="679"/>
      <c r="P31" s="679"/>
      <c r="Q31" s="398"/>
      <c r="S31" s="724" t="s">
        <v>796</v>
      </c>
      <c r="T31" s="724"/>
      <c r="U31" s="724"/>
      <c r="V31" s="724"/>
      <c r="W31" s="724" t="s">
        <v>807</v>
      </c>
      <c r="X31" s="724"/>
      <c r="Y31" s="627" t="s">
        <v>798</v>
      </c>
      <c r="Z31" s="627" t="s">
        <v>348</v>
      </c>
    </row>
    <row r="32" spans="2:26" s="385" customFormat="1" ht="15" customHeight="1" x14ac:dyDescent="0.2">
      <c r="B32" s="402"/>
      <c r="C32" s="693" t="s">
        <v>644</v>
      </c>
      <c r="D32" s="694"/>
      <c r="E32" s="695"/>
      <c r="F32" s="445"/>
      <c r="G32" s="445"/>
      <c r="H32" s="409"/>
      <c r="I32" s="392" t="s">
        <v>692</v>
      </c>
      <c r="J32" s="409"/>
      <c r="K32" s="392" t="s">
        <v>281</v>
      </c>
      <c r="L32" s="691"/>
      <c r="M32" s="692"/>
      <c r="N32" s="720">
        <f>SUMPRODUCT(W33:W36,Z33:Z36)</f>
        <v>0</v>
      </c>
      <c r="O32" s="721"/>
      <c r="P32" s="392" t="s">
        <v>680</v>
      </c>
      <c r="Q32" s="403"/>
      <c r="S32" s="606" t="s">
        <v>799</v>
      </c>
      <c r="T32" s="606" t="s">
        <v>781</v>
      </c>
      <c r="U32" s="606" t="s">
        <v>782</v>
      </c>
      <c r="V32" s="606" t="s">
        <v>783</v>
      </c>
      <c r="W32" s="606" t="s">
        <v>805</v>
      </c>
      <c r="X32" s="606" t="s">
        <v>806</v>
      </c>
      <c r="Y32" s="606" t="s">
        <v>797</v>
      </c>
      <c r="Z32" s="606" t="s">
        <v>793</v>
      </c>
    </row>
    <row r="33" spans="2:26" s="385" customFormat="1" ht="15" customHeight="1" x14ac:dyDescent="0.2">
      <c r="B33" s="402"/>
      <c r="C33" s="445"/>
      <c r="D33" s="445"/>
      <c r="E33" s="445"/>
      <c r="F33" s="141"/>
      <c r="G33" s="445"/>
      <c r="H33" s="409"/>
      <c r="I33" s="392" t="s">
        <v>652</v>
      </c>
      <c r="J33" s="445"/>
      <c r="K33" s="141"/>
      <c r="L33" s="660"/>
      <c r="M33" s="141"/>
      <c r="N33" s="141"/>
      <c r="O33" s="445"/>
      <c r="P33" s="445"/>
      <c r="Q33" s="403"/>
      <c r="S33" s="606" t="s">
        <v>784</v>
      </c>
      <c r="T33" s="377">
        <v>0</v>
      </c>
      <c r="U33" s="377">
        <v>0</v>
      </c>
      <c r="V33" s="443" t="s">
        <v>785</v>
      </c>
      <c r="W33" s="377">
        <v>0</v>
      </c>
      <c r="X33" s="377">
        <v>0</v>
      </c>
      <c r="Y33" s="626">
        <f>(T33*PI())+U33*2</f>
        <v>0</v>
      </c>
      <c r="Z33" s="607">
        <f>((PI())*((T33/2)^2)+(U33*T33))</f>
        <v>0</v>
      </c>
    </row>
    <row r="34" spans="2:26" ht="15" customHeight="1" x14ac:dyDescent="0.2">
      <c r="B34" s="397"/>
      <c r="C34" s="696" t="s">
        <v>105</v>
      </c>
      <c r="D34" s="679"/>
      <c r="E34" s="452" t="b">
        <v>0</v>
      </c>
      <c r="F34" s="141"/>
      <c r="G34" s="141"/>
      <c r="H34" s="383"/>
      <c r="I34" s="383"/>
      <c r="J34" s="673" t="s">
        <v>109</v>
      </c>
      <c r="K34" s="673"/>
      <c r="L34" s="673" t="s">
        <v>678</v>
      </c>
      <c r="M34" s="673"/>
      <c r="N34" s="696" t="s">
        <v>691</v>
      </c>
      <c r="O34" s="679"/>
      <c r="P34" s="679"/>
      <c r="Q34" s="398"/>
      <c r="S34" s="606" t="s">
        <v>792</v>
      </c>
      <c r="T34" s="377">
        <v>0</v>
      </c>
      <c r="U34" s="443" t="s">
        <v>785</v>
      </c>
      <c r="V34" s="443" t="s">
        <v>785</v>
      </c>
      <c r="W34" s="377">
        <v>0</v>
      </c>
      <c r="X34" s="377">
        <v>0</v>
      </c>
      <c r="Y34" s="626">
        <f>T34*PI()</f>
        <v>0</v>
      </c>
      <c r="Z34" s="607">
        <f>(PI())*((T34/2)^2)</f>
        <v>0</v>
      </c>
    </row>
    <row r="35" spans="2:26" ht="15" customHeight="1" x14ac:dyDescent="0.2">
      <c r="B35" s="397"/>
      <c r="C35" s="383"/>
      <c r="D35" s="383"/>
      <c r="E35" s="383"/>
      <c r="F35" s="141"/>
      <c r="G35" s="383"/>
      <c r="H35" s="383"/>
      <c r="I35" s="383"/>
      <c r="J35" s="722"/>
      <c r="K35" s="722"/>
      <c r="L35" s="722" t="s">
        <v>2923</v>
      </c>
      <c r="M35" s="722"/>
      <c r="N35" s="720">
        <f>SUMPRODUCT(Y33:Y36,W33:W36)</f>
        <v>0</v>
      </c>
      <c r="O35" s="721"/>
      <c r="P35" s="392" t="s">
        <v>9</v>
      </c>
      <c r="Q35" s="398"/>
      <c r="S35" s="606" t="s">
        <v>786</v>
      </c>
      <c r="T35" s="443" t="s">
        <v>785</v>
      </c>
      <c r="U35" s="377">
        <v>0</v>
      </c>
      <c r="V35" s="377">
        <v>0</v>
      </c>
      <c r="W35" s="377">
        <v>0</v>
      </c>
      <c r="X35" s="377">
        <v>0</v>
      </c>
      <c r="Y35" s="626">
        <f>U35*2+V35*2</f>
        <v>0</v>
      </c>
      <c r="Z35" s="607">
        <f>U35*V35</f>
        <v>0</v>
      </c>
    </row>
    <row r="36" spans="2:26" ht="15" customHeight="1" x14ac:dyDescent="0.2">
      <c r="B36" s="397"/>
      <c r="C36" s="697" t="s">
        <v>675</v>
      </c>
      <c r="D36" s="698"/>
      <c r="E36" s="141"/>
      <c r="F36" s="141"/>
      <c r="G36" s="383"/>
      <c r="H36" s="383"/>
      <c r="I36" s="383"/>
      <c r="J36" s="383"/>
      <c r="K36" s="383"/>
      <c r="L36" s="383"/>
      <c r="M36" s="383"/>
      <c r="N36" s="383"/>
      <c r="O36" s="383"/>
      <c r="P36" s="383"/>
      <c r="Q36" s="398"/>
      <c r="S36" s="606" t="s">
        <v>787</v>
      </c>
      <c r="T36" s="443" t="s">
        <v>785</v>
      </c>
      <c r="U36" s="377">
        <v>0</v>
      </c>
      <c r="V36" s="443" t="s">
        <v>785</v>
      </c>
      <c r="W36" s="377">
        <v>0</v>
      </c>
      <c r="X36" s="377">
        <v>0</v>
      </c>
      <c r="Y36" s="626">
        <f>U36*4</f>
        <v>0</v>
      </c>
      <c r="Z36" s="607">
        <f>U36*U36</f>
        <v>0</v>
      </c>
    </row>
    <row r="37" spans="2:26" ht="15" customHeight="1" x14ac:dyDescent="0.2">
      <c r="B37" s="397"/>
      <c r="C37" s="453"/>
      <c r="D37" s="453"/>
      <c r="E37" s="453"/>
      <c r="F37" s="417"/>
      <c r="G37" s="418"/>
      <c r="H37" s="418"/>
      <c r="I37" s="418"/>
      <c r="J37" s="418"/>
      <c r="K37" s="673" t="s">
        <v>649</v>
      </c>
      <c r="L37" s="673"/>
      <c r="M37" s="673" t="s">
        <v>780</v>
      </c>
      <c r="N37" s="673"/>
      <c r="O37" s="673" t="s">
        <v>770</v>
      </c>
      <c r="P37" s="673"/>
      <c r="Q37" s="398"/>
      <c r="S37"/>
      <c r="T37"/>
      <c r="Y37"/>
    </row>
    <row r="38" spans="2:26" ht="15" customHeight="1" x14ac:dyDescent="0.2">
      <c r="B38" s="397"/>
      <c r="C38" s="383"/>
      <c r="D38" s="383"/>
      <c r="E38" s="383"/>
      <c r="F38" s="383"/>
      <c r="G38" s="383"/>
      <c r="H38" s="383"/>
      <c r="I38" s="383"/>
      <c r="J38" s="383"/>
      <c r="K38" s="699">
        <v>25</v>
      </c>
      <c r="L38" s="699"/>
      <c r="M38" s="605"/>
      <c r="N38" s="553" t="s">
        <v>652</v>
      </c>
      <c r="O38" s="676"/>
      <c r="P38" s="676"/>
      <c r="Q38" s="398"/>
      <c r="S38"/>
      <c r="T38"/>
      <c r="U38"/>
      <c r="V38"/>
      <c r="W38"/>
      <c r="X38"/>
    </row>
    <row r="39" spans="2:26" ht="15" customHeight="1" x14ac:dyDescent="0.2">
      <c r="B39" s="397"/>
      <c r="C39" s="383"/>
      <c r="D39" s="383"/>
      <c r="E39" s="383"/>
      <c r="F39" s="383"/>
      <c r="G39" s="383"/>
      <c r="H39" s="383"/>
      <c r="I39" s="383"/>
      <c r="J39" s="383"/>
      <c r="K39" s="417"/>
      <c r="L39" s="417"/>
      <c r="M39" s="417"/>
      <c r="N39" s="417"/>
      <c r="O39" s="417"/>
      <c r="P39" s="417"/>
      <c r="Q39" s="398"/>
    </row>
    <row r="40" spans="2:26" ht="15" customHeight="1" x14ac:dyDescent="0.2">
      <c r="B40" s="397"/>
      <c r="C40" s="383"/>
      <c r="D40" s="383"/>
      <c r="E40" s="383"/>
      <c r="F40" s="383"/>
      <c r="G40" s="383"/>
      <c r="H40" s="383"/>
      <c r="I40" s="418"/>
      <c r="J40" s="418"/>
      <c r="K40" s="673" t="s">
        <v>676</v>
      </c>
      <c r="L40" s="673"/>
      <c r="M40" s="673" t="s">
        <v>677</v>
      </c>
      <c r="N40" s="673"/>
      <c r="O40" s="673" t="s">
        <v>667</v>
      </c>
      <c r="P40" s="673"/>
      <c r="Q40" s="398"/>
    </row>
    <row r="41" spans="2:26" ht="15" customHeight="1" x14ac:dyDescent="0.2">
      <c r="B41" s="397"/>
      <c r="C41" s="383"/>
      <c r="D41" s="383"/>
      <c r="E41" s="383"/>
      <c r="F41" s="383"/>
      <c r="G41" s="383"/>
      <c r="H41" s="383"/>
      <c r="I41" s="383"/>
      <c r="J41" s="383"/>
      <c r="K41" s="434">
        <f>IFERROR(IF(VLOOKUP($C$32,Tabela2[[Descrição]:[Classificação de Busca]],4,0)&lt;7,IF(C22&gt;=200,8,24*(VLOOKUP(C32,Tabela2[[Descrição]:[Setup In-Line por estágio]],9,0))),1440*(VLOOKUP(C32,Tabela2[[Descrição]:[Setup In-Line por estágio]],9,0))*K38/60),0)</f>
        <v>12.5</v>
      </c>
      <c r="L41" s="392" t="s">
        <v>652</v>
      </c>
      <c r="M41" s="389">
        <f>24*(IF(J35="Cisalhamento",INDEX(Tabela2[Setup Corte Cisalhamento],MATCH(C32,Tabela2[Descrição],0)),IF(J35="Faca",INDEX(Tabela2[Setup Corte Faca],MATCH(C32,Tabela2[Descrição],0)),IF(J35="Mordente",INDEX(Tabela2[Setup Corte Mordente],MATCH(C32,Tabela2[Descrição],0))))))</f>
        <v>0</v>
      </c>
      <c r="N41" s="392" t="s">
        <v>652</v>
      </c>
      <c r="O41" s="389">
        <f>24*(IF(L35="Leve",INDEX(Tabela2[Setup Matriz Leve],MATCH(C32,Tabela2[Descrição],0)),IF(L35="Média",INDEX(Tabela2[Setup Matriz Média],MATCH(C32,Tabela2[Descrição],0)),IF(L35="Pesada",INDEX(Tabela2[Setup Matriz Pesada],MATCH(C32,Tabela2[Descrição],0)),IF(L35="Troca Rápida",INDEX(Tabela2[Setup Matriz Troca Rápida],MATCH(C32,Tabela2[Descrição],0)))))))</f>
        <v>0.5</v>
      </c>
      <c r="P41" s="392" t="s">
        <v>652</v>
      </c>
      <c r="Q41" s="398"/>
    </row>
    <row r="42" spans="2:26" ht="15" customHeight="1" x14ac:dyDescent="0.2">
      <c r="B42" s="397"/>
      <c r="C42" s="383"/>
      <c r="D42" s="383"/>
      <c r="E42" s="383"/>
      <c r="F42" s="383"/>
      <c r="G42" s="383"/>
      <c r="H42" s="383"/>
      <c r="I42" s="383"/>
      <c r="J42" s="383"/>
      <c r="K42" s="453"/>
      <c r="L42" s="453"/>
      <c r="M42" s="453"/>
      <c r="N42" s="417"/>
      <c r="O42" s="418">
        <f>IFERROR(IF(E34,VLOOKUP(C32&amp;L35,'Listas de Dados'!#REF!,2,0),0),0)</f>
        <v>0</v>
      </c>
      <c r="P42" s="418"/>
      <c r="Q42" s="398"/>
    </row>
    <row r="43" spans="2:26" ht="15" customHeight="1" x14ac:dyDescent="0.2">
      <c r="B43" s="397"/>
      <c r="C43" s="383"/>
      <c r="D43" s="383"/>
      <c r="E43" s="383"/>
      <c r="F43" s="383"/>
      <c r="G43" s="383"/>
      <c r="H43" s="383"/>
      <c r="I43" s="379"/>
      <c r="J43" s="379"/>
      <c r="K43" s="673" t="s">
        <v>674</v>
      </c>
      <c r="L43" s="673"/>
      <c r="M43" s="673" t="s">
        <v>758</v>
      </c>
      <c r="N43" s="673"/>
      <c r="O43" s="671" t="s">
        <v>701</v>
      </c>
      <c r="P43" s="672"/>
      <c r="Q43" s="398"/>
    </row>
    <row r="44" spans="2:26" ht="15" customHeight="1" x14ac:dyDescent="0.2">
      <c r="B44" s="397"/>
      <c r="C44" s="383"/>
      <c r="D44" s="383"/>
      <c r="E44" s="383"/>
      <c r="F44" s="383"/>
      <c r="G44" s="383"/>
      <c r="H44" s="383"/>
      <c r="I44" s="379"/>
      <c r="J44" s="379"/>
      <c r="K44" s="434">
        <f>IFERROR(K41+H33+O41+M41,0)</f>
        <v>13</v>
      </c>
      <c r="L44" s="392" t="s">
        <v>652</v>
      </c>
      <c r="M44" s="434">
        <f>IFERROR(24*K38*INDEX(Tabela2[Setup Off-Line por estágio],MATCH(C32,Tabela2[Descrição],0)),0)</f>
        <v>0</v>
      </c>
      <c r="N44" s="560" t="s">
        <v>652</v>
      </c>
      <c r="O44" s="441">
        <f>J18*(1-(O47/100))</f>
        <v>0</v>
      </c>
      <c r="P44" s="392" t="s">
        <v>702</v>
      </c>
      <c r="Q44" s="398"/>
    </row>
    <row r="45" spans="2:26" ht="15" customHeight="1" x14ac:dyDescent="0.2">
      <c r="B45" s="397"/>
      <c r="C45" s="383"/>
      <c r="D45" s="383"/>
      <c r="E45" s="383"/>
      <c r="F45" s="383"/>
      <c r="G45" s="383"/>
      <c r="H45" s="383"/>
      <c r="I45" s="379"/>
      <c r="J45" s="379"/>
      <c r="K45" s="383"/>
      <c r="L45" s="383"/>
      <c r="M45" s="383"/>
      <c r="N45" s="383"/>
      <c r="O45" s="383"/>
      <c r="P45" s="383"/>
      <c r="Q45" s="398"/>
      <c r="W45"/>
      <c r="X45"/>
    </row>
    <row r="46" spans="2:26" ht="15" customHeight="1" x14ac:dyDescent="0.2">
      <c r="B46" s="397"/>
      <c r="C46" s="383"/>
      <c r="D46" s="383"/>
      <c r="E46" s="383"/>
      <c r="F46" s="383"/>
      <c r="G46" s="383"/>
      <c r="H46" s="383"/>
      <c r="I46" s="379"/>
      <c r="J46" s="379"/>
      <c r="K46" s="673" t="s">
        <v>650</v>
      </c>
      <c r="L46" s="673"/>
      <c r="M46" s="673" t="s">
        <v>661</v>
      </c>
      <c r="N46" s="673"/>
      <c r="O46" s="673" t="s">
        <v>660</v>
      </c>
      <c r="P46" s="673"/>
      <c r="Q46" s="398"/>
    </row>
    <row r="47" spans="2:26" ht="15" customHeight="1" x14ac:dyDescent="0.2">
      <c r="B47" s="397"/>
      <c r="C47" s="383"/>
      <c r="D47" s="383"/>
      <c r="E47" s="383"/>
      <c r="F47" s="383"/>
      <c r="G47" s="383"/>
      <c r="H47" s="383"/>
      <c r="I47" s="379"/>
      <c r="J47" s="379"/>
      <c r="K47" s="389">
        <f>IFERROR(ROUND(H18*H32/O17/1000*100,2),0)</f>
        <v>0</v>
      </c>
      <c r="L47" s="392" t="s">
        <v>292</v>
      </c>
      <c r="M47" s="434">
        <f>IF(J35="Faca",1-(J18/(J18+0.00785*G22*IF(E22&lt;&gt;0,E22,E24)*0.012)),0)</f>
        <v>0</v>
      </c>
      <c r="N47" s="392" t="s">
        <v>292</v>
      </c>
      <c r="O47" s="434">
        <f>IFERROR(IF(E34,(1-((J18-N32*G22*0.00000785)/J18))*100,0),0)</f>
        <v>0</v>
      </c>
      <c r="P47" s="392" t="s">
        <v>292</v>
      </c>
      <c r="Q47" s="398"/>
      <c r="S47" s="436"/>
    </row>
    <row r="48" spans="2:26" ht="15" customHeight="1" x14ac:dyDescent="0.2">
      <c r="B48" s="397"/>
      <c r="C48" s="383"/>
      <c r="D48" s="383"/>
      <c r="E48" s="383"/>
      <c r="F48" s="383"/>
      <c r="G48" s="383"/>
      <c r="H48" s="383"/>
      <c r="I48" s="379"/>
      <c r="J48" s="379"/>
      <c r="K48" s="383"/>
      <c r="L48" s="383"/>
      <c r="M48" s="379"/>
      <c r="N48" s="383"/>
      <c r="O48" s="379"/>
      <c r="P48" s="379"/>
      <c r="Q48" s="398"/>
    </row>
    <row r="49" spans="2:17" ht="15" customHeight="1" x14ac:dyDescent="0.2">
      <c r="B49" s="397"/>
      <c r="C49" s="383"/>
      <c r="D49" s="383"/>
      <c r="E49" s="383"/>
      <c r="F49" s="383"/>
      <c r="G49" s="383"/>
      <c r="H49" s="383"/>
      <c r="I49" s="379"/>
      <c r="J49" s="379"/>
      <c r="K49" s="673" t="s">
        <v>666</v>
      </c>
      <c r="L49" s="673"/>
      <c r="M49" s="700"/>
      <c r="N49" s="700"/>
      <c r="O49" s="673" t="s">
        <v>657</v>
      </c>
      <c r="P49" s="673"/>
      <c r="Q49" s="398"/>
    </row>
    <row r="50" spans="2:17" ht="15" customHeight="1" x14ac:dyDescent="0.2">
      <c r="B50" s="397"/>
      <c r="C50" s="383"/>
      <c r="D50" s="383"/>
      <c r="E50" s="383"/>
      <c r="F50" s="383"/>
      <c r="G50" s="383"/>
      <c r="H50" s="383"/>
      <c r="I50" s="379"/>
      <c r="J50" s="379"/>
      <c r="K50" s="434">
        <f>IFERROR(SUM(K47,(L32*100),O47,M47),"")</f>
        <v>0</v>
      </c>
      <c r="L50" s="392" t="s">
        <v>292</v>
      </c>
      <c r="M50" s="700"/>
      <c r="N50" s="700"/>
      <c r="O50" s="434">
        <f>IFERROR((M56+K44)/(M38*O38),0)</f>
        <v>0</v>
      </c>
      <c r="P50" s="392" t="s">
        <v>656</v>
      </c>
      <c r="Q50" s="398"/>
    </row>
    <row r="51" spans="2:17" ht="15" customHeight="1" x14ac:dyDescent="0.2">
      <c r="B51" s="397"/>
      <c r="C51" s="383"/>
      <c r="D51" s="383"/>
      <c r="E51" s="383"/>
      <c r="F51" s="383"/>
      <c r="G51" s="383"/>
      <c r="H51" s="383"/>
      <c r="I51" s="379"/>
      <c r="J51" s="379"/>
      <c r="K51" s="383"/>
      <c r="L51" s="383"/>
      <c r="M51" s="379"/>
      <c r="N51" s="383"/>
      <c r="O51" s="379"/>
      <c r="P51" s="379"/>
      <c r="Q51" s="398"/>
    </row>
    <row r="52" spans="2:17" ht="15" customHeight="1" x14ac:dyDescent="0.2">
      <c r="B52" s="397"/>
      <c r="C52" s="383"/>
      <c r="D52" s="383"/>
      <c r="E52" s="379"/>
      <c r="F52" s="383"/>
      <c r="G52" s="379"/>
      <c r="H52" s="379"/>
      <c r="I52" s="379"/>
      <c r="J52" s="379"/>
      <c r="K52" s="673" t="s">
        <v>64</v>
      </c>
      <c r="L52" s="673"/>
      <c r="M52" s="673" t="s">
        <v>654</v>
      </c>
      <c r="N52" s="673"/>
      <c r="O52" s="673" t="s">
        <v>651</v>
      </c>
      <c r="P52" s="673"/>
      <c r="Q52" s="398"/>
    </row>
    <row r="53" spans="2:17" ht="15" customHeight="1" x14ac:dyDescent="0.2">
      <c r="B53" s="397"/>
      <c r="C53" s="383"/>
      <c r="D53" s="383"/>
      <c r="E53" s="379"/>
      <c r="F53" s="383"/>
      <c r="G53" s="379"/>
      <c r="H53" s="379"/>
      <c r="I53" s="379"/>
      <c r="J53" s="379"/>
      <c r="K53" s="389">
        <f>IFERROR(100*INDEX(Tabela2[Eficiência Normal],MATCH(C32,Tabela2[Descrição],0)),0)</f>
        <v>70</v>
      </c>
      <c r="L53" s="392" t="s">
        <v>292</v>
      </c>
      <c r="M53" s="434">
        <f>IFERROR((K44*60)/O17,0)</f>
        <v>0</v>
      </c>
      <c r="N53" s="392" t="s">
        <v>653</v>
      </c>
      <c r="O53" s="389">
        <f>IFERROR(ROUND(((J32*H18/1000)^(-1))*((1+(100-K53)/100)),2),0)</f>
        <v>0</v>
      </c>
      <c r="P53" s="392" t="s">
        <v>653</v>
      </c>
      <c r="Q53" s="398"/>
    </row>
    <row r="54" spans="2:17" ht="15" customHeight="1" x14ac:dyDescent="0.2">
      <c r="B54" s="397"/>
      <c r="C54" s="383"/>
      <c r="D54" s="383"/>
      <c r="E54" s="379"/>
      <c r="F54" s="383"/>
      <c r="G54" s="379"/>
      <c r="H54" s="379"/>
      <c r="I54" s="379"/>
      <c r="J54" s="379"/>
      <c r="K54" s="383"/>
      <c r="L54" s="383"/>
      <c r="M54" s="383"/>
      <c r="N54" s="383"/>
      <c r="O54" s="383"/>
      <c r="P54" s="383"/>
      <c r="Q54" s="398"/>
    </row>
    <row r="55" spans="2:17" ht="15" customHeight="1" x14ac:dyDescent="0.2">
      <c r="B55" s="397"/>
      <c r="C55" s="383"/>
      <c r="D55" s="383"/>
      <c r="E55" s="379"/>
      <c r="F55" s="383"/>
      <c r="G55" s="379"/>
      <c r="H55" s="379"/>
      <c r="I55" s="379"/>
      <c r="J55" s="379"/>
      <c r="K55" s="673" t="s">
        <v>658</v>
      </c>
      <c r="L55" s="673"/>
      <c r="M55" s="673" t="s">
        <v>655</v>
      </c>
      <c r="N55" s="673"/>
      <c r="O55" s="673" t="s">
        <v>655</v>
      </c>
      <c r="P55" s="673"/>
      <c r="Q55" s="398"/>
    </row>
    <row r="56" spans="2:17" ht="15" customHeight="1" x14ac:dyDescent="0.2">
      <c r="B56" s="397"/>
      <c r="C56" s="383"/>
      <c r="D56" s="383"/>
      <c r="E56" s="379"/>
      <c r="F56" s="383"/>
      <c r="G56" s="379"/>
      <c r="H56" s="379"/>
      <c r="I56" s="379"/>
      <c r="J56" s="379"/>
      <c r="K56" s="435">
        <f>IFERROR((O53^-1)*M38*60*O38,0)</f>
        <v>0</v>
      </c>
      <c r="L56" s="392" t="s">
        <v>659</v>
      </c>
      <c r="M56" s="434">
        <f>IFERROR(O53*O17/60,0)</f>
        <v>0</v>
      </c>
      <c r="N56" s="609" t="s">
        <v>652</v>
      </c>
      <c r="O56" s="434">
        <f>IFERROR(M56/(M38*O38),0)</f>
        <v>0</v>
      </c>
      <c r="P56" s="392" t="s">
        <v>656</v>
      </c>
      <c r="Q56" s="398"/>
    </row>
    <row r="57" spans="2:17" ht="15" customHeight="1" x14ac:dyDescent="0.2">
      <c r="B57" s="397"/>
      <c r="C57" s="141"/>
      <c r="D57" s="141"/>
      <c r="E57" s="141"/>
      <c r="F57" s="141"/>
      <c r="G57" s="141"/>
      <c r="H57" s="141"/>
      <c r="I57" s="141"/>
      <c r="J57" s="141"/>
      <c r="K57" s="141"/>
      <c r="L57" s="141"/>
      <c r="M57" s="141"/>
      <c r="N57" s="141"/>
      <c r="O57" s="141"/>
      <c r="P57" s="141"/>
      <c r="Q57" s="398"/>
    </row>
    <row r="58" spans="2:17" ht="15" customHeight="1" x14ac:dyDescent="0.2">
      <c r="B58" s="397"/>
      <c r="C58" s="141"/>
      <c r="D58" s="141"/>
      <c r="E58" s="141"/>
      <c r="F58" s="141"/>
      <c r="G58" s="141"/>
      <c r="H58" s="141"/>
      <c r="I58" s="141"/>
      <c r="J58" s="141"/>
      <c r="K58" s="673" t="s">
        <v>690</v>
      </c>
      <c r="L58" s="673"/>
      <c r="M58" s="673" t="s">
        <v>349</v>
      </c>
      <c r="N58" s="673"/>
      <c r="O58" s="673" t="s">
        <v>311</v>
      </c>
      <c r="P58" s="673"/>
      <c r="Q58" s="398"/>
    </row>
    <row r="59" spans="2:17" ht="15" customHeight="1" x14ac:dyDescent="0.2">
      <c r="B59" s="397"/>
      <c r="C59" s="141"/>
      <c r="D59" s="141"/>
      <c r="E59" s="141"/>
      <c r="F59" s="141"/>
      <c r="G59" s="141"/>
      <c r="H59" s="141"/>
      <c r="I59" s="141"/>
      <c r="J59" s="141"/>
      <c r="K59" s="435">
        <f>IFERROR((SUMPRODUCT(Y33:Y36,X33:X36)*G22*P25*0.8)/9.81/1000,0)</f>
        <v>0</v>
      </c>
      <c r="L59" s="392" t="s">
        <v>689</v>
      </c>
      <c r="M59" s="434">
        <f>IFERROR((((P25*0.8)*E22*G22)/9.81)/1000,0)</f>
        <v>0</v>
      </c>
      <c r="N59" s="392" t="s">
        <v>689</v>
      </c>
      <c r="O59" s="434">
        <f>IFERROR(P24*(E22*G22)/1000,0)</f>
        <v>0</v>
      </c>
      <c r="P59" s="392" t="s">
        <v>313</v>
      </c>
      <c r="Q59" s="398"/>
    </row>
    <row r="60" spans="2:17" ht="15" customHeight="1" x14ac:dyDescent="0.2">
      <c r="B60" s="397"/>
      <c r="C60" s="141"/>
      <c r="D60" s="141"/>
      <c r="E60" s="141"/>
      <c r="F60" s="141"/>
      <c r="G60" s="141"/>
      <c r="H60" s="141"/>
      <c r="I60" s="141"/>
      <c r="J60" s="141"/>
      <c r="K60" s="141"/>
      <c r="L60" s="141"/>
      <c r="M60" s="141"/>
      <c r="N60" s="141"/>
      <c r="O60" s="141"/>
      <c r="P60" s="141"/>
      <c r="Q60" s="398"/>
    </row>
    <row r="61" spans="2:17" ht="15" customHeight="1" x14ac:dyDescent="0.2">
      <c r="B61" s="397"/>
      <c r="C61" s="141"/>
      <c r="D61" s="141"/>
      <c r="E61" s="141"/>
      <c r="F61" s="141"/>
      <c r="G61" s="141"/>
      <c r="H61" s="141"/>
      <c r="I61" s="141"/>
      <c r="J61" s="141"/>
      <c r="K61" s="673" t="s">
        <v>788</v>
      </c>
      <c r="L61" s="673"/>
      <c r="M61" s="673" t="s">
        <v>789</v>
      </c>
      <c r="N61" s="673"/>
      <c r="O61" s="673" t="s">
        <v>790</v>
      </c>
      <c r="P61" s="673"/>
      <c r="Q61" s="398"/>
    </row>
    <row r="62" spans="2:17" ht="15" customHeight="1" x14ac:dyDescent="0.2">
      <c r="B62" s="397"/>
      <c r="C62" s="141"/>
      <c r="D62" s="141"/>
      <c r="E62" s="141"/>
      <c r="F62" s="141"/>
      <c r="G62" s="141"/>
      <c r="H62" s="141"/>
      <c r="I62" s="141"/>
      <c r="J62" s="141"/>
      <c r="K62" s="434">
        <f>IF(G22&lt;4,0.95,0.35)</f>
        <v>0.95</v>
      </c>
      <c r="L62" s="608" t="s">
        <v>653</v>
      </c>
      <c r="M62" s="389">
        <f>IF(G22&lt;4,3.85,2.95)</f>
        <v>3.85</v>
      </c>
      <c r="N62" s="608" t="s">
        <v>653</v>
      </c>
      <c r="O62" s="389">
        <f>IF(G22&lt;4,1.5,2.5)</f>
        <v>1.5</v>
      </c>
      <c r="P62" s="604" t="s">
        <v>292</v>
      </c>
      <c r="Q62" s="398"/>
    </row>
    <row r="63" spans="2:17" ht="15" customHeight="1" x14ac:dyDescent="0.2">
      <c r="B63" s="397"/>
      <c r="C63" s="141"/>
      <c r="D63" s="141"/>
      <c r="E63" s="141"/>
      <c r="F63" s="141"/>
      <c r="G63" s="141"/>
      <c r="H63" s="141"/>
      <c r="I63" s="141"/>
      <c r="J63" s="141"/>
      <c r="K63" s="535"/>
      <c r="L63" s="535"/>
      <c r="M63" s="535"/>
      <c r="N63" s="535"/>
      <c r="O63" s="535"/>
      <c r="P63" s="535"/>
      <c r="Q63" s="398"/>
    </row>
    <row r="64" spans="2:17" ht="15" customHeight="1" outlineLevel="1" x14ac:dyDescent="0.2">
      <c r="B64" s="397"/>
      <c r="C64" s="141"/>
      <c r="D64" s="141"/>
      <c r="E64" s="141"/>
      <c r="F64" s="141"/>
      <c r="G64" s="141"/>
      <c r="H64" s="141"/>
      <c r="I64" s="141"/>
      <c r="J64" s="141"/>
      <c r="K64" s="628"/>
      <c r="L64" s="629"/>
      <c r="M64" s="629"/>
      <c r="N64" s="629"/>
      <c r="O64" s="520"/>
      <c r="P64" s="521"/>
      <c r="Q64" s="398"/>
    </row>
    <row r="65" spans="2:20" ht="15" customHeight="1" outlineLevel="1" x14ac:dyDescent="0.2">
      <c r="B65" s="397"/>
      <c r="C65" s="141"/>
      <c r="D65" s="141"/>
      <c r="E65" s="141"/>
      <c r="F65" s="141"/>
      <c r="G65" s="141"/>
      <c r="H65" s="141"/>
      <c r="I65" s="141"/>
      <c r="J65" s="141"/>
      <c r="K65" s="630"/>
      <c r="L65" s="631"/>
      <c r="M65" s="631"/>
      <c r="N65" s="631"/>
      <c r="O65" s="522"/>
      <c r="P65" s="523"/>
      <c r="Q65" s="398"/>
    </row>
    <row r="66" spans="2:20" ht="15" customHeight="1" outlineLevel="1" x14ac:dyDescent="0.2">
      <c r="B66" s="397"/>
      <c r="C66" s="141"/>
      <c r="D66" s="141"/>
      <c r="E66" s="141"/>
      <c r="F66" s="141"/>
      <c r="G66" s="141"/>
      <c r="H66" s="141"/>
      <c r="I66" s="141"/>
      <c r="J66" s="141"/>
      <c r="O66" s="141"/>
      <c r="P66" s="141"/>
      <c r="Q66" s="398"/>
    </row>
    <row r="67" spans="2:20" ht="15" customHeight="1" outlineLevel="1" x14ac:dyDescent="0.2">
      <c r="B67" s="397"/>
      <c r="C67" s="141"/>
      <c r="D67" s="141"/>
      <c r="E67" s="141"/>
      <c r="F67" s="141"/>
      <c r="G67" s="141"/>
      <c r="H67" s="141"/>
      <c r="I67" s="141"/>
      <c r="J67" s="141"/>
      <c r="K67" s="628"/>
      <c r="L67" s="629"/>
      <c r="M67" s="629"/>
      <c r="N67" s="629"/>
      <c r="O67" s="520"/>
      <c r="P67" s="521"/>
      <c r="Q67" s="398"/>
    </row>
    <row r="68" spans="2:20" ht="15" customHeight="1" outlineLevel="1" x14ac:dyDescent="0.2">
      <c r="B68" s="397"/>
      <c r="C68" s="141"/>
      <c r="D68" s="141"/>
      <c r="E68" s="141"/>
      <c r="F68" s="141"/>
      <c r="G68" s="141"/>
      <c r="H68" s="141"/>
      <c r="I68" s="141"/>
      <c r="J68" s="141"/>
      <c r="K68" s="630"/>
      <c r="L68" s="631"/>
      <c r="M68" s="631"/>
      <c r="N68" s="631"/>
      <c r="O68" s="522"/>
      <c r="P68" s="523"/>
      <c r="Q68" s="398"/>
    </row>
    <row r="69" spans="2:20" ht="15" customHeight="1" outlineLevel="1" x14ac:dyDescent="0.2">
      <c r="B69" s="397"/>
      <c r="C69" s="141"/>
      <c r="D69" s="141"/>
      <c r="E69" s="141"/>
      <c r="F69" s="141"/>
      <c r="G69" s="141"/>
      <c r="H69" s="141"/>
      <c r="I69" s="141"/>
      <c r="J69" s="141"/>
      <c r="O69" s="141"/>
      <c r="P69" s="141"/>
      <c r="Q69" s="398"/>
    </row>
    <row r="70" spans="2:20" ht="15" customHeight="1" outlineLevel="1" x14ac:dyDescent="0.2">
      <c r="B70" s="397"/>
      <c r="C70" s="141"/>
      <c r="D70" s="141"/>
      <c r="E70" s="141"/>
      <c r="F70" s="141"/>
      <c r="G70" s="141"/>
      <c r="H70" s="141"/>
      <c r="I70" s="141"/>
      <c r="J70" s="141"/>
      <c r="K70" s="684" t="s">
        <v>811</v>
      </c>
      <c r="L70" s="684"/>
      <c r="M70" s="684"/>
      <c r="N70" s="684"/>
      <c r="O70" s="684"/>
      <c r="P70" s="684"/>
      <c r="Q70" s="398"/>
    </row>
    <row r="71" spans="2:20" ht="15" customHeight="1" outlineLevel="1" x14ac:dyDescent="0.2">
      <c r="B71" s="397"/>
      <c r="C71" s="141"/>
      <c r="D71" s="141"/>
      <c r="E71" s="141"/>
      <c r="F71" s="141"/>
      <c r="G71" s="141"/>
      <c r="H71" s="141"/>
      <c r="I71" s="141"/>
      <c r="J71" s="141"/>
      <c r="K71" s="685" t="s">
        <v>816</v>
      </c>
      <c r="L71" s="686"/>
      <c r="M71" s="686"/>
      <c r="N71" s="687"/>
      <c r="O71" s="682">
        <f ca="1">IFERROR(INDEX(Investimentos!B:W,MATCH($E$8,Investimentos!B:B,0),14),0)</f>
        <v>0</v>
      </c>
      <c r="P71" s="682"/>
      <c r="Q71" s="398"/>
    </row>
    <row r="72" spans="2:20" ht="15" customHeight="1" outlineLevel="1" x14ac:dyDescent="0.2">
      <c r="B72" s="397"/>
      <c r="C72" s="535"/>
      <c r="D72" s="535"/>
      <c r="E72" s="535"/>
      <c r="F72" s="535"/>
      <c r="G72" s="535"/>
      <c r="H72" s="535"/>
      <c r="I72" s="535"/>
      <c r="J72" s="535"/>
      <c r="K72" s="685" t="s">
        <v>809</v>
      </c>
      <c r="L72" s="686"/>
      <c r="M72" s="686"/>
      <c r="N72" s="687"/>
      <c r="O72" s="682">
        <f ca="1">IFERROR(INDEX(Investimentos!B:W,MATCH($E$8,Investimentos!B:B,0),15),0)</f>
        <v>0</v>
      </c>
      <c r="P72" s="682"/>
      <c r="Q72" s="398"/>
    </row>
    <row r="73" spans="2:20" ht="15" customHeight="1" outlineLevel="1" x14ac:dyDescent="0.2">
      <c r="B73" s="397"/>
      <c r="C73" s="535"/>
      <c r="D73" s="535"/>
      <c r="E73" s="535"/>
      <c r="F73" s="535"/>
      <c r="G73" s="535"/>
      <c r="H73" s="535"/>
      <c r="I73" s="535"/>
      <c r="J73" s="535"/>
      <c r="K73" s="685" t="s">
        <v>810</v>
      </c>
      <c r="L73" s="686"/>
      <c r="M73" s="686"/>
      <c r="N73" s="687"/>
      <c r="O73" s="682">
        <f ca="1">IFERROR(INDEX(Investimentos!B:W,MATCH($E$8,Investimentos!B:B,0),16),0)</f>
        <v>0</v>
      </c>
      <c r="P73" s="682"/>
      <c r="Q73" s="398"/>
    </row>
    <row r="74" spans="2:20" ht="15" customHeight="1" outlineLevel="1" x14ac:dyDescent="0.2">
      <c r="B74" s="397"/>
      <c r="C74" s="535"/>
      <c r="D74" s="535"/>
      <c r="E74" s="535"/>
      <c r="F74" s="535"/>
      <c r="G74" s="535"/>
      <c r="H74" s="535"/>
      <c r="I74" s="535"/>
      <c r="J74" s="535"/>
      <c r="K74" s="685" t="s">
        <v>829</v>
      </c>
      <c r="L74" s="686"/>
      <c r="M74" s="686"/>
      <c r="N74" s="687"/>
      <c r="O74" s="682">
        <f ca="1">IFERROR(INDEX(Investimentos!B:W,MATCH($E$8,Investimentos!B:B,0),17),0)</f>
        <v>0</v>
      </c>
      <c r="P74" s="682"/>
      <c r="Q74" s="398"/>
    </row>
    <row r="75" spans="2:20" ht="15" customHeight="1" outlineLevel="1" x14ac:dyDescent="0.2">
      <c r="B75" s="397"/>
      <c r="C75" s="535"/>
      <c r="D75" s="535"/>
      <c r="E75" s="535"/>
      <c r="F75" s="535"/>
      <c r="G75" s="535"/>
      <c r="H75" s="535"/>
      <c r="I75" s="535"/>
      <c r="J75" s="535"/>
      <c r="K75" s="685" t="s">
        <v>830</v>
      </c>
      <c r="L75" s="686"/>
      <c r="M75" s="686"/>
      <c r="N75" s="687"/>
      <c r="O75" s="682">
        <f ca="1">IFERROR(INDEX(Investimentos!B:W,MATCH($E$8,Investimentos!B:B,0),18),0)</f>
        <v>0</v>
      </c>
      <c r="P75" s="682"/>
      <c r="Q75" s="398"/>
    </row>
    <row r="76" spans="2:20" ht="15" customHeight="1" outlineLevel="1" x14ac:dyDescent="0.2">
      <c r="B76" s="397"/>
      <c r="C76" s="535"/>
      <c r="D76" s="535"/>
      <c r="E76" s="535"/>
      <c r="F76" s="535"/>
      <c r="G76" s="535"/>
      <c r="H76" s="535"/>
      <c r="I76" s="535"/>
      <c r="J76" s="535"/>
      <c r="K76" s="685" t="s">
        <v>831</v>
      </c>
      <c r="L76" s="686"/>
      <c r="M76" s="686"/>
      <c r="N76" s="687"/>
      <c r="O76" s="682">
        <f ca="1">IFERROR(INDEX(Investimentos!B:W,MATCH($E$8,Investimentos!B:B,0),19),0)</f>
        <v>0</v>
      </c>
      <c r="P76" s="682"/>
      <c r="Q76" s="398"/>
      <c r="S76" s="649"/>
      <c r="T76" s="649"/>
    </row>
    <row r="77" spans="2:20" ht="15" customHeight="1" outlineLevel="1" x14ac:dyDescent="0.2">
      <c r="B77" s="397"/>
      <c r="C77" s="535"/>
      <c r="D77" s="535"/>
      <c r="E77" s="535"/>
      <c r="F77" s="535"/>
      <c r="G77" s="535"/>
      <c r="H77" s="535"/>
      <c r="I77" s="535"/>
      <c r="J77" s="535"/>
      <c r="K77" s="685" t="s">
        <v>832</v>
      </c>
      <c r="L77" s="686"/>
      <c r="M77" s="686"/>
      <c r="N77" s="687"/>
      <c r="O77" s="682">
        <f ca="1">IFERROR(INDEX(Investimentos!B:W,MATCH($E$8,Investimentos!B:B,0),20),0)</f>
        <v>0</v>
      </c>
      <c r="P77" s="682"/>
      <c r="Q77" s="398"/>
    </row>
    <row r="78" spans="2:20" ht="15" customHeight="1" outlineLevel="1" x14ac:dyDescent="0.2">
      <c r="B78" s="397"/>
      <c r="C78" s="518"/>
      <c r="D78" s="518"/>
      <c r="E78" s="518"/>
      <c r="F78" s="518"/>
      <c r="G78" s="518"/>
      <c r="H78" s="518"/>
      <c r="I78" s="518"/>
      <c r="J78" s="518"/>
      <c r="K78" s="688"/>
      <c r="L78" s="688"/>
      <c r="M78" s="688"/>
      <c r="N78" s="688"/>
      <c r="O78" s="683">
        <v>0</v>
      </c>
      <c r="P78" s="683"/>
      <c r="Q78" s="398"/>
    </row>
    <row r="79" spans="2:20" ht="15" customHeight="1" outlineLevel="1" x14ac:dyDescent="0.2">
      <c r="B79" s="397"/>
      <c r="C79" s="518"/>
      <c r="D79" s="518"/>
      <c r="E79" s="518"/>
      <c r="F79" s="518"/>
      <c r="G79" s="518"/>
      <c r="H79" s="518"/>
      <c r="I79" s="518"/>
      <c r="J79" s="518"/>
      <c r="K79" s="688"/>
      <c r="L79" s="688"/>
      <c r="M79" s="688"/>
      <c r="N79" s="688"/>
      <c r="O79" s="683">
        <v>0</v>
      </c>
      <c r="P79" s="683"/>
      <c r="Q79" s="398"/>
    </row>
    <row r="80" spans="2:20" ht="15" customHeight="1" outlineLevel="1" x14ac:dyDescent="0.2">
      <c r="B80" s="397"/>
      <c r="C80" s="141"/>
      <c r="D80" s="141"/>
      <c r="E80" s="141"/>
      <c r="F80" s="141"/>
      <c r="G80" s="141"/>
      <c r="H80" s="141"/>
      <c r="I80" s="141"/>
      <c r="J80" s="141"/>
      <c r="K80" s="685" t="s">
        <v>808</v>
      </c>
      <c r="L80" s="686"/>
      <c r="M80" s="686"/>
      <c r="N80" s="687"/>
      <c r="O80" s="682">
        <f ca="1">SUM(O71:P79)</f>
        <v>0</v>
      </c>
      <c r="P80" s="682"/>
      <c r="Q80" s="398"/>
    </row>
    <row r="81" spans="2:18" ht="15" customHeight="1" thickBot="1" x14ac:dyDescent="0.25">
      <c r="B81" s="404"/>
      <c r="C81" s="454"/>
      <c r="D81" s="454"/>
      <c r="E81" s="454"/>
      <c r="F81" s="454"/>
      <c r="G81" s="454"/>
      <c r="H81" s="454"/>
      <c r="I81" s="454"/>
      <c r="J81" s="454"/>
      <c r="K81" s="454"/>
      <c r="L81" s="454"/>
      <c r="M81" s="454"/>
      <c r="N81" s="454"/>
      <c r="O81" s="454"/>
      <c r="P81" s="454"/>
      <c r="Q81" s="406"/>
    </row>
    <row r="82" spans="2:18" ht="4.5" hidden="1" customHeight="1" outlineLevel="1" x14ac:dyDescent="0.2">
      <c r="B82" s="394"/>
      <c r="C82" s="395"/>
      <c r="D82" s="395"/>
      <c r="E82" s="456"/>
      <c r="F82" s="395"/>
      <c r="G82" s="456"/>
      <c r="H82" s="456"/>
      <c r="I82" s="456"/>
      <c r="J82" s="456"/>
      <c r="K82" s="455"/>
      <c r="L82" s="455"/>
      <c r="M82" s="455"/>
      <c r="N82" s="455"/>
      <c r="O82" s="455"/>
      <c r="P82" s="455"/>
      <c r="Q82" s="396"/>
    </row>
    <row r="83" spans="2:18" ht="20.100000000000001" hidden="1" customHeight="1" outlineLevel="1" x14ac:dyDescent="0.2">
      <c r="B83" s="397"/>
      <c r="C83" s="723" t="s">
        <v>772</v>
      </c>
      <c r="D83" s="723"/>
      <c r="E83" s="723"/>
      <c r="F83" s="723"/>
      <c r="G83" s="723"/>
      <c r="H83" s="723"/>
      <c r="I83" s="723"/>
      <c r="J83" s="723"/>
      <c r="K83" s="723"/>
      <c r="L83" s="723"/>
      <c r="M83" s="723"/>
      <c r="N83" s="723"/>
      <c r="O83" s="723"/>
      <c r="P83" s="723"/>
      <c r="Q83" s="398"/>
    </row>
    <row r="84" spans="2:18" ht="4.5" hidden="1" customHeight="1" outlineLevel="1" x14ac:dyDescent="0.2">
      <c r="B84" s="397"/>
      <c r="C84" s="383"/>
      <c r="D84" s="383"/>
      <c r="E84" s="379"/>
      <c r="F84" s="383"/>
      <c r="G84" s="379"/>
      <c r="H84" s="379"/>
      <c r="I84" s="379"/>
      <c r="J84" s="379"/>
      <c r="K84" s="141"/>
      <c r="L84" s="141"/>
      <c r="M84" s="141"/>
      <c r="N84" s="141"/>
      <c r="O84" s="141"/>
      <c r="P84" s="141"/>
      <c r="Q84" s="398"/>
    </row>
    <row r="85" spans="2:18" ht="15" hidden="1" customHeight="1" outlineLevel="1" x14ac:dyDescent="0.2">
      <c r="B85" s="397"/>
      <c r="C85" s="671" t="s">
        <v>664</v>
      </c>
      <c r="D85" s="672"/>
      <c r="E85" s="672"/>
      <c r="F85" s="439"/>
      <c r="G85" s="439"/>
      <c r="H85" s="439"/>
      <c r="I85" s="439"/>
      <c r="J85" s="439"/>
      <c r="K85" s="439"/>
      <c r="L85" s="439"/>
      <c r="M85" s="439"/>
      <c r="N85" s="439"/>
      <c r="O85" s="439"/>
      <c r="P85" s="439"/>
      <c r="Q85" s="398"/>
      <c r="R85" s="386"/>
    </row>
    <row r="86" spans="2:18" ht="15" hidden="1" customHeight="1" outlineLevel="2" x14ac:dyDescent="0.2">
      <c r="B86" s="397"/>
      <c r="C86" s="677"/>
      <c r="D86" s="678"/>
      <c r="E86" s="678"/>
      <c r="F86" s="678"/>
      <c r="G86" s="678"/>
      <c r="H86" s="141"/>
      <c r="I86" s="679" t="s">
        <v>583</v>
      </c>
      <c r="J86" s="679"/>
      <c r="K86" s="671" t="s">
        <v>693</v>
      </c>
      <c r="L86" s="672"/>
      <c r="M86" s="671" t="s">
        <v>778</v>
      </c>
      <c r="N86" s="672"/>
      <c r="O86" s="671" t="s">
        <v>703</v>
      </c>
      <c r="P86" s="672"/>
      <c r="Q86" s="398"/>
      <c r="R86" s="387"/>
    </row>
    <row r="87" spans="2:18" ht="15" hidden="1" customHeight="1" outlineLevel="2" x14ac:dyDescent="0.2">
      <c r="B87" s="397"/>
      <c r="C87" s="141"/>
      <c r="D87" s="141"/>
      <c r="E87" s="141"/>
      <c r="F87" s="141"/>
      <c r="G87" s="141"/>
      <c r="H87" s="141"/>
      <c r="I87" s="409"/>
      <c r="J87" s="392" t="s">
        <v>699</v>
      </c>
      <c r="K87" s="409"/>
      <c r="L87" s="392" t="s">
        <v>694</v>
      </c>
      <c r="M87" s="542">
        <v>0</v>
      </c>
      <c r="N87" s="603" t="s">
        <v>292</v>
      </c>
      <c r="O87" s="542">
        <v>0</v>
      </c>
      <c r="P87" s="566" t="s">
        <v>746</v>
      </c>
      <c r="Q87" s="398"/>
      <c r="R87" s="387"/>
    </row>
    <row r="88" spans="2:18" ht="15" hidden="1" customHeight="1" outlineLevel="2" x14ac:dyDescent="0.2">
      <c r="B88" s="397"/>
      <c r="C88" s="141"/>
      <c r="D88" s="671" t="s">
        <v>771</v>
      </c>
      <c r="E88" s="672"/>
      <c r="F88" s="671" t="s">
        <v>163</v>
      </c>
      <c r="G88" s="672"/>
      <c r="H88" s="141"/>
      <c r="I88" s="409"/>
      <c r="J88" s="392" t="s">
        <v>663</v>
      </c>
      <c r="K88" s="383"/>
      <c r="L88" s="383"/>
      <c r="M88" s="383"/>
      <c r="N88" s="383"/>
      <c r="O88" s="383"/>
      <c r="P88" s="383"/>
      <c r="Q88" s="398"/>
      <c r="R88" s="387"/>
    </row>
    <row r="89" spans="2:18" ht="15" hidden="1" customHeight="1" outlineLevel="2" x14ac:dyDescent="0.2">
      <c r="B89" s="397"/>
      <c r="C89" s="141"/>
      <c r="D89" s="440"/>
      <c r="E89" s="392" t="s">
        <v>9</v>
      </c>
      <c r="F89" s="389">
        <f>D89*D92+F92</f>
        <v>0</v>
      </c>
      <c r="G89" s="392" t="s">
        <v>9</v>
      </c>
      <c r="H89" s="141"/>
      <c r="I89" s="383"/>
      <c r="J89" s="383"/>
      <c r="M89" s="673" t="s">
        <v>780</v>
      </c>
      <c r="N89" s="673"/>
      <c r="O89" s="673" t="s">
        <v>770</v>
      </c>
      <c r="P89" s="673"/>
      <c r="Q89" s="398"/>
      <c r="R89" s="387"/>
    </row>
    <row r="90" spans="2:18" ht="15" hidden="1" customHeight="1" outlineLevel="2" x14ac:dyDescent="0.2">
      <c r="B90" s="397"/>
      <c r="C90" s="141"/>
      <c r="D90" s="383"/>
      <c r="E90" s="383"/>
      <c r="F90" s="383"/>
      <c r="G90" s="383"/>
      <c r="H90" s="383"/>
      <c r="I90" s="383"/>
      <c r="J90" s="383"/>
      <c r="M90" s="605">
        <v>8.48</v>
      </c>
      <c r="N90" s="553" t="s">
        <v>652</v>
      </c>
      <c r="O90" s="676">
        <v>1</v>
      </c>
      <c r="P90" s="676"/>
      <c r="Q90" s="398"/>
      <c r="R90" s="387"/>
    </row>
    <row r="91" spans="2:18" ht="15" hidden="1" customHeight="1" outlineLevel="2" x14ac:dyDescent="0.2">
      <c r="B91" s="397"/>
      <c r="C91" s="141"/>
      <c r="D91" s="674" t="s">
        <v>698</v>
      </c>
      <c r="E91" s="680"/>
      <c r="F91" s="674" t="s">
        <v>72</v>
      </c>
      <c r="G91" s="675"/>
      <c r="H91" s="383"/>
      <c r="I91" s="383"/>
      <c r="J91" s="383"/>
      <c r="K91" s="383"/>
      <c r="L91" s="383"/>
      <c r="M91" s="383"/>
      <c r="N91" s="383"/>
      <c r="O91" s="383"/>
      <c r="P91" s="383"/>
      <c r="Q91" s="398"/>
      <c r="R91" s="388"/>
    </row>
    <row r="92" spans="2:18" ht="15" hidden="1" customHeight="1" outlineLevel="2" x14ac:dyDescent="0.2">
      <c r="B92" s="397"/>
      <c r="C92" s="141"/>
      <c r="D92" s="409">
        <v>1</v>
      </c>
      <c r="E92" s="566" t="s">
        <v>699</v>
      </c>
      <c r="F92" s="568">
        <v>0</v>
      </c>
      <c r="G92" s="566" t="s">
        <v>9</v>
      </c>
      <c r="H92" s="383"/>
      <c r="I92" s="671" t="s">
        <v>695</v>
      </c>
      <c r="J92" s="672"/>
      <c r="K92" s="673" t="s">
        <v>650</v>
      </c>
      <c r="L92" s="673"/>
      <c r="M92" s="673" t="s">
        <v>696</v>
      </c>
      <c r="N92" s="673"/>
      <c r="O92" s="673" t="s">
        <v>666</v>
      </c>
      <c r="P92" s="673"/>
      <c r="Q92" s="398"/>
      <c r="R92" s="388"/>
    </row>
    <row r="93" spans="2:18" ht="15" hidden="1" customHeight="1" outlineLevel="2" x14ac:dyDescent="0.2">
      <c r="B93" s="397"/>
      <c r="C93" s="141"/>
      <c r="D93" s="383"/>
      <c r="E93" s="383"/>
      <c r="F93" s="383"/>
      <c r="G93" s="383"/>
      <c r="H93" s="383"/>
      <c r="I93" s="434" t="str">
        <f>IFERROR((F89-D89*D92)/F89*100,"")</f>
        <v/>
      </c>
      <c r="J93" s="566" t="s">
        <v>292</v>
      </c>
      <c r="K93" s="434">
        <f>IFERROR(($H$18*D89*I87/1000)/1000/D98*100,0)</f>
        <v>0</v>
      </c>
      <c r="L93" s="392" t="s">
        <v>292</v>
      </c>
      <c r="M93" s="434">
        <f>IFERROR(((D95/F95)-1)*100,0)</f>
        <v>0</v>
      </c>
      <c r="N93" s="392" t="s">
        <v>292</v>
      </c>
      <c r="O93" s="434">
        <f>SUM(K93,M93,I93)</f>
        <v>0</v>
      </c>
      <c r="P93" s="392" t="s">
        <v>292</v>
      </c>
      <c r="Q93" s="398"/>
      <c r="R93" s="388"/>
    </row>
    <row r="94" spans="2:18" ht="15" hidden="1" customHeight="1" outlineLevel="2" x14ac:dyDescent="0.2">
      <c r="B94" s="397"/>
      <c r="C94" s="141"/>
      <c r="D94" s="671" t="s">
        <v>700</v>
      </c>
      <c r="E94" s="672"/>
      <c r="F94" s="671" t="s">
        <v>701</v>
      </c>
      <c r="G94" s="672"/>
      <c r="H94" s="383"/>
      <c r="I94" s="141"/>
      <c r="J94" s="141"/>
      <c r="K94" s="383"/>
      <c r="L94" s="383"/>
      <c r="M94" s="383"/>
      <c r="N94" s="383"/>
      <c r="O94" s="383"/>
      <c r="P94" s="383"/>
      <c r="Q94" s="398"/>
      <c r="R94" s="387"/>
    </row>
    <row r="95" spans="2:18" ht="15" hidden="1" customHeight="1" outlineLevel="2" x14ac:dyDescent="0.2">
      <c r="B95" s="397"/>
      <c r="C95" s="141"/>
      <c r="D95" s="389">
        <f>ROUND(D89/1000*$H$18,3)</f>
        <v>0</v>
      </c>
      <c r="E95" s="392" t="s">
        <v>702</v>
      </c>
      <c r="F95" s="389">
        <f>D95-O87</f>
        <v>0</v>
      </c>
      <c r="G95" s="392" t="s">
        <v>702</v>
      </c>
      <c r="H95" s="383"/>
      <c r="I95" s="673" t="s">
        <v>693</v>
      </c>
      <c r="J95" s="673"/>
      <c r="K95" s="673" t="s">
        <v>657</v>
      </c>
      <c r="L95" s="673"/>
      <c r="M95" s="673" t="s">
        <v>708</v>
      </c>
      <c r="N95" s="673"/>
      <c r="O95" s="673" t="s">
        <v>64</v>
      </c>
      <c r="P95" s="673"/>
      <c r="Q95" s="398"/>
      <c r="R95" s="387"/>
    </row>
    <row r="96" spans="2:18" ht="15" hidden="1" customHeight="1" outlineLevel="2" x14ac:dyDescent="0.2">
      <c r="B96" s="397"/>
      <c r="C96" s="141"/>
      <c r="D96" s="383"/>
      <c r="E96" s="383"/>
      <c r="F96" s="383"/>
      <c r="G96" s="383"/>
      <c r="H96" s="383"/>
      <c r="I96" s="434">
        <f>K87/60</f>
        <v>0</v>
      </c>
      <c r="J96" s="392" t="s">
        <v>663</v>
      </c>
      <c r="K96" s="434">
        <f>IFERROR(((O99*D98/60)+K99)/(M90*O90),"")</f>
        <v>0</v>
      </c>
      <c r="L96" s="392" t="s">
        <v>656</v>
      </c>
      <c r="M96" s="681" t="str">
        <f>IF(F95&lt;5,"Leve",IF(AND(F95&gt;=5,F95&lt;10),"Normal","Pesada"))</f>
        <v>Leve</v>
      </c>
      <c r="N96" s="681"/>
      <c r="O96" s="434">
        <f>100*IFERROR(IF(M96="Leve",INDEX(Tabela2[Eficiência Leve],MATCH(C86,Tabela2[Descrição],0)),IF(M96="Normal",INDEX(Tabela2[Eficiência Normal],MATCH(C86,Tabela2[Descrição],0)),IF(M96="Pesada",INDEX(Tabela2[Eficiência Pesada],MATCH(C86,Tabela2[Descrição],0))))),0)</f>
        <v>0</v>
      </c>
      <c r="P96" s="392" t="s">
        <v>292</v>
      </c>
      <c r="Q96" s="398"/>
      <c r="R96" s="387"/>
    </row>
    <row r="97" spans="2:18" ht="15" hidden="1" customHeight="1" outlineLevel="2" x14ac:dyDescent="0.2">
      <c r="B97" s="397"/>
      <c r="C97" s="141"/>
      <c r="D97" s="674" t="s">
        <v>704</v>
      </c>
      <c r="E97" s="675"/>
      <c r="F97" s="674" t="s">
        <v>705</v>
      </c>
      <c r="G97" s="675"/>
      <c r="H97" s="383"/>
      <c r="I97" s="383"/>
      <c r="J97" s="383"/>
      <c r="K97" s="383"/>
      <c r="L97" s="383"/>
      <c r="M97" s="141"/>
      <c r="N97" s="141"/>
      <c r="O97" s="141"/>
      <c r="P97" s="141"/>
      <c r="Q97" s="398"/>
      <c r="R97" s="387"/>
    </row>
    <row r="98" spans="2:18" ht="15" hidden="1" customHeight="1" outlineLevel="2" x14ac:dyDescent="0.2">
      <c r="B98" s="397"/>
      <c r="C98" s="141"/>
      <c r="D98" s="409"/>
      <c r="E98" s="392" t="s">
        <v>689</v>
      </c>
      <c r="F98" s="446"/>
      <c r="G98" s="392" t="s">
        <v>687</v>
      </c>
      <c r="H98" s="383"/>
      <c r="I98" s="673" t="s">
        <v>61</v>
      </c>
      <c r="J98" s="673"/>
      <c r="K98" s="673" t="s">
        <v>674</v>
      </c>
      <c r="L98" s="673"/>
      <c r="M98" s="673" t="s">
        <v>654</v>
      </c>
      <c r="N98" s="673"/>
      <c r="O98" s="673" t="s">
        <v>651</v>
      </c>
      <c r="P98" s="673"/>
      <c r="Q98" s="398"/>
    </row>
    <row r="99" spans="2:18" ht="15" hidden="1" customHeight="1" outlineLevel="2" x14ac:dyDescent="0.2">
      <c r="B99" s="397"/>
      <c r="C99" s="141"/>
      <c r="D99" s="383"/>
      <c r="E99" s="383"/>
      <c r="F99" s="446"/>
      <c r="G99" s="392" t="s">
        <v>688</v>
      </c>
      <c r="H99" s="383"/>
      <c r="I99" s="434">
        <f>IFERROR(INDEX(Tabela2[Setup],MATCH(C86,Tabela2[Descrição],0))*24,0)</f>
        <v>0</v>
      </c>
      <c r="J99" s="392" t="s">
        <v>652</v>
      </c>
      <c r="K99" s="434">
        <f>SUM(I99,I88/60)</f>
        <v>0</v>
      </c>
      <c r="L99" s="392" t="s">
        <v>652</v>
      </c>
      <c r="M99" s="434">
        <f>IFERROR(K99*60/D98,0)</f>
        <v>0</v>
      </c>
      <c r="N99" s="392" t="s">
        <v>653</v>
      </c>
      <c r="O99" s="434">
        <f>IFERROR(K87/(F95)/60*1000*((1+(100-O96)/100)),0)</f>
        <v>0</v>
      </c>
      <c r="P99" s="392" t="s">
        <v>653</v>
      </c>
      <c r="Q99" s="398"/>
      <c r="R99" s="387"/>
    </row>
    <row r="100" spans="2:18" ht="15" hidden="1" customHeight="1" outlineLevel="1" collapsed="1" x14ac:dyDescent="0.2">
      <c r="B100" s="397"/>
      <c r="C100" s="141"/>
      <c r="D100" s="141"/>
      <c r="E100" s="141"/>
      <c r="F100" s="141"/>
      <c r="G100" s="141"/>
      <c r="H100" s="141"/>
      <c r="I100" s="141"/>
      <c r="J100" s="141"/>
      <c r="K100" s="141"/>
      <c r="L100" s="141"/>
      <c r="M100" s="141"/>
      <c r="N100" s="141"/>
      <c r="O100" s="141"/>
      <c r="P100" s="141"/>
      <c r="Q100" s="398"/>
      <c r="R100" s="387"/>
    </row>
    <row r="101" spans="2:18" ht="15" hidden="1" customHeight="1" outlineLevel="1" x14ac:dyDescent="0.2">
      <c r="B101" s="397"/>
      <c r="C101" s="671" t="s">
        <v>697</v>
      </c>
      <c r="D101" s="672"/>
      <c r="E101" s="672"/>
      <c r="F101" s="439"/>
      <c r="G101" s="439"/>
      <c r="H101" s="439"/>
      <c r="I101" s="439"/>
      <c r="J101" s="439"/>
      <c r="K101" s="439"/>
      <c r="L101" s="439"/>
      <c r="M101" s="439"/>
      <c r="N101" s="439"/>
      <c r="O101" s="439"/>
      <c r="P101" s="439"/>
      <c r="Q101" s="398"/>
      <c r="R101" s="386"/>
    </row>
    <row r="102" spans="2:18" ht="15" hidden="1" customHeight="1" outlineLevel="2" x14ac:dyDescent="0.2">
      <c r="B102" s="397"/>
      <c r="C102" s="677"/>
      <c r="D102" s="678"/>
      <c r="E102" s="678"/>
      <c r="F102" s="678"/>
      <c r="G102" s="678"/>
      <c r="H102" s="141"/>
      <c r="I102" s="679" t="s">
        <v>583</v>
      </c>
      <c r="J102" s="679"/>
      <c r="K102" s="671" t="s">
        <v>693</v>
      </c>
      <c r="L102" s="672"/>
      <c r="M102" s="671" t="s">
        <v>778</v>
      </c>
      <c r="N102" s="672"/>
      <c r="O102" s="671" t="s">
        <v>703</v>
      </c>
      <c r="P102" s="672"/>
      <c r="Q102" s="398"/>
      <c r="R102" s="387"/>
    </row>
    <row r="103" spans="2:18" ht="15" hidden="1" customHeight="1" outlineLevel="2" x14ac:dyDescent="0.2">
      <c r="B103" s="397"/>
      <c r="C103" s="141"/>
      <c r="D103" s="141"/>
      <c r="E103" s="141"/>
      <c r="F103" s="141"/>
      <c r="G103" s="141"/>
      <c r="H103" s="141"/>
      <c r="I103" s="409"/>
      <c r="J103" s="392" t="s">
        <v>699</v>
      </c>
      <c r="K103" s="409"/>
      <c r="L103" s="392" t="s">
        <v>694</v>
      </c>
      <c r="M103" s="542">
        <v>0</v>
      </c>
      <c r="N103" s="603" t="s">
        <v>292</v>
      </c>
      <c r="O103" s="542">
        <v>0</v>
      </c>
      <c r="P103" s="392" t="s">
        <v>746</v>
      </c>
      <c r="Q103" s="398"/>
      <c r="R103" s="387"/>
    </row>
    <row r="104" spans="2:18" ht="15" hidden="1" customHeight="1" outlineLevel="2" x14ac:dyDescent="0.2">
      <c r="B104" s="397"/>
      <c r="C104" s="141"/>
      <c r="D104" s="671" t="s">
        <v>771</v>
      </c>
      <c r="E104" s="672"/>
      <c r="F104" s="671" t="s">
        <v>163</v>
      </c>
      <c r="G104" s="672"/>
      <c r="H104" s="141"/>
      <c r="I104" s="409"/>
      <c r="J104" s="392" t="s">
        <v>663</v>
      </c>
      <c r="K104" s="383"/>
      <c r="L104" s="383"/>
      <c r="M104" s="383"/>
      <c r="N104" s="383"/>
      <c r="O104" s="383"/>
      <c r="P104" s="383"/>
      <c r="Q104" s="398"/>
      <c r="R104" s="387"/>
    </row>
    <row r="105" spans="2:18" ht="15" hidden="1" customHeight="1" outlineLevel="2" x14ac:dyDescent="0.2">
      <c r="B105" s="397"/>
      <c r="C105" s="141"/>
      <c r="D105" s="567">
        <f>IFERROR((F105-F108)/D108,0)</f>
        <v>0</v>
      </c>
      <c r="E105" s="392" t="s">
        <v>9</v>
      </c>
      <c r="F105" s="389">
        <f>D89</f>
        <v>0</v>
      </c>
      <c r="G105" s="392" t="s">
        <v>9</v>
      </c>
      <c r="H105" s="141"/>
      <c r="I105" s="383"/>
      <c r="J105" s="383"/>
      <c r="M105" s="673" t="s">
        <v>780</v>
      </c>
      <c r="N105" s="673"/>
      <c r="O105" s="673" t="s">
        <v>770</v>
      </c>
      <c r="P105" s="673"/>
      <c r="Q105" s="398"/>
      <c r="R105" s="387"/>
    </row>
    <row r="106" spans="2:18" ht="15" hidden="1" customHeight="1" outlineLevel="2" x14ac:dyDescent="0.2">
      <c r="B106" s="397"/>
      <c r="C106" s="141"/>
      <c r="D106" s="383"/>
      <c r="E106" s="383"/>
      <c r="F106" s="383"/>
      <c r="G106" s="383"/>
      <c r="H106" s="383"/>
      <c r="I106" s="383"/>
      <c r="J106" s="383"/>
      <c r="M106" s="605">
        <v>8.48</v>
      </c>
      <c r="N106" s="553" t="s">
        <v>652</v>
      </c>
      <c r="O106" s="676">
        <v>1</v>
      </c>
      <c r="P106" s="676"/>
      <c r="Q106" s="398"/>
      <c r="R106" s="387"/>
    </row>
    <row r="107" spans="2:18" ht="15" hidden="1" customHeight="1" outlineLevel="2" x14ac:dyDescent="0.2">
      <c r="B107" s="397"/>
      <c r="C107" s="141"/>
      <c r="D107" s="674" t="s">
        <v>698</v>
      </c>
      <c r="E107" s="675"/>
      <c r="F107" s="674" t="s">
        <v>72</v>
      </c>
      <c r="G107" s="675"/>
      <c r="H107" s="383"/>
      <c r="I107" s="383"/>
      <c r="J107" s="383"/>
      <c r="K107" s="383"/>
      <c r="L107" s="383"/>
      <c r="M107" s="383"/>
      <c r="N107" s="383"/>
      <c r="O107" s="383"/>
      <c r="P107" s="383"/>
      <c r="Q107" s="398"/>
      <c r="R107" s="388"/>
    </row>
    <row r="108" spans="2:18" ht="15" hidden="1" customHeight="1" outlineLevel="2" x14ac:dyDescent="0.2">
      <c r="B108" s="397"/>
      <c r="C108" s="141"/>
      <c r="D108" s="569">
        <v>1</v>
      </c>
      <c r="E108" s="566" t="s">
        <v>699</v>
      </c>
      <c r="F108" s="569">
        <v>0</v>
      </c>
      <c r="G108" s="566" t="s">
        <v>9</v>
      </c>
      <c r="H108" s="383"/>
      <c r="I108" s="671" t="s">
        <v>695</v>
      </c>
      <c r="J108" s="672"/>
      <c r="K108" s="673" t="s">
        <v>650</v>
      </c>
      <c r="L108" s="673"/>
      <c r="M108" s="673" t="s">
        <v>696</v>
      </c>
      <c r="N108" s="673"/>
      <c r="O108" s="673" t="s">
        <v>666</v>
      </c>
      <c r="P108" s="673"/>
      <c r="Q108" s="398"/>
      <c r="R108" s="388"/>
    </row>
    <row r="109" spans="2:18" ht="15" hidden="1" customHeight="1" outlineLevel="2" x14ac:dyDescent="0.2">
      <c r="B109" s="397"/>
      <c r="C109" s="141"/>
      <c r="D109" s="383"/>
      <c r="E109" s="383"/>
      <c r="F109" s="383"/>
      <c r="G109" s="383"/>
      <c r="H109" s="383"/>
      <c r="I109" s="434" t="str">
        <f>IFERROR((F105-D105*D108)/F105*100,"")</f>
        <v/>
      </c>
      <c r="J109" s="651" t="s">
        <v>292</v>
      </c>
      <c r="K109" s="434">
        <f>IFERROR(($H$18*D105*I103/1000)/1000/D114*100,0)</f>
        <v>0</v>
      </c>
      <c r="L109" s="651" t="s">
        <v>292</v>
      </c>
      <c r="M109" s="434">
        <f>IFERROR(((D111/F111)-1)*100,0)</f>
        <v>0</v>
      </c>
      <c r="N109" s="651" t="s">
        <v>292</v>
      </c>
      <c r="O109" s="434">
        <f>SUM(K109,M109,I109)</f>
        <v>0</v>
      </c>
      <c r="P109" s="651" t="s">
        <v>292</v>
      </c>
      <c r="Q109" s="398"/>
      <c r="R109" s="388"/>
    </row>
    <row r="110" spans="2:18" ht="15" hidden="1" customHeight="1" outlineLevel="2" x14ac:dyDescent="0.2">
      <c r="B110" s="397"/>
      <c r="C110" s="141"/>
      <c r="D110" s="671" t="s">
        <v>700</v>
      </c>
      <c r="E110" s="672"/>
      <c r="F110" s="671" t="s">
        <v>701</v>
      </c>
      <c r="G110" s="672"/>
      <c r="H110" s="383"/>
      <c r="I110" s="535"/>
      <c r="J110" s="535"/>
      <c r="K110" s="383"/>
      <c r="L110" s="383"/>
      <c r="M110" s="383"/>
      <c r="N110" s="383"/>
      <c r="O110" s="383"/>
      <c r="P110" s="383"/>
      <c r="Q110" s="398"/>
      <c r="R110" s="387"/>
    </row>
    <row r="111" spans="2:18" ht="15" hidden="1" customHeight="1" outlineLevel="2" x14ac:dyDescent="0.2">
      <c r="B111" s="397"/>
      <c r="C111" s="141"/>
      <c r="D111" s="389">
        <f>F95</f>
        <v>0</v>
      </c>
      <c r="E111" s="392" t="s">
        <v>702</v>
      </c>
      <c r="F111" s="434">
        <f>D111-O103</f>
        <v>0</v>
      </c>
      <c r="G111" s="392" t="s">
        <v>702</v>
      </c>
      <c r="H111" s="383"/>
      <c r="I111" s="673" t="s">
        <v>693</v>
      </c>
      <c r="J111" s="673"/>
      <c r="K111" s="673" t="s">
        <v>657</v>
      </c>
      <c r="L111" s="673"/>
      <c r="M111" s="673" t="s">
        <v>708</v>
      </c>
      <c r="N111" s="673"/>
      <c r="O111" s="673" t="s">
        <v>64</v>
      </c>
      <c r="P111" s="673"/>
      <c r="Q111" s="398"/>
      <c r="R111" s="387"/>
    </row>
    <row r="112" spans="2:18" ht="15" hidden="1" customHeight="1" outlineLevel="2" x14ac:dyDescent="0.2">
      <c r="B112" s="397"/>
      <c r="C112" s="141"/>
      <c r="D112" s="383"/>
      <c r="E112" s="383"/>
      <c r="F112" s="383"/>
      <c r="G112" s="383"/>
      <c r="H112" s="383"/>
      <c r="I112" s="434">
        <f>K103/60</f>
        <v>0</v>
      </c>
      <c r="J112" s="651" t="s">
        <v>663</v>
      </c>
      <c r="K112" s="434">
        <f>IFERROR(((O115*D114/60)+K115)/(M106*O106),"")</f>
        <v>0</v>
      </c>
      <c r="L112" s="651" t="s">
        <v>656</v>
      </c>
      <c r="M112" s="681" t="str">
        <f>IF(F111&lt;5,"Leve",IF(AND(F111&gt;=5,F111&lt;10),"Normal","Pesada"))</f>
        <v>Leve</v>
      </c>
      <c r="N112" s="681"/>
      <c r="O112" s="434">
        <f>100*IFERROR(IF(M112="Leve",INDEX(Tabela2[Eficiência Leve],MATCH(C102,Tabela2[Descrição],0)),IF(M112="Normal",INDEX(Tabela2[Eficiência Normal],MATCH(C102,Tabela2[Descrição],0)),IF(M112="Pesada",INDEX(Tabela2[Eficiência Pesada],MATCH(C102,Tabela2[Descrição],0))))),0)</f>
        <v>0</v>
      </c>
      <c r="P112" s="651" t="s">
        <v>292</v>
      </c>
      <c r="Q112" s="398"/>
      <c r="R112" s="387"/>
    </row>
    <row r="113" spans="2:18" ht="15" hidden="1" customHeight="1" outlineLevel="2" x14ac:dyDescent="0.2">
      <c r="B113" s="397"/>
      <c r="C113" s="141"/>
      <c r="D113" s="674" t="s">
        <v>704</v>
      </c>
      <c r="E113" s="675"/>
      <c r="F113" s="674" t="s">
        <v>705</v>
      </c>
      <c r="G113" s="675"/>
      <c r="H113" s="383"/>
      <c r="I113" s="383"/>
      <c r="J113" s="383"/>
      <c r="K113" s="383"/>
      <c r="L113" s="383"/>
      <c r="M113" s="535"/>
      <c r="N113" s="535"/>
      <c r="O113" s="535"/>
      <c r="P113" s="535"/>
      <c r="Q113" s="398"/>
      <c r="R113" s="387"/>
    </row>
    <row r="114" spans="2:18" ht="15" hidden="1" customHeight="1" outlineLevel="2" x14ac:dyDescent="0.2">
      <c r="B114" s="397"/>
      <c r="C114" s="141"/>
      <c r="D114" s="565">
        <f>D98</f>
        <v>0</v>
      </c>
      <c r="E114" s="392" t="s">
        <v>689</v>
      </c>
      <c r="F114" s="567">
        <f>F98</f>
        <v>0</v>
      </c>
      <c r="G114" s="392" t="s">
        <v>687</v>
      </c>
      <c r="H114" s="383"/>
      <c r="I114" s="673" t="s">
        <v>61</v>
      </c>
      <c r="J114" s="673"/>
      <c r="K114" s="673" t="s">
        <v>674</v>
      </c>
      <c r="L114" s="673"/>
      <c r="M114" s="673" t="s">
        <v>654</v>
      </c>
      <c r="N114" s="673"/>
      <c r="O114" s="673" t="s">
        <v>651</v>
      </c>
      <c r="P114" s="673"/>
      <c r="Q114" s="398"/>
    </row>
    <row r="115" spans="2:18" ht="15" hidden="1" customHeight="1" outlineLevel="2" x14ac:dyDescent="0.2">
      <c r="B115" s="397"/>
      <c r="C115" s="141"/>
      <c r="D115" s="383"/>
      <c r="E115" s="383"/>
      <c r="F115" s="567">
        <f>F99</f>
        <v>0</v>
      </c>
      <c r="G115" s="392" t="s">
        <v>688</v>
      </c>
      <c r="H115" s="383"/>
      <c r="I115" s="434">
        <f>IFERROR(INDEX(Tabela2[Setup],MATCH(C102,Tabela2[Descrição],0))*24,0)</f>
        <v>0</v>
      </c>
      <c r="J115" s="651" t="s">
        <v>652</v>
      </c>
      <c r="K115" s="434">
        <f>SUM(I115,I104/60)</f>
        <v>0</v>
      </c>
      <c r="L115" s="651" t="s">
        <v>652</v>
      </c>
      <c r="M115" s="434">
        <f>IFERROR(K115*60/D114,0)</f>
        <v>0</v>
      </c>
      <c r="N115" s="651" t="s">
        <v>653</v>
      </c>
      <c r="O115" s="434">
        <f>IFERROR(K103/(F111)/60*1000*((1+(100-O112)/100)),0)</f>
        <v>0</v>
      </c>
      <c r="P115" s="651" t="s">
        <v>653</v>
      </c>
      <c r="Q115" s="398"/>
      <c r="R115" s="387"/>
    </row>
    <row r="116" spans="2:18" ht="15" hidden="1" customHeight="1" outlineLevel="1" collapsed="1" x14ac:dyDescent="0.2">
      <c r="B116" s="397"/>
      <c r="C116" s="141"/>
      <c r="D116" s="141"/>
      <c r="E116" s="383"/>
      <c r="F116" s="383"/>
      <c r="G116" s="383"/>
      <c r="H116" s="383"/>
      <c r="I116" s="383"/>
      <c r="J116" s="383"/>
      <c r="K116" s="383"/>
      <c r="L116" s="383"/>
      <c r="M116" s="383"/>
      <c r="N116" s="383"/>
      <c r="O116" s="383"/>
      <c r="P116" s="141"/>
      <c r="Q116" s="398"/>
      <c r="R116" s="387"/>
    </row>
    <row r="117" spans="2:18" ht="15" hidden="1" customHeight="1" outlineLevel="1" x14ac:dyDescent="0.2">
      <c r="B117" s="397"/>
      <c r="C117" s="671" t="s">
        <v>706</v>
      </c>
      <c r="D117" s="672"/>
      <c r="E117" s="672"/>
      <c r="F117" s="439"/>
      <c r="G117" s="439"/>
      <c r="H117" s="439"/>
      <c r="I117" s="439"/>
      <c r="J117" s="439"/>
      <c r="K117" s="439"/>
      <c r="L117" s="439"/>
      <c r="M117" s="439"/>
      <c r="N117" s="439"/>
      <c r="O117" s="439"/>
      <c r="P117" s="439"/>
      <c r="Q117" s="398"/>
      <c r="R117" s="386"/>
    </row>
    <row r="118" spans="2:18" ht="15" hidden="1" customHeight="1" outlineLevel="2" x14ac:dyDescent="0.2">
      <c r="B118" s="397"/>
      <c r="C118" s="677"/>
      <c r="D118" s="678"/>
      <c r="E118" s="678"/>
      <c r="F118" s="678"/>
      <c r="G118" s="678"/>
      <c r="H118" s="141"/>
      <c r="I118" s="679" t="s">
        <v>583</v>
      </c>
      <c r="J118" s="679"/>
      <c r="K118" s="671" t="s">
        <v>693</v>
      </c>
      <c r="L118" s="672"/>
      <c r="M118" s="671" t="s">
        <v>778</v>
      </c>
      <c r="N118" s="672"/>
      <c r="O118" s="671" t="s">
        <v>703</v>
      </c>
      <c r="P118" s="672"/>
      <c r="Q118" s="398"/>
      <c r="R118" s="387"/>
    </row>
    <row r="119" spans="2:18" ht="15" hidden="1" customHeight="1" outlineLevel="2" x14ac:dyDescent="0.2">
      <c r="B119" s="397"/>
      <c r="C119" s="141"/>
      <c r="D119" s="141"/>
      <c r="E119" s="141"/>
      <c r="F119" s="141"/>
      <c r="G119" s="141"/>
      <c r="H119" s="141"/>
      <c r="I119" s="409"/>
      <c r="J119" s="392" t="s">
        <v>699</v>
      </c>
      <c r="K119" s="409"/>
      <c r="L119" s="392" t="s">
        <v>694</v>
      </c>
      <c r="M119" s="542">
        <v>0</v>
      </c>
      <c r="N119" s="603" t="s">
        <v>292</v>
      </c>
      <c r="O119" s="542">
        <v>0</v>
      </c>
      <c r="P119" s="392" t="s">
        <v>746</v>
      </c>
      <c r="Q119" s="398"/>
      <c r="R119" s="387"/>
    </row>
    <row r="120" spans="2:18" ht="15" hidden="1" customHeight="1" outlineLevel="2" x14ac:dyDescent="0.2">
      <c r="B120" s="397"/>
      <c r="C120" s="141"/>
      <c r="D120" s="671" t="s">
        <v>771</v>
      </c>
      <c r="E120" s="672"/>
      <c r="F120" s="671" t="s">
        <v>163</v>
      </c>
      <c r="G120" s="672"/>
      <c r="H120" s="141"/>
      <c r="I120" s="409"/>
      <c r="J120" s="392" t="s">
        <v>663</v>
      </c>
      <c r="K120" s="383"/>
      <c r="L120" s="383"/>
      <c r="M120" s="383"/>
      <c r="N120" s="383"/>
      <c r="O120" s="383"/>
      <c r="P120" s="383"/>
      <c r="Q120" s="398"/>
      <c r="R120" s="387"/>
    </row>
    <row r="121" spans="2:18" ht="15" hidden="1" customHeight="1" outlineLevel="2" x14ac:dyDescent="0.2">
      <c r="B121" s="397"/>
      <c r="C121" s="141"/>
      <c r="D121" s="567">
        <f>IFERROR((F121-F124)/D124,0)</f>
        <v>0</v>
      </c>
      <c r="E121" s="566" t="s">
        <v>9</v>
      </c>
      <c r="F121" s="389">
        <f>D105</f>
        <v>0</v>
      </c>
      <c r="G121" s="566" t="s">
        <v>9</v>
      </c>
      <c r="H121" s="141"/>
      <c r="I121" s="383"/>
      <c r="J121" s="383"/>
      <c r="M121" s="673" t="s">
        <v>780</v>
      </c>
      <c r="N121" s="673"/>
      <c r="O121" s="673" t="s">
        <v>770</v>
      </c>
      <c r="P121" s="673"/>
      <c r="Q121" s="398"/>
      <c r="R121" s="387"/>
    </row>
    <row r="122" spans="2:18" ht="15" hidden="1" customHeight="1" outlineLevel="2" x14ac:dyDescent="0.2">
      <c r="B122" s="397"/>
      <c r="C122" s="141"/>
      <c r="D122" s="383"/>
      <c r="E122" s="383"/>
      <c r="F122" s="383"/>
      <c r="G122" s="383"/>
      <c r="H122" s="383"/>
      <c r="I122" s="383"/>
      <c r="J122" s="383"/>
      <c r="M122" s="605">
        <v>8.48</v>
      </c>
      <c r="N122" s="553" t="s">
        <v>652</v>
      </c>
      <c r="O122" s="676">
        <v>1</v>
      </c>
      <c r="P122" s="676"/>
      <c r="Q122" s="398"/>
      <c r="R122" s="387"/>
    </row>
    <row r="123" spans="2:18" ht="15" hidden="1" customHeight="1" outlineLevel="2" x14ac:dyDescent="0.2">
      <c r="B123" s="397"/>
      <c r="C123" s="141"/>
      <c r="D123" s="674" t="s">
        <v>698</v>
      </c>
      <c r="E123" s="675"/>
      <c r="F123" s="674" t="s">
        <v>72</v>
      </c>
      <c r="G123" s="675"/>
      <c r="H123" s="383"/>
      <c r="I123" s="383"/>
      <c r="J123" s="383"/>
      <c r="K123" s="383"/>
      <c r="L123" s="383"/>
      <c r="M123" s="383"/>
      <c r="N123" s="383"/>
      <c r="O123" s="383"/>
      <c r="P123" s="383"/>
      <c r="Q123" s="398"/>
      <c r="R123" s="388"/>
    </row>
    <row r="124" spans="2:18" ht="15" hidden="1" customHeight="1" outlineLevel="2" x14ac:dyDescent="0.2">
      <c r="B124" s="397"/>
      <c r="C124" s="141"/>
      <c r="D124" s="569">
        <v>1</v>
      </c>
      <c r="E124" s="566" t="s">
        <v>699</v>
      </c>
      <c r="F124" s="569">
        <v>0</v>
      </c>
      <c r="G124" s="566" t="s">
        <v>9</v>
      </c>
      <c r="H124" s="383"/>
      <c r="I124" s="671" t="s">
        <v>695</v>
      </c>
      <c r="J124" s="672"/>
      <c r="K124" s="673" t="s">
        <v>650</v>
      </c>
      <c r="L124" s="673"/>
      <c r="M124" s="673" t="s">
        <v>696</v>
      </c>
      <c r="N124" s="673"/>
      <c r="O124" s="673" t="s">
        <v>666</v>
      </c>
      <c r="P124" s="673"/>
      <c r="Q124" s="398"/>
      <c r="R124" s="388"/>
    </row>
    <row r="125" spans="2:18" ht="15" hidden="1" customHeight="1" outlineLevel="2" x14ac:dyDescent="0.2">
      <c r="B125" s="397"/>
      <c r="C125" s="141"/>
      <c r="D125" s="383"/>
      <c r="E125" s="383"/>
      <c r="F125" s="383"/>
      <c r="G125" s="383"/>
      <c r="H125" s="383"/>
      <c r="I125" s="434" t="str">
        <f>IFERROR((F121-D121*D124)/F121*100,"")</f>
        <v/>
      </c>
      <c r="J125" s="651" t="s">
        <v>292</v>
      </c>
      <c r="K125" s="434">
        <f>IFERROR(($H$18*D121*I119/1000)/1000/D130*100,0)</f>
        <v>0</v>
      </c>
      <c r="L125" s="651" t="s">
        <v>292</v>
      </c>
      <c r="M125" s="434">
        <f>IFERROR(((D127/F127)-1)*100,0)</f>
        <v>0</v>
      </c>
      <c r="N125" s="651" t="s">
        <v>292</v>
      </c>
      <c r="O125" s="434">
        <f>SUM(K125,M125,I125)</f>
        <v>0</v>
      </c>
      <c r="P125" s="651" t="s">
        <v>292</v>
      </c>
      <c r="Q125" s="398"/>
      <c r="R125" s="388"/>
    </row>
    <row r="126" spans="2:18" ht="15" hidden="1" customHeight="1" outlineLevel="2" x14ac:dyDescent="0.2">
      <c r="B126" s="397"/>
      <c r="C126" s="141"/>
      <c r="D126" s="671" t="s">
        <v>700</v>
      </c>
      <c r="E126" s="672"/>
      <c r="F126" s="671" t="s">
        <v>701</v>
      </c>
      <c r="G126" s="672"/>
      <c r="H126" s="383"/>
      <c r="I126" s="535"/>
      <c r="J126" s="535"/>
      <c r="K126" s="383"/>
      <c r="L126" s="383"/>
      <c r="M126" s="383"/>
      <c r="N126" s="383"/>
      <c r="O126" s="383"/>
      <c r="P126" s="383"/>
      <c r="Q126" s="398"/>
      <c r="R126" s="387"/>
    </row>
    <row r="127" spans="2:18" ht="15" hidden="1" customHeight="1" outlineLevel="2" x14ac:dyDescent="0.2">
      <c r="B127" s="397"/>
      <c r="C127" s="141"/>
      <c r="D127" s="389">
        <f>F111</f>
        <v>0</v>
      </c>
      <c r="E127" s="392" t="s">
        <v>702</v>
      </c>
      <c r="F127" s="389">
        <f>D127-O119</f>
        <v>0</v>
      </c>
      <c r="G127" s="392" t="s">
        <v>702</v>
      </c>
      <c r="H127" s="383"/>
      <c r="I127" s="673" t="s">
        <v>693</v>
      </c>
      <c r="J127" s="673"/>
      <c r="K127" s="673" t="s">
        <v>657</v>
      </c>
      <c r="L127" s="673"/>
      <c r="M127" s="673" t="s">
        <v>708</v>
      </c>
      <c r="N127" s="673"/>
      <c r="O127" s="673" t="s">
        <v>64</v>
      </c>
      <c r="P127" s="673"/>
      <c r="Q127" s="398"/>
      <c r="R127" s="387"/>
    </row>
    <row r="128" spans="2:18" ht="15" hidden="1" customHeight="1" outlineLevel="2" x14ac:dyDescent="0.2">
      <c r="B128" s="397"/>
      <c r="C128" s="141"/>
      <c r="D128" s="383"/>
      <c r="E128" s="383"/>
      <c r="F128" s="383"/>
      <c r="G128" s="383"/>
      <c r="H128" s="383"/>
      <c r="I128" s="434">
        <f>K119/60</f>
        <v>0</v>
      </c>
      <c r="J128" s="651" t="s">
        <v>663</v>
      </c>
      <c r="K128" s="434">
        <f>IFERROR(((O131*D130/60)+K131)/(M122*O122),"")</f>
        <v>0</v>
      </c>
      <c r="L128" s="651" t="s">
        <v>656</v>
      </c>
      <c r="M128" s="681" t="str">
        <f>IF(F127&lt;5,"Leve",IF(AND(F127&gt;=5,F127&lt;10),"Normal","Pesada"))</f>
        <v>Leve</v>
      </c>
      <c r="N128" s="681"/>
      <c r="O128" s="434">
        <f>100*IFERROR(IF(M128="Leve",INDEX(Tabela2[Eficiência Leve],MATCH(C118,Tabela2[Descrição],0)),IF(M128="Normal",INDEX(Tabela2[Eficiência Normal],MATCH(C118,Tabela2[Descrição],0)),IF(M128="Pesada",INDEX(Tabela2[Eficiência Pesada],MATCH(C118,Tabela2[Descrição],0))))),0)</f>
        <v>0</v>
      </c>
      <c r="P128" s="651" t="s">
        <v>292</v>
      </c>
      <c r="Q128" s="398"/>
      <c r="R128" s="387"/>
    </row>
    <row r="129" spans="2:18" ht="15" hidden="1" customHeight="1" outlineLevel="2" x14ac:dyDescent="0.2">
      <c r="B129" s="397"/>
      <c r="C129" s="141"/>
      <c r="D129" s="674" t="s">
        <v>704</v>
      </c>
      <c r="E129" s="675"/>
      <c r="F129" s="674" t="s">
        <v>705</v>
      </c>
      <c r="G129" s="675"/>
      <c r="H129" s="383"/>
      <c r="I129" s="383"/>
      <c r="J129" s="383"/>
      <c r="K129" s="383"/>
      <c r="L129" s="383"/>
      <c r="M129" s="535"/>
      <c r="N129" s="535"/>
      <c r="O129" s="535"/>
      <c r="P129" s="535"/>
      <c r="Q129" s="398"/>
      <c r="R129" s="387"/>
    </row>
    <row r="130" spans="2:18" ht="15" hidden="1" customHeight="1" outlineLevel="2" x14ac:dyDescent="0.2">
      <c r="B130" s="397"/>
      <c r="C130" s="141"/>
      <c r="D130" s="565">
        <f>D114</f>
        <v>0</v>
      </c>
      <c r="E130" s="392" t="s">
        <v>689</v>
      </c>
      <c r="F130" s="567">
        <f>F114</f>
        <v>0</v>
      </c>
      <c r="G130" s="392" t="s">
        <v>687</v>
      </c>
      <c r="H130" s="383"/>
      <c r="I130" s="673" t="s">
        <v>61</v>
      </c>
      <c r="J130" s="673"/>
      <c r="K130" s="673" t="s">
        <v>674</v>
      </c>
      <c r="L130" s="673"/>
      <c r="M130" s="673" t="s">
        <v>654</v>
      </c>
      <c r="N130" s="673"/>
      <c r="O130" s="673" t="s">
        <v>651</v>
      </c>
      <c r="P130" s="673"/>
      <c r="Q130" s="398"/>
    </row>
    <row r="131" spans="2:18" ht="15" hidden="1" customHeight="1" outlineLevel="2" x14ac:dyDescent="0.2">
      <c r="B131" s="397"/>
      <c r="C131" s="141"/>
      <c r="D131" s="383"/>
      <c r="E131" s="383"/>
      <c r="F131" s="567">
        <f>F115</f>
        <v>0</v>
      </c>
      <c r="G131" s="392" t="s">
        <v>688</v>
      </c>
      <c r="H131" s="383"/>
      <c r="I131" s="434">
        <f>IFERROR(INDEX(Tabela2[Setup],MATCH(C118,Tabela2[Descrição],0))*24,0)</f>
        <v>0</v>
      </c>
      <c r="J131" s="651" t="s">
        <v>652</v>
      </c>
      <c r="K131" s="434">
        <f>SUM(I131,I120/60)</f>
        <v>0</v>
      </c>
      <c r="L131" s="651" t="s">
        <v>652</v>
      </c>
      <c r="M131" s="434">
        <f>IFERROR(K131*60/D130,0)</f>
        <v>0</v>
      </c>
      <c r="N131" s="651" t="s">
        <v>653</v>
      </c>
      <c r="O131" s="434">
        <f>IFERROR(K119/(F127)/60*1000*((1+(100-O128)/100)),0)</f>
        <v>0</v>
      </c>
      <c r="P131" s="651" t="s">
        <v>653</v>
      </c>
      <c r="Q131" s="398"/>
      <c r="R131" s="387"/>
    </row>
    <row r="132" spans="2:18" ht="15" hidden="1" customHeight="1" outlineLevel="1" collapsed="1" x14ac:dyDescent="0.2">
      <c r="B132" s="397"/>
      <c r="C132" s="141"/>
      <c r="D132" s="141"/>
      <c r="E132" s="383"/>
      <c r="F132" s="383"/>
      <c r="G132" s="383"/>
      <c r="H132" s="383"/>
      <c r="I132" s="383"/>
      <c r="J132" s="383"/>
      <c r="K132" s="383"/>
      <c r="L132" s="383"/>
      <c r="M132" s="383"/>
      <c r="N132" s="383"/>
      <c r="O132" s="383"/>
      <c r="P132" s="141"/>
      <c r="Q132" s="398"/>
      <c r="R132" s="387"/>
    </row>
    <row r="133" spans="2:18" ht="15" hidden="1" customHeight="1" outlineLevel="1" x14ac:dyDescent="0.2">
      <c r="B133" s="397"/>
      <c r="C133" s="671" t="s">
        <v>707</v>
      </c>
      <c r="D133" s="672"/>
      <c r="E133" s="672"/>
      <c r="F133" s="439"/>
      <c r="G133" s="439"/>
      <c r="H133" s="439"/>
      <c r="I133" s="439"/>
      <c r="J133" s="439"/>
      <c r="K133" s="439"/>
      <c r="L133" s="439"/>
      <c r="M133" s="439"/>
      <c r="N133" s="439"/>
      <c r="O133" s="439"/>
      <c r="P133" s="439"/>
      <c r="Q133" s="398"/>
      <c r="R133" s="386"/>
    </row>
    <row r="134" spans="2:18" ht="15" hidden="1" customHeight="1" outlineLevel="2" x14ac:dyDescent="0.2">
      <c r="B134" s="397"/>
      <c r="C134" s="677"/>
      <c r="D134" s="678"/>
      <c r="E134" s="678"/>
      <c r="F134" s="678"/>
      <c r="G134" s="678"/>
      <c r="H134" s="141"/>
      <c r="I134" s="679" t="s">
        <v>583</v>
      </c>
      <c r="J134" s="679"/>
      <c r="K134" s="671" t="s">
        <v>693</v>
      </c>
      <c r="L134" s="672"/>
      <c r="M134" s="671" t="s">
        <v>778</v>
      </c>
      <c r="N134" s="672"/>
      <c r="O134" s="671" t="s">
        <v>703</v>
      </c>
      <c r="P134" s="672"/>
      <c r="Q134" s="398"/>
      <c r="R134" s="387"/>
    </row>
    <row r="135" spans="2:18" ht="15" hidden="1" customHeight="1" outlineLevel="2" x14ac:dyDescent="0.2">
      <c r="B135" s="397"/>
      <c r="C135" s="141"/>
      <c r="D135" s="141"/>
      <c r="E135" s="141"/>
      <c r="F135" s="141"/>
      <c r="G135" s="141"/>
      <c r="H135" s="141"/>
      <c r="I135" s="409"/>
      <c r="J135" s="392" t="s">
        <v>699</v>
      </c>
      <c r="K135" s="409"/>
      <c r="L135" s="392" t="s">
        <v>694</v>
      </c>
      <c r="M135" s="542">
        <v>0</v>
      </c>
      <c r="N135" s="603" t="s">
        <v>292</v>
      </c>
      <c r="O135" s="542"/>
      <c r="P135" s="392" t="s">
        <v>746</v>
      </c>
      <c r="Q135" s="398"/>
      <c r="R135" s="387"/>
    </row>
    <row r="136" spans="2:18" ht="15" hidden="1" customHeight="1" outlineLevel="2" x14ac:dyDescent="0.2">
      <c r="B136" s="397"/>
      <c r="C136" s="141"/>
      <c r="D136" s="671" t="s">
        <v>771</v>
      </c>
      <c r="E136" s="672"/>
      <c r="F136" s="671" t="s">
        <v>163</v>
      </c>
      <c r="G136" s="672"/>
      <c r="H136" s="141"/>
      <c r="I136" s="409"/>
      <c r="J136" s="392" t="s">
        <v>663</v>
      </c>
      <c r="K136" s="383"/>
      <c r="L136" s="383"/>
      <c r="M136" s="383"/>
      <c r="N136" s="383"/>
      <c r="O136" s="383"/>
      <c r="P136" s="383"/>
      <c r="Q136" s="398"/>
      <c r="R136" s="387"/>
    </row>
    <row r="137" spans="2:18" ht="15" hidden="1" customHeight="1" outlineLevel="2" x14ac:dyDescent="0.2">
      <c r="B137" s="397"/>
      <c r="C137" s="141"/>
      <c r="D137" s="567">
        <f>IFERROR((F137-F140)/D140,0)</f>
        <v>0</v>
      </c>
      <c r="E137" s="566" t="s">
        <v>9</v>
      </c>
      <c r="F137" s="389">
        <f>D121</f>
        <v>0</v>
      </c>
      <c r="G137" s="566" t="s">
        <v>9</v>
      </c>
      <c r="H137" s="141"/>
      <c r="I137" s="383"/>
      <c r="J137" s="383"/>
      <c r="M137" s="673" t="s">
        <v>780</v>
      </c>
      <c r="N137" s="673"/>
      <c r="O137" s="673" t="s">
        <v>770</v>
      </c>
      <c r="P137" s="673"/>
      <c r="Q137" s="398"/>
      <c r="R137" s="387"/>
    </row>
    <row r="138" spans="2:18" ht="15" hidden="1" customHeight="1" outlineLevel="2" x14ac:dyDescent="0.2">
      <c r="B138" s="397"/>
      <c r="C138" s="141"/>
      <c r="D138" s="383"/>
      <c r="E138" s="383"/>
      <c r="F138" s="383"/>
      <c r="G138" s="383"/>
      <c r="H138" s="383"/>
      <c r="I138" s="383"/>
      <c r="J138" s="383"/>
      <c r="M138" s="605">
        <v>8.48</v>
      </c>
      <c r="N138" s="553" t="s">
        <v>652</v>
      </c>
      <c r="O138" s="676">
        <v>1</v>
      </c>
      <c r="P138" s="676"/>
      <c r="Q138" s="398"/>
      <c r="R138" s="387"/>
    </row>
    <row r="139" spans="2:18" ht="15" hidden="1" customHeight="1" outlineLevel="2" x14ac:dyDescent="0.2">
      <c r="B139" s="397"/>
      <c r="C139" s="141"/>
      <c r="D139" s="674" t="s">
        <v>698</v>
      </c>
      <c r="E139" s="675"/>
      <c r="F139" s="674" t="s">
        <v>72</v>
      </c>
      <c r="G139" s="675"/>
      <c r="H139" s="383"/>
      <c r="I139" s="383"/>
      <c r="J139" s="383"/>
      <c r="K139" s="383"/>
      <c r="L139" s="383"/>
      <c r="M139" s="383"/>
      <c r="N139" s="383"/>
      <c r="O139" s="383"/>
      <c r="P139" s="383"/>
      <c r="Q139" s="398"/>
      <c r="R139" s="388"/>
    </row>
    <row r="140" spans="2:18" ht="15" hidden="1" customHeight="1" outlineLevel="2" x14ac:dyDescent="0.2">
      <c r="B140" s="397"/>
      <c r="C140" s="141"/>
      <c r="D140" s="569">
        <v>1</v>
      </c>
      <c r="E140" s="392" t="s">
        <v>699</v>
      </c>
      <c r="F140" s="569">
        <v>0</v>
      </c>
      <c r="G140" s="392" t="s">
        <v>9</v>
      </c>
      <c r="H140" s="383"/>
      <c r="I140" s="671" t="s">
        <v>695</v>
      </c>
      <c r="J140" s="672"/>
      <c r="K140" s="673" t="s">
        <v>650</v>
      </c>
      <c r="L140" s="673"/>
      <c r="M140" s="673" t="s">
        <v>696</v>
      </c>
      <c r="N140" s="673"/>
      <c r="O140" s="673" t="s">
        <v>666</v>
      </c>
      <c r="P140" s="673"/>
      <c r="Q140" s="398"/>
      <c r="R140" s="388"/>
    </row>
    <row r="141" spans="2:18" ht="15" hidden="1" customHeight="1" outlineLevel="2" x14ac:dyDescent="0.2">
      <c r="B141" s="397"/>
      <c r="C141" s="141"/>
      <c r="D141" s="383"/>
      <c r="E141" s="383"/>
      <c r="F141" s="383"/>
      <c r="G141" s="383"/>
      <c r="H141" s="383"/>
      <c r="I141" s="434" t="str">
        <f>IFERROR((F137-D137*D140)/F137*100,"")</f>
        <v/>
      </c>
      <c r="J141" s="651" t="s">
        <v>292</v>
      </c>
      <c r="K141" s="434">
        <f>IFERROR(($H$18*D137*I135/1000)/1000/D146*100,0)</f>
        <v>0</v>
      </c>
      <c r="L141" s="651" t="s">
        <v>292</v>
      </c>
      <c r="M141" s="434">
        <f>IFERROR(((D143/F143)-1)*100,0)</f>
        <v>0</v>
      </c>
      <c r="N141" s="651" t="s">
        <v>292</v>
      </c>
      <c r="O141" s="434">
        <f>SUM(K141,M141,I141)</f>
        <v>0</v>
      </c>
      <c r="P141" s="651" t="s">
        <v>292</v>
      </c>
      <c r="Q141" s="398"/>
      <c r="R141" s="388"/>
    </row>
    <row r="142" spans="2:18" ht="15" hidden="1" customHeight="1" outlineLevel="2" x14ac:dyDescent="0.2">
      <c r="B142" s="397"/>
      <c r="C142" s="141"/>
      <c r="D142" s="671" t="s">
        <v>700</v>
      </c>
      <c r="E142" s="672"/>
      <c r="F142" s="671" t="s">
        <v>701</v>
      </c>
      <c r="G142" s="672"/>
      <c r="H142" s="383"/>
      <c r="I142" s="535"/>
      <c r="J142" s="535"/>
      <c r="K142" s="383"/>
      <c r="L142" s="383"/>
      <c r="M142" s="383"/>
      <c r="N142" s="383"/>
      <c r="O142" s="383"/>
      <c r="P142" s="383"/>
      <c r="Q142" s="398"/>
      <c r="R142" s="387"/>
    </row>
    <row r="143" spans="2:18" ht="15" hidden="1" customHeight="1" outlineLevel="2" x14ac:dyDescent="0.2">
      <c r="B143" s="397"/>
      <c r="C143" s="141"/>
      <c r="D143" s="389">
        <f>F127</f>
        <v>0</v>
      </c>
      <c r="E143" s="392" t="s">
        <v>702</v>
      </c>
      <c r="F143" s="389">
        <f>D143-O135</f>
        <v>0</v>
      </c>
      <c r="G143" s="392" t="s">
        <v>702</v>
      </c>
      <c r="H143" s="383"/>
      <c r="I143" s="673" t="s">
        <v>693</v>
      </c>
      <c r="J143" s="673"/>
      <c r="K143" s="673" t="s">
        <v>657</v>
      </c>
      <c r="L143" s="673"/>
      <c r="M143" s="673" t="s">
        <v>708</v>
      </c>
      <c r="N143" s="673"/>
      <c r="O143" s="673" t="s">
        <v>64</v>
      </c>
      <c r="P143" s="673"/>
      <c r="Q143" s="398"/>
      <c r="R143" s="387"/>
    </row>
    <row r="144" spans="2:18" ht="15" hidden="1" customHeight="1" outlineLevel="2" x14ac:dyDescent="0.2">
      <c r="B144" s="397"/>
      <c r="C144" s="141"/>
      <c r="D144" s="383"/>
      <c r="E144" s="383"/>
      <c r="F144" s="383"/>
      <c r="G144" s="383"/>
      <c r="H144" s="383"/>
      <c r="I144" s="434">
        <f>K135/60</f>
        <v>0</v>
      </c>
      <c r="J144" s="651" t="s">
        <v>663</v>
      </c>
      <c r="K144" s="434">
        <f>IFERROR(((O147*D146/60)+K147)/(M138*O138),"")</f>
        <v>0</v>
      </c>
      <c r="L144" s="651" t="s">
        <v>656</v>
      </c>
      <c r="M144" s="681" t="str">
        <f>IF(F143&lt;5,"Leve",IF(AND(F143&gt;=5,F143&lt;10),"Normal","Pesada"))</f>
        <v>Leve</v>
      </c>
      <c r="N144" s="681"/>
      <c r="O144" s="434">
        <f>100*IFERROR(IF(M144="Leve",INDEX(Tabela2[Eficiência Leve],MATCH(C134,Tabela2[Descrição],0)),IF(M144="Normal",INDEX(Tabela2[Eficiência Normal],MATCH(C134,Tabela2[Descrição],0)),IF(M144="Pesada",INDEX(Tabela2[Eficiência Pesada],MATCH(C134,Tabela2[Descrição],0))))),0)</f>
        <v>0</v>
      </c>
      <c r="P144" s="651" t="s">
        <v>292</v>
      </c>
      <c r="Q144" s="398"/>
      <c r="R144" s="387"/>
    </row>
    <row r="145" spans="2:18" ht="15" hidden="1" customHeight="1" outlineLevel="2" x14ac:dyDescent="0.2">
      <c r="B145" s="397"/>
      <c r="C145" s="141"/>
      <c r="D145" s="674" t="s">
        <v>704</v>
      </c>
      <c r="E145" s="675"/>
      <c r="F145" s="674" t="s">
        <v>705</v>
      </c>
      <c r="G145" s="675"/>
      <c r="H145" s="383"/>
      <c r="I145" s="383"/>
      <c r="J145" s="383"/>
      <c r="K145" s="383"/>
      <c r="L145" s="383"/>
      <c r="M145" s="535"/>
      <c r="N145" s="535"/>
      <c r="O145" s="535"/>
      <c r="P145" s="535"/>
      <c r="Q145" s="398"/>
      <c r="R145" s="387"/>
    </row>
    <row r="146" spans="2:18" ht="15" hidden="1" customHeight="1" outlineLevel="2" x14ac:dyDescent="0.2">
      <c r="B146" s="397"/>
      <c r="C146" s="141"/>
      <c r="D146" s="565">
        <f>D130</f>
        <v>0</v>
      </c>
      <c r="E146" s="392" t="s">
        <v>689</v>
      </c>
      <c r="F146" s="567">
        <f>F130</f>
        <v>0</v>
      </c>
      <c r="G146" s="392" t="s">
        <v>687</v>
      </c>
      <c r="H146" s="383"/>
      <c r="I146" s="673" t="s">
        <v>61</v>
      </c>
      <c r="J146" s="673"/>
      <c r="K146" s="673" t="s">
        <v>674</v>
      </c>
      <c r="L146" s="673"/>
      <c r="M146" s="673" t="s">
        <v>654</v>
      </c>
      <c r="N146" s="673"/>
      <c r="O146" s="673" t="s">
        <v>651</v>
      </c>
      <c r="P146" s="673"/>
      <c r="Q146" s="398"/>
    </row>
    <row r="147" spans="2:18" ht="15" hidden="1" customHeight="1" outlineLevel="2" x14ac:dyDescent="0.2">
      <c r="B147" s="397"/>
      <c r="C147" s="141"/>
      <c r="D147" s="383"/>
      <c r="E147" s="383"/>
      <c r="F147" s="567">
        <f>F131</f>
        <v>0</v>
      </c>
      <c r="G147" s="392" t="s">
        <v>688</v>
      </c>
      <c r="H147" s="383"/>
      <c r="I147" s="434">
        <f>IFERROR(INDEX(Tabela2[Setup],MATCH(C134,Tabela2[Descrição],0))*24,0)</f>
        <v>0</v>
      </c>
      <c r="J147" s="651" t="s">
        <v>652</v>
      </c>
      <c r="K147" s="434">
        <f>SUM(I147,I136/60)</f>
        <v>0</v>
      </c>
      <c r="L147" s="651" t="s">
        <v>652</v>
      </c>
      <c r="M147" s="434">
        <f>IFERROR(K147*60/D146,0)</f>
        <v>0</v>
      </c>
      <c r="N147" s="651" t="s">
        <v>653</v>
      </c>
      <c r="O147" s="434">
        <f>IFERROR(K135/(F143)/60*1000*((1+(100-O144)/100)),0)</f>
        <v>0</v>
      </c>
      <c r="P147" s="651" t="s">
        <v>653</v>
      </c>
      <c r="Q147" s="398"/>
      <c r="R147" s="387"/>
    </row>
    <row r="148" spans="2:18" ht="9.9499999999999993" hidden="1" customHeight="1" outlineLevel="1" collapsed="1" x14ac:dyDescent="0.2">
      <c r="B148" s="397"/>
      <c r="C148" s="415"/>
      <c r="D148" s="415"/>
      <c r="E148" s="570"/>
      <c r="F148" s="415"/>
      <c r="G148" s="570"/>
      <c r="H148" s="570"/>
      <c r="I148" s="570"/>
      <c r="J148" s="570"/>
      <c r="K148" s="571"/>
      <c r="L148" s="571"/>
      <c r="M148" s="571"/>
      <c r="N148" s="571"/>
      <c r="O148" s="571"/>
      <c r="P148" s="571"/>
      <c r="Q148" s="398"/>
    </row>
    <row r="149" spans="2:18" ht="15" hidden="1" customHeight="1" outlineLevel="1" x14ac:dyDescent="0.2">
      <c r="B149" s="397"/>
      <c r="C149" s="141"/>
      <c r="D149" s="141"/>
      <c r="E149" s="383"/>
      <c r="F149" s="383"/>
      <c r="G149" s="383"/>
      <c r="H149" s="383"/>
      <c r="I149" s="383"/>
      <c r="J149" s="383"/>
      <c r="K149" s="383"/>
      <c r="L149" s="383"/>
      <c r="M149" s="383"/>
      <c r="N149" s="383"/>
      <c r="O149" s="383"/>
      <c r="P149" s="141"/>
      <c r="Q149" s="398"/>
      <c r="R149" s="387"/>
    </row>
    <row r="150" spans="2:18" ht="15" hidden="1" customHeight="1" outlineLevel="1" x14ac:dyDescent="0.2">
      <c r="B150" s="397"/>
      <c r="C150" s="141"/>
      <c r="D150" s="141"/>
      <c r="E150" s="383"/>
      <c r="F150" s="383"/>
      <c r="G150" s="383"/>
      <c r="H150" s="383"/>
      <c r="I150" s="383"/>
      <c r="J150" s="383"/>
      <c r="K150" s="383"/>
      <c r="L150" s="383"/>
      <c r="M150" s="383"/>
      <c r="N150" s="383"/>
      <c r="O150" s="383"/>
      <c r="P150" s="141"/>
      <c r="Q150" s="398"/>
      <c r="R150" s="387"/>
    </row>
    <row r="151" spans="2:18" ht="15" hidden="1" customHeight="1" outlineLevel="1" x14ac:dyDescent="0.2">
      <c r="B151" s="397"/>
      <c r="C151" s="141"/>
      <c r="D151" s="141"/>
      <c r="E151" s="383"/>
      <c r="F151" s="383"/>
      <c r="G151" s="383"/>
      <c r="H151" s="383"/>
      <c r="I151" s="141"/>
      <c r="J151" s="141"/>
      <c r="K151" s="141"/>
      <c r="L151" s="141"/>
      <c r="M151" s="141"/>
      <c r="N151" s="141"/>
      <c r="O151" s="141"/>
      <c r="P151" s="141"/>
      <c r="Q151" s="398"/>
      <c r="R151" s="387"/>
    </row>
    <row r="152" spans="2:18" ht="15" hidden="1" customHeight="1" outlineLevel="1" x14ac:dyDescent="0.2">
      <c r="B152" s="397"/>
      <c r="C152" s="519"/>
      <c r="D152" s="519"/>
      <c r="E152" s="383"/>
      <c r="F152" s="383"/>
      <c r="G152" s="383"/>
      <c r="H152" s="383"/>
      <c r="I152" s="519"/>
      <c r="J152" s="519"/>
      <c r="K152" s="519"/>
      <c r="L152" s="519"/>
      <c r="M152" s="519"/>
      <c r="N152" s="519"/>
      <c r="O152" s="519"/>
      <c r="P152" s="519"/>
      <c r="Q152" s="398"/>
      <c r="R152" s="387"/>
    </row>
    <row r="153" spans="2:18" ht="15" hidden="1" customHeight="1" outlineLevel="1" x14ac:dyDescent="0.2">
      <c r="B153" s="397"/>
      <c r="C153" s="519"/>
      <c r="D153" s="519"/>
      <c r="E153" s="383"/>
      <c r="F153" s="383"/>
      <c r="G153" s="383"/>
      <c r="H153" s="383"/>
      <c r="I153" s="519"/>
      <c r="J153" s="519"/>
      <c r="K153" s="519"/>
      <c r="L153" s="519"/>
      <c r="M153" s="519"/>
      <c r="N153" s="519"/>
      <c r="O153" s="519"/>
      <c r="P153" s="519"/>
      <c r="Q153" s="398"/>
      <c r="R153" s="387"/>
    </row>
    <row r="154" spans="2:18" ht="15" hidden="1" customHeight="1" outlineLevel="1" x14ac:dyDescent="0.2">
      <c r="B154" s="397"/>
      <c r="C154" s="141"/>
      <c r="D154" s="141"/>
      <c r="E154" s="383"/>
      <c r="F154" s="383"/>
      <c r="G154" s="383"/>
      <c r="H154" s="383"/>
      <c r="I154" s="141"/>
      <c r="J154" s="141"/>
      <c r="K154" s="141"/>
      <c r="L154" s="141"/>
      <c r="M154" s="141"/>
      <c r="N154" s="141"/>
      <c r="O154" s="141"/>
      <c r="P154" s="141"/>
      <c r="Q154" s="398"/>
    </row>
    <row r="155" spans="2:18" ht="15" hidden="1" customHeight="1" outlineLevel="1" x14ac:dyDescent="0.2">
      <c r="B155" s="397"/>
      <c r="C155" s="141"/>
      <c r="D155" s="141"/>
      <c r="E155" s="383"/>
      <c r="F155" s="383"/>
      <c r="G155" s="383"/>
      <c r="H155" s="383"/>
      <c r="I155" s="141"/>
      <c r="J155" s="141"/>
      <c r="K155" s="141"/>
      <c r="L155" s="141"/>
      <c r="M155" s="141"/>
      <c r="N155" s="141"/>
      <c r="O155" s="141"/>
      <c r="P155" s="141"/>
      <c r="Q155" s="398"/>
    </row>
    <row r="156" spans="2:18" ht="15" hidden="1" customHeight="1" outlineLevel="1" x14ac:dyDescent="0.2">
      <c r="B156" s="397"/>
      <c r="C156" s="141"/>
      <c r="D156" s="141"/>
      <c r="E156" s="383"/>
      <c r="F156" s="383"/>
      <c r="G156" s="383"/>
      <c r="H156" s="383"/>
      <c r="I156" s="141"/>
      <c r="J156" s="141"/>
      <c r="K156" s="141"/>
      <c r="L156" s="141"/>
      <c r="M156" s="141"/>
      <c r="N156" s="141"/>
      <c r="O156" s="141"/>
      <c r="P156" s="141"/>
      <c r="Q156" s="398"/>
    </row>
    <row r="157" spans="2:18" ht="15" hidden="1" customHeight="1" outlineLevel="1" x14ac:dyDescent="0.2">
      <c r="B157" s="397"/>
      <c r="C157" s="141"/>
      <c r="D157" s="141"/>
      <c r="E157" s="383"/>
      <c r="F157" s="383"/>
      <c r="G157" s="383"/>
      <c r="H157" s="383"/>
      <c r="I157" s="141"/>
      <c r="J157" s="141"/>
      <c r="K157" s="141"/>
      <c r="L157" s="141"/>
      <c r="M157" s="141"/>
      <c r="N157" s="141"/>
      <c r="O157" s="141"/>
      <c r="P157" s="141"/>
      <c r="Q157" s="398"/>
    </row>
    <row r="158" spans="2:18" ht="14.25" hidden="1" customHeight="1" outlineLevel="1" x14ac:dyDescent="0.2">
      <c r="B158" s="397"/>
      <c r="C158" s="141"/>
      <c r="D158" s="141"/>
      <c r="E158" s="383"/>
      <c r="F158" s="383"/>
      <c r="G158" s="383"/>
      <c r="H158" s="383"/>
      <c r="I158" s="141"/>
      <c r="J158" s="141"/>
      <c r="K158" s="141"/>
      <c r="L158" s="141"/>
      <c r="M158" s="141"/>
      <c r="N158" s="141"/>
      <c r="O158" s="141"/>
      <c r="P158" s="141"/>
      <c r="Q158" s="398"/>
    </row>
    <row r="159" spans="2:18" ht="15" hidden="1" customHeight="1" outlineLevel="1" thickBot="1" x14ac:dyDescent="0.25">
      <c r="B159" s="404"/>
      <c r="C159" s="405"/>
      <c r="D159" s="405"/>
      <c r="E159" s="405"/>
      <c r="F159" s="405"/>
      <c r="G159" s="405"/>
      <c r="H159" s="405"/>
      <c r="I159" s="405"/>
      <c r="J159" s="405"/>
      <c r="K159" s="405"/>
      <c r="L159" s="405"/>
      <c r="M159" s="405"/>
      <c r="N159" s="405"/>
      <c r="O159" s="405"/>
      <c r="P159" s="405"/>
      <c r="Q159" s="406"/>
    </row>
    <row r="160" spans="2:18" collapsed="1" x14ac:dyDescent="0.2"/>
    <row r="163" spans="2:17" x14ac:dyDescent="0.2">
      <c r="B163" s="665" t="s">
        <v>628</v>
      </c>
      <c r="C163" s="666"/>
      <c r="D163" s="668" t="s">
        <v>2</v>
      </c>
      <c r="E163" s="668"/>
      <c r="F163" s="668"/>
      <c r="G163" s="668"/>
      <c r="H163" s="668"/>
      <c r="I163" s="668"/>
      <c r="J163" s="668"/>
      <c r="K163" s="668"/>
      <c r="L163" s="668"/>
      <c r="M163" s="668" t="s">
        <v>629</v>
      </c>
      <c r="N163" s="668"/>
      <c r="O163" s="668"/>
      <c r="P163" s="665" t="s">
        <v>630</v>
      </c>
      <c r="Q163" s="666"/>
    </row>
    <row r="164" spans="2:17" x14ac:dyDescent="0.2">
      <c r="B164" s="665" t="s">
        <v>634</v>
      </c>
      <c r="C164" s="666"/>
      <c r="D164" s="667" t="s">
        <v>713</v>
      </c>
      <c r="E164" s="667"/>
      <c r="F164" s="667"/>
      <c r="G164" s="667"/>
      <c r="H164" s="667"/>
      <c r="I164" s="667"/>
      <c r="J164" s="667"/>
      <c r="K164" s="667"/>
      <c r="L164" s="667"/>
      <c r="M164" s="668" t="s">
        <v>635</v>
      </c>
      <c r="N164" s="668"/>
      <c r="O164" s="668"/>
      <c r="P164" s="669">
        <v>44459</v>
      </c>
      <c r="Q164" s="670"/>
    </row>
    <row r="165" spans="2:17" x14ac:dyDescent="0.2">
      <c r="B165" s="665" t="s">
        <v>761</v>
      </c>
      <c r="C165" s="666"/>
      <c r="D165" s="667" t="s">
        <v>762</v>
      </c>
      <c r="E165" s="667"/>
      <c r="F165" s="667"/>
      <c r="G165" s="667"/>
      <c r="H165" s="667"/>
      <c r="I165" s="667"/>
      <c r="J165" s="667"/>
      <c r="K165" s="667"/>
      <c r="L165" s="667"/>
      <c r="M165" s="668" t="s">
        <v>635</v>
      </c>
      <c r="N165" s="668"/>
      <c r="O165" s="668"/>
      <c r="P165" s="669">
        <v>44476</v>
      </c>
      <c r="Q165" s="670"/>
    </row>
    <row r="166" spans="2:17" x14ac:dyDescent="0.2">
      <c r="B166" s="665" t="s">
        <v>763</v>
      </c>
      <c r="C166" s="666"/>
      <c r="D166" s="667" t="s">
        <v>764</v>
      </c>
      <c r="E166" s="667"/>
      <c r="F166" s="667"/>
      <c r="G166" s="667"/>
      <c r="H166" s="667"/>
      <c r="I166" s="667"/>
      <c r="J166" s="667"/>
      <c r="K166" s="667"/>
      <c r="L166" s="667"/>
      <c r="M166" s="668" t="s">
        <v>635</v>
      </c>
      <c r="N166" s="668"/>
      <c r="O166" s="668"/>
      <c r="P166" s="669">
        <v>44482</v>
      </c>
      <c r="Q166" s="670"/>
    </row>
    <row r="167" spans="2:17" x14ac:dyDescent="0.2">
      <c r="B167" s="665" t="s">
        <v>765</v>
      </c>
      <c r="C167" s="666"/>
      <c r="D167" s="667" t="s">
        <v>766</v>
      </c>
      <c r="E167" s="667"/>
      <c r="F167" s="667"/>
      <c r="G167" s="667"/>
      <c r="H167" s="667"/>
      <c r="I167" s="667"/>
      <c r="J167" s="667"/>
      <c r="K167" s="667"/>
      <c r="L167" s="667"/>
      <c r="M167" s="668" t="s">
        <v>635</v>
      </c>
      <c r="N167" s="668"/>
      <c r="O167" s="668"/>
      <c r="P167" s="669">
        <v>44489</v>
      </c>
      <c r="Q167" s="670"/>
    </row>
    <row r="168" spans="2:17" x14ac:dyDescent="0.2">
      <c r="B168" s="665" t="s">
        <v>767</v>
      </c>
      <c r="C168" s="666"/>
      <c r="D168" s="667" t="s">
        <v>768</v>
      </c>
      <c r="E168" s="667"/>
      <c r="F168" s="667"/>
      <c r="G168" s="667"/>
      <c r="H168" s="667"/>
      <c r="I168" s="667"/>
      <c r="J168" s="667"/>
      <c r="K168" s="667"/>
      <c r="L168" s="667"/>
      <c r="M168" s="668" t="s">
        <v>635</v>
      </c>
      <c r="N168" s="668"/>
      <c r="O168" s="668"/>
      <c r="P168" s="669">
        <v>44491</v>
      </c>
      <c r="Q168" s="670"/>
    </row>
    <row r="169" spans="2:17" x14ac:dyDescent="0.2">
      <c r="B169" s="665" t="s">
        <v>769</v>
      </c>
      <c r="C169" s="666"/>
      <c r="D169" s="667" t="s">
        <v>779</v>
      </c>
      <c r="E169" s="667"/>
      <c r="F169" s="667"/>
      <c r="G169" s="667"/>
      <c r="H169" s="667"/>
      <c r="I169" s="667"/>
      <c r="J169" s="667"/>
      <c r="K169" s="667"/>
      <c r="L169" s="667"/>
      <c r="M169" s="668" t="s">
        <v>635</v>
      </c>
      <c r="N169" s="668"/>
      <c r="O169" s="668"/>
      <c r="P169" s="669">
        <v>44496</v>
      </c>
      <c r="Q169" s="670"/>
    </row>
    <row r="170" spans="2:17" x14ac:dyDescent="0.2">
      <c r="B170" s="665" t="s">
        <v>794</v>
      </c>
      <c r="C170" s="666"/>
      <c r="D170" s="667" t="s">
        <v>795</v>
      </c>
      <c r="E170" s="667"/>
      <c r="F170" s="667"/>
      <c r="G170" s="667"/>
      <c r="H170" s="667"/>
      <c r="I170" s="667"/>
      <c r="J170" s="667"/>
      <c r="K170" s="667"/>
      <c r="L170" s="667"/>
      <c r="M170" s="668" t="s">
        <v>635</v>
      </c>
      <c r="N170" s="668"/>
      <c r="O170" s="668"/>
      <c r="P170" s="669">
        <v>44524</v>
      </c>
      <c r="Q170" s="670"/>
    </row>
    <row r="171" spans="2:17" x14ac:dyDescent="0.2">
      <c r="B171" s="665" t="s">
        <v>803</v>
      </c>
      <c r="C171" s="666"/>
      <c r="D171" s="667" t="s">
        <v>804</v>
      </c>
      <c r="E171" s="667"/>
      <c r="F171" s="667"/>
      <c r="G171" s="667"/>
      <c r="H171" s="667"/>
      <c r="I171" s="667"/>
      <c r="J171" s="667"/>
      <c r="K171" s="667"/>
      <c r="L171" s="667"/>
      <c r="M171" s="668" t="s">
        <v>635</v>
      </c>
      <c r="N171" s="668"/>
      <c r="O171" s="668"/>
      <c r="P171" s="669">
        <v>44526</v>
      </c>
      <c r="Q171" s="670"/>
    </row>
    <row r="172" spans="2:17" x14ac:dyDescent="0.2">
      <c r="B172" s="665" t="s">
        <v>812</v>
      </c>
      <c r="C172" s="666"/>
      <c r="D172" s="667" t="s">
        <v>817</v>
      </c>
      <c r="E172" s="667"/>
      <c r="F172" s="667"/>
      <c r="G172" s="667"/>
      <c r="H172" s="667"/>
      <c r="I172" s="667"/>
      <c r="J172" s="667"/>
      <c r="K172" s="667"/>
      <c r="L172" s="667"/>
      <c r="M172" s="668" t="s">
        <v>813</v>
      </c>
      <c r="N172" s="668"/>
      <c r="O172" s="668"/>
      <c r="P172" s="669">
        <v>44536</v>
      </c>
      <c r="Q172" s="670"/>
    </row>
    <row r="173" spans="2:17" x14ac:dyDescent="0.2">
      <c r="B173" s="665" t="s">
        <v>818</v>
      </c>
      <c r="C173" s="666"/>
      <c r="D173" s="667" t="s">
        <v>825</v>
      </c>
      <c r="E173" s="667"/>
      <c r="F173" s="667"/>
      <c r="G173" s="667"/>
      <c r="H173" s="667"/>
      <c r="I173" s="667"/>
      <c r="J173" s="667"/>
      <c r="K173" s="667"/>
      <c r="L173" s="667"/>
      <c r="M173" s="668" t="s">
        <v>635</v>
      </c>
      <c r="N173" s="668"/>
      <c r="O173" s="668"/>
      <c r="P173" s="669">
        <v>44574</v>
      </c>
      <c r="Q173" s="670"/>
    </row>
    <row r="174" spans="2:17" x14ac:dyDescent="0.2">
      <c r="B174" s="665"/>
      <c r="C174" s="666"/>
      <c r="D174" s="667"/>
      <c r="E174" s="667"/>
      <c r="F174" s="667"/>
      <c r="G174" s="667"/>
      <c r="H174" s="667"/>
      <c r="I174" s="667"/>
      <c r="J174" s="667"/>
      <c r="K174" s="667"/>
      <c r="L174" s="667"/>
      <c r="M174" s="668"/>
      <c r="N174" s="668"/>
      <c r="O174" s="668"/>
      <c r="P174" s="669"/>
      <c r="Q174" s="670"/>
    </row>
    <row r="175" spans="2:17" x14ac:dyDescent="0.2">
      <c r="B175" s="665"/>
      <c r="C175" s="666"/>
      <c r="D175" s="667"/>
      <c r="E175" s="667"/>
      <c r="F175" s="667"/>
      <c r="G175" s="667"/>
      <c r="H175" s="667"/>
      <c r="I175" s="667"/>
      <c r="J175" s="667"/>
      <c r="K175" s="667"/>
      <c r="L175" s="667"/>
      <c r="M175" s="668"/>
      <c r="N175" s="668"/>
      <c r="O175" s="668"/>
      <c r="P175" s="669"/>
      <c r="Q175" s="670"/>
    </row>
    <row r="176" spans="2:17" x14ac:dyDescent="0.2">
      <c r="B176" s="665"/>
      <c r="C176" s="666"/>
      <c r="D176" s="667"/>
      <c r="E176" s="667"/>
      <c r="F176" s="667"/>
      <c r="G176" s="667"/>
      <c r="H176" s="667"/>
      <c r="I176" s="667"/>
      <c r="J176" s="667"/>
      <c r="K176" s="667"/>
      <c r="L176" s="667"/>
      <c r="M176" s="668"/>
      <c r="N176" s="668"/>
      <c r="O176" s="668"/>
      <c r="P176" s="669"/>
      <c r="Q176" s="670"/>
    </row>
    <row r="177" spans="2:17" x14ac:dyDescent="0.2">
      <c r="B177" s="665"/>
      <c r="C177" s="666"/>
      <c r="D177" s="667"/>
      <c r="E177" s="667"/>
      <c r="F177" s="667"/>
      <c r="G177" s="667"/>
      <c r="H177" s="667"/>
      <c r="I177" s="667"/>
      <c r="J177" s="667"/>
      <c r="K177" s="667"/>
      <c r="L177" s="667"/>
      <c r="M177" s="668"/>
      <c r="N177" s="668"/>
      <c r="O177" s="668"/>
      <c r="P177" s="669"/>
      <c r="Q177" s="670"/>
    </row>
    <row r="178" spans="2:17" x14ac:dyDescent="0.2">
      <c r="B178" s="665"/>
      <c r="C178" s="666"/>
      <c r="D178" s="667"/>
      <c r="E178" s="667"/>
      <c r="F178" s="667"/>
      <c r="G178" s="667"/>
      <c r="H178" s="667"/>
      <c r="I178" s="667"/>
      <c r="J178" s="667"/>
      <c r="K178" s="667"/>
      <c r="L178" s="667"/>
      <c r="M178" s="668"/>
      <c r="N178" s="668"/>
      <c r="O178" s="668"/>
      <c r="P178" s="669"/>
      <c r="Q178" s="670"/>
    </row>
    <row r="179" spans="2:17" x14ac:dyDescent="0.2">
      <c r="B179" s="665"/>
      <c r="C179" s="666"/>
      <c r="D179" s="667"/>
      <c r="E179" s="667"/>
      <c r="F179" s="667"/>
      <c r="G179" s="667"/>
      <c r="H179" s="667"/>
      <c r="I179" s="667"/>
      <c r="J179" s="667"/>
      <c r="K179" s="667"/>
      <c r="L179" s="667"/>
      <c r="M179" s="668"/>
      <c r="N179" s="668"/>
      <c r="O179" s="668"/>
      <c r="P179" s="669"/>
      <c r="Q179" s="670"/>
    </row>
    <row r="180" spans="2:17" x14ac:dyDescent="0.2">
      <c r="B180" s="665"/>
      <c r="C180" s="666"/>
      <c r="D180" s="667"/>
      <c r="E180" s="667"/>
      <c r="F180" s="667"/>
      <c r="G180" s="667"/>
      <c r="H180" s="667"/>
      <c r="I180" s="667"/>
      <c r="J180" s="667"/>
      <c r="K180" s="667"/>
      <c r="L180" s="667"/>
      <c r="M180" s="668"/>
      <c r="N180" s="668"/>
      <c r="O180" s="668"/>
      <c r="P180" s="669"/>
      <c r="Q180" s="670"/>
    </row>
    <row r="181" spans="2:17" x14ac:dyDescent="0.2">
      <c r="B181" s="665"/>
      <c r="C181" s="666"/>
      <c r="D181" s="667"/>
      <c r="E181" s="667"/>
      <c r="F181" s="667"/>
      <c r="G181" s="667"/>
      <c r="H181" s="667"/>
      <c r="I181" s="667"/>
      <c r="J181" s="667"/>
      <c r="K181" s="667"/>
      <c r="L181" s="667"/>
      <c r="M181" s="668"/>
      <c r="N181" s="668"/>
      <c r="O181" s="668"/>
      <c r="P181" s="669"/>
      <c r="Q181" s="670"/>
    </row>
    <row r="182" spans="2:17" x14ac:dyDescent="0.2">
      <c r="B182" s="665"/>
      <c r="C182" s="666"/>
      <c r="D182" s="667"/>
      <c r="E182" s="667"/>
      <c r="F182" s="667"/>
      <c r="G182" s="667"/>
      <c r="H182" s="667"/>
      <c r="I182" s="667"/>
      <c r="J182" s="667"/>
      <c r="K182" s="667"/>
      <c r="L182" s="667"/>
      <c r="M182" s="668"/>
      <c r="N182" s="668"/>
      <c r="O182" s="668"/>
      <c r="P182" s="669"/>
      <c r="Q182" s="670"/>
    </row>
    <row r="183" spans="2:17" x14ac:dyDescent="0.2">
      <c r="B183" s="665"/>
      <c r="C183" s="666"/>
      <c r="D183" s="667"/>
      <c r="E183" s="667"/>
      <c r="F183" s="667"/>
      <c r="G183" s="667"/>
      <c r="H183" s="667"/>
      <c r="I183" s="667"/>
      <c r="J183" s="667"/>
      <c r="K183" s="667"/>
      <c r="L183" s="667"/>
      <c r="M183" s="668"/>
      <c r="N183" s="668"/>
      <c r="O183" s="668"/>
      <c r="P183" s="669"/>
      <c r="Q183" s="670"/>
    </row>
    <row r="184" spans="2:17" x14ac:dyDescent="0.2">
      <c r="B184" s="665"/>
      <c r="C184" s="666"/>
      <c r="D184" s="667"/>
      <c r="E184" s="667"/>
      <c r="F184" s="667"/>
      <c r="G184" s="667"/>
      <c r="H184" s="667"/>
      <c r="I184" s="667"/>
      <c r="J184" s="667"/>
      <c r="K184" s="667"/>
      <c r="L184" s="667"/>
      <c r="M184" s="668"/>
      <c r="N184" s="668"/>
      <c r="O184" s="668"/>
      <c r="P184" s="669"/>
      <c r="Q184" s="670"/>
    </row>
    <row r="185" spans="2:17" x14ac:dyDescent="0.2">
      <c r="B185" s="665"/>
      <c r="C185" s="666"/>
      <c r="D185" s="667"/>
      <c r="E185" s="667"/>
      <c r="F185" s="667"/>
      <c r="G185" s="667"/>
      <c r="H185" s="667"/>
      <c r="I185" s="667"/>
      <c r="J185" s="667"/>
      <c r="K185" s="667"/>
      <c r="L185" s="667"/>
      <c r="M185" s="668"/>
      <c r="N185" s="668"/>
      <c r="O185" s="668"/>
      <c r="P185" s="669"/>
      <c r="Q185" s="670"/>
    </row>
    <row r="186" spans="2:17" x14ac:dyDescent="0.2">
      <c r="B186" s="665"/>
      <c r="C186" s="666"/>
      <c r="D186" s="667"/>
      <c r="E186" s="667"/>
      <c r="F186" s="667"/>
      <c r="G186" s="667"/>
      <c r="H186" s="667"/>
      <c r="I186" s="667"/>
      <c r="J186" s="667"/>
      <c r="K186" s="667"/>
      <c r="L186" s="667"/>
      <c r="M186" s="668"/>
      <c r="N186" s="668"/>
      <c r="O186" s="668"/>
      <c r="P186" s="669"/>
      <c r="Q186" s="670"/>
    </row>
  </sheetData>
  <dataConsolidate/>
  <mergeCells count="325">
    <mergeCell ref="K76:N76"/>
    <mergeCell ref="K75:N75"/>
    <mergeCell ref="K74:N74"/>
    <mergeCell ref="K73:N73"/>
    <mergeCell ref="K72:N72"/>
    <mergeCell ref="K71:N71"/>
    <mergeCell ref="S31:V31"/>
    <mergeCell ref="W31:X31"/>
    <mergeCell ref="B184:C184"/>
    <mergeCell ref="D184:L184"/>
    <mergeCell ref="M184:O184"/>
    <mergeCell ref="P184:Q184"/>
    <mergeCell ref="B178:C178"/>
    <mergeCell ref="D178:L178"/>
    <mergeCell ref="M178:O178"/>
    <mergeCell ref="P178:Q178"/>
    <mergeCell ref="B179:C179"/>
    <mergeCell ref="D179:L179"/>
    <mergeCell ref="M179:O179"/>
    <mergeCell ref="P179:Q179"/>
    <mergeCell ref="B180:C180"/>
    <mergeCell ref="D180:L180"/>
    <mergeCell ref="M180:O180"/>
    <mergeCell ref="P180:Q180"/>
    <mergeCell ref="B185:C185"/>
    <mergeCell ref="D185:L185"/>
    <mergeCell ref="M185:O185"/>
    <mergeCell ref="P185:Q185"/>
    <mergeCell ref="B181:C181"/>
    <mergeCell ref="D181:L181"/>
    <mergeCell ref="M181:O181"/>
    <mergeCell ref="P181:Q181"/>
    <mergeCell ref="B182:C182"/>
    <mergeCell ref="D182:L182"/>
    <mergeCell ref="M182:O182"/>
    <mergeCell ref="P182:Q182"/>
    <mergeCell ref="B183:C183"/>
    <mergeCell ref="D183:L183"/>
    <mergeCell ref="M183:O183"/>
    <mergeCell ref="P183:Q183"/>
    <mergeCell ref="B175:C175"/>
    <mergeCell ref="D175:L175"/>
    <mergeCell ref="M175:O175"/>
    <mergeCell ref="P175:Q175"/>
    <mergeCell ref="B176:C176"/>
    <mergeCell ref="D176:L176"/>
    <mergeCell ref="M176:O176"/>
    <mergeCell ref="P176:Q176"/>
    <mergeCell ref="B177:C177"/>
    <mergeCell ref="D177:L177"/>
    <mergeCell ref="M177:O177"/>
    <mergeCell ref="P177:Q177"/>
    <mergeCell ref="B170:C170"/>
    <mergeCell ref="D170:L170"/>
    <mergeCell ref="M170:O170"/>
    <mergeCell ref="P170:Q170"/>
    <mergeCell ref="B186:C186"/>
    <mergeCell ref="D186:L186"/>
    <mergeCell ref="M186:O186"/>
    <mergeCell ref="P186:Q186"/>
    <mergeCell ref="B171:C171"/>
    <mergeCell ref="D171:L171"/>
    <mergeCell ref="M171:O171"/>
    <mergeCell ref="P171:Q171"/>
    <mergeCell ref="B172:C172"/>
    <mergeCell ref="D172:L172"/>
    <mergeCell ref="M172:O172"/>
    <mergeCell ref="P172:Q172"/>
    <mergeCell ref="B173:C173"/>
    <mergeCell ref="D173:L173"/>
    <mergeCell ref="M173:O173"/>
    <mergeCell ref="P173:Q173"/>
    <mergeCell ref="B174:C174"/>
    <mergeCell ref="D174:L174"/>
    <mergeCell ref="M174:O174"/>
    <mergeCell ref="P174:Q174"/>
    <mergeCell ref="M134:N134"/>
    <mergeCell ref="M118:N118"/>
    <mergeCell ref="M102:N102"/>
    <mergeCell ref="M86:N86"/>
    <mergeCell ref="N32:O32"/>
    <mergeCell ref="M40:N40"/>
    <mergeCell ref="L34:M34"/>
    <mergeCell ref="L35:M35"/>
    <mergeCell ref="O37:P37"/>
    <mergeCell ref="O38:P38"/>
    <mergeCell ref="N34:P34"/>
    <mergeCell ref="N35:O35"/>
    <mergeCell ref="K40:L40"/>
    <mergeCell ref="K43:L43"/>
    <mergeCell ref="M52:N52"/>
    <mergeCell ref="C83:P83"/>
    <mergeCell ref="O43:P43"/>
    <mergeCell ref="C86:G86"/>
    <mergeCell ref="C85:E85"/>
    <mergeCell ref="D88:E88"/>
    <mergeCell ref="O114:P114"/>
    <mergeCell ref="M114:N114"/>
    <mergeCell ref="J34:K34"/>
    <mergeCell ref="J35:K35"/>
    <mergeCell ref="C12:D12"/>
    <mergeCell ref="E12:J12"/>
    <mergeCell ref="C13:D13"/>
    <mergeCell ref="E13:J13"/>
    <mergeCell ref="L27:N27"/>
    <mergeCell ref="L26:N26"/>
    <mergeCell ref="L25:N25"/>
    <mergeCell ref="L24:N24"/>
    <mergeCell ref="C15:P15"/>
    <mergeCell ref="C19:E19"/>
    <mergeCell ref="J17:K17"/>
    <mergeCell ref="H17:I17"/>
    <mergeCell ref="C21:D21"/>
    <mergeCell ref="E21:F21"/>
    <mergeCell ref="G21:H21"/>
    <mergeCell ref="I21:J21"/>
    <mergeCell ref="M17:N17"/>
    <mergeCell ref="C17:E17"/>
    <mergeCell ref="C18:E18"/>
    <mergeCell ref="E23:F23"/>
    <mergeCell ref="L23:N23"/>
    <mergeCell ref="O2:P2"/>
    <mergeCell ref="C3:F5"/>
    <mergeCell ref="G3:P5"/>
    <mergeCell ref="C11:D11"/>
    <mergeCell ref="E11:J11"/>
    <mergeCell ref="N8:P8"/>
    <mergeCell ref="C8:D8"/>
    <mergeCell ref="E8:F9"/>
    <mergeCell ref="H8:I8"/>
    <mergeCell ref="J8:L9"/>
    <mergeCell ref="B164:C164"/>
    <mergeCell ref="P164:Q164"/>
    <mergeCell ref="B163:C163"/>
    <mergeCell ref="P163:Q163"/>
    <mergeCell ref="M55:N55"/>
    <mergeCell ref="O55:P55"/>
    <mergeCell ref="O49:P49"/>
    <mergeCell ref="K55:L55"/>
    <mergeCell ref="O46:P46"/>
    <mergeCell ref="M49:N50"/>
    <mergeCell ref="K95:L95"/>
    <mergeCell ref="M128:N128"/>
    <mergeCell ref="O134:P134"/>
    <mergeCell ref="M144:N144"/>
    <mergeCell ref="K86:L86"/>
    <mergeCell ref="I86:J86"/>
    <mergeCell ref="O90:P90"/>
    <mergeCell ref="O89:P89"/>
    <mergeCell ref="K58:L58"/>
    <mergeCell ref="M58:N58"/>
    <mergeCell ref="O58:P58"/>
    <mergeCell ref="K52:L52"/>
    <mergeCell ref="K46:L46"/>
    <mergeCell ref="O52:P52"/>
    <mergeCell ref="C29:P29"/>
    <mergeCell ref="C27:D27"/>
    <mergeCell ref="E27:F27"/>
    <mergeCell ref="I26:J26"/>
    <mergeCell ref="L32:M32"/>
    <mergeCell ref="M37:N37"/>
    <mergeCell ref="K49:L49"/>
    <mergeCell ref="C26:D26"/>
    <mergeCell ref="E26:F26"/>
    <mergeCell ref="G26:H26"/>
    <mergeCell ref="I27:J27"/>
    <mergeCell ref="G27:H27"/>
    <mergeCell ref="M46:N46"/>
    <mergeCell ref="C32:E32"/>
    <mergeCell ref="L31:M31"/>
    <mergeCell ref="N31:P31"/>
    <mergeCell ref="C31:D31"/>
    <mergeCell ref="J31:K31"/>
    <mergeCell ref="H31:I31"/>
    <mergeCell ref="C34:D34"/>
    <mergeCell ref="K37:L37"/>
    <mergeCell ref="K38:L38"/>
    <mergeCell ref="O40:P40"/>
    <mergeCell ref="C36:D36"/>
    <mergeCell ref="M43:N43"/>
    <mergeCell ref="O111:P111"/>
    <mergeCell ref="O108:P108"/>
    <mergeCell ref="M108:N108"/>
    <mergeCell ref="K108:L108"/>
    <mergeCell ref="M89:N89"/>
    <mergeCell ref="K61:L61"/>
    <mergeCell ref="M61:N61"/>
    <mergeCell ref="O61:P61"/>
    <mergeCell ref="O72:P72"/>
    <mergeCell ref="O73:P73"/>
    <mergeCell ref="O74:P74"/>
    <mergeCell ref="O75:P75"/>
    <mergeCell ref="O76:P76"/>
    <mergeCell ref="O77:P77"/>
    <mergeCell ref="O78:P78"/>
    <mergeCell ref="O79:P79"/>
    <mergeCell ref="O80:P80"/>
    <mergeCell ref="O71:P71"/>
    <mergeCell ref="K70:P70"/>
    <mergeCell ref="K80:N80"/>
    <mergeCell ref="K79:N79"/>
    <mergeCell ref="K78:N78"/>
    <mergeCell ref="K77:N77"/>
    <mergeCell ref="I114:J114"/>
    <mergeCell ref="K114:L114"/>
    <mergeCell ref="I111:J111"/>
    <mergeCell ref="O92:P92"/>
    <mergeCell ref="M95:N95"/>
    <mergeCell ref="I98:J98"/>
    <mergeCell ref="K98:L98"/>
    <mergeCell ref="M98:N98"/>
    <mergeCell ref="I92:J92"/>
    <mergeCell ref="M111:N111"/>
    <mergeCell ref="M112:N112"/>
    <mergeCell ref="K111:L111"/>
    <mergeCell ref="O105:P105"/>
    <mergeCell ref="O106:P106"/>
    <mergeCell ref="D97:E97"/>
    <mergeCell ref="F97:G97"/>
    <mergeCell ref="D94:E94"/>
    <mergeCell ref="F94:G94"/>
    <mergeCell ref="D113:E113"/>
    <mergeCell ref="F113:G113"/>
    <mergeCell ref="D110:E110"/>
    <mergeCell ref="F110:G110"/>
    <mergeCell ref="I108:J108"/>
    <mergeCell ref="M121:N121"/>
    <mergeCell ref="O121:P121"/>
    <mergeCell ref="O118:P118"/>
    <mergeCell ref="I124:J124"/>
    <mergeCell ref="D91:E91"/>
    <mergeCell ref="F91:G91"/>
    <mergeCell ref="F88:G88"/>
    <mergeCell ref="O86:P86"/>
    <mergeCell ref="M92:N92"/>
    <mergeCell ref="M96:N96"/>
    <mergeCell ref="D104:E104"/>
    <mergeCell ref="K102:L102"/>
    <mergeCell ref="O95:P95"/>
    <mergeCell ref="O98:P98"/>
    <mergeCell ref="C101:E101"/>
    <mergeCell ref="C102:G102"/>
    <mergeCell ref="I102:J102"/>
    <mergeCell ref="F104:G104"/>
    <mergeCell ref="O102:P102"/>
    <mergeCell ref="D107:E107"/>
    <mergeCell ref="F107:G107"/>
    <mergeCell ref="M105:N105"/>
    <mergeCell ref="K92:L92"/>
    <mergeCell ref="I95:J95"/>
    <mergeCell ref="C117:E117"/>
    <mergeCell ref="C133:E133"/>
    <mergeCell ref="C134:G134"/>
    <mergeCell ref="I134:J134"/>
    <mergeCell ref="K134:L134"/>
    <mergeCell ref="D136:E136"/>
    <mergeCell ref="F136:G136"/>
    <mergeCell ref="I127:J127"/>
    <mergeCell ref="K127:L127"/>
    <mergeCell ref="K124:L124"/>
    <mergeCell ref="D126:E126"/>
    <mergeCell ref="F126:G126"/>
    <mergeCell ref="C118:G118"/>
    <mergeCell ref="I118:J118"/>
    <mergeCell ref="K118:L118"/>
    <mergeCell ref="D120:E120"/>
    <mergeCell ref="F120:G120"/>
    <mergeCell ref="M127:N127"/>
    <mergeCell ref="O127:P127"/>
    <mergeCell ref="D129:E129"/>
    <mergeCell ref="F129:G129"/>
    <mergeCell ref="I130:J130"/>
    <mergeCell ref="K130:L130"/>
    <mergeCell ref="O130:P130"/>
    <mergeCell ref="M130:N130"/>
    <mergeCell ref="O122:P122"/>
    <mergeCell ref="D123:E123"/>
    <mergeCell ref="F123:G123"/>
    <mergeCell ref="M124:N124"/>
    <mergeCell ref="O124:P124"/>
    <mergeCell ref="M137:N137"/>
    <mergeCell ref="O137:P137"/>
    <mergeCell ref="O138:P138"/>
    <mergeCell ref="D139:E139"/>
    <mergeCell ref="F139:G139"/>
    <mergeCell ref="I140:J140"/>
    <mergeCell ref="K140:L140"/>
    <mergeCell ref="M140:N140"/>
    <mergeCell ref="O140:P140"/>
    <mergeCell ref="M164:O164"/>
    <mergeCell ref="M163:O163"/>
    <mergeCell ref="D164:L164"/>
    <mergeCell ref="D163:L163"/>
    <mergeCell ref="D142:E142"/>
    <mergeCell ref="F142:G142"/>
    <mergeCell ref="I143:J143"/>
    <mergeCell ref="K143:L143"/>
    <mergeCell ref="M143:N143"/>
    <mergeCell ref="O143:P143"/>
    <mergeCell ref="D145:E145"/>
    <mergeCell ref="F145:G145"/>
    <mergeCell ref="I146:J146"/>
    <mergeCell ref="K146:L146"/>
    <mergeCell ref="O146:P146"/>
    <mergeCell ref="M146:N146"/>
    <mergeCell ref="B168:C168"/>
    <mergeCell ref="D168:L168"/>
    <mergeCell ref="M168:O168"/>
    <mergeCell ref="P168:Q168"/>
    <mergeCell ref="B169:C169"/>
    <mergeCell ref="D169:L169"/>
    <mergeCell ref="M169:O169"/>
    <mergeCell ref="P169:Q169"/>
    <mergeCell ref="B165:C165"/>
    <mergeCell ref="D165:L165"/>
    <mergeCell ref="M165:O165"/>
    <mergeCell ref="P165:Q165"/>
    <mergeCell ref="B166:C166"/>
    <mergeCell ref="D166:L166"/>
    <mergeCell ref="M166:O166"/>
    <mergeCell ref="P166:Q166"/>
    <mergeCell ref="B167:C167"/>
    <mergeCell ref="D167:L167"/>
    <mergeCell ref="M167:O167"/>
    <mergeCell ref="P167:Q167"/>
  </mergeCells>
  <conditionalFormatting sqref="E21:F22">
    <cfRule type="expression" dxfId="166" priority="99" stopIfTrue="1">
      <formula>$F$17=1</formula>
    </cfRule>
  </conditionalFormatting>
  <conditionalFormatting sqref="O18:P19">
    <cfRule type="containsText" dxfId="165" priority="96" stopIfTrue="1" operator="containsText" text="FALSO">
      <formula>NOT(ISERROR(SEARCH("FALSO",O18)))</formula>
    </cfRule>
  </conditionalFormatting>
  <conditionalFormatting sqref="H18:I18">
    <cfRule type="containsText" dxfId="164" priority="44" stopIfTrue="1" operator="containsText" text="FALSO">
      <formula>NOT(ISERROR(SEARCH("FALSO",H18)))</formula>
    </cfRule>
  </conditionalFormatting>
  <conditionalFormatting sqref="C22:D22">
    <cfRule type="containsText" dxfId="163" priority="41" stopIfTrue="1" operator="containsText" text="FALSO">
      <formula>NOT(ISERROR(SEARCH("FALSO",C22)))</formula>
    </cfRule>
  </conditionalFormatting>
  <conditionalFormatting sqref="E24:F24">
    <cfRule type="containsText" dxfId="162" priority="40" stopIfTrue="1" operator="containsText" text="FALSO">
      <formula>NOT(ISERROR(SEARCH("FALSO",E24)))</formula>
    </cfRule>
  </conditionalFormatting>
  <conditionalFormatting sqref="P21">
    <cfRule type="containsText" dxfId="161" priority="39" stopIfTrue="1" operator="containsText" text="FALSO">
      <formula>NOT(ISERROR(SEARCH("FALSO",P21)))</formula>
    </cfRule>
  </conditionalFormatting>
  <conditionalFormatting sqref="E23:F24 C21:D22">
    <cfRule type="expression" dxfId="160" priority="194">
      <formula>$F$17&gt;1</formula>
    </cfRule>
  </conditionalFormatting>
  <conditionalFormatting sqref="E34">
    <cfRule type="containsText" dxfId="159" priority="37" operator="containsText" text="VERDADEIRO">
      <formula>NOT(ISERROR(SEARCH("VERDADEIRO",E34)))</formula>
    </cfRule>
  </conditionalFormatting>
  <conditionalFormatting sqref="J18:K18">
    <cfRule type="containsText" dxfId="158" priority="32" stopIfTrue="1" operator="containsText" text="FALSO">
      <formula>NOT(ISERROR(SEARCH("FALSO",J18)))</formula>
    </cfRule>
  </conditionalFormatting>
  <conditionalFormatting sqref="O40:P41 O46:P47 N31 N32:P32 O43:P44 L34:P35 S45:V45 S37:Y37 S32:W36 Y31:Z36 S31 W31">
    <cfRule type="expression" dxfId="157" priority="30">
      <formula>NOT($E$34)</formula>
    </cfRule>
  </conditionalFormatting>
  <conditionalFormatting sqref="O58:P59">
    <cfRule type="expression" dxfId="156" priority="25">
      <formula>$C$32&lt;&gt;"Perfiladeira 1"</formula>
    </cfRule>
  </conditionalFormatting>
  <conditionalFormatting sqref="K58:L59">
    <cfRule type="expression" dxfId="155" priority="12">
      <formula>NOT($E$34)</formula>
    </cfRule>
  </conditionalFormatting>
  <conditionalFormatting sqref="M58:N59">
    <cfRule type="expression" dxfId="154" priority="11">
      <formula>AND($J$35&lt;&gt;"Cisalhamento",$J$35&lt;&gt;"Faca")</formula>
    </cfRule>
  </conditionalFormatting>
  <conditionalFormatting sqref="M43:N44">
    <cfRule type="expression" dxfId="153" priority="10">
      <formula>$F$17&lt;&gt;2</formula>
    </cfRule>
  </conditionalFormatting>
  <conditionalFormatting sqref="Z33:Z36">
    <cfRule type="containsText" dxfId="152" priority="4" stopIfTrue="1" operator="containsText" text="FALSO">
      <formula>NOT(ISERROR(SEARCH("FALSO",Z33)))</formula>
    </cfRule>
  </conditionalFormatting>
  <conditionalFormatting sqref="X32">
    <cfRule type="expression" dxfId="151" priority="3">
      <formula>NOT($E$34)</formula>
    </cfRule>
  </conditionalFormatting>
  <conditionalFormatting sqref="X33:X36">
    <cfRule type="expression" dxfId="150" priority="2">
      <formula>NOT($E$34)</formula>
    </cfRule>
  </conditionalFormatting>
  <dataValidations count="9">
    <dataValidation allowBlank="1" showInputMessage="1" showErrorMessage="1" errorTitle="Erro" sqref="E20:F20 E25:F25 E30:F30 F37 H31 O55 M55 K40 N42 E16:F16 O58 M58 I95 K92 I98 K98 M92 O92 O98 M98 O95 I86 I111 K108 I114 K114 M108 O108 O114 I118 M114 O111 I127 K124 I130 K130 M124 I134 O124 O130 I102 K61 M95 K70:K80 M111 M130 O127 M127 I143 K140 I146 K146 M140 O140 O146 M146 O143 M143"/>
    <dataValidation type="whole" errorStyle="warning" allowBlank="1" showInputMessage="1" showErrorMessage="1" errorTitle="Fora de Range" error="Comprimento fora do range suportado, deseja continuar?" sqref="I22">
      <formula1>0</formula1>
      <formula2>15950</formula2>
    </dataValidation>
    <dataValidation type="list" allowBlank="1" showInputMessage="1" showErrorMessage="1" sqref="P21">
      <formula1>"Peça/mês,Ton/mês,Metros/mês"</formula1>
    </dataValidation>
    <dataValidation type="date" errorStyle="warning" operator="greaterThan" allowBlank="1" showInputMessage="1" showErrorMessage="1" errorTitle="Data Incoerente" error="A data entrada é anterior a ultima revisão. Isto gera uma incosistencia no relatório de alterações." sqref="P164:Q170">
      <formula1>P163</formula1>
    </dataValidation>
    <dataValidation type="date" errorStyle="warning" operator="greaterThan" allowBlank="1" showInputMessage="1" showErrorMessage="1" errorTitle="Data Incoerente" error="A data entrada é anterior a ultima revisão. Isto gera uma incosistencia no relatório de alterações." sqref="P171:Q186">
      <formula1>P155</formula1>
    </dataValidation>
    <dataValidation type="list" allowBlank="1" showInputMessage="1" showErrorMessage="1" sqref="J35:K35">
      <formula1>"Cisalhamento,Faca,Mordente"</formula1>
    </dataValidation>
    <dataValidation type="list" showInputMessage="1" showErrorMessage="1" sqref="C86:G86 C102:G102 C118:G118 C134:G134">
      <formula1>AfterOperation</formula1>
    </dataValidation>
    <dataValidation type="list" allowBlank="1" showInputMessage="1" showErrorMessage="1" sqref="C32:E32">
      <formula1>IF(F17=1,Conf.Convencional,IF(F17=2,DirectForming,Conf.Perfis))</formula1>
    </dataValidation>
    <dataValidation type="list" allowBlank="1" showInputMessage="1" showErrorMessage="1" sqref="L35:M35">
      <formula1>"Leve, Média, Pesada, Troca Rápida"</formula1>
    </dataValidation>
  </dataValidations>
  <pageMargins left="0.51" right="0.23622047244094491" top="0.31" bottom="0.74803149606299213" header="0.31496062992125984" footer="0.31496062992125984"/>
  <pageSetup paperSize="9" scale="67" fitToHeight="2" orientation="portrait" r:id="rId1"/>
  <rowBreaks count="1" manualBreakCount="1">
    <brk id="81" min="1" max="16" man="1"/>
  </rowBreaks>
  <drawing r:id="rId2"/>
  <legacyDrawing r:id="rId3"/>
  <mc:AlternateContent xmlns:mc="http://schemas.openxmlformats.org/markup-compatibility/2006">
    <mc:Choice Requires="x14">
      <controls>
        <mc:AlternateContent xmlns:mc="http://schemas.openxmlformats.org/markup-compatibility/2006">
          <mc:Choice Requires="x14">
            <control shapeId="134151" r:id="rId4" name="Check Box 7">
              <controlPr defaultSize="0" autoFill="0" autoLine="0" autoPict="0">
                <anchor moveWithCells="1">
                  <from>
                    <xdr:col>6</xdr:col>
                    <xdr:colOff>514350</xdr:colOff>
                    <xdr:row>26</xdr:row>
                    <xdr:rowOff>9525</xdr:rowOff>
                  </from>
                  <to>
                    <xdr:col>7</xdr:col>
                    <xdr:colOff>152400</xdr:colOff>
                    <xdr:row>27</xdr:row>
                    <xdr:rowOff>0</xdr:rowOff>
                  </to>
                </anchor>
              </controlPr>
            </control>
          </mc:Choice>
        </mc:AlternateContent>
        <mc:AlternateContent xmlns:mc="http://schemas.openxmlformats.org/markup-compatibility/2006">
          <mc:Choice Requires="x14">
            <control shapeId="134152" r:id="rId5" name="Check Box 8">
              <controlPr defaultSize="0" autoFill="0" autoLine="0" autoPict="0">
                <anchor moveWithCells="1">
                  <from>
                    <xdr:col>8</xdr:col>
                    <xdr:colOff>514350</xdr:colOff>
                    <xdr:row>26</xdr:row>
                    <xdr:rowOff>9525</xdr:rowOff>
                  </from>
                  <to>
                    <xdr:col>9</xdr:col>
                    <xdr:colOff>142875</xdr:colOff>
                    <xdr:row>27</xdr:row>
                    <xdr:rowOff>0</xdr:rowOff>
                  </to>
                </anchor>
              </controlPr>
            </control>
          </mc:Choice>
        </mc:AlternateContent>
        <mc:AlternateContent xmlns:mc="http://schemas.openxmlformats.org/markup-compatibility/2006">
          <mc:Choice Requires="x14">
            <control shapeId="134153" r:id="rId6" name="Check Box 9">
              <controlPr defaultSize="0" autoFill="0" autoLine="0" autoPict="0">
                <anchor moveWithCells="1">
                  <from>
                    <xdr:col>2</xdr:col>
                    <xdr:colOff>514350</xdr:colOff>
                    <xdr:row>26</xdr:row>
                    <xdr:rowOff>9525</xdr:rowOff>
                  </from>
                  <to>
                    <xdr:col>3</xdr:col>
                    <xdr:colOff>152400</xdr:colOff>
                    <xdr:row>27</xdr:row>
                    <xdr:rowOff>0</xdr:rowOff>
                  </to>
                </anchor>
              </controlPr>
            </control>
          </mc:Choice>
        </mc:AlternateContent>
        <mc:AlternateContent xmlns:mc="http://schemas.openxmlformats.org/markup-compatibility/2006">
          <mc:Choice Requires="x14">
            <control shapeId="134154" r:id="rId7" name="Check Box 10">
              <controlPr defaultSize="0" autoFill="0" autoLine="0" autoPict="0">
                <anchor moveWithCells="1">
                  <from>
                    <xdr:col>4</xdr:col>
                    <xdr:colOff>514350</xdr:colOff>
                    <xdr:row>26</xdr:row>
                    <xdr:rowOff>9525</xdr:rowOff>
                  </from>
                  <to>
                    <xdr:col>4</xdr:col>
                    <xdr:colOff>762000</xdr:colOff>
                    <xdr:row>27</xdr:row>
                    <xdr:rowOff>0</xdr:rowOff>
                  </to>
                </anchor>
              </controlPr>
            </control>
          </mc:Choice>
        </mc:AlternateContent>
        <mc:AlternateContent xmlns:mc="http://schemas.openxmlformats.org/markup-compatibility/2006">
          <mc:Choice Requires="x14">
            <control shapeId="134172" r:id="rId8" name="Group Box 28">
              <controlPr defaultSize="0" print="0" autoFill="0" autoPict="0">
                <anchor moveWithCells="1">
                  <from>
                    <xdr:col>1</xdr:col>
                    <xdr:colOff>180975</xdr:colOff>
                    <xdr:row>16</xdr:row>
                    <xdr:rowOff>0</xdr:rowOff>
                  </from>
                  <to>
                    <xdr:col>6</xdr:col>
                    <xdr:colOff>0</xdr:colOff>
                    <xdr:row>19</xdr:row>
                    <xdr:rowOff>0</xdr:rowOff>
                  </to>
                </anchor>
              </controlPr>
            </control>
          </mc:Choice>
        </mc:AlternateContent>
        <mc:AlternateContent xmlns:mc="http://schemas.openxmlformats.org/markup-compatibility/2006">
          <mc:Choice Requires="x14">
            <control shapeId="134270" r:id="rId9" name="Check Box 126">
              <controlPr defaultSize="0" autoFill="0" autoLine="0" autoPict="0">
                <anchor moveWithCells="1" siz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34385" r:id="rId10" name="Option Button 241">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34386" r:id="rId11" name="Option Button 242">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34387" r:id="rId12" name="Option Button 24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95" id="{4BB6CFFE-E11E-4C63-8412-86EE63D84AD7}">
            <xm:f>VLOOKUP($C$32,'Listas de Dados'!#REF!,2,0)&lt;7</xm:f>
            <x14:dxf>
              <font>
                <color theme="0"/>
              </font>
              <fill>
                <patternFill>
                  <bgColor theme="0"/>
                </patternFill>
              </fill>
              <border>
                <left/>
                <right/>
                <top/>
                <bottom/>
                <vertical/>
                <horizontal/>
              </border>
            </x14:dxf>
          </x14:cfRule>
          <xm:sqref>K37:L38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14:formula1>
            <xm:f>'Q:\Trabalhos em Andamento\Cristian Garcia\ESTUDOS CPV\[SIMULADOR DE MARGEM PARA ITEM PADRÃO (Versão 2.9).xlsx]Lista Mestre'!#REF!</xm:f>
          </x14:formula1>
          <xm:sqref>C20 C25 C30 C16</xm:sqref>
        </x14:dataValidation>
        <x14:dataValidation type="list" errorStyle="warning" allowBlank="1" showInputMessage="1" showErrorMessage="1" errorTitle="Espessura" error="Esta espessura não esta cadastrada!">
          <x14:formula1>
            <xm:f>'Listas de Dados'!$AH$4:$AH$34</xm:f>
          </x14:formula1>
          <xm:sqref>G22</xm:sqref>
        </x14:dataValidation>
        <x14:dataValidation type="list" errorStyle="warning" allowBlank="1" showInputMessage="1" errorTitle="Porcentagem fora do padrão" error="A porcentagem inserida não está na Listas de Dados para a máquina.">
          <x14:formula1>
            <xm:f>INDIRECT("'Listas de Dados'!M"&amp;MATCH(C32,'Listas de Dados'!#REF!,0)&amp;":M$"&amp;MATCH(C32,'Listas de Dados'!#REF!,0))</xm:f>
          </x14:formula1>
          <xm:sqref>L32:M32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theme="0"/>
  </sheetPr>
  <dimension ref="A1:DG51"/>
  <sheetViews>
    <sheetView showGridLines="0" workbookViewId="0">
      <pane xSplit="3" ySplit="3" topLeftCell="AL4"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0.85546875" style="2" customWidth="1"/>
    <col min="2" max="2" width="9.85546875" style="2" bestFit="1" customWidth="1"/>
    <col min="3" max="3" width="55.140625" style="2" customWidth="1"/>
    <col min="4" max="5" width="15.5703125" style="2" bestFit="1" customWidth="1"/>
    <col min="6" max="6" width="9.28515625" style="2" bestFit="1" customWidth="1"/>
    <col min="7" max="7" width="14.42578125" style="2" bestFit="1" customWidth="1"/>
    <col min="8" max="8" width="14.5703125" style="2" bestFit="1" customWidth="1"/>
    <col min="9" max="9" width="15.7109375" style="2" customWidth="1"/>
    <col min="10" max="10" width="12.85546875" style="2" bestFit="1" customWidth="1"/>
    <col min="11" max="11" width="7" style="2" bestFit="1" customWidth="1"/>
    <col min="12" max="12" width="10.140625" style="2" bestFit="1" customWidth="1"/>
    <col min="13" max="13" width="11.7109375" style="2" bestFit="1" customWidth="1"/>
    <col min="14" max="14" width="9.7109375" style="2" bestFit="1" customWidth="1"/>
    <col min="15" max="16" width="9.140625" style="2" bestFit="1" customWidth="1"/>
    <col min="17" max="17" width="16.42578125" style="2" bestFit="1" customWidth="1"/>
    <col min="18" max="18" width="8.7109375" style="2" bestFit="1" customWidth="1"/>
    <col min="19" max="19" width="6.7109375" style="2" bestFit="1" customWidth="1"/>
    <col min="20" max="20" width="3.42578125" style="2" bestFit="1" customWidth="1"/>
    <col min="21" max="21" width="6.7109375" style="2" bestFit="1" customWidth="1"/>
    <col min="22" max="22" width="12.28515625" style="2" bestFit="1" customWidth="1"/>
    <col min="23" max="23" width="10.7109375" style="2" bestFit="1" customWidth="1"/>
    <col min="24" max="24" width="9.28515625" style="2" bestFit="1" customWidth="1"/>
    <col min="25" max="25" width="17.42578125" style="2" bestFit="1" customWidth="1"/>
    <col min="26" max="26" width="13.7109375" style="2" bestFit="1" customWidth="1"/>
    <col min="27" max="27" width="13.140625" style="2" bestFit="1" customWidth="1"/>
    <col min="28" max="28" width="18" style="2" bestFit="1" customWidth="1"/>
    <col min="29" max="29" width="19.85546875" style="2" bestFit="1" customWidth="1"/>
    <col min="30" max="30" width="13.7109375" style="2" bestFit="1" customWidth="1"/>
    <col min="31" max="31" width="6.85546875" style="2" bestFit="1" customWidth="1"/>
    <col min="32" max="33" width="18.5703125" style="2" bestFit="1" customWidth="1"/>
    <col min="34" max="34" width="17" style="2" bestFit="1" customWidth="1"/>
    <col min="35" max="35" width="15.5703125" style="2" bestFit="1" customWidth="1"/>
    <col min="36" max="36" width="17.28515625" style="2" bestFit="1" customWidth="1"/>
    <col min="37" max="37" width="8.7109375" style="2" bestFit="1" customWidth="1"/>
    <col min="38" max="38" width="12.28515625" style="2" bestFit="1" customWidth="1"/>
    <col min="39" max="39" width="23.85546875" style="2" bestFit="1" customWidth="1"/>
    <col min="40" max="40" width="17.85546875" style="2" bestFit="1" customWidth="1"/>
    <col min="41" max="41" width="9.7109375" style="2" bestFit="1" customWidth="1"/>
    <col min="42" max="42" width="9.85546875" style="2" bestFit="1" customWidth="1"/>
    <col min="43" max="43" width="15" style="2" bestFit="1" customWidth="1"/>
    <col min="44" max="44" width="9.140625" style="2" bestFit="1" customWidth="1"/>
    <col min="45" max="45" width="20.5703125" style="2" bestFit="1" customWidth="1"/>
    <col min="46" max="46" width="6.7109375" style="2" bestFit="1" customWidth="1"/>
    <col min="47" max="47" width="4" style="2" bestFit="1" customWidth="1"/>
    <col min="48" max="48" width="5" style="2" bestFit="1" customWidth="1"/>
    <col min="49" max="49" width="12.28515625" style="2" bestFit="1" customWidth="1"/>
    <col min="50" max="51" width="15.140625" style="2" bestFit="1" customWidth="1"/>
    <col min="52" max="52" width="9.28515625" style="2" bestFit="1" customWidth="1"/>
    <col min="53" max="53" width="12.85546875" style="2" bestFit="1" customWidth="1"/>
    <col min="54" max="54" width="17.42578125" style="2" bestFit="1" customWidth="1"/>
    <col min="55" max="55" width="13.7109375" style="2" bestFit="1" customWidth="1"/>
    <col min="56" max="56" width="13.140625" style="2" bestFit="1" customWidth="1"/>
    <col min="57" max="57" width="18" style="2" bestFit="1" customWidth="1"/>
    <col min="58" max="58" width="19.85546875" style="2" bestFit="1" customWidth="1"/>
    <col min="59" max="59" width="13.7109375" style="2" bestFit="1" customWidth="1"/>
    <col min="60" max="60" width="6.85546875" style="2" bestFit="1" customWidth="1"/>
    <col min="61" max="62" width="18.5703125" style="2" bestFit="1" customWidth="1"/>
    <col min="63" max="63" width="18.7109375" style="2" bestFit="1" customWidth="1"/>
    <col min="64" max="64" width="11.140625" style="2" customWidth="1"/>
    <col min="65" max="65" width="14.7109375" style="2" bestFit="1" customWidth="1"/>
    <col min="66" max="66" width="20" style="2" bestFit="1" customWidth="1"/>
    <col min="67" max="67" width="18.140625" style="2" bestFit="1" customWidth="1"/>
    <col min="68" max="68" width="9.140625" style="2" bestFit="1" customWidth="1"/>
    <col min="69" max="69" width="9.140625" style="2"/>
    <col min="70" max="70" width="8" style="2" bestFit="1" customWidth="1"/>
    <col min="71" max="71" width="6.85546875" style="2" bestFit="1" customWidth="1"/>
    <col min="72" max="72" width="5.85546875" style="2" bestFit="1" customWidth="1"/>
    <col min="73" max="73" width="9" style="2" bestFit="1" customWidth="1"/>
    <col min="74" max="74" width="11" style="2" bestFit="1" customWidth="1"/>
    <col min="75" max="75" width="14.85546875" style="2" bestFit="1" customWidth="1"/>
    <col min="76" max="76" width="5.85546875" style="2" bestFit="1" customWidth="1"/>
    <col min="77" max="77" width="9" style="2" bestFit="1" customWidth="1"/>
    <col min="78" max="78" width="8.5703125" style="2" bestFit="1" customWidth="1"/>
    <col min="79" max="79" width="8" style="2" bestFit="1" customWidth="1"/>
    <col min="80" max="80" width="6.85546875" style="2" bestFit="1" customWidth="1"/>
    <col min="81" max="81" width="5.85546875" style="2" bestFit="1" customWidth="1"/>
    <col min="82" max="82" width="9" style="2" bestFit="1" customWidth="1"/>
    <col min="83" max="83" width="8.5703125" style="2" bestFit="1" customWidth="1"/>
    <col min="84" max="84" width="22" style="2" bestFit="1" customWidth="1"/>
    <col min="85" max="85" width="12.5703125" style="2" bestFit="1" customWidth="1"/>
    <col min="86" max="86" width="7.42578125" style="2" bestFit="1" customWidth="1"/>
    <col min="87" max="87" width="6.85546875" style="2" bestFit="1" customWidth="1"/>
    <col min="88" max="88" width="9" style="2" bestFit="1" customWidth="1"/>
    <col min="89" max="89" width="8.5703125" style="2" bestFit="1" customWidth="1"/>
    <col min="90" max="90" width="11" style="2" bestFit="1" customWidth="1"/>
    <col min="91" max="91" width="9" style="2" bestFit="1" customWidth="1"/>
    <col min="92" max="92" width="5.85546875" style="2" bestFit="1" customWidth="1"/>
    <col min="93" max="93" width="8.5703125" style="2" bestFit="1" customWidth="1"/>
    <col min="94" max="94" width="8" style="2" bestFit="1" customWidth="1"/>
    <col min="95" max="95" width="9" style="2" bestFit="1" customWidth="1"/>
    <col min="96" max="96" width="5.85546875" style="2" bestFit="1" customWidth="1"/>
    <col min="97" max="97" width="8.5703125" style="2" bestFit="1" customWidth="1"/>
    <col min="98" max="98" width="8" style="2" bestFit="1" customWidth="1"/>
    <col min="99" max="99" width="9" style="2" bestFit="1" customWidth="1"/>
    <col min="100" max="100" width="5.85546875" style="2" bestFit="1" customWidth="1"/>
    <col min="101" max="101" width="8.5703125" style="2" bestFit="1" customWidth="1"/>
    <col min="102" max="102" width="9.140625" style="2" customWidth="1"/>
    <col min="103" max="103" width="9.85546875" style="2" bestFit="1" customWidth="1"/>
    <col min="104" max="104" width="11.5703125" style="2" bestFit="1" customWidth="1"/>
    <col min="105" max="105" width="10.85546875" style="2" bestFit="1" customWidth="1"/>
    <col min="106" max="16384" width="9.140625" style="2"/>
  </cols>
  <sheetData>
    <row r="1" spans="1:111" ht="21" customHeight="1" thickBot="1" x14ac:dyDescent="0.25">
      <c r="A1" s="28"/>
      <c r="B1" s="746" t="s">
        <v>0</v>
      </c>
      <c r="C1" s="729"/>
      <c r="D1" s="729"/>
      <c r="E1" s="729"/>
      <c r="F1" s="729"/>
      <c r="G1" s="729"/>
      <c r="H1" s="729"/>
      <c r="I1" s="729"/>
      <c r="J1" s="729"/>
      <c r="K1" s="729"/>
      <c r="L1" s="729"/>
      <c r="M1" s="729"/>
      <c r="N1" s="729"/>
      <c r="O1" s="729"/>
      <c r="P1" s="729"/>
      <c r="Q1" s="747"/>
      <c r="R1" s="728" t="s">
        <v>39</v>
      </c>
      <c r="S1" s="729"/>
      <c r="T1" s="729"/>
      <c r="U1" s="729"/>
      <c r="V1" s="729"/>
      <c r="W1" s="729"/>
      <c r="X1" s="729"/>
      <c r="Y1" s="729"/>
      <c r="Z1" s="729"/>
      <c r="AA1" s="729"/>
      <c r="AB1" s="729"/>
      <c r="AC1" s="729"/>
      <c r="AD1" s="729"/>
      <c r="AE1" s="729"/>
      <c r="AF1" s="729"/>
      <c r="AG1" s="729"/>
      <c r="AH1" s="729"/>
      <c r="AI1" s="730"/>
      <c r="AJ1" s="734" t="s">
        <v>68</v>
      </c>
      <c r="AK1" s="735"/>
      <c r="AL1" s="735"/>
      <c r="AM1" s="735"/>
      <c r="AN1" s="735"/>
      <c r="AO1" s="735"/>
      <c r="AP1" s="735"/>
      <c r="AQ1" s="735"/>
      <c r="AR1" s="735"/>
      <c r="AS1" s="735"/>
      <c r="AT1" s="735"/>
      <c r="AU1" s="735"/>
      <c r="AV1" s="735"/>
      <c r="AW1" s="735"/>
      <c r="AX1" s="735"/>
      <c r="AY1" s="735"/>
      <c r="AZ1" s="735"/>
      <c r="BA1" s="735"/>
      <c r="BB1" s="735"/>
      <c r="BC1" s="735"/>
      <c r="BD1" s="735"/>
      <c r="BE1" s="735"/>
      <c r="BF1" s="735"/>
      <c r="BG1" s="735"/>
      <c r="BH1" s="735"/>
      <c r="BI1" s="735"/>
      <c r="BJ1" s="735"/>
      <c r="BK1" s="735"/>
      <c r="BL1" s="735"/>
      <c r="BM1" s="735"/>
      <c r="BN1" s="735"/>
      <c r="BO1" s="735"/>
      <c r="BP1" s="735"/>
      <c r="BR1" s="733" t="s">
        <v>67</v>
      </c>
      <c r="BS1" s="733"/>
      <c r="BT1" s="733"/>
      <c r="BU1" s="733"/>
      <c r="BV1" s="733"/>
      <c r="BW1" s="733"/>
      <c r="BX1" s="733"/>
      <c r="BY1" s="733"/>
      <c r="BZ1" s="733"/>
      <c r="CA1" s="733"/>
      <c r="CB1" s="733"/>
      <c r="CC1" s="733"/>
      <c r="CD1" s="733"/>
      <c r="CE1" s="733"/>
      <c r="CF1" s="733"/>
      <c r="CG1" s="733"/>
      <c r="CH1" s="733"/>
      <c r="CI1" s="733"/>
      <c r="CJ1" s="733"/>
      <c r="CK1" s="733"/>
      <c r="CL1" s="733"/>
      <c r="CM1" s="733"/>
      <c r="CN1" s="733"/>
      <c r="CO1" s="733"/>
      <c r="CP1" s="733"/>
      <c r="CQ1" s="733"/>
      <c r="CR1" s="733"/>
      <c r="CS1" s="733"/>
      <c r="CT1" s="733"/>
      <c r="CU1" s="733"/>
      <c r="CV1" s="733"/>
      <c r="CW1" s="733"/>
      <c r="CY1" s="733" t="s">
        <v>94</v>
      </c>
      <c r="CZ1" s="733"/>
      <c r="DA1" s="733"/>
      <c r="DB1" s="23"/>
      <c r="DC1" s="23"/>
      <c r="DD1" s="23"/>
      <c r="DE1" s="23"/>
      <c r="DF1" s="23"/>
      <c r="DG1" s="19"/>
    </row>
    <row r="2" spans="1:111" s="372" customFormat="1" ht="18" customHeight="1" thickTop="1" thickBot="1" x14ac:dyDescent="0.25">
      <c r="A2" s="28"/>
      <c r="B2" s="748" t="s">
        <v>1</v>
      </c>
      <c r="C2" s="726" t="s">
        <v>2</v>
      </c>
      <c r="D2" s="743" t="s">
        <v>3</v>
      </c>
      <c r="E2" s="726" t="s">
        <v>102</v>
      </c>
      <c r="F2" s="726" t="s">
        <v>573</v>
      </c>
      <c r="G2" s="726" t="s">
        <v>170</v>
      </c>
      <c r="H2" s="726" t="s">
        <v>574</v>
      </c>
      <c r="I2" s="726" t="s">
        <v>575</v>
      </c>
      <c r="J2" s="726" t="s">
        <v>134</v>
      </c>
      <c r="K2" s="743" t="s">
        <v>169</v>
      </c>
      <c r="L2" s="726" t="s">
        <v>576</v>
      </c>
      <c r="M2" s="726" t="s">
        <v>577</v>
      </c>
      <c r="N2" s="726" t="s">
        <v>578</v>
      </c>
      <c r="O2" s="726" t="s">
        <v>580</v>
      </c>
      <c r="P2" s="726" t="s">
        <v>581</v>
      </c>
      <c r="Q2" s="731" t="s">
        <v>579</v>
      </c>
      <c r="R2" s="745" t="s">
        <v>49</v>
      </c>
      <c r="S2" s="726" t="s">
        <v>582</v>
      </c>
      <c r="T2" s="726" t="s">
        <v>583</v>
      </c>
      <c r="U2" s="726"/>
      <c r="V2" s="726" t="s">
        <v>584</v>
      </c>
      <c r="W2" s="726" t="s">
        <v>301</v>
      </c>
      <c r="X2" s="726" t="s">
        <v>585</v>
      </c>
      <c r="Y2" s="726" t="s">
        <v>586</v>
      </c>
      <c r="Z2" s="726" t="s">
        <v>587</v>
      </c>
      <c r="AA2" s="726" t="s">
        <v>588</v>
      </c>
      <c r="AB2" s="726" t="s">
        <v>589</v>
      </c>
      <c r="AC2" s="726" t="s">
        <v>590</v>
      </c>
      <c r="AD2" s="726" t="s">
        <v>591</v>
      </c>
      <c r="AE2" s="726" t="s">
        <v>92</v>
      </c>
      <c r="AF2" s="726" t="s">
        <v>592</v>
      </c>
      <c r="AG2" s="726" t="s">
        <v>593</v>
      </c>
      <c r="AH2" s="726" t="s">
        <v>594</v>
      </c>
      <c r="AI2" s="731" t="s">
        <v>595</v>
      </c>
      <c r="AJ2" s="736" t="s">
        <v>68</v>
      </c>
      <c r="AK2" s="726" t="s">
        <v>49</v>
      </c>
      <c r="AL2" s="726" t="s">
        <v>78</v>
      </c>
      <c r="AM2" s="726" t="s">
        <v>596</v>
      </c>
      <c r="AN2" s="726" t="s">
        <v>597</v>
      </c>
      <c r="AO2" s="726" t="s">
        <v>598</v>
      </c>
      <c r="AP2" s="726" t="s">
        <v>151</v>
      </c>
      <c r="AQ2" s="726" t="s">
        <v>599</v>
      </c>
      <c r="AR2" s="726" t="s">
        <v>600</v>
      </c>
      <c r="AS2" s="726" t="s">
        <v>601</v>
      </c>
      <c r="AT2" s="726" t="s">
        <v>582</v>
      </c>
      <c r="AU2" s="726" t="s">
        <v>583</v>
      </c>
      <c r="AV2" s="726"/>
      <c r="AW2" s="726" t="s">
        <v>584</v>
      </c>
      <c r="AX2" s="726" t="s">
        <v>602</v>
      </c>
      <c r="AY2" s="726" t="s">
        <v>603</v>
      </c>
      <c r="AZ2" s="726" t="s">
        <v>585</v>
      </c>
      <c r="BA2" s="726" t="s">
        <v>604</v>
      </c>
      <c r="BB2" s="726" t="s">
        <v>586</v>
      </c>
      <c r="BC2" s="726" t="s">
        <v>587</v>
      </c>
      <c r="BD2" s="726" t="s">
        <v>588</v>
      </c>
      <c r="BE2" s="726" t="s">
        <v>589</v>
      </c>
      <c r="BF2" s="726" t="s">
        <v>590</v>
      </c>
      <c r="BG2" s="726" t="s">
        <v>591</v>
      </c>
      <c r="BH2" s="726" t="s">
        <v>92</v>
      </c>
      <c r="BI2" s="726" t="s">
        <v>592</v>
      </c>
      <c r="BJ2" s="726" t="s">
        <v>593</v>
      </c>
      <c r="BK2" s="726" t="s">
        <v>605</v>
      </c>
      <c r="BL2" s="726" t="s">
        <v>606</v>
      </c>
      <c r="BM2" s="726" t="s">
        <v>607</v>
      </c>
      <c r="BN2" s="726" t="s">
        <v>608</v>
      </c>
      <c r="BO2" s="726" t="s">
        <v>609</v>
      </c>
      <c r="BP2" s="726" t="s">
        <v>610</v>
      </c>
      <c r="BR2" s="733" t="s">
        <v>39</v>
      </c>
      <c r="BS2" s="733"/>
      <c r="BT2" s="733"/>
      <c r="BU2" s="733"/>
      <c r="BV2" s="733" t="s">
        <v>145</v>
      </c>
      <c r="BW2" s="733"/>
      <c r="BX2" s="733"/>
      <c r="BY2" s="733"/>
      <c r="BZ2" s="733"/>
      <c r="CA2" s="733" t="s">
        <v>150</v>
      </c>
      <c r="CB2" s="733"/>
      <c r="CC2" s="733"/>
      <c r="CD2" s="733"/>
      <c r="CE2" s="733"/>
      <c r="CF2" s="733"/>
      <c r="CG2" s="733" t="s">
        <v>553</v>
      </c>
      <c r="CH2" s="733"/>
      <c r="CI2" s="733"/>
      <c r="CJ2" s="733"/>
      <c r="CK2" s="733"/>
      <c r="CL2" s="733" t="s">
        <v>146</v>
      </c>
      <c r="CM2" s="733"/>
      <c r="CN2" s="733"/>
      <c r="CO2" s="733"/>
      <c r="CP2" s="733" t="s">
        <v>554</v>
      </c>
      <c r="CQ2" s="733"/>
      <c r="CR2" s="733"/>
      <c r="CS2" s="733"/>
      <c r="CT2" s="733" t="s">
        <v>70</v>
      </c>
      <c r="CU2" s="733"/>
      <c r="CV2" s="733"/>
      <c r="CW2" s="733"/>
      <c r="CY2" s="733" t="s">
        <v>96</v>
      </c>
      <c r="CZ2" s="733"/>
      <c r="DA2" s="733"/>
      <c r="DB2" s="351"/>
      <c r="DC2" s="352"/>
      <c r="DD2" s="353"/>
      <c r="DE2" s="354"/>
      <c r="DF2" s="354"/>
      <c r="DG2" s="351"/>
    </row>
    <row r="3" spans="1:111" s="374" customFormat="1" ht="19.5" customHeight="1" x14ac:dyDescent="0.2">
      <c r="A3" s="28"/>
      <c r="B3" s="749"/>
      <c r="C3" s="727"/>
      <c r="D3" s="744"/>
      <c r="E3" s="727"/>
      <c r="F3" s="727"/>
      <c r="G3" s="727"/>
      <c r="H3" s="727"/>
      <c r="I3" s="727"/>
      <c r="J3" s="727"/>
      <c r="K3" s="744"/>
      <c r="L3" s="727"/>
      <c r="M3" s="727"/>
      <c r="N3" s="727"/>
      <c r="O3" s="727"/>
      <c r="P3" s="727"/>
      <c r="Q3" s="732"/>
      <c r="R3" s="737"/>
      <c r="S3" s="727"/>
      <c r="T3" s="373" t="s">
        <v>43</v>
      </c>
      <c r="U3" s="373" t="s">
        <v>63</v>
      </c>
      <c r="V3" s="727"/>
      <c r="W3" s="727"/>
      <c r="X3" s="727"/>
      <c r="Y3" s="727"/>
      <c r="Z3" s="727"/>
      <c r="AA3" s="727"/>
      <c r="AB3" s="727"/>
      <c r="AC3" s="727"/>
      <c r="AD3" s="727"/>
      <c r="AE3" s="727"/>
      <c r="AF3" s="727"/>
      <c r="AG3" s="727"/>
      <c r="AH3" s="727"/>
      <c r="AI3" s="732"/>
      <c r="AJ3" s="737"/>
      <c r="AK3" s="727"/>
      <c r="AL3" s="727"/>
      <c r="AM3" s="727"/>
      <c r="AN3" s="727"/>
      <c r="AO3" s="727"/>
      <c r="AP3" s="727"/>
      <c r="AQ3" s="727"/>
      <c r="AR3" s="727"/>
      <c r="AS3" s="727"/>
      <c r="AT3" s="727"/>
      <c r="AU3" s="373" t="s">
        <v>80</v>
      </c>
      <c r="AV3" s="373" t="s">
        <v>44</v>
      </c>
      <c r="AW3" s="727"/>
      <c r="AX3" s="727"/>
      <c r="AY3" s="727"/>
      <c r="AZ3" s="727"/>
      <c r="BA3" s="727"/>
      <c r="BB3" s="727"/>
      <c r="BC3" s="727"/>
      <c r="BD3" s="727"/>
      <c r="BE3" s="727"/>
      <c r="BF3" s="727"/>
      <c r="BG3" s="727"/>
      <c r="BH3" s="727"/>
      <c r="BI3" s="727"/>
      <c r="BJ3" s="727"/>
      <c r="BK3" s="727"/>
      <c r="BL3" s="727"/>
      <c r="BM3" s="727"/>
      <c r="BN3" s="727"/>
      <c r="BO3" s="727"/>
      <c r="BP3" s="727"/>
      <c r="BR3" s="361" t="s">
        <v>49</v>
      </c>
      <c r="BS3" s="361" t="s">
        <v>50</v>
      </c>
      <c r="BT3" s="361" t="s">
        <v>61</v>
      </c>
      <c r="BU3" s="361" t="s">
        <v>64</v>
      </c>
      <c r="BV3" s="361" t="s">
        <v>49</v>
      </c>
      <c r="BW3" s="361" t="s">
        <v>50</v>
      </c>
      <c r="BX3" s="361" t="s">
        <v>61</v>
      </c>
      <c r="BY3" s="361" t="s">
        <v>64</v>
      </c>
      <c r="BZ3" s="361" t="s">
        <v>72</v>
      </c>
      <c r="CA3" s="361" t="s">
        <v>49</v>
      </c>
      <c r="CB3" s="361" t="s">
        <v>50</v>
      </c>
      <c r="CC3" s="361" t="s">
        <v>61</v>
      </c>
      <c r="CD3" s="361" t="s">
        <v>64</v>
      </c>
      <c r="CE3" s="361" t="s">
        <v>72</v>
      </c>
      <c r="CF3" s="361" t="s">
        <v>611</v>
      </c>
      <c r="CG3" s="361" t="s">
        <v>49</v>
      </c>
      <c r="CH3" s="361" t="s">
        <v>50</v>
      </c>
      <c r="CI3" s="361" t="s">
        <v>61</v>
      </c>
      <c r="CJ3" s="361" t="s">
        <v>64</v>
      </c>
      <c r="CK3" s="361" t="s">
        <v>72</v>
      </c>
      <c r="CL3" s="361" t="s">
        <v>49</v>
      </c>
      <c r="CM3" s="361" t="s">
        <v>50</v>
      </c>
      <c r="CN3" s="361" t="s">
        <v>61</v>
      </c>
      <c r="CO3" s="361" t="s">
        <v>72</v>
      </c>
      <c r="CP3" s="361" t="s">
        <v>49</v>
      </c>
      <c r="CQ3" s="361" t="s">
        <v>50</v>
      </c>
      <c r="CR3" s="361" t="s">
        <v>61</v>
      </c>
      <c r="CS3" s="361" t="s">
        <v>72</v>
      </c>
      <c r="CT3" s="361" t="s">
        <v>49</v>
      </c>
      <c r="CU3" s="361" t="s">
        <v>50</v>
      </c>
      <c r="CV3" s="361" t="s">
        <v>61</v>
      </c>
      <c r="CW3" s="361" t="s">
        <v>72</v>
      </c>
      <c r="CY3" s="361" t="s">
        <v>95</v>
      </c>
      <c r="CZ3" s="361" t="s">
        <v>97</v>
      </c>
      <c r="DA3" s="361" t="s">
        <v>98</v>
      </c>
      <c r="DB3" s="375"/>
      <c r="DC3" s="375"/>
      <c r="DD3" s="375"/>
      <c r="DE3" s="375"/>
      <c r="DF3" s="375"/>
      <c r="DG3" s="375"/>
    </row>
    <row r="4" spans="1:111" ht="13.5" thickBot="1" x14ac:dyDescent="0.25">
      <c r="B4" s="362"/>
      <c r="C4" s="362"/>
      <c r="D4" s="363"/>
      <c r="E4" s="364" t="str">
        <f>IFERROR(VLOOKUP(D4,$CZ$4:$DA$51,2),"")</f>
        <v/>
      </c>
      <c r="F4" s="363"/>
      <c r="G4" s="365">
        <f>(D4-(F4/2))*PI()</f>
        <v>0</v>
      </c>
      <c r="H4" s="364">
        <f>7.85*(G4/1000)*F4</f>
        <v>0</v>
      </c>
      <c r="I4" s="364">
        <f>(PI()*7.85*(D4-F4)*F4)/1000</f>
        <v>0</v>
      </c>
      <c r="J4" s="362"/>
      <c r="K4" s="362"/>
      <c r="L4" s="364">
        <f>I4*J4/1000</f>
        <v>0</v>
      </c>
      <c r="M4" s="364">
        <f>I4*J4/1000-K4</f>
        <v>0</v>
      </c>
      <c r="N4" s="364" t="str">
        <f>IFERROR(K4/M4*100,"")</f>
        <v/>
      </c>
      <c r="O4" s="366"/>
      <c r="P4" s="366"/>
      <c r="Q4" s="362"/>
      <c r="R4" s="367"/>
      <c r="S4" s="364" t="str">
        <f>IFERROR(VLOOKUP(R4,$BR$4:$BT$10,3),"")</f>
        <v/>
      </c>
      <c r="T4" s="359"/>
      <c r="U4" s="359"/>
      <c r="V4" s="356" t="str">
        <f>IFERROR(S4+U4,"")</f>
        <v/>
      </c>
      <c r="W4" s="1"/>
      <c r="X4" s="356" t="str">
        <f>IFERROR(VLOOKUP(R4,$BR$4:$BU$10,4),"")</f>
        <v/>
      </c>
      <c r="Y4" s="377">
        <v>5</v>
      </c>
      <c r="Z4" s="356" t="str">
        <f>IFERROR(H4*T4/Q4/1000*100,"")</f>
        <v/>
      </c>
      <c r="AA4" s="356" t="str">
        <f>IFERROR(Y4+Z4,"")</f>
        <v/>
      </c>
      <c r="AB4" s="356" t="str">
        <f>IFERROR(((W4*H4/1000)^(-1))*((1+(100-X4)/100)),"")</f>
        <v/>
      </c>
      <c r="AC4" s="356" t="str">
        <f>IFERROR((V4*60)/Q4,"")</f>
        <v/>
      </c>
      <c r="AD4" s="359"/>
      <c r="AE4" s="359"/>
      <c r="AF4" s="356" t="str">
        <f>IFERROR(AB4*Q4/60,"")</f>
        <v/>
      </c>
      <c r="AG4" s="356" t="str">
        <f>IFERROR(AF4/(AD4*AE4),"")</f>
        <v/>
      </c>
      <c r="AH4" s="356" t="str">
        <f>IFERROR((AF4+V4)/(AD4*AE4),"")</f>
        <v/>
      </c>
      <c r="AI4" s="356" t="str">
        <f>IFERROR((AB4^-1)*AD4*60*AE4,"")</f>
        <v/>
      </c>
      <c r="AJ4" s="368" t="s">
        <v>145</v>
      </c>
      <c r="AK4" s="360" t="s">
        <v>418</v>
      </c>
      <c r="AL4" s="360"/>
      <c r="AM4" s="1" t="str">
        <f>IF(J4=0,"",J4)</f>
        <v/>
      </c>
      <c r="AN4"/>
      <c r="AO4" s="1"/>
      <c r="AP4"/>
      <c r="AQ4"/>
      <c r="AR4" s="1">
        <f>IFERROR(VLOOKUP(AK4,BV4:BZ8,5),"")</f>
        <v>50</v>
      </c>
      <c r="AS4" s="1" t="str">
        <f t="shared" ref="AS4:AS9" si="0">IFERROR(AO4*AM4+AR4,"")</f>
        <v/>
      </c>
      <c r="AT4" s="356">
        <f>IFERROR(VLOOKUP(AK4,BV4:BZ8,3),"")</f>
        <v>0.25</v>
      </c>
      <c r="AU4" s="1"/>
      <c r="AV4" s="1"/>
      <c r="AW4" s="356">
        <f t="shared" ref="AW4:AW9" si="1">IFERROR(AT4+AV4/60,"")</f>
        <v>0.25</v>
      </c>
      <c r="AX4" s="356" t="str">
        <f>IFERROR(VLOOKUP(AL4,BV11:BW14,2),"")</f>
        <v/>
      </c>
      <c r="AY4" s="356" t="str">
        <f t="shared" ref="AY4:AY9" si="2">IFERROR(AX4/60,"")</f>
        <v/>
      </c>
      <c r="AZ4" s="356">
        <f>IFERROR(VLOOKUP(AK4,BV4:BZ8,4),"")</f>
        <v>90</v>
      </c>
      <c r="BA4"/>
      <c r="BB4" s="356" t="str">
        <f>IFERROR((AS4-AM4*AO4)/AS4*100,"")</f>
        <v/>
      </c>
      <c r="BC4" s="356" t="str">
        <f>IFERROR((H4*AM4*AU4/1000)/1000/Q4*100,"")</f>
        <v/>
      </c>
      <c r="BD4" s="356" t="str">
        <f t="shared" ref="BD4:BD9" si="3">IFERROR(BA4+BB4+BC4,"")</f>
        <v/>
      </c>
      <c r="BE4" s="356" t="str">
        <f>IFERROR(AX4/(H4*AM4/1000)/60*1000*((1+(100-AZ4)/100)),"")</f>
        <v/>
      </c>
      <c r="BF4" s="356" t="str">
        <f>IFERROR(AW4*60/Q4,"")</f>
        <v/>
      </c>
      <c r="BG4" s="359"/>
      <c r="BH4" s="359"/>
      <c r="BI4" s="356" t="str">
        <f>IFERROR(BE4*O4/60+AW4,"")</f>
        <v/>
      </c>
      <c r="BJ4" s="356" t="str">
        <f t="shared" ref="BJ4:BJ9" si="4">IFERROR(BI4/(BG4*BH4),"")</f>
        <v/>
      </c>
      <c r="BK4" s="357"/>
      <c r="BL4" s="357"/>
      <c r="BM4" s="356" t="str">
        <f t="shared" ref="BM4:BM9" si="5">IFERROR(BD4/100*BL4,"")</f>
        <v/>
      </c>
      <c r="BN4" s="356" t="str">
        <f t="shared" ref="BN4:BN9" si="6">IFERROR(BF4/60*BK4,"")</f>
        <v/>
      </c>
      <c r="BO4" s="356" t="str">
        <f t="shared" ref="BO4:BO9" si="7">IFERROR(BE4/60*BK4,"")</f>
        <v/>
      </c>
      <c r="BP4" s="356" t="str">
        <f t="shared" ref="BP4:BP9" si="8">IFERROR(BM4+BN4+BO4,"")</f>
        <v/>
      </c>
      <c r="BR4" s="376" t="s">
        <v>51</v>
      </c>
      <c r="BS4" s="355">
        <v>2.9</v>
      </c>
      <c r="BT4" s="355">
        <v>1.5</v>
      </c>
      <c r="BU4" s="378">
        <v>70</v>
      </c>
      <c r="BV4" s="376" t="s">
        <v>418</v>
      </c>
      <c r="BW4" s="376">
        <v>1.5</v>
      </c>
      <c r="BX4" s="356">
        <f>15/60</f>
        <v>0.25</v>
      </c>
      <c r="BY4" s="1">
        <v>90</v>
      </c>
      <c r="BZ4" s="1">
        <v>50</v>
      </c>
      <c r="CA4" s="1" t="s">
        <v>413</v>
      </c>
      <c r="CB4" s="1">
        <v>1</v>
      </c>
      <c r="CC4" s="356">
        <f>15/60</f>
        <v>0.25</v>
      </c>
      <c r="CD4" s="376">
        <v>65</v>
      </c>
      <c r="CE4" s="376">
        <v>50</v>
      </c>
      <c r="CF4" s="376">
        <v>2.5</v>
      </c>
      <c r="CG4" s="376" t="s">
        <v>557</v>
      </c>
      <c r="CH4" s="376"/>
      <c r="CI4" s="376">
        <v>0.75</v>
      </c>
      <c r="CJ4" s="376">
        <v>80</v>
      </c>
      <c r="CK4" s="376">
        <v>400</v>
      </c>
      <c r="CL4" s="376" t="s">
        <v>556</v>
      </c>
      <c r="CM4" s="376"/>
      <c r="CN4" s="358">
        <v>0.35</v>
      </c>
      <c r="CO4" s="378">
        <v>120</v>
      </c>
      <c r="CP4" s="376" t="s">
        <v>408</v>
      </c>
      <c r="CQ4" s="376">
        <v>3</v>
      </c>
      <c r="CR4" s="376">
        <v>1</v>
      </c>
      <c r="CS4" s="376"/>
      <c r="CT4" s="376" t="s">
        <v>70</v>
      </c>
      <c r="CU4" s="376"/>
      <c r="CV4" s="376">
        <v>0.5</v>
      </c>
      <c r="CW4" s="376"/>
      <c r="CY4" s="369">
        <v>0.6</v>
      </c>
      <c r="CZ4" s="369">
        <v>9.5299999999999994</v>
      </c>
      <c r="DA4" s="369" t="s">
        <v>10</v>
      </c>
      <c r="DB4" s="370"/>
      <c r="DC4" s="370"/>
      <c r="DD4" s="371"/>
      <c r="DE4" s="371"/>
      <c r="DF4" s="371"/>
      <c r="DG4" s="371"/>
    </row>
    <row r="5" spans="1:111" s="425" customFormat="1" ht="13.5" thickBot="1" x14ac:dyDescent="0.25">
      <c r="S5" s="425" t="s">
        <v>665</v>
      </c>
      <c r="V5" s="425" t="s">
        <v>665</v>
      </c>
      <c r="X5" s="425" t="s">
        <v>665</v>
      </c>
      <c r="Y5" s="214"/>
      <c r="Z5" s="214" t="s">
        <v>665</v>
      </c>
      <c r="AA5" s="214" t="s">
        <v>665</v>
      </c>
      <c r="AB5" s="425" t="s">
        <v>665</v>
      </c>
      <c r="AC5" s="425" t="s">
        <v>665</v>
      </c>
      <c r="AF5" s="425" t="s">
        <v>665</v>
      </c>
      <c r="AG5" s="426" t="s">
        <v>665</v>
      </c>
      <c r="AH5" s="426" t="s">
        <v>665</v>
      </c>
      <c r="AI5" s="426"/>
      <c r="AJ5" s="427" t="s">
        <v>150</v>
      </c>
      <c r="AK5" s="422"/>
      <c r="AL5" s="428"/>
      <c r="AM5" s="377" t="str">
        <f>IF(J4=0,"",J4)</f>
        <v/>
      </c>
      <c r="AN5" s="421"/>
      <c r="AO5" s="377"/>
      <c r="AP5" s="377"/>
      <c r="AQ5" s="377"/>
      <c r="AR5" s="377" t="str">
        <f>IFERROR(VLOOKUP(AK5,BV4:BZ8,5),"")</f>
        <v/>
      </c>
      <c r="AS5" s="377" t="str">
        <f t="shared" si="0"/>
        <v/>
      </c>
      <c r="AT5" s="429" t="str">
        <f>IFERROR(VLOOKUP(AK5,BV4:BZ8,3),"")</f>
        <v/>
      </c>
      <c r="AU5" s="377"/>
      <c r="AV5" s="377"/>
      <c r="AW5" s="429" t="str">
        <f t="shared" si="1"/>
        <v/>
      </c>
      <c r="AX5" s="429" t="str">
        <f>IFERROR((VLOOKUP(AK5,CA4:CF4,6)*AQ5*(AO5+1))/(AO5*AP5),"")</f>
        <v/>
      </c>
      <c r="AY5" s="429" t="str">
        <f t="shared" si="2"/>
        <v/>
      </c>
      <c r="AZ5" s="429" t="str">
        <f>IFERROR(VLOOKUP(AK5,BV4:BZ8,4),"")</f>
        <v/>
      </c>
      <c r="BA5" s="421"/>
      <c r="BB5" s="429" t="str">
        <f>IFERROR((AS5-AM5*AO5)/AS5*100,"")</f>
        <v/>
      </c>
      <c r="BC5" s="429" t="str">
        <f>IFERROR((H5*AM5*AU5/1000)/1000/Q4*100,"")</f>
        <v/>
      </c>
      <c r="BD5" s="429" t="str">
        <f t="shared" si="3"/>
        <v/>
      </c>
      <c r="BE5" s="429" t="str">
        <f>IFERROR(AX5/(H4*AM5/1000)/60*1000*((1+(100-AZ5)/100)),"")</f>
        <v/>
      </c>
      <c r="BF5" s="429" t="str">
        <f>IFERROR(AW5*60/Q4,"")</f>
        <v/>
      </c>
      <c r="BG5" s="430"/>
      <c r="BH5" s="430"/>
      <c r="BI5" s="429" t="str">
        <f>IFERROR(BE5*O4/60+AW5,"")</f>
        <v/>
      </c>
      <c r="BJ5" s="429" t="str">
        <f t="shared" si="4"/>
        <v/>
      </c>
      <c r="BK5" s="431"/>
      <c r="BL5" s="431"/>
      <c r="BM5" s="429" t="str">
        <f t="shared" si="5"/>
        <v/>
      </c>
      <c r="BN5" s="429" t="str">
        <f t="shared" si="6"/>
        <v/>
      </c>
      <c r="BO5" s="429" t="str">
        <f t="shared" si="7"/>
        <v/>
      </c>
      <c r="BP5" s="429" t="str">
        <f t="shared" si="8"/>
        <v/>
      </c>
      <c r="BR5" s="423" t="s">
        <v>52</v>
      </c>
      <c r="BS5" s="427">
        <v>3.2</v>
      </c>
      <c r="BT5" s="427">
        <v>2.5</v>
      </c>
      <c r="BU5" s="432">
        <v>70</v>
      </c>
      <c r="BX5" s="421"/>
      <c r="BY5" s="214"/>
      <c r="BZ5" s="214"/>
      <c r="CA5" s="377" t="s">
        <v>551</v>
      </c>
      <c r="CB5" s="377">
        <v>1</v>
      </c>
      <c r="CC5" s="429">
        <f>15/60</f>
        <v>0.25</v>
      </c>
      <c r="CD5" s="423">
        <v>65</v>
      </c>
      <c r="CE5" s="423">
        <v>50</v>
      </c>
      <c r="CF5" s="423">
        <v>2.5</v>
      </c>
      <c r="CG5" s="423" t="s">
        <v>558</v>
      </c>
      <c r="CH5" s="423"/>
      <c r="CI5" s="423">
        <v>0.75</v>
      </c>
      <c r="CJ5" s="423">
        <v>80</v>
      </c>
      <c r="CK5" s="423">
        <v>400</v>
      </c>
      <c r="CL5" s="423" t="s">
        <v>555</v>
      </c>
      <c r="CM5" s="423"/>
      <c r="CN5" s="433">
        <v>0.35</v>
      </c>
      <c r="CO5" s="432">
        <v>120</v>
      </c>
      <c r="CP5" s="423" t="s">
        <v>409</v>
      </c>
      <c r="CQ5" s="423">
        <v>3</v>
      </c>
      <c r="CR5" s="423">
        <v>1</v>
      </c>
      <c r="CS5" s="421"/>
      <c r="CT5" s="421"/>
      <c r="CU5" s="421"/>
      <c r="CV5" s="421"/>
      <c r="CW5" s="421"/>
      <c r="CY5" s="333">
        <v>0.75</v>
      </c>
      <c r="CZ5" s="333">
        <v>10</v>
      </c>
      <c r="DA5" s="333" t="s">
        <v>116</v>
      </c>
      <c r="DB5" s="424"/>
      <c r="DC5" s="424"/>
      <c r="DD5" s="341"/>
      <c r="DE5" s="341"/>
      <c r="DF5" s="341"/>
      <c r="DG5" s="341"/>
    </row>
    <row r="6" spans="1:111" ht="13.5" thickBot="1" x14ac:dyDescent="0.25">
      <c r="N6" s="53"/>
      <c r="AJ6" s="355" t="s">
        <v>553</v>
      </c>
      <c r="AK6" s="360"/>
      <c r="AL6" s="360"/>
      <c r="AM6" s="1" t="str">
        <f>IF(J4=0,"",J4)</f>
        <v/>
      </c>
      <c r="AN6" s="356" t="str">
        <f>IF(L4-M4=0,"",L4-M4)</f>
        <v/>
      </c>
      <c r="AO6" s="1"/>
      <c r="AP6"/>
      <c r="AQ6"/>
      <c r="AR6" s="1" t="str">
        <f>IFERROR(VLOOKUP(AK6,BV4:BZ8,5),"")</f>
        <v/>
      </c>
      <c r="AS6" s="1" t="str">
        <f t="shared" si="0"/>
        <v/>
      </c>
      <c r="AT6" s="356" t="str">
        <f>IFERROR(VLOOKUP(AK6,BV4:BZ8,3),"")</f>
        <v/>
      </c>
      <c r="AU6" s="1"/>
      <c r="AV6" s="1"/>
      <c r="AW6" s="356" t="str">
        <f t="shared" si="1"/>
        <v/>
      </c>
      <c r="AX6" s="1"/>
      <c r="AY6" s="356">
        <f t="shared" si="2"/>
        <v>0</v>
      </c>
      <c r="AZ6" s="356" t="str">
        <f>IFERROR(VLOOKUP(AK6,BV4:BZ8,4),"")</f>
        <v/>
      </c>
      <c r="BA6" s="356" t="str">
        <f>IFERROR(AN6/M4*100,"")</f>
        <v/>
      </c>
      <c r="BB6" s="356" t="str">
        <f>IFERROR((AS6-AM6*AO6)/AS6*100,"")</f>
        <v/>
      </c>
      <c r="BC6" s="356" t="str">
        <f>IFERROR((H6*AM6*AU6/1000)/1000/Q4*100,"")</f>
        <v/>
      </c>
      <c r="BD6" s="356" t="str">
        <f t="shared" si="3"/>
        <v/>
      </c>
      <c r="BE6" s="356" t="str">
        <f>IFERROR(AX6/(H4*AM6/1000)/60*1000*((1+(100-AZ6)/100)),"")</f>
        <v/>
      </c>
      <c r="BF6" s="356" t="str">
        <f>IFERROR(AW6*60/Q4,"")</f>
        <v/>
      </c>
      <c r="BG6" s="359"/>
      <c r="BH6" s="359"/>
      <c r="BI6" s="356" t="str">
        <f>IFERROR(BE6*O4/60+AW6,"")</f>
        <v/>
      </c>
      <c r="BJ6" s="356" t="str">
        <f t="shared" si="4"/>
        <v/>
      </c>
      <c r="BK6" s="357"/>
      <c r="BL6" s="357"/>
      <c r="BM6" s="356" t="str">
        <f t="shared" si="5"/>
        <v/>
      </c>
      <c r="BN6" s="356" t="str">
        <f t="shared" si="6"/>
        <v/>
      </c>
      <c r="BO6" s="356" t="str">
        <f t="shared" si="7"/>
        <v/>
      </c>
      <c r="BP6" s="356" t="str">
        <f t="shared" si="8"/>
        <v/>
      </c>
      <c r="BR6" s="376" t="s">
        <v>53</v>
      </c>
      <c r="BS6" s="355">
        <v>4.5</v>
      </c>
      <c r="BT6" s="355">
        <v>2.5</v>
      </c>
      <c r="BU6" s="378">
        <v>70</v>
      </c>
      <c r="CA6" s="16"/>
      <c r="CB6" s="16"/>
      <c r="CC6" s="16"/>
      <c r="CD6" s="16"/>
      <c r="CE6" s="16"/>
      <c r="CF6" s="50"/>
      <c r="CJ6"/>
      <c r="CK6"/>
      <c r="CL6" s="376" t="s">
        <v>559</v>
      </c>
      <c r="CM6" s="376"/>
      <c r="CN6" s="358">
        <v>1</v>
      </c>
      <c r="CO6" s="378">
        <v>50</v>
      </c>
      <c r="CP6"/>
      <c r="CQ6"/>
      <c r="CR6"/>
      <c r="CS6"/>
      <c r="CV6" s="16"/>
      <c r="CW6" s="16"/>
      <c r="CY6" s="5">
        <v>0.9</v>
      </c>
      <c r="CZ6" s="5">
        <v>12</v>
      </c>
      <c r="DA6" s="5" t="s">
        <v>116</v>
      </c>
      <c r="DB6" s="18"/>
      <c r="DC6" s="18"/>
      <c r="DD6" s="17"/>
      <c r="DE6" s="17"/>
      <c r="DF6" s="17"/>
      <c r="DG6" s="17"/>
    </row>
    <row r="7" spans="1:111" ht="19.5" thickBot="1" x14ac:dyDescent="0.25">
      <c r="AJ7" s="355" t="s">
        <v>146</v>
      </c>
      <c r="AK7" s="360" t="s">
        <v>559</v>
      </c>
      <c r="AL7" s="360"/>
      <c r="AM7" s="1" t="str">
        <f>IF(J4=0,"",J4)</f>
        <v/>
      </c>
      <c r="AN7" s="356" t="str">
        <f>IF(L4-M4=0,"",L4-M4)</f>
        <v/>
      </c>
      <c r="AO7" s="1"/>
      <c r="AP7"/>
      <c r="AQ7"/>
      <c r="AR7" s="1">
        <f>IFERROR(VLOOKUP(AK7,BV4:BZ8,5),"")</f>
        <v>50</v>
      </c>
      <c r="AS7" s="1" t="str">
        <f t="shared" si="0"/>
        <v/>
      </c>
      <c r="AT7" s="356">
        <f>IFERROR(VLOOKUP(AK7,BV4:BZ8,3),"")</f>
        <v>0.25</v>
      </c>
      <c r="AU7" s="1"/>
      <c r="AV7" s="1"/>
      <c r="AW7" s="356">
        <f t="shared" si="1"/>
        <v>0.25</v>
      </c>
      <c r="AX7" s="1"/>
      <c r="AY7" s="356">
        <f t="shared" si="2"/>
        <v>0</v>
      </c>
      <c r="AZ7" s="356">
        <f>IFERROR(VLOOKUP(AK7,BV4:BZ8,4),"")</f>
        <v>90</v>
      </c>
      <c r="BA7" s="356" t="str">
        <f>IFERROR(AN7/M4*100,"")</f>
        <v/>
      </c>
      <c r="BB7" s="356" t="str">
        <f>IFERROR((AS7-AM7*AO7)/AS7*100,"")</f>
        <v/>
      </c>
      <c r="BC7" s="356" t="str">
        <f>IFERROR((H7*AM7*AU7/1000)/1000/Q4*100,"")</f>
        <v/>
      </c>
      <c r="BD7" s="356" t="str">
        <f t="shared" si="3"/>
        <v/>
      </c>
      <c r="BE7" s="356" t="str">
        <f>IFERROR(AX7/(H4*AM7/1000)/60*1000*((1+(100-AZ7)/100)),"")</f>
        <v/>
      </c>
      <c r="BF7" s="356" t="str">
        <f>IFERROR(AW7*60/Q4,"")</f>
        <v/>
      </c>
      <c r="BG7" s="359"/>
      <c r="BH7" s="359"/>
      <c r="BI7" s="356" t="str">
        <f>IFERROR(BE7*O4/60+AW7,"")</f>
        <v/>
      </c>
      <c r="BJ7" s="356" t="str">
        <f t="shared" si="4"/>
        <v/>
      </c>
      <c r="BK7" s="357"/>
      <c r="BL7" s="357"/>
      <c r="BM7" s="356" t="str">
        <f t="shared" si="5"/>
        <v/>
      </c>
      <c r="BN7" s="356" t="str">
        <f t="shared" si="6"/>
        <v/>
      </c>
      <c r="BO7" s="356" t="str">
        <f t="shared" si="7"/>
        <v/>
      </c>
      <c r="BP7" s="356" t="str">
        <f t="shared" si="8"/>
        <v/>
      </c>
      <c r="BR7" s="376" t="s">
        <v>54</v>
      </c>
      <c r="BS7" s="355">
        <v>3.7</v>
      </c>
      <c r="BT7" s="355">
        <v>2.4</v>
      </c>
      <c r="BU7" s="378">
        <v>70</v>
      </c>
      <c r="BX7" s="20"/>
      <c r="BY7" s="339"/>
      <c r="BZ7" s="339"/>
      <c r="CA7" s="16"/>
      <c r="CB7" s="16"/>
      <c r="CC7" s="16"/>
      <c r="CD7" s="16"/>
      <c r="CE7" s="16"/>
      <c r="CF7" s="50"/>
      <c r="CG7" s="733" t="s">
        <v>81</v>
      </c>
      <c r="CH7" s="733"/>
      <c r="CI7" s="733"/>
      <c r="CJ7"/>
      <c r="CK7"/>
      <c r="CL7" s="733" t="s">
        <v>81</v>
      </c>
      <c r="CM7" s="733"/>
      <c r="CN7"/>
      <c r="CO7"/>
      <c r="CP7" s="733" t="s">
        <v>81</v>
      </c>
      <c r="CQ7" s="733"/>
      <c r="CR7"/>
      <c r="CS7"/>
      <c r="CT7" s="733" t="s">
        <v>81</v>
      </c>
      <c r="CU7" s="733"/>
      <c r="CV7"/>
      <c r="CW7"/>
      <c r="CY7" s="5">
        <v>0.95</v>
      </c>
      <c r="CZ7" s="5">
        <v>12.7</v>
      </c>
      <c r="DA7" s="5" t="s">
        <v>11</v>
      </c>
      <c r="DB7" s="18"/>
      <c r="DC7" s="18"/>
      <c r="DD7" s="17"/>
      <c r="DE7" s="17"/>
      <c r="DF7" s="17"/>
      <c r="DG7" s="17"/>
    </row>
    <row r="8" spans="1:111" ht="19.5" thickBot="1" x14ac:dyDescent="0.25">
      <c r="AJ8" s="355" t="s">
        <v>554</v>
      </c>
      <c r="AK8" s="360" t="s">
        <v>408</v>
      </c>
      <c r="AL8" s="360"/>
      <c r="AM8" s="1" t="str">
        <f>IF(J4=0,"",J4)</f>
        <v/>
      </c>
      <c r="AN8" s="356" t="str">
        <f>IF(L4-M4=0,"",L4-M4)</f>
        <v/>
      </c>
      <c r="AO8" s="1"/>
      <c r="AP8"/>
      <c r="AQ8"/>
      <c r="AR8" s="1">
        <f>IFERROR(VLOOKUP(AK8,BV4:BZ8,5),"")</f>
        <v>50</v>
      </c>
      <c r="AS8" s="1" t="str">
        <f t="shared" si="0"/>
        <v/>
      </c>
      <c r="AT8" s="356">
        <f>IFERROR(VLOOKUP(AK8,BV4:BZ8,3),"")</f>
        <v>0.25</v>
      </c>
      <c r="AU8" s="1"/>
      <c r="AV8" s="1"/>
      <c r="AW8" s="356">
        <f t="shared" si="1"/>
        <v>0.25</v>
      </c>
      <c r="AX8" s="1"/>
      <c r="AY8" s="356">
        <f t="shared" si="2"/>
        <v>0</v>
      </c>
      <c r="AZ8" s="356">
        <f>IFERROR(VLOOKUP(AK8,BV4:BZ8,4),"")</f>
        <v>90</v>
      </c>
      <c r="BA8" s="356" t="str">
        <f>IFERROR(AN8/M4*100,"")</f>
        <v/>
      </c>
      <c r="BB8" s="357"/>
      <c r="BC8" s="356" t="str">
        <f>IFERROR((H8*AM8*AU8/1000)/1000/Q4*100,"")</f>
        <v/>
      </c>
      <c r="BD8" s="356" t="str">
        <f t="shared" si="3"/>
        <v/>
      </c>
      <c r="BE8" s="356" t="str">
        <f>IFERROR(AX8/(H4*AM8/1000)/60*1000*((1+(100-AZ8)/100)),"")</f>
        <v/>
      </c>
      <c r="BF8" s="356" t="str">
        <f>IFERROR(AW8*60/Q4,"")</f>
        <v/>
      </c>
      <c r="BG8" s="359"/>
      <c r="BH8" s="359"/>
      <c r="BI8" s="356" t="str">
        <f>IFERROR(BE8*O4/60+AW8,"")</f>
        <v/>
      </c>
      <c r="BJ8" s="356" t="str">
        <f t="shared" si="4"/>
        <v/>
      </c>
      <c r="BK8" s="357"/>
      <c r="BL8" s="357"/>
      <c r="BM8" s="356" t="str">
        <f t="shared" si="5"/>
        <v/>
      </c>
      <c r="BN8" s="356" t="str">
        <f t="shared" si="6"/>
        <v/>
      </c>
      <c r="BO8" s="356" t="str">
        <f t="shared" si="7"/>
        <v/>
      </c>
      <c r="BP8" s="356" t="str">
        <f t="shared" si="8"/>
        <v/>
      </c>
      <c r="BR8" s="376" t="s">
        <v>55</v>
      </c>
      <c r="BS8" s="355">
        <v>6</v>
      </c>
      <c r="BT8" s="355">
        <v>6</v>
      </c>
      <c r="BU8" s="378">
        <v>65</v>
      </c>
      <c r="CA8" s="16"/>
      <c r="CB8" s="16"/>
      <c r="CC8" s="16"/>
      <c r="CD8" s="16"/>
      <c r="CE8" s="16"/>
      <c r="CF8" s="50"/>
      <c r="CG8" s="361" t="s">
        <v>85</v>
      </c>
      <c r="CH8" s="361" t="s">
        <v>163</v>
      </c>
      <c r="CI8" s="361" t="s">
        <v>50</v>
      </c>
      <c r="CJ8"/>
      <c r="CK8"/>
      <c r="CL8" s="361" t="s">
        <v>85</v>
      </c>
      <c r="CM8" s="361" t="s">
        <v>64</v>
      </c>
      <c r="CN8"/>
      <c r="CO8"/>
      <c r="CP8" s="361" t="s">
        <v>85</v>
      </c>
      <c r="CQ8" s="361" t="s">
        <v>64</v>
      </c>
      <c r="CR8"/>
      <c r="CS8"/>
      <c r="CT8" s="361" t="s">
        <v>85</v>
      </c>
      <c r="CU8" s="361" t="s">
        <v>64</v>
      </c>
      <c r="CV8"/>
      <c r="CW8"/>
      <c r="CY8" s="5">
        <v>1.06</v>
      </c>
      <c r="CZ8" s="5">
        <v>15.88</v>
      </c>
      <c r="DA8" s="5" t="s">
        <v>12</v>
      </c>
      <c r="DB8" s="18"/>
      <c r="DC8" s="18"/>
      <c r="DD8" s="17"/>
      <c r="DE8" s="17"/>
      <c r="DF8" s="17"/>
      <c r="DG8" s="17"/>
    </row>
    <row r="9" spans="1:111" ht="13.5" thickBot="1" x14ac:dyDescent="0.25">
      <c r="AJ9" s="355" t="s">
        <v>70</v>
      </c>
      <c r="AK9" s="360"/>
      <c r="AL9" s="360"/>
      <c r="AM9" s="1" t="str">
        <f>IF(J4=0,"",J4)</f>
        <v/>
      </c>
      <c r="AN9" s="356" t="str">
        <f>IF(L4-M4=0,"",L4-M4)</f>
        <v/>
      </c>
      <c r="AO9" s="1"/>
      <c r="AP9"/>
      <c r="AQ9"/>
      <c r="AR9" s="1" t="str">
        <f>IFERROR(VLOOKUP(AK9,BV4:BZ8,5),"")</f>
        <v/>
      </c>
      <c r="AS9" s="1" t="str">
        <f t="shared" si="0"/>
        <v/>
      </c>
      <c r="AT9" s="356" t="str">
        <f>IFERROR(VLOOKUP(AK9,BV4:BZ8,3),"")</f>
        <v/>
      </c>
      <c r="AU9" s="1"/>
      <c r="AV9" s="1"/>
      <c r="AW9" s="356" t="str">
        <f t="shared" si="1"/>
        <v/>
      </c>
      <c r="AX9" s="1"/>
      <c r="AY9" s="356">
        <f t="shared" si="2"/>
        <v>0</v>
      </c>
      <c r="AZ9" s="356" t="str">
        <f>IFERROR(VLOOKUP(AK9,BV4:BZ8,4),"")</f>
        <v/>
      </c>
      <c r="BA9" s="356" t="str">
        <f>IFERROR(AN9/M4*100,"")</f>
        <v/>
      </c>
      <c r="BB9" s="356" t="str">
        <f>IFERROR((AS9-AM9*AO9)/AS9*100,"")</f>
        <v/>
      </c>
      <c r="BC9" s="356" t="str">
        <f>IFERROR((H9*AM9*AU9/1000)/1000/Q4*100,"")</f>
        <v/>
      </c>
      <c r="BD9" s="356" t="str">
        <f t="shared" si="3"/>
        <v/>
      </c>
      <c r="BE9" s="356" t="str">
        <f>IFERROR(AX9/(H4*AM9/1000)/60*1000*((1+(100-AZ9)/100)),"")</f>
        <v/>
      </c>
      <c r="BF9" s="356" t="str">
        <f>IFERROR(AW9*60/Q4,"")</f>
        <v/>
      </c>
      <c r="BG9" s="359"/>
      <c r="BH9" s="359"/>
      <c r="BI9" s="356" t="str">
        <f>IFERROR(BE9*O4/60+AW9,"")</f>
        <v/>
      </c>
      <c r="BJ9" s="356" t="str">
        <f t="shared" si="4"/>
        <v/>
      </c>
      <c r="BK9" s="357"/>
      <c r="BL9" s="357"/>
      <c r="BM9" s="356" t="str">
        <f t="shared" si="5"/>
        <v/>
      </c>
      <c r="BN9" s="356" t="str">
        <f t="shared" si="6"/>
        <v/>
      </c>
      <c r="BO9" s="356" t="str">
        <f t="shared" si="7"/>
        <v/>
      </c>
      <c r="BP9" s="356" t="str">
        <f t="shared" si="8"/>
        <v/>
      </c>
      <c r="BR9" s="376" t="s">
        <v>56</v>
      </c>
      <c r="BS9" s="355">
        <v>2</v>
      </c>
      <c r="BT9" s="355">
        <v>2.5</v>
      </c>
      <c r="BU9" s="378">
        <v>70</v>
      </c>
      <c r="CA9" s="16"/>
      <c r="CB9" s="16"/>
      <c r="CC9" s="16"/>
      <c r="CD9" s="16"/>
      <c r="CE9" s="16"/>
      <c r="CF9" s="50"/>
      <c r="CG9" s="376" t="s">
        <v>160</v>
      </c>
      <c r="CH9" s="376">
        <v>1</v>
      </c>
      <c r="CI9" s="376">
        <v>0</v>
      </c>
      <c r="CJ9"/>
      <c r="CK9"/>
      <c r="CL9" s="376" t="s">
        <v>82</v>
      </c>
      <c r="CM9" s="376">
        <v>90</v>
      </c>
      <c r="CN9"/>
      <c r="CO9"/>
      <c r="CP9" s="376" t="s">
        <v>82</v>
      </c>
      <c r="CQ9" s="376">
        <v>70</v>
      </c>
      <c r="CR9"/>
      <c r="CS9"/>
      <c r="CT9" s="376" t="s">
        <v>82</v>
      </c>
      <c r="CU9" s="376">
        <v>90</v>
      </c>
      <c r="CV9"/>
      <c r="CW9"/>
      <c r="CY9" s="5">
        <v>1.2</v>
      </c>
      <c r="CZ9" s="5">
        <v>19.05</v>
      </c>
      <c r="DA9" s="5" t="s">
        <v>13</v>
      </c>
      <c r="DB9" s="18"/>
      <c r="DC9" s="18"/>
      <c r="DD9" s="17"/>
      <c r="DE9" s="17"/>
      <c r="DF9" s="17"/>
      <c r="DG9" s="17"/>
    </row>
    <row r="10" spans="1:111" ht="19.5" thickBot="1" x14ac:dyDescent="0.25">
      <c r="BR10"/>
      <c r="BS10"/>
      <c r="BT10"/>
      <c r="BU10"/>
      <c r="BV10" s="361" t="s">
        <v>154</v>
      </c>
      <c r="BW10" s="361" t="s">
        <v>159</v>
      </c>
      <c r="BX10"/>
      <c r="BY10"/>
      <c r="BZ10" s="16"/>
      <c r="CA10" s="16"/>
      <c r="CB10" s="16"/>
      <c r="CC10" s="16"/>
      <c r="CD10" s="16"/>
      <c r="CE10" s="16"/>
      <c r="CF10" s="50"/>
      <c r="CG10" s="376" t="s">
        <v>161</v>
      </c>
      <c r="CH10" s="376">
        <v>2</v>
      </c>
      <c r="CI10" s="376">
        <v>1</v>
      </c>
      <c r="CJ10"/>
      <c r="CK10"/>
      <c r="CL10" s="376" t="s">
        <v>83</v>
      </c>
      <c r="CM10" s="376">
        <v>80</v>
      </c>
      <c r="CN10"/>
      <c r="CO10"/>
      <c r="CP10" s="376" t="s">
        <v>83</v>
      </c>
      <c r="CQ10" s="376">
        <v>65</v>
      </c>
      <c r="CR10"/>
      <c r="CS10"/>
      <c r="CT10" s="376" t="s">
        <v>83</v>
      </c>
      <c r="CU10" s="376">
        <v>80</v>
      </c>
      <c r="CV10"/>
      <c r="CW10"/>
      <c r="CY10" s="5">
        <v>1.25</v>
      </c>
      <c r="CZ10" s="5">
        <v>20.65</v>
      </c>
      <c r="DA10" s="5" t="s">
        <v>116</v>
      </c>
      <c r="DB10" s="18"/>
      <c r="DC10" s="18"/>
      <c r="DD10" s="17"/>
      <c r="DE10" s="17"/>
      <c r="DF10" s="22"/>
      <c r="DG10" s="18"/>
    </row>
    <row r="11" spans="1:111" ht="13.5" thickBot="1" x14ac:dyDescent="0.25">
      <c r="Y11" s="725"/>
      <c r="Z11" s="725"/>
      <c r="AA11" s="34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R11"/>
      <c r="BS11"/>
      <c r="BT11"/>
      <c r="BU11"/>
      <c r="BV11" s="376" t="s">
        <v>155</v>
      </c>
      <c r="BW11" s="376">
        <v>5</v>
      </c>
      <c r="BX11"/>
      <c r="BY11"/>
      <c r="BZ11" s="16"/>
      <c r="CA11" s="16"/>
      <c r="CB11" s="16"/>
      <c r="CC11" s="16"/>
      <c r="CD11" s="16"/>
      <c r="CE11" s="16"/>
      <c r="CF11" s="16"/>
      <c r="CG11"/>
      <c r="CH11"/>
      <c r="CI11"/>
      <c r="CJ11"/>
      <c r="CK11"/>
      <c r="CL11" s="376" t="s">
        <v>84</v>
      </c>
      <c r="CM11" s="376">
        <v>80</v>
      </c>
      <c r="CN11"/>
      <c r="CO11"/>
      <c r="CP11" s="376" t="s">
        <v>84</v>
      </c>
      <c r="CQ11" s="376">
        <v>60</v>
      </c>
      <c r="CR11"/>
      <c r="CS11"/>
      <c r="CT11" s="376" t="s">
        <v>84</v>
      </c>
      <c r="CU11" s="376">
        <v>80</v>
      </c>
      <c r="CV11"/>
      <c r="CW11"/>
      <c r="CY11" s="5">
        <v>1.5</v>
      </c>
      <c r="CZ11" s="5">
        <v>22.22</v>
      </c>
      <c r="DA11" s="5" t="s">
        <v>14</v>
      </c>
      <c r="DB11" s="18"/>
      <c r="DC11" s="18"/>
      <c r="DD11" s="17"/>
      <c r="DE11" s="17"/>
      <c r="DF11" s="22"/>
      <c r="DG11" s="18"/>
    </row>
    <row r="12" spans="1:111" ht="13.5" thickBot="1" x14ac:dyDescent="0.25">
      <c r="N12" s="53"/>
      <c r="BR12"/>
      <c r="BS12"/>
      <c r="BT12"/>
      <c r="BU12"/>
      <c r="BV12" s="376" t="s">
        <v>157</v>
      </c>
      <c r="BW12" s="376">
        <v>10</v>
      </c>
      <c r="BX12"/>
      <c r="BY12"/>
      <c r="BZ12" s="50"/>
      <c r="CA12" s="50"/>
      <c r="CB12" s="50"/>
      <c r="CC12" s="50"/>
      <c r="CD12" s="50"/>
      <c r="CE12" s="50"/>
      <c r="CF12" s="50"/>
      <c r="CG12" s="50"/>
      <c r="CH12" s="50"/>
      <c r="CI12" s="50"/>
      <c r="CJ12"/>
      <c r="CK12"/>
      <c r="CL12" s="376"/>
      <c r="CM12" s="376"/>
      <c r="CN12"/>
      <c r="CO12"/>
      <c r="CP12" s="376"/>
      <c r="CQ12" s="376"/>
      <c r="CR12"/>
      <c r="CS12"/>
      <c r="CT12" s="376"/>
      <c r="CU12" s="376"/>
      <c r="CV12"/>
      <c r="CW12"/>
      <c r="CY12" s="5">
        <v>1.45</v>
      </c>
      <c r="CZ12" s="5"/>
      <c r="DA12" s="5"/>
      <c r="DB12" s="171"/>
      <c r="DC12" s="171"/>
      <c r="DD12" s="170"/>
      <c r="DE12" s="170"/>
      <c r="DF12" s="172"/>
      <c r="DG12" s="171"/>
    </row>
    <row r="13" spans="1:111" ht="15.75" customHeight="1" thickBot="1" x14ac:dyDescent="0.25">
      <c r="BR13"/>
      <c r="BS13"/>
      <c r="BT13"/>
      <c r="BU13"/>
      <c r="BV13" s="376" t="s">
        <v>158</v>
      </c>
      <c r="BW13" s="376">
        <v>15</v>
      </c>
      <c r="BX13"/>
      <c r="BY13"/>
      <c r="CJ13"/>
      <c r="CK13"/>
      <c r="CN13"/>
      <c r="CO13"/>
      <c r="CP13"/>
      <c r="CQ13"/>
      <c r="CR13"/>
      <c r="CS13"/>
      <c r="CV13"/>
      <c r="CW13"/>
      <c r="CY13" s="5">
        <v>1.55</v>
      </c>
      <c r="CZ13" s="5">
        <v>25.4</v>
      </c>
      <c r="DA13" s="5" t="s">
        <v>15</v>
      </c>
    </row>
    <row r="14" spans="1:111" ht="13.5" thickBot="1" x14ac:dyDescent="0.25">
      <c r="AK14" s="28"/>
      <c r="BR14"/>
      <c r="BS14"/>
      <c r="BT14"/>
      <c r="BU14"/>
      <c r="BV14" s="376" t="s">
        <v>156</v>
      </c>
      <c r="BW14" s="376">
        <v>20</v>
      </c>
      <c r="BX14"/>
      <c r="BY14"/>
      <c r="CJ14"/>
      <c r="CK14"/>
      <c r="CN14"/>
      <c r="CO14"/>
      <c r="CR14"/>
      <c r="CS14"/>
      <c r="CV14"/>
      <c r="CW14"/>
      <c r="CY14" s="5">
        <v>1.8</v>
      </c>
      <c r="CZ14" s="5">
        <v>28.57</v>
      </c>
      <c r="DA14" s="5" t="s">
        <v>16</v>
      </c>
    </row>
    <row r="15" spans="1:111" ht="13.5" thickBot="1" x14ac:dyDescent="0.25">
      <c r="AK15" s="28"/>
      <c r="CJ15"/>
      <c r="CK15"/>
      <c r="CN15"/>
      <c r="CO15"/>
      <c r="CR15"/>
      <c r="CS15"/>
      <c r="CY15" s="5">
        <v>1.9</v>
      </c>
      <c r="CZ15" s="5">
        <v>31.75</v>
      </c>
      <c r="DA15" s="5" t="s">
        <v>17</v>
      </c>
    </row>
    <row r="16" spans="1:111" ht="13.5" thickBot="1" x14ac:dyDescent="0.25">
      <c r="BX16" s="19"/>
      <c r="BY16" s="21"/>
      <c r="BZ16" s="21"/>
      <c r="CN16"/>
      <c r="CO16"/>
      <c r="CR16"/>
      <c r="CS16"/>
      <c r="CY16" s="5">
        <v>1.95</v>
      </c>
      <c r="CZ16" s="5">
        <v>33.4</v>
      </c>
      <c r="DA16" s="5" t="s">
        <v>116</v>
      </c>
    </row>
    <row r="17" spans="12:105" ht="13.5" thickBot="1" x14ac:dyDescent="0.25">
      <c r="BX17" s="20"/>
      <c r="BY17" s="48"/>
      <c r="BZ17" s="6"/>
      <c r="CN17"/>
      <c r="CO17"/>
      <c r="CY17" s="5">
        <v>2</v>
      </c>
      <c r="CZ17" s="5">
        <v>33.700000000000003</v>
      </c>
      <c r="DA17" s="5" t="s">
        <v>116</v>
      </c>
    </row>
    <row r="18" spans="12:105" ht="13.5" thickBot="1" x14ac:dyDescent="0.25">
      <c r="L18" s="348"/>
      <c r="M18" s="348"/>
      <c r="CY18" s="5">
        <v>2.25</v>
      </c>
      <c r="CZ18" s="5">
        <v>34.93</v>
      </c>
      <c r="DA18" s="5" t="s">
        <v>18</v>
      </c>
    </row>
    <row r="19" spans="12:105" ht="13.5" thickBot="1" x14ac:dyDescent="0.25">
      <c r="L19" s="349"/>
      <c r="M19" s="348"/>
      <c r="CY19" s="5">
        <v>2.2999999999999998</v>
      </c>
      <c r="CZ19" s="5">
        <v>38.1</v>
      </c>
      <c r="DA19" s="5" t="s">
        <v>19</v>
      </c>
    </row>
    <row r="20" spans="12:105" ht="13.5" thickBot="1" x14ac:dyDescent="0.25">
      <c r="CY20" s="5">
        <v>2.65</v>
      </c>
      <c r="CZ20" s="5">
        <v>41.27</v>
      </c>
      <c r="DA20" s="5" t="s">
        <v>20</v>
      </c>
    </row>
    <row r="21" spans="12:105" ht="13.5" thickBot="1" x14ac:dyDescent="0.25">
      <c r="BV21" s="739"/>
      <c r="BW21" s="740"/>
      <c r="CY21" s="5">
        <v>2.7</v>
      </c>
      <c r="CZ21" s="5">
        <v>42.2</v>
      </c>
      <c r="DA21" s="5" t="s">
        <v>116</v>
      </c>
    </row>
    <row r="22" spans="12:105" ht="13.5" thickBot="1" x14ac:dyDescent="0.25">
      <c r="BV22" s="741"/>
      <c r="BW22" s="742"/>
      <c r="CY22" s="5">
        <v>3</v>
      </c>
      <c r="CZ22" s="5">
        <v>42.4</v>
      </c>
      <c r="DA22" s="5" t="s">
        <v>116</v>
      </c>
    </row>
    <row r="23" spans="12:105" ht="13.5" thickBot="1" x14ac:dyDescent="0.25">
      <c r="BV23" s="40"/>
      <c r="BW23" s="40"/>
      <c r="CY23" s="5">
        <v>3.35</v>
      </c>
      <c r="CZ23" s="5">
        <v>44.45</v>
      </c>
      <c r="DA23" s="5" t="s">
        <v>21</v>
      </c>
    </row>
    <row r="24" spans="12:105" ht="13.5" thickBot="1" x14ac:dyDescent="0.25">
      <c r="BV24" s="40"/>
      <c r="BW24" s="40"/>
      <c r="CY24" s="5">
        <v>3.75</v>
      </c>
      <c r="CZ24" s="5">
        <v>47.62</v>
      </c>
      <c r="DA24" s="5" t="s">
        <v>22</v>
      </c>
    </row>
    <row r="25" spans="12:105" ht="13.5" thickBot="1" x14ac:dyDescent="0.25">
      <c r="BV25" s="17"/>
      <c r="BW25" s="17"/>
      <c r="CY25" s="5">
        <v>4.25</v>
      </c>
      <c r="CZ25" s="5">
        <v>48.3</v>
      </c>
      <c r="DA25" s="5" t="s">
        <v>116</v>
      </c>
    </row>
    <row r="26" spans="12:105" ht="13.5" thickBot="1" x14ac:dyDescent="0.25">
      <c r="CY26" s="5">
        <v>4.5</v>
      </c>
      <c r="CZ26" s="5">
        <v>50.8</v>
      </c>
      <c r="DA26" s="5" t="s">
        <v>23</v>
      </c>
    </row>
    <row r="27" spans="12:105" ht="13.5" thickBot="1" x14ac:dyDescent="0.25">
      <c r="CY27" s="5">
        <v>4.75</v>
      </c>
      <c r="CZ27" s="5">
        <v>53.97</v>
      </c>
      <c r="DA27" s="5" t="s">
        <v>99</v>
      </c>
    </row>
    <row r="28" spans="12:105" ht="13.5" thickBot="1" x14ac:dyDescent="0.25">
      <c r="CY28" s="5">
        <v>5</v>
      </c>
      <c r="CZ28" s="5">
        <v>57.15</v>
      </c>
      <c r="DA28" s="5" t="s">
        <v>24</v>
      </c>
    </row>
    <row r="29" spans="12:105" ht="13.5" thickBot="1" x14ac:dyDescent="0.25">
      <c r="BR29" s="738"/>
      <c r="BS29" s="738"/>
      <c r="BT29" s="738"/>
      <c r="BU29" s="738"/>
      <c r="CY29" s="5">
        <v>5.4</v>
      </c>
      <c r="CZ29" s="5">
        <v>60.3</v>
      </c>
      <c r="DA29" s="5" t="s">
        <v>25</v>
      </c>
    </row>
    <row r="30" spans="12:105" ht="13.5" thickBot="1" x14ac:dyDescent="0.25">
      <c r="BR30" s="17"/>
      <c r="BS30" s="17"/>
      <c r="BT30" s="17"/>
      <c r="BU30" s="17"/>
      <c r="CY30" s="5">
        <v>6.3</v>
      </c>
      <c r="CZ30" s="5">
        <v>63.5</v>
      </c>
      <c r="DA30" s="5" t="s">
        <v>26</v>
      </c>
    </row>
    <row r="31" spans="12:105" ht="13.5" thickBot="1" x14ac:dyDescent="0.25">
      <c r="BR31" s="17"/>
      <c r="BS31" s="17"/>
      <c r="BT31" s="17"/>
      <c r="BU31" s="17"/>
      <c r="CY31" s="5">
        <v>7.3</v>
      </c>
      <c r="CZ31" s="5">
        <v>70</v>
      </c>
      <c r="DA31" s="5" t="s">
        <v>116</v>
      </c>
    </row>
    <row r="32" spans="12:105" ht="13.5" thickBot="1" x14ac:dyDescent="0.25">
      <c r="CY32" s="5">
        <v>8</v>
      </c>
      <c r="CZ32" s="5">
        <v>73.03</v>
      </c>
      <c r="DA32" s="5" t="s">
        <v>100</v>
      </c>
    </row>
    <row r="33" spans="103:105" ht="13.5" thickBot="1" x14ac:dyDescent="0.25">
      <c r="CY33" s="5">
        <v>8.18</v>
      </c>
      <c r="CZ33" s="5">
        <v>76.099999999999994</v>
      </c>
      <c r="DA33" s="5" t="s">
        <v>116</v>
      </c>
    </row>
    <row r="34" spans="103:105" ht="13.5" thickBot="1" x14ac:dyDescent="0.25">
      <c r="CY34" s="5">
        <v>8.56</v>
      </c>
      <c r="CZ34" s="5">
        <v>76.2</v>
      </c>
      <c r="DA34" s="5" t="s">
        <v>27</v>
      </c>
    </row>
    <row r="35" spans="103:105" ht="13.5" thickBot="1" x14ac:dyDescent="0.25">
      <c r="CZ35" s="5">
        <v>80</v>
      </c>
      <c r="DA35" s="5" t="s">
        <v>116</v>
      </c>
    </row>
    <row r="36" spans="103:105" ht="13.5" thickBot="1" x14ac:dyDescent="0.25">
      <c r="CZ36" s="5">
        <v>82.55</v>
      </c>
      <c r="DA36" s="5" t="s">
        <v>28</v>
      </c>
    </row>
    <row r="37" spans="103:105" ht="13.5" thickBot="1" x14ac:dyDescent="0.25">
      <c r="CZ37" s="5">
        <v>88.9</v>
      </c>
      <c r="DA37" s="5" t="s">
        <v>29</v>
      </c>
    </row>
    <row r="38" spans="103:105" ht="13.5" thickBot="1" x14ac:dyDescent="0.25">
      <c r="CZ38" s="5">
        <v>95.25</v>
      </c>
      <c r="DA38" s="5" t="s">
        <v>101</v>
      </c>
    </row>
    <row r="39" spans="103:105" ht="13.5" thickBot="1" x14ac:dyDescent="0.25">
      <c r="CZ39" s="5">
        <v>101.6</v>
      </c>
      <c r="DA39" s="5" t="s">
        <v>30</v>
      </c>
    </row>
    <row r="40" spans="103:105" ht="13.5" thickBot="1" x14ac:dyDescent="0.25">
      <c r="CZ40" s="5">
        <v>111.13</v>
      </c>
      <c r="DA40" s="5" t="s">
        <v>113</v>
      </c>
    </row>
    <row r="41" spans="103:105" ht="13.5" thickBot="1" x14ac:dyDescent="0.25">
      <c r="CZ41" s="5">
        <v>114.3</v>
      </c>
      <c r="DA41" s="5" t="s">
        <v>31</v>
      </c>
    </row>
    <row r="42" spans="103:105" ht="13.5" thickBot="1" x14ac:dyDescent="0.25">
      <c r="CZ42" s="5">
        <v>122</v>
      </c>
      <c r="DA42" s="5" t="s">
        <v>115</v>
      </c>
    </row>
    <row r="43" spans="103:105" ht="13.5" thickBot="1" x14ac:dyDescent="0.25">
      <c r="CZ43" s="5">
        <v>123.83</v>
      </c>
      <c r="DA43" s="5" t="s">
        <v>114</v>
      </c>
    </row>
    <row r="44" spans="103:105" ht="13.5" thickBot="1" x14ac:dyDescent="0.25">
      <c r="CZ44" s="5">
        <v>127</v>
      </c>
      <c r="DA44" s="5" t="s">
        <v>32</v>
      </c>
    </row>
    <row r="45" spans="103:105" ht="13.5" thickBot="1" x14ac:dyDescent="0.25">
      <c r="CZ45" s="5">
        <v>139.69999999999999</v>
      </c>
      <c r="DA45" s="5" t="s">
        <v>33</v>
      </c>
    </row>
    <row r="46" spans="103:105" ht="13.5" thickBot="1" x14ac:dyDescent="0.25">
      <c r="CZ46" s="5">
        <v>152.4</v>
      </c>
      <c r="DA46" s="5" t="s">
        <v>34</v>
      </c>
    </row>
    <row r="47" spans="103:105" ht="13.5" thickBot="1" x14ac:dyDescent="0.25">
      <c r="CZ47" s="5">
        <v>165.1</v>
      </c>
      <c r="DA47" s="5" t="s">
        <v>116</v>
      </c>
    </row>
    <row r="48" spans="103:105" ht="13.5" thickBot="1" x14ac:dyDescent="0.25">
      <c r="CZ48" s="5">
        <v>168.3</v>
      </c>
      <c r="DA48" s="5" t="s">
        <v>35</v>
      </c>
    </row>
    <row r="49" spans="104:105" ht="13.5" thickBot="1" x14ac:dyDescent="0.25">
      <c r="CZ49" s="5">
        <v>193.7</v>
      </c>
      <c r="DA49" s="5" t="s">
        <v>36</v>
      </c>
    </row>
    <row r="50" spans="104:105" ht="13.5" thickBot="1" x14ac:dyDescent="0.25">
      <c r="CZ50" s="5">
        <v>219.1</v>
      </c>
      <c r="DA50" s="5" t="s">
        <v>37</v>
      </c>
    </row>
    <row r="51" spans="104:105" ht="13.5" thickBot="1" x14ac:dyDescent="0.25">
      <c r="CZ51" s="5">
        <v>273.05</v>
      </c>
      <c r="DA51" s="5" t="s">
        <v>38</v>
      </c>
    </row>
  </sheetData>
  <dataConsolidate/>
  <mergeCells count="85">
    <mergeCell ref="B1:Q1"/>
    <mergeCell ref="O2:O3"/>
    <mergeCell ref="Q2:Q3"/>
    <mergeCell ref="P2:P3"/>
    <mergeCell ref="E2:E3"/>
    <mergeCell ref="B2:B3"/>
    <mergeCell ref="D2:D3"/>
    <mergeCell ref="F2:F3"/>
    <mergeCell ref="G2:G3"/>
    <mergeCell ref="J2:J3"/>
    <mergeCell ref="L2:L3"/>
    <mergeCell ref="H2:H3"/>
    <mergeCell ref="C2:C3"/>
    <mergeCell ref="Z2:Z3"/>
    <mergeCell ref="S2:S3"/>
    <mergeCell ref="K2:K3"/>
    <mergeCell ref="N2:N3"/>
    <mergeCell ref="I2:I3"/>
    <mergeCell ref="M2:M3"/>
    <mergeCell ref="R2:R3"/>
    <mergeCell ref="T2:U2"/>
    <mergeCell ref="W2:W3"/>
    <mergeCell ref="X2:X3"/>
    <mergeCell ref="Y2:Y3"/>
    <mergeCell ref="BR29:BU29"/>
    <mergeCell ref="CL7:CM7"/>
    <mergeCell ref="BV2:BZ2"/>
    <mergeCell ref="BV21:BW22"/>
    <mergeCell ref="CG7:CI7"/>
    <mergeCell ref="CA2:CF2"/>
    <mergeCell ref="CG2:CK2"/>
    <mergeCell ref="CL2:CO2"/>
    <mergeCell ref="CY1:DA1"/>
    <mergeCell ref="CY2:DA2"/>
    <mergeCell ref="BG2:BG3"/>
    <mergeCell ref="BH2:BH3"/>
    <mergeCell ref="BI2:BI3"/>
    <mergeCell ref="BR2:BU2"/>
    <mergeCell ref="AJ1:BP1"/>
    <mergeCell ref="AJ2:AJ3"/>
    <mergeCell ref="AS2:AS3"/>
    <mergeCell ref="AQ2:AQ3"/>
    <mergeCell ref="AU2:AV2"/>
    <mergeCell ref="AK2:AK3"/>
    <mergeCell ref="AO2:AO3"/>
    <mergeCell ref="AL2:AL3"/>
    <mergeCell ref="AN2:AN3"/>
    <mergeCell ref="BR1:CW1"/>
    <mergeCell ref="AX2:AX3"/>
    <mergeCell ref="CP2:CS2"/>
    <mergeCell ref="CT2:CW2"/>
    <mergeCell ref="AT2:AT3"/>
    <mergeCell ref="BE2:BE3"/>
    <mergeCell ref="BO2:BO3"/>
    <mergeCell ref="AW2:AW3"/>
    <mergeCell ref="BA2:BA3"/>
    <mergeCell ref="BN2:BN3"/>
    <mergeCell ref="BF2:BF3"/>
    <mergeCell ref="AY2:AY3"/>
    <mergeCell ref="AZ2:AZ3"/>
    <mergeCell ref="CT7:CU7"/>
    <mergeCell ref="BM2:BM3"/>
    <mergeCell ref="BB2:BB3"/>
    <mergeCell ref="BC2:BC3"/>
    <mergeCell ref="BD2:BD3"/>
    <mergeCell ref="BL2:BL3"/>
    <mergeCell ref="CP7:CQ7"/>
    <mergeCell ref="BP2:BP3"/>
    <mergeCell ref="BK2:BK3"/>
    <mergeCell ref="Y11:Z11"/>
    <mergeCell ref="BJ2:BJ3"/>
    <mergeCell ref="R1:AI1"/>
    <mergeCell ref="AE2:AE3"/>
    <mergeCell ref="AF2:AF3"/>
    <mergeCell ref="V2:V3"/>
    <mergeCell ref="AC2:AC3"/>
    <mergeCell ref="AI2:AI3"/>
    <mergeCell ref="AR2:AR3"/>
    <mergeCell ref="AA2:AA3"/>
    <mergeCell ref="AD2:AD3"/>
    <mergeCell ref="AB2:AB3"/>
    <mergeCell ref="AM2:AM3"/>
    <mergeCell ref="AP2:AP3"/>
    <mergeCell ref="AH2:AH3"/>
    <mergeCell ref="AG2:AG3"/>
  </mergeCells>
  <conditionalFormatting sqref="I4 L4:M4 AY4:AY9 BM4:BP9">
    <cfRule type="cellIs" dxfId="148" priority="150" operator="equal">
      <formula>0</formula>
    </cfRule>
  </conditionalFormatting>
  <conditionalFormatting sqref="AM4:AM9">
    <cfRule type="cellIs" dxfId="147" priority="126" operator="lessThan">
      <formula>$J$4</formula>
    </cfRule>
  </conditionalFormatting>
  <conditionalFormatting sqref="AN6:AN9">
    <cfRule type="cellIs" dxfId="146" priority="73" operator="equal">
      <formula>0</formula>
    </cfRule>
  </conditionalFormatting>
  <conditionalFormatting sqref="O4:P4">
    <cfRule type="cellIs" dxfId="145" priority="69" operator="equal">
      <formula>0</formula>
    </cfRule>
    <cfRule type="containsErrors" dxfId="144" priority="154">
      <formula>ISERROR(O4)</formula>
    </cfRule>
  </conditionalFormatting>
  <conditionalFormatting sqref="I4">
    <cfRule type="cellIs" dxfId="143" priority="32" operator="greaterThan">
      <formula>18</formula>
    </cfRule>
  </conditionalFormatting>
  <conditionalFormatting sqref="L4">
    <cfRule type="cellIs" dxfId="142" priority="31" operator="greaterThan">
      <formula>100</formula>
    </cfRule>
  </conditionalFormatting>
  <conditionalFormatting sqref="AJ4:AJ9">
    <cfRule type="containsErrors" dxfId="141" priority="19">
      <formula>ISERROR(AJ4)</formula>
    </cfRule>
  </conditionalFormatting>
  <conditionalFormatting sqref="G4:H4">
    <cfRule type="cellIs" dxfId="140" priority="3" operator="equal">
      <formula>0</formula>
    </cfRule>
  </conditionalFormatting>
  <conditionalFormatting sqref="H4">
    <cfRule type="cellIs" dxfId="139" priority="2" operator="greaterThan">
      <formula>18</formula>
    </cfRule>
  </conditionalFormatting>
  <dataValidations count="16">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M4:AM9">
      <formula1>J4</formula1>
    </dataValidation>
    <dataValidation type="list" allowBlank="1" showInputMessage="1" showErrorMessage="1" sqref="R4">
      <formula1>$BR$4:$BR$9</formula1>
    </dataValidation>
    <dataValidation allowBlank="1" showInputMessage="1" sqref="E4"/>
    <dataValidation type="list" errorStyle="warning" allowBlank="1" showInputMessage="1" showErrorMessage="1" errorTitle="Espessura" error="Esta espessura não esta cadastrada!" sqref="F4">
      <formula1>$CY$4:$CY$34</formula1>
    </dataValidation>
    <dataValidation type="list" errorStyle="warning" allowBlank="1" showInputMessage="1" showErrorMessage="1" errorTitle="Bitola de Origem" error="Esta Bitola de Origem não existe!" sqref="D4">
      <formula1>$CZ$4:$CZ$51</formula1>
    </dataValidation>
    <dataValidation type="list" allowBlank="1" showInputMessage="1" showErrorMessage="1" sqref="AL6:AL7">
      <formula1>$CL$9:$CL$11</formula1>
    </dataValidation>
    <dataValidation type="list" allowBlank="1" showInputMessage="1" showErrorMessage="1" sqref="AK8">
      <formula1>$CP$4:$CP$5</formula1>
    </dataValidation>
    <dataValidation type="list" allowBlank="1" showInputMessage="1" showErrorMessage="1" sqref="AL8">
      <formula1>$CP$9:$CP$11</formula1>
    </dataValidation>
    <dataValidation type="list" allowBlank="1" showInputMessage="1" showErrorMessage="1" sqref="AK9">
      <formula1>$CT$4</formula1>
    </dataValidation>
    <dataValidation type="list" allowBlank="1" showInputMessage="1" showErrorMessage="1" sqref="AL9">
      <formula1>$CT$9:$CT$11</formula1>
    </dataValidation>
    <dataValidation operator="greaterThanOrEqual" allowBlank="1" showInputMessage="1" promptTitle="Sucata de Processo" prompt="Sucata referente a furações, rasgos, corte em ângulo etc." sqref="AN6:AN9"/>
    <dataValidation type="list" allowBlank="1" showInputMessage="1" showErrorMessage="1" sqref="AK7">
      <formula1>$CL$4:$CL$6</formula1>
    </dataValidation>
    <dataValidation type="list" allowBlank="1" showInputMessage="1" showErrorMessage="1" sqref="AK5">
      <formula1>$CA$4:$CA$5</formula1>
    </dataValidation>
    <dataValidation type="list" allowBlank="1" showInputMessage="1" showErrorMessage="1" sqref="AK4">
      <formula1>$BV$4</formula1>
    </dataValidation>
    <dataValidation type="list" allowBlank="1" showInputMessage="1" showErrorMessage="1" sqref="AK6">
      <formula1>$CG$4:$CG$5</formula1>
    </dataValidation>
    <dataValidation type="list" allowBlank="1" showInputMessage="1" showErrorMessage="1" sqref="AL4">
      <formula1>$BV$11:$BV$14</formula1>
    </dataValidation>
  </dataValidations>
  <hyperlinks>
    <hyperlink ref="D2" location="'Bitola de Origem'!A1" display="'Bitola de Origem'!A1"/>
    <hyperlink ref="K2:K3" location="'Estimar Perdas'!A1" display="'Estimar Perdas'!A1"/>
  </hyperlinks>
  <pageMargins left="0.511811024" right="0.511811024" top="0.78740157499999996" bottom="0.78740157499999996" header="0.31496062000000002" footer="0.31496062000000002"/>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theme="0" tint="-0.34998626667073579"/>
  </sheetPr>
  <dimension ref="B1:DE34"/>
  <sheetViews>
    <sheetView showGridLines="0" workbookViewId="0">
      <pane xSplit="3" ySplit="4" topLeftCell="M5" activePane="bottomRight" state="frozen"/>
      <selection activeCell="AQ5" sqref="AQ5:AQ6"/>
      <selection pane="topRight" activeCell="AQ5" sqref="AQ5:AQ6"/>
      <selection pane="bottomLeft" activeCell="AQ5" sqref="AQ5:AQ6"/>
      <selection pane="bottomRight" activeCell="AQ5" sqref="AQ5:AQ6"/>
    </sheetView>
  </sheetViews>
  <sheetFormatPr defaultRowHeight="12.75" x14ac:dyDescent="0.2"/>
  <cols>
    <col min="1" max="1" width="2.140625" style="2" customWidth="1"/>
    <col min="2" max="2" width="9.140625" style="2"/>
    <col min="3" max="3" width="54.140625" style="2" customWidth="1"/>
    <col min="4" max="4" width="11.85546875" style="2" customWidth="1"/>
    <col min="5" max="5" width="15.140625" style="2" customWidth="1"/>
    <col min="6" max="6" width="11.7109375" style="2" customWidth="1"/>
    <col min="7" max="9" width="13.5703125" style="2" customWidth="1"/>
    <col min="10" max="11" width="13.85546875" style="2" customWidth="1"/>
    <col min="12" max="14" width="10.7109375" style="2" customWidth="1"/>
    <col min="15" max="15" width="17.140625" style="2" customWidth="1"/>
    <col min="16" max="16" width="9.7109375" style="2" customWidth="1"/>
    <col min="17" max="17" width="11.140625" style="2" customWidth="1"/>
    <col min="18" max="18" width="13.42578125" style="2" customWidth="1"/>
    <col min="19" max="19" width="15.7109375" style="2" customWidth="1"/>
    <col min="20" max="20" width="13.42578125" style="2" customWidth="1"/>
    <col min="21" max="21" width="13.140625" style="2" customWidth="1"/>
    <col min="22" max="22" width="13.42578125" style="2" customWidth="1"/>
    <col min="23" max="23" width="14.140625" style="2" customWidth="1"/>
    <col min="24" max="24" width="12.85546875" style="2" customWidth="1"/>
    <col min="25" max="25" width="12.140625" style="2" customWidth="1"/>
    <col min="26" max="26" width="10.5703125" style="2" customWidth="1"/>
    <col min="27" max="27" width="19.42578125" style="2" customWidth="1"/>
    <col min="28" max="28" width="13.85546875" style="2" customWidth="1"/>
    <col min="29" max="29" width="18.5703125" style="2" customWidth="1"/>
    <col min="30" max="30" width="16.85546875" style="2" customWidth="1"/>
    <col min="31" max="31" width="11.85546875" style="2" customWidth="1"/>
    <col min="32" max="32" width="14.140625" style="2" customWidth="1"/>
    <col min="33" max="33" width="18.85546875" style="2" customWidth="1"/>
    <col min="34" max="34" width="20.140625" style="2" customWidth="1"/>
    <col min="35" max="37" width="18.85546875" style="2" customWidth="1"/>
    <col min="38" max="40" width="20.85546875" style="2" customWidth="1"/>
    <col min="41" max="41" width="19.85546875" style="2" customWidth="1"/>
    <col min="42" max="42" width="12.5703125" style="2" customWidth="1"/>
    <col min="43" max="43" width="15" style="2" customWidth="1"/>
    <col min="44" max="45" width="24.7109375" style="2" customWidth="1"/>
    <col min="46" max="46" width="11.7109375" style="2" customWidth="1"/>
    <col min="47" max="47" width="15.140625" style="2" customWidth="1"/>
    <col min="48" max="48" width="23.7109375" style="2" customWidth="1"/>
    <col min="49" max="49" width="11.85546875" style="2" customWidth="1"/>
    <col min="50" max="50" width="22.140625" style="2" customWidth="1"/>
    <col min="51" max="51" width="9.5703125" style="2" customWidth="1"/>
    <col min="52" max="52" width="6.85546875" style="2" customWidth="1"/>
    <col min="53" max="53" width="7.42578125" style="2" customWidth="1"/>
    <col min="54" max="54" width="13.42578125" style="2" customWidth="1"/>
    <col min="55" max="55" width="17.28515625" style="2" customWidth="1"/>
    <col min="56" max="56" width="16" style="2" customWidth="1"/>
    <col min="57" max="57" width="10.5703125" style="2" customWidth="1"/>
    <col min="58" max="58" width="14" style="2" customWidth="1"/>
    <col min="59" max="59" width="18.42578125" style="2" customWidth="1"/>
    <col min="60" max="61" width="15.28515625" style="2" customWidth="1"/>
    <col min="62" max="73" width="20.85546875" style="2" customWidth="1"/>
    <col min="74" max="74" width="9.140625" style="2"/>
    <col min="75" max="75" width="16.42578125" style="2" customWidth="1"/>
    <col min="76" max="76" width="0.42578125" style="2" customWidth="1"/>
    <col min="77" max="77" width="13" style="2" customWidth="1"/>
    <col min="78" max="78" width="10.28515625" style="2" customWidth="1"/>
    <col min="79" max="79" width="26.85546875" style="2" customWidth="1"/>
    <col min="80" max="80" width="27.8554687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97" width="9.140625" style="2"/>
    <col min="98" max="98" width="10.7109375" style="2" customWidth="1"/>
    <col min="99" max="16384" width="9.140625" style="2"/>
  </cols>
  <sheetData>
    <row r="1" spans="2:109" ht="21" customHeight="1" thickBot="1" x14ac:dyDescent="0.25"/>
    <row r="2" spans="2:109" ht="13.5" thickBot="1" x14ac:dyDescent="0.25">
      <c r="B2" s="750" t="s">
        <v>0</v>
      </c>
      <c r="C2" s="750"/>
      <c r="D2" s="750"/>
      <c r="E2" s="750"/>
      <c r="F2" s="750"/>
      <c r="G2" s="750"/>
      <c r="H2" s="750"/>
      <c r="I2" s="750"/>
      <c r="J2" s="750"/>
      <c r="K2" s="750"/>
      <c r="L2" s="750"/>
      <c r="M2" s="750"/>
      <c r="N2" s="751"/>
      <c r="O2" s="751"/>
      <c r="P2" s="752" t="s">
        <v>39</v>
      </c>
      <c r="Q2" s="750"/>
      <c r="R2" s="750"/>
      <c r="S2" s="750"/>
      <c r="T2" s="750"/>
      <c r="U2" s="750"/>
      <c r="V2" s="750"/>
      <c r="W2" s="750"/>
      <c r="X2" s="750"/>
      <c r="Y2" s="750"/>
      <c r="Z2" s="750"/>
      <c r="AA2" s="750"/>
      <c r="AB2" s="750"/>
      <c r="AC2" s="750"/>
      <c r="AD2" s="750"/>
      <c r="AE2" s="750"/>
      <c r="AF2" s="750"/>
      <c r="AG2" s="750"/>
      <c r="AH2" s="750"/>
      <c r="AI2" s="750"/>
      <c r="AJ2" s="750"/>
      <c r="AK2" s="750"/>
      <c r="AL2" s="751"/>
      <c r="AM2" s="97"/>
      <c r="AN2" s="62"/>
      <c r="AO2" s="753" t="s">
        <v>68</v>
      </c>
      <c r="AP2" s="754"/>
      <c r="AQ2" s="754"/>
      <c r="AR2" s="754"/>
      <c r="AS2" s="754"/>
      <c r="AT2" s="754"/>
      <c r="AU2" s="754"/>
      <c r="AV2" s="754"/>
      <c r="AW2" s="754"/>
      <c r="AX2" s="754"/>
      <c r="AY2" s="754"/>
      <c r="AZ2" s="754"/>
      <c r="BA2" s="754"/>
      <c r="BB2" s="754"/>
      <c r="BC2" s="754"/>
      <c r="BD2" s="754"/>
      <c r="BE2" s="754"/>
      <c r="BF2" s="754"/>
      <c r="BG2" s="754"/>
      <c r="BH2" s="754"/>
      <c r="BI2" s="754"/>
      <c r="BJ2" s="754"/>
      <c r="BK2" s="754"/>
      <c r="BL2" s="754"/>
      <c r="BM2" s="754"/>
      <c r="BN2" s="754"/>
      <c r="BO2" s="754"/>
      <c r="BP2" s="754"/>
      <c r="BQ2" s="754"/>
      <c r="BR2" s="754"/>
      <c r="BS2" s="754"/>
      <c r="BT2" s="754"/>
      <c r="BU2" s="755"/>
      <c r="BW2" s="102" t="s">
        <v>94</v>
      </c>
      <c r="BX2" s="103"/>
      <c r="BY2" s="756" t="s">
        <v>67</v>
      </c>
      <c r="BZ2" s="756"/>
      <c r="CA2" s="756"/>
      <c r="CB2" s="756"/>
      <c r="CC2" s="756"/>
      <c r="CD2" s="756"/>
      <c r="CE2" s="756"/>
      <c r="CF2" s="756"/>
      <c r="CG2" s="756"/>
      <c r="CH2" s="756"/>
      <c r="CI2" s="756"/>
      <c r="CJ2" s="756"/>
      <c r="CK2" s="756"/>
      <c r="CL2" s="756"/>
      <c r="CM2" s="756"/>
      <c r="CN2" s="756"/>
      <c r="CO2" s="756"/>
      <c r="CP2" s="756"/>
      <c r="CQ2" s="756"/>
      <c r="CR2" s="756"/>
      <c r="CS2" s="756"/>
      <c r="CT2" s="756"/>
      <c r="CU2" s="756"/>
      <c r="CV2" s="756"/>
      <c r="CW2" s="756"/>
      <c r="CX2" s="756"/>
      <c r="CY2" s="756"/>
      <c r="CZ2" s="756"/>
      <c r="DA2" s="756"/>
      <c r="DB2" s="756"/>
      <c r="DC2" s="756"/>
      <c r="DD2" s="756"/>
      <c r="DE2" s="756"/>
    </row>
    <row r="3" spans="2:109" ht="18" customHeight="1" thickBot="1" x14ac:dyDescent="0.25">
      <c r="B3" s="761" t="s">
        <v>1</v>
      </c>
      <c r="C3" s="761" t="s">
        <v>2</v>
      </c>
      <c r="D3" s="757" t="s">
        <v>4</v>
      </c>
      <c r="E3" s="757" t="s">
        <v>170</v>
      </c>
      <c r="F3" s="757" t="s">
        <v>5</v>
      </c>
      <c r="G3" s="757" t="s">
        <v>74</v>
      </c>
      <c r="H3" s="757" t="s">
        <v>169</v>
      </c>
      <c r="I3" s="757" t="s">
        <v>76</v>
      </c>
      <c r="J3" s="757" t="s">
        <v>6</v>
      </c>
      <c r="K3" s="757" t="s">
        <v>75</v>
      </c>
      <c r="L3" s="757" t="s">
        <v>7</v>
      </c>
      <c r="M3" s="757" t="s">
        <v>87</v>
      </c>
      <c r="N3" s="757" t="s">
        <v>260</v>
      </c>
      <c r="O3" s="760" t="s">
        <v>8</v>
      </c>
      <c r="P3" s="762" t="s">
        <v>49</v>
      </c>
      <c r="Q3" s="757" t="s">
        <v>104</v>
      </c>
      <c r="R3" s="757" t="s">
        <v>105</v>
      </c>
      <c r="S3" s="759" t="s">
        <v>109</v>
      </c>
      <c r="T3" s="758" t="s">
        <v>106</v>
      </c>
      <c r="U3" s="758" t="s">
        <v>219</v>
      </c>
      <c r="V3" s="757" t="s">
        <v>583</v>
      </c>
      <c r="W3" s="757"/>
      <c r="X3" s="757" t="s">
        <v>66</v>
      </c>
      <c r="Y3" s="757" t="s">
        <v>41</v>
      </c>
      <c r="Z3" s="757" t="s">
        <v>42</v>
      </c>
      <c r="AA3" s="757" t="s">
        <v>108</v>
      </c>
      <c r="AB3" s="757" t="s">
        <v>112</v>
      </c>
      <c r="AC3" s="757" t="s">
        <v>48</v>
      </c>
      <c r="AD3" s="757" t="s">
        <v>45</v>
      </c>
      <c r="AE3" s="757" t="s">
        <v>171</v>
      </c>
      <c r="AF3" s="757" t="s">
        <v>65</v>
      </c>
      <c r="AG3" s="757" t="s">
        <v>46</v>
      </c>
      <c r="AH3" s="757" t="s">
        <v>47</v>
      </c>
      <c r="AI3" s="757" t="s">
        <v>91</v>
      </c>
      <c r="AJ3" s="757" t="s">
        <v>92</v>
      </c>
      <c r="AK3" s="757" t="s">
        <v>90</v>
      </c>
      <c r="AL3" s="760" t="s">
        <v>93</v>
      </c>
      <c r="AM3" s="760" t="s">
        <v>218</v>
      </c>
      <c r="AN3" s="760" t="s">
        <v>256</v>
      </c>
      <c r="AO3" s="765" t="s">
        <v>143</v>
      </c>
      <c r="AP3" s="757" t="s">
        <v>49</v>
      </c>
      <c r="AQ3" s="763" t="s">
        <v>78</v>
      </c>
      <c r="AR3" s="763" t="s">
        <v>152</v>
      </c>
      <c r="AS3" s="763" t="s">
        <v>164</v>
      </c>
      <c r="AT3" s="763" t="s">
        <v>71</v>
      </c>
      <c r="AU3" s="763" t="s">
        <v>151</v>
      </c>
      <c r="AV3" s="763" t="s">
        <v>162</v>
      </c>
      <c r="AW3" s="763" t="s">
        <v>73</v>
      </c>
      <c r="AX3" s="763" t="s">
        <v>77</v>
      </c>
      <c r="AY3" s="757" t="s">
        <v>62</v>
      </c>
      <c r="AZ3" s="757" t="s">
        <v>40</v>
      </c>
      <c r="BA3" s="757"/>
      <c r="BB3" s="757" t="s">
        <v>66</v>
      </c>
      <c r="BC3" s="757" t="s">
        <v>79</v>
      </c>
      <c r="BD3" s="757" t="s">
        <v>86</v>
      </c>
      <c r="BE3" s="757" t="s">
        <v>42</v>
      </c>
      <c r="BF3" s="757" t="s">
        <v>185</v>
      </c>
      <c r="BG3" s="757" t="s">
        <v>48</v>
      </c>
      <c r="BH3" s="757" t="s">
        <v>45</v>
      </c>
      <c r="BI3" s="757" t="s">
        <v>65</v>
      </c>
      <c r="BJ3" s="757" t="s">
        <v>46</v>
      </c>
      <c r="BK3" s="757" t="s">
        <v>47</v>
      </c>
      <c r="BL3" s="757" t="s">
        <v>91</v>
      </c>
      <c r="BM3" s="757" t="s">
        <v>92</v>
      </c>
      <c r="BN3" s="757" t="s">
        <v>90</v>
      </c>
      <c r="BO3" s="757" t="s">
        <v>93</v>
      </c>
      <c r="BP3" s="757" t="s">
        <v>117</v>
      </c>
      <c r="BQ3" s="757" t="s">
        <v>118</v>
      </c>
      <c r="BR3" s="757" t="s">
        <v>119</v>
      </c>
      <c r="BS3" s="757" t="s">
        <v>120</v>
      </c>
      <c r="BT3" s="757" t="s">
        <v>121</v>
      </c>
      <c r="BU3" s="757" t="s">
        <v>122</v>
      </c>
      <c r="BW3" s="104" t="s">
        <v>103</v>
      </c>
      <c r="BX3" s="103"/>
      <c r="BY3" s="767" t="s">
        <v>39</v>
      </c>
      <c r="BZ3" s="767"/>
      <c r="CA3" s="767"/>
      <c r="CB3" s="767"/>
      <c r="CC3" s="767"/>
      <c r="CD3" s="767" t="s">
        <v>145</v>
      </c>
      <c r="CE3" s="767"/>
      <c r="CF3" s="767"/>
      <c r="CG3" s="767"/>
      <c r="CH3" s="767"/>
      <c r="CI3" s="767" t="s">
        <v>150</v>
      </c>
      <c r="CJ3" s="767"/>
      <c r="CK3" s="767"/>
      <c r="CL3" s="767"/>
      <c r="CM3" s="767"/>
      <c r="CN3" s="767"/>
      <c r="CO3" s="767" t="s">
        <v>553</v>
      </c>
      <c r="CP3" s="767"/>
      <c r="CQ3" s="767"/>
      <c r="CR3" s="767"/>
      <c r="CS3" s="767"/>
      <c r="CT3" s="767" t="s">
        <v>146</v>
      </c>
      <c r="CU3" s="767"/>
      <c r="CV3" s="767"/>
      <c r="CW3" s="767"/>
      <c r="CX3" s="767" t="s">
        <v>554</v>
      </c>
      <c r="CY3" s="767"/>
      <c r="CZ3" s="767"/>
      <c r="DA3" s="767"/>
      <c r="DB3" s="767" t="s">
        <v>70</v>
      </c>
      <c r="DC3" s="767"/>
      <c r="DD3" s="767"/>
      <c r="DE3" s="767"/>
    </row>
    <row r="4" spans="2:109" ht="21.75" customHeight="1" thickBot="1" x14ac:dyDescent="0.3">
      <c r="B4" s="761"/>
      <c r="C4" s="761"/>
      <c r="D4" s="757"/>
      <c r="E4" s="757"/>
      <c r="F4" s="757"/>
      <c r="G4" s="757"/>
      <c r="H4" s="757"/>
      <c r="I4" s="757"/>
      <c r="J4" s="757"/>
      <c r="K4" s="757"/>
      <c r="L4" s="757"/>
      <c r="M4" s="757"/>
      <c r="N4" s="757"/>
      <c r="O4" s="760"/>
      <c r="P4" s="762"/>
      <c r="Q4" s="757"/>
      <c r="R4" s="757"/>
      <c r="S4" s="759"/>
      <c r="T4" s="758"/>
      <c r="U4" s="758"/>
      <c r="V4" s="3" t="s">
        <v>43</v>
      </c>
      <c r="W4" s="3" t="s">
        <v>63</v>
      </c>
      <c r="X4" s="757"/>
      <c r="Y4" s="757"/>
      <c r="Z4" s="757"/>
      <c r="AA4" s="757"/>
      <c r="AB4" s="757"/>
      <c r="AC4" s="757"/>
      <c r="AD4" s="757"/>
      <c r="AE4" s="757"/>
      <c r="AF4" s="757"/>
      <c r="AG4" s="757"/>
      <c r="AH4" s="757"/>
      <c r="AI4" s="757"/>
      <c r="AJ4" s="757"/>
      <c r="AK4" s="757"/>
      <c r="AL4" s="760"/>
      <c r="AM4" s="760"/>
      <c r="AN4" s="760"/>
      <c r="AO4" s="766"/>
      <c r="AP4" s="757"/>
      <c r="AQ4" s="764"/>
      <c r="AR4" s="764"/>
      <c r="AS4" s="764"/>
      <c r="AT4" s="764"/>
      <c r="AU4" s="764"/>
      <c r="AV4" s="764"/>
      <c r="AW4" s="764"/>
      <c r="AX4" s="764"/>
      <c r="AY4" s="757"/>
      <c r="AZ4" s="3" t="s">
        <v>80</v>
      </c>
      <c r="BA4" s="3" t="s">
        <v>44</v>
      </c>
      <c r="BB4" s="757"/>
      <c r="BC4" s="757"/>
      <c r="BD4" s="757"/>
      <c r="BE4" s="757"/>
      <c r="BF4" s="757"/>
      <c r="BG4" s="757"/>
      <c r="BH4" s="757"/>
      <c r="BI4" s="757"/>
      <c r="BJ4" s="757"/>
      <c r="BK4" s="757"/>
      <c r="BL4" s="757"/>
      <c r="BM4" s="757"/>
      <c r="BN4" s="757"/>
      <c r="BO4" s="757"/>
      <c r="BP4" s="757"/>
      <c r="BQ4" s="757"/>
      <c r="BR4" s="757"/>
      <c r="BS4" s="757"/>
      <c r="BT4" s="757"/>
      <c r="BU4" s="757"/>
      <c r="BW4" s="104" t="s">
        <v>95</v>
      </c>
      <c r="BX4" s="103"/>
      <c r="BY4" s="104" t="s">
        <v>49</v>
      </c>
      <c r="BZ4" s="104" t="s">
        <v>50</v>
      </c>
      <c r="CA4" s="105" t="s">
        <v>220</v>
      </c>
      <c r="CB4" s="105" t="s">
        <v>221</v>
      </c>
      <c r="CC4" s="104" t="s">
        <v>64</v>
      </c>
      <c r="CD4" s="104" t="s">
        <v>49</v>
      </c>
      <c r="CE4" s="104" t="s">
        <v>50</v>
      </c>
      <c r="CF4" s="104" t="s">
        <v>61</v>
      </c>
      <c r="CG4" s="104" t="s">
        <v>64</v>
      </c>
      <c r="CH4" s="104" t="s">
        <v>72</v>
      </c>
      <c r="CI4" s="104" t="s">
        <v>49</v>
      </c>
      <c r="CJ4" s="104" t="s">
        <v>50</v>
      </c>
      <c r="CK4" s="104" t="s">
        <v>61</v>
      </c>
      <c r="CL4" s="104" t="s">
        <v>64</v>
      </c>
      <c r="CM4" s="104" t="s">
        <v>72</v>
      </c>
      <c r="CN4" s="104" t="s">
        <v>153</v>
      </c>
      <c r="CO4" s="104" t="s">
        <v>49</v>
      </c>
      <c r="CP4" s="104" t="s">
        <v>50</v>
      </c>
      <c r="CQ4" s="104" t="s">
        <v>61</v>
      </c>
      <c r="CR4" s="104" t="s">
        <v>64</v>
      </c>
      <c r="CS4" s="104" t="s">
        <v>72</v>
      </c>
      <c r="CT4" s="104" t="s">
        <v>49</v>
      </c>
      <c r="CU4" s="104" t="s">
        <v>50</v>
      </c>
      <c r="CV4" s="104" t="s">
        <v>61</v>
      </c>
      <c r="CW4" s="104" t="s">
        <v>72</v>
      </c>
      <c r="CX4" s="104" t="s">
        <v>49</v>
      </c>
      <c r="CY4" s="104" t="s">
        <v>50</v>
      </c>
      <c r="CZ4" s="104" t="s">
        <v>61</v>
      </c>
      <c r="DA4" s="104" t="s">
        <v>72</v>
      </c>
      <c r="DB4" s="104" t="s">
        <v>49</v>
      </c>
      <c r="DC4" s="104" t="s">
        <v>50</v>
      </c>
      <c r="DD4" s="104" t="s">
        <v>61</v>
      </c>
      <c r="DE4" s="104" t="s">
        <v>72</v>
      </c>
    </row>
    <row r="5" spans="2:109" ht="15.75" thickBot="1" x14ac:dyDescent="0.3">
      <c r="B5" s="7"/>
      <c r="C5" s="8"/>
      <c r="D5" s="9"/>
      <c r="E5" s="24"/>
      <c r="F5" s="10">
        <f>(D5/1000)*(E5/1000)*7850</f>
        <v>0</v>
      </c>
      <c r="G5" s="11"/>
      <c r="H5" s="11"/>
      <c r="I5" s="10">
        <f>F5*G5/1000</f>
        <v>0</v>
      </c>
      <c r="J5" s="10">
        <f>F5*G5/1000-H5</f>
        <v>0</v>
      </c>
      <c r="K5" s="14" t="e">
        <f>H5/J5*100</f>
        <v>#DIV/0!</v>
      </c>
      <c r="L5" s="9"/>
      <c r="M5" s="24" t="e">
        <f>(L5*1000)/J5</f>
        <v>#DIV/0!</v>
      </c>
      <c r="N5" s="24" t="e">
        <f>L5*1000/F5</f>
        <v>#DIV/0!</v>
      </c>
      <c r="O5" s="57">
        <v>25</v>
      </c>
      <c r="P5" s="59"/>
      <c r="Q5" s="11">
        <v>23</v>
      </c>
      <c r="R5" s="11"/>
      <c r="S5" s="11"/>
      <c r="T5" s="12" t="e">
        <f>VLOOKUP(R5,$BY$8:$CA$9,3)</f>
        <v>#N/A</v>
      </c>
      <c r="U5" s="14" t="e">
        <f>((Q5*(VLOOKUP(P5,$BY$5:$CA$6,3)))+60)/60</f>
        <v>#N/A</v>
      </c>
      <c r="V5" s="11"/>
      <c r="W5" s="26">
        <v>0</v>
      </c>
      <c r="X5" s="15" t="e">
        <f>(T5+U5+W5)</f>
        <v>#N/A</v>
      </c>
      <c r="Y5" s="11"/>
      <c r="Z5" s="12" t="e">
        <f>VLOOKUP(P5,$BY$5:$CC$6,5)</f>
        <v>#N/A</v>
      </c>
      <c r="AA5" s="14" t="e">
        <f>K5</f>
        <v>#DIV/0!</v>
      </c>
      <c r="AB5" s="14" t="e">
        <f>VLOOKUP(S5,$BY$12:$BZ$13,2)/G5*100</f>
        <v>#N/A</v>
      </c>
      <c r="AC5" s="11" t="e">
        <f>VLOOKUP(P5,$BY$5:$BZ$6,2)</f>
        <v>#N/A</v>
      </c>
      <c r="AD5" s="14">
        <f>F5*V5/O5/1000*100</f>
        <v>0</v>
      </c>
      <c r="AE5" s="14" t="e">
        <f>AF5-AA5</f>
        <v>#DIV/0!</v>
      </c>
      <c r="AF5" s="14" t="e">
        <f>AA5+AB5+AC5+AD5</f>
        <v>#DIV/0!</v>
      </c>
      <c r="AG5" s="14" t="e">
        <f>((Y5*F5/1000)^(-1))*((1+(100-Z5)/100))</f>
        <v>#DIV/0!</v>
      </c>
      <c r="AH5" s="14" t="e">
        <f>(X5*60)/O5</f>
        <v>#N/A</v>
      </c>
      <c r="AI5" s="11"/>
      <c r="AJ5" s="11"/>
      <c r="AK5" s="15" t="e">
        <f>AG5*O5/60</f>
        <v>#DIV/0!</v>
      </c>
      <c r="AL5" s="49" t="e">
        <f>AK5/(AI5*AJ5)</f>
        <v>#DIV/0!</v>
      </c>
      <c r="AM5" s="49" t="e">
        <f>(AK5+X5)/(AI5*AJ5)</f>
        <v>#DIV/0!</v>
      </c>
      <c r="AN5" s="49" t="e">
        <f>(AG5^-1)*AI5*60*AJ5</f>
        <v>#DIV/0!</v>
      </c>
      <c r="AO5" s="340" t="s">
        <v>145</v>
      </c>
      <c r="AP5" s="328"/>
      <c r="AQ5" s="328"/>
      <c r="AR5" s="330">
        <f>G5</f>
        <v>0</v>
      </c>
      <c r="AS5" s="342"/>
      <c r="AT5" s="330"/>
      <c r="AU5" s="342"/>
      <c r="AV5" s="342"/>
      <c r="AW5" s="332" t="e">
        <f>VLOOKUP(AP5,$CD$5:$CH$9,5)</f>
        <v>#N/A</v>
      </c>
      <c r="AX5" s="332" t="e">
        <f t="shared" ref="AX5:AX10" si="0">AT5*AR5+AW5</f>
        <v>#N/A</v>
      </c>
      <c r="AY5" s="332" t="e">
        <f>VLOOKUP(AP5,$CD$5:$CH$9,3)</f>
        <v>#N/A</v>
      </c>
      <c r="AZ5" s="330"/>
      <c r="BA5" s="328"/>
      <c r="BB5" s="331" t="e">
        <f t="shared" ref="BB5:BB10" si="1">AY5+BA5/60</f>
        <v>#N/A</v>
      </c>
      <c r="BC5" s="332" t="e">
        <f>VLOOKUP(AQ5,$CD$12:$CE$15,2)</f>
        <v>#N/A</v>
      </c>
      <c r="BD5" s="331" t="e">
        <f t="shared" ref="BD5:BD10" si="2">BC5/60</f>
        <v>#N/A</v>
      </c>
      <c r="BE5" s="332" t="e">
        <f>VLOOKUP(AP5,$CD$5:$CH$9,4)</f>
        <v>#N/A</v>
      </c>
      <c r="BF5" s="342"/>
      <c r="BG5" s="331" t="e">
        <f t="shared" ref="BG5:BG10" si="3">(AX5-AR5*AT5)/AX5*100</f>
        <v>#N/A</v>
      </c>
      <c r="BH5" s="333">
        <f>(F5*AR5*AZ5/1000)/1000/O5*100</f>
        <v>0</v>
      </c>
      <c r="BI5" s="333" t="e">
        <f t="shared" ref="BI5:BI10" si="4">BF5+BG5+BH5</f>
        <v>#N/A</v>
      </c>
      <c r="BJ5" s="329" t="e">
        <f>BC5/(F5*AR5/1000)/60*1000*((1+(100-BE5)/100))</f>
        <v>#N/A</v>
      </c>
      <c r="BK5" s="332" t="e">
        <f>BB5*60/O5</f>
        <v>#N/A</v>
      </c>
      <c r="BL5" s="330"/>
      <c r="BM5" s="330"/>
      <c r="BN5" s="329" t="e">
        <f>BJ5*L5/60+BB5</f>
        <v>#N/A</v>
      </c>
      <c r="BO5" s="329" t="e">
        <f t="shared" ref="BO5:BO10" si="5">BN5/(BL5*BM5)</f>
        <v>#N/A</v>
      </c>
      <c r="BP5" s="334"/>
      <c r="BQ5" s="334"/>
      <c r="BR5" s="331" t="e">
        <f>#REF!/100*BQ5</f>
        <v>#REF!</v>
      </c>
      <c r="BS5" s="331" t="e">
        <f t="shared" ref="BS5:BS10" si="6">BK5/60*BP5</f>
        <v>#N/A</v>
      </c>
      <c r="BT5" s="331" t="e">
        <f t="shared" ref="BT5:BT10" si="7">BJ5/60*BP5</f>
        <v>#N/A</v>
      </c>
      <c r="BU5" s="331" t="e">
        <f t="shared" ref="BU5:BU10" si="8">BR5+BS5+BT5</f>
        <v>#REF!</v>
      </c>
      <c r="BW5" s="106">
        <v>0.6</v>
      </c>
      <c r="BX5" s="103"/>
      <c r="BY5" s="107" t="s">
        <v>57</v>
      </c>
      <c r="BZ5" s="107">
        <v>10</v>
      </c>
      <c r="CA5" s="108">
        <v>4</v>
      </c>
      <c r="CB5" s="108">
        <v>30</v>
      </c>
      <c r="CC5" s="107">
        <v>50</v>
      </c>
      <c r="CD5" s="107" t="s">
        <v>418</v>
      </c>
      <c r="CE5" s="107">
        <v>1.5</v>
      </c>
      <c r="CF5" s="107">
        <f>15/60</f>
        <v>0.25</v>
      </c>
      <c r="CG5" s="107">
        <v>90</v>
      </c>
      <c r="CH5" s="107">
        <v>50</v>
      </c>
      <c r="CI5" s="107" t="s">
        <v>413</v>
      </c>
      <c r="CJ5" s="107">
        <v>1</v>
      </c>
      <c r="CK5" s="107">
        <f>15/60</f>
        <v>0.25</v>
      </c>
      <c r="CL5" s="107">
        <v>65</v>
      </c>
      <c r="CM5" s="107">
        <v>50</v>
      </c>
      <c r="CN5" s="107">
        <v>2.5</v>
      </c>
      <c r="CO5" s="4" t="s">
        <v>557</v>
      </c>
      <c r="CP5" s="4"/>
      <c r="CQ5" s="4">
        <v>0.75</v>
      </c>
      <c r="CR5" s="4">
        <v>80</v>
      </c>
      <c r="CS5" s="4">
        <v>400</v>
      </c>
      <c r="CT5" s="4" t="s">
        <v>556</v>
      </c>
      <c r="CU5" s="343"/>
      <c r="CV5" s="344">
        <v>0.35</v>
      </c>
      <c r="CW5" s="345">
        <v>120</v>
      </c>
      <c r="CX5" s="343" t="s">
        <v>408</v>
      </c>
      <c r="CY5" s="343">
        <v>3</v>
      </c>
      <c r="CZ5" s="343">
        <v>1</v>
      </c>
      <c r="DA5" s="343"/>
      <c r="DB5" s="107" t="s">
        <v>407</v>
      </c>
      <c r="DC5" s="107"/>
      <c r="DD5" s="107">
        <v>0.5</v>
      </c>
      <c r="DE5" s="107"/>
    </row>
    <row r="6" spans="2:109" ht="26.25" thickBot="1" x14ac:dyDescent="0.25">
      <c r="U6" s="63" t="s">
        <v>222</v>
      </c>
      <c r="V6" s="63" t="s">
        <v>223</v>
      </c>
      <c r="W6" s="63" t="s">
        <v>224</v>
      </c>
      <c r="AC6" s="25"/>
      <c r="AD6" s="25"/>
      <c r="AE6" s="21"/>
      <c r="AF6" s="56"/>
      <c r="AO6" s="340" t="s">
        <v>150</v>
      </c>
      <c r="AP6" s="328"/>
      <c r="AQ6" s="341"/>
      <c r="AR6" s="330">
        <f>G5</f>
        <v>0</v>
      </c>
      <c r="AS6" s="342"/>
      <c r="AT6" s="330"/>
      <c r="AU6" s="330"/>
      <c r="AV6" s="330"/>
      <c r="AW6" s="332" t="e">
        <f>VLOOKUP(AP6,$CI$5:$CN$5,5)</f>
        <v>#N/A</v>
      </c>
      <c r="AX6" s="332" t="e">
        <f t="shared" si="0"/>
        <v>#N/A</v>
      </c>
      <c r="AY6" s="332" t="e">
        <f>VLOOKUP(AP6,$CI$5:$CM$5,3)</f>
        <v>#N/A</v>
      </c>
      <c r="AZ6" s="330"/>
      <c r="BA6" s="328"/>
      <c r="BB6" s="331" t="e">
        <f t="shared" si="1"/>
        <v>#N/A</v>
      </c>
      <c r="BC6" s="329" t="e">
        <f>(VLOOKUP(AP6,$CI$5:$CN$5,6)*AV6*(AT6+1))/(AT6*AU6)</f>
        <v>#N/A</v>
      </c>
      <c r="BD6" s="331" t="e">
        <f t="shared" si="2"/>
        <v>#N/A</v>
      </c>
      <c r="BE6" s="332" t="e">
        <f>VLOOKUP(AP6,$CI$5:$CM$5,4)</f>
        <v>#N/A</v>
      </c>
      <c r="BF6" s="342"/>
      <c r="BG6" s="331" t="e">
        <f t="shared" si="3"/>
        <v>#N/A</v>
      </c>
      <c r="BH6" s="333">
        <f>(F5*AR6*AZ6/1000)/1000/O5*100</f>
        <v>0</v>
      </c>
      <c r="BI6" s="333" t="e">
        <f t="shared" si="4"/>
        <v>#N/A</v>
      </c>
      <c r="BJ6" s="329" t="e">
        <f>BC6/(F5*AR6/1000)/60*1000*((1+(100-BE6)/100))</f>
        <v>#N/A</v>
      </c>
      <c r="BK6" s="332" t="e">
        <f>BB6*60/O5</f>
        <v>#N/A</v>
      </c>
      <c r="BL6" s="330"/>
      <c r="BM6" s="330"/>
      <c r="BN6" s="329" t="e">
        <f>BJ6*L5/60+BB6</f>
        <v>#N/A</v>
      </c>
      <c r="BO6" s="329" t="e">
        <f t="shared" si="5"/>
        <v>#N/A</v>
      </c>
      <c r="BP6" s="334"/>
      <c r="BQ6" s="334"/>
      <c r="BR6" s="331" t="e">
        <f>#REF!/100*BQ6</f>
        <v>#REF!</v>
      </c>
      <c r="BS6" s="331" t="e">
        <f t="shared" si="6"/>
        <v>#N/A</v>
      </c>
      <c r="BT6" s="331" t="e">
        <f t="shared" si="7"/>
        <v>#N/A</v>
      </c>
      <c r="BU6" s="331" t="e">
        <f t="shared" si="8"/>
        <v>#REF!</v>
      </c>
      <c r="BW6" s="106">
        <v>0.75</v>
      </c>
      <c r="BX6" s="103"/>
      <c r="BY6" s="103"/>
      <c r="BZ6" s="112"/>
      <c r="CA6" s="103"/>
      <c r="CB6" s="103"/>
      <c r="CC6" s="103"/>
      <c r="CD6" s="103"/>
      <c r="CE6" s="103"/>
      <c r="CF6" s="103"/>
      <c r="CG6" s="103"/>
      <c r="CH6" s="103"/>
      <c r="CI6" s="107" t="s">
        <v>551</v>
      </c>
      <c r="CJ6" s="107">
        <v>1</v>
      </c>
      <c r="CK6" s="107">
        <f>15/60</f>
        <v>0.25</v>
      </c>
      <c r="CL6" s="107">
        <v>65</v>
      </c>
      <c r="CM6" s="107">
        <v>50</v>
      </c>
      <c r="CN6" s="107">
        <v>2.5</v>
      </c>
      <c r="CO6" s="4" t="s">
        <v>558</v>
      </c>
      <c r="CP6" s="4"/>
      <c r="CQ6" s="4">
        <v>0.75</v>
      </c>
      <c r="CR6" s="4">
        <v>80</v>
      </c>
      <c r="CS6" s="4">
        <v>400</v>
      </c>
      <c r="CT6" s="4" t="s">
        <v>555</v>
      </c>
      <c r="CU6" s="343"/>
      <c r="CV6" s="344">
        <v>0.35</v>
      </c>
      <c r="CW6" s="345">
        <v>120</v>
      </c>
      <c r="CX6" s="343" t="s">
        <v>409</v>
      </c>
      <c r="CY6" s="343">
        <v>3</v>
      </c>
      <c r="CZ6" s="343">
        <v>1</v>
      </c>
      <c r="DA6" s="343"/>
      <c r="DB6" s="103"/>
      <c r="DC6" s="103"/>
      <c r="DD6" s="103"/>
      <c r="DE6" s="103"/>
    </row>
    <row r="7" spans="2:109" ht="18.75" customHeight="1" thickBot="1" x14ac:dyDescent="0.3">
      <c r="U7" s="14">
        <f>Q5*$CB$5/60</f>
        <v>11.5</v>
      </c>
      <c r="V7" s="64">
        <v>82.38</v>
      </c>
      <c r="W7" s="438">
        <f>U7*V7/O5</f>
        <v>37.894799999999996</v>
      </c>
      <c r="AO7" s="340" t="s">
        <v>553</v>
      </c>
      <c r="AP7" s="328"/>
      <c r="AQ7" s="328"/>
      <c r="AR7" s="330">
        <f>G5</f>
        <v>0</v>
      </c>
      <c r="AS7" s="346">
        <f>H5</f>
        <v>0</v>
      </c>
      <c r="AT7" s="330"/>
      <c r="AU7" s="342"/>
      <c r="AV7" s="342"/>
      <c r="AW7" s="332" t="e">
        <f>VLOOKUP(AP7,$CO$5:$CS$6,5)</f>
        <v>#N/A</v>
      </c>
      <c r="AX7" s="332" t="e">
        <f t="shared" si="0"/>
        <v>#N/A</v>
      </c>
      <c r="AY7" s="332" t="e">
        <f>VLOOKUP(AP7,$CI$5:$CM$5,3)</f>
        <v>#N/A</v>
      </c>
      <c r="AZ7" s="330"/>
      <c r="BA7" s="328"/>
      <c r="BB7" s="331" t="e">
        <f t="shared" si="1"/>
        <v>#N/A</v>
      </c>
      <c r="BC7" s="330"/>
      <c r="BD7" s="331">
        <f t="shared" si="2"/>
        <v>0</v>
      </c>
      <c r="BE7" s="332" t="e">
        <f>VLOOKUP(AP7,$CO$5:$CS$5,4)</f>
        <v>#N/A</v>
      </c>
      <c r="BF7" s="332" t="e">
        <f>AS7/J5*100</f>
        <v>#DIV/0!</v>
      </c>
      <c r="BG7" s="331" t="e">
        <f t="shared" si="3"/>
        <v>#N/A</v>
      </c>
      <c r="BH7" s="333">
        <f>(F5*AR7*AZ7/1000)/1000/O5*100</f>
        <v>0</v>
      </c>
      <c r="BI7" s="333" t="e">
        <f t="shared" si="4"/>
        <v>#DIV/0!</v>
      </c>
      <c r="BJ7" s="329" t="e">
        <f>BC7/(F5*AR7/1000)/60*1000*((1+(100-BE7)/100))</f>
        <v>#DIV/0!</v>
      </c>
      <c r="BK7" s="332" t="e">
        <f>BB7*60/O5</f>
        <v>#N/A</v>
      </c>
      <c r="BL7" s="330"/>
      <c r="BM7" s="330"/>
      <c r="BN7" s="329" t="e">
        <f>BJ7*L5/60+BB7</f>
        <v>#DIV/0!</v>
      </c>
      <c r="BO7" s="329" t="e">
        <f t="shared" si="5"/>
        <v>#DIV/0!</v>
      </c>
      <c r="BP7" s="334"/>
      <c r="BQ7" s="334"/>
      <c r="BR7" s="331" t="e">
        <f>#REF!/100*BQ7</f>
        <v>#REF!</v>
      </c>
      <c r="BS7" s="331" t="e">
        <f t="shared" si="6"/>
        <v>#N/A</v>
      </c>
      <c r="BT7" s="331" t="e">
        <f t="shared" si="7"/>
        <v>#DIV/0!</v>
      </c>
      <c r="BU7" s="331" t="e">
        <f t="shared" si="8"/>
        <v>#REF!</v>
      </c>
      <c r="BW7" s="106">
        <v>0.9</v>
      </c>
      <c r="BX7" s="103"/>
      <c r="BY7" s="767" t="s">
        <v>105</v>
      </c>
      <c r="BZ7" s="767"/>
      <c r="CA7" s="767"/>
      <c r="CB7" s="767"/>
      <c r="CC7" s="767"/>
      <c r="CD7" s="103"/>
      <c r="CE7" s="103"/>
      <c r="CF7" s="103"/>
      <c r="CG7" s="103"/>
      <c r="CH7" s="103"/>
      <c r="CI7" s="103"/>
      <c r="CJ7" s="103"/>
      <c r="CK7" s="103"/>
      <c r="CL7" s="103"/>
      <c r="CM7" s="103"/>
      <c r="CN7" s="103"/>
      <c r="CR7" s="103"/>
      <c r="CS7" s="103"/>
      <c r="CT7" s="343" t="s">
        <v>552</v>
      </c>
      <c r="CU7" s="343"/>
      <c r="CV7" s="344">
        <v>1</v>
      </c>
      <c r="CW7" s="345">
        <v>50</v>
      </c>
      <c r="DD7" s="103"/>
      <c r="DE7" s="103"/>
    </row>
    <row r="8" spans="2:109" ht="13.5" thickBot="1" x14ac:dyDescent="0.25">
      <c r="AO8" s="340" t="s">
        <v>146</v>
      </c>
      <c r="AP8" s="328"/>
      <c r="AQ8" s="328"/>
      <c r="AR8" s="330">
        <f>G5</f>
        <v>0</v>
      </c>
      <c r="AS8" s="346">
        <f>H5</f>
        <v>0</v>
      </c>
      <c r="AT8" s="330"/>
      <c r="AU8" s="214"/>
      <c r="AV8" s="214"/>
      <c r="AW8" s="332" t="e">
        <f>VLOOKUP(AP8,$CT$5:$CW$7,4)</f>
        <v>#N/A</v>
      </c>
      <c r="AX8" s="332" t="e">
        <f t="shared" si="0"/>
        <v>#N/A</v>
      </c>
      <c r="AY8" s="332" t="e">
        <f>VLOOKUP(AP8,$CT$5:$CW$7,3)</f>
        <v>#N/A</v>
      </c>
      <c r="AZ8" s="330"/>
      <c r="BA8" s="328"/>
      <c r="BB8" s="331" t="e">
        <f t="shared" si="1"/>
        <v>#N/A</v>
      </c>
      <c r="BC8" s="330"/>
      <c r="BD8" s="331">
        <f t="shared" si="2"/>
        <v>0</v>
      </c>
      <c r="BE8" s="332" t="e">
        <f>VLOOKUP(AQ8,$CT$10:$CU$12,2)</f>
        <v>#N/A</v>
      </c>
      <c r="BF8" s="332" t="e">
        <f>AS8/J5*100</f>
        <v>#DIV/0!</v>
      </c>
      <c r="BG8" s="331" t="e">
        <f t="shared" si="3"/>
        <v>#N/A</v>
      </c>
      <c r="BH8" s="333">
        <f>(F5*AR8*AZ8/1000)/1000/O5*100</f>
        <v>0</v>
      </c>
      <c r="BI8" s="333" t="e">
        <f t="shared" si="4"/>
        <v>#DIV/0!</v>
      </c>
      <c r="BJ8" s="329" t="e">
        <f>BC8/(F5*AR8/1000)/60*1000*((1+(100-BE8)/100))</f>
        <v>#DIV/0!</v>
      </c>
      <c r="BK8" s="332" t="e">
        <f>BB8*60/O5</f>
        <v>#N/A</v>
      </c>
      <c r="BL8" s="330"/>
      <c r="BM8" s="330"/>
      <c r="BN8" s="329" t="e">
        <f>BJ8*L5/60+BB8</f>
        <v>#DIV/0!</v>
      </c>
      <c r="BO8" s="329" t="e">
        <f t="shared" si="5"/>
        <v>#DIV/0!</v>
      </c>
      <c r="BP8" s="334"/>
      <c r="BQ8" s="334"/>
      <c r="BR8" s="331" t="e">
        <f>#REF!/100*BQ8</f>
        <v>#REF!</v>
      </c>
      <c r="BS8" s="331" t="e">
        <f t="shared" si="6"/>
        <v>#N/A</v>
      </c>
      <c r="BT8" s="331" t="e">
        <f t="shared" si="7"/>
        <v>#DIV/0!</v>
      </c>
      <c r="BU8" s="331" t="e">
        <f t="shared" si="8"/>
        <v>#REF!</v>
      </c>
      <c r="BW8" s="106">
        <v>0.95</v>
      </c>
      <c r="BX8" s="103"/>
      <c r="BY8" s="107" t="s">
        <v>89</v>
      </c>
      <c r="BZ8" s="107">
        <v>0</v>
      </c>
      <c r="CA8" s="107">
        <v>0</v>
      </c>
      <c r="CB8" s="114"/>
      <c r="CC8" s="109"/>
      <c r="CD8" s="103"/>
      <c r="CE8" s="103"/>
      <c r="CF8" s="103"/>
      <c r="CG8" s="103"/>
      <c r="CH8" s="103"/>
      <c r="CI8" s="103"/>
      <c r="CJ8" s="103"/>
      <c r="CK8" s="103"/>
      <c r="CL8" s="103"/>
      <c r="CM8" s="103"/>
      <c r="CN8" s="103"/>
      <c r="CO8" s="767" t="s">
        <v>81</v>
      </c>
      <c r="CP8" s="767"/>
      <c r="CQ8" s="767"/>
      <c r="CR8" s="103"/>
      <c r="CS8" s="103"/>
      <c r="CT8" s="767" t="s">
        <v>81</v>
      </c>
      <c r="CU8" s="767"/>
      <c r="CV8" s="103"/>
      <c r="CW8" s="103"/>
      <c r="CX8" s="767" t="s">
        <v>81</v>
      </c>
      <c r="CY8" s="767"/>
      <c r="CZ8" s="103"/>
      <c r="DA8" s="103"/>
      <c r="DB8" s="767" t="s">
        <v>81</v>
      </c>
      <c r="DC8" s="767"/>
      <c r="DD8" s="103"/>
      <c r="DE8" s="103"/>
    </row>
    <row r="9" spans="2:109" ht="13.5" thickBot="1" x14ac:dyDescent="0.25">
      <c r="AO9" s="340" t="s">
        <v>554</v>
      </c>
      <c r="AP9" s="328"/>
      <c r="AQ9" s="328"/>
      <c r="AR9" s="330">
        <f>G5</f>
        <v>0</v>
      </c>
      <c r="AS9" s="346">
        <f>H5</f>
        <v>0</v>
      </c>
      <c r="AT9" s="330"/>
      <c r="AU9" s="214"/>
      <c r="AV9" s="214"/>
      <c r="AW9" s="332" t="e">
        <f>VLOOKUP(AP9,$CX$5:$DA$6,4)</f>
        <v>#N/A</v>
      </c>
      <c r="AX9" s="332" t="e">
        <f t="shared" si="0"/>
        <v>#N/A</v>
      </c>
      <c r="AY9" s="332" t="e">
        <f>VLOOKUP(AP9,$CX$5:$DA$6,3)</f>
        <v>#N/A</v>
      </c>
      <c r="AZ9" s="330"/>
      <c r="BA9" s="328"/>
      <c r="BB9" s="331" t="e">
        <f t="shared" si="1"/>
        <v>#N/A</v>
      </c>
      <c r="BC9" s="330"/>
      <c r="BD9" s="331">
        <f t="shared" si="2"/>
        <v>0</v>
      </c>
      <c r="BE9" s="332" t="e">
        <f>VLOOKUP(AQ9,$CX$10:$CY$12,2)</f>
        <v>#N/A</v>
      </c>
      <c r="BF9" s="332" t="e">
        <f>AS9/J5*100</f>
        <v>#DIV/0!</v>
      </c>
      <c r="BG9" s="331" t="e">
        <f t="shared" si="3"/>
        <v>#N/A</v>
      </c>
      <c r="BH9" s="333">
        <f>(F5*AR9*AZ9/1000)/1000/O5*100</f>
        <v>0</v>
      </c>
      <c r="BI9" s="333" t="e">
        <f t="shared" si="4"/>
        <v>#DIV/0!</v>
      </c>
      <c r="BJ9" s="329" t="e">
        <f>BC9/(F5*AR9/1000)/60*1000*((1+(100-BE9)/100))</f>
        <v>#DIV/0!</v>
      </c>
      <c r="BK9" s="332" t="e">
        <f>BB9*60/O5</f>
        <v>#N/A</v>
      </c>
      <c r="BL9" s="330"/>
      <c r="BM9" s="330"/>
      <c r="BN9" s="329" t="e">
        <f>BJ9*L5/60+BB9</f>
        <v>#DIV/0!</v>
      </c>
      <c r="BO9" s="329" t="e">
        <f t="shared" si="5"/>
        <v>#DIV/0!</v>
      </c>
      <c r="BP9" s="334"/>
      <c r="BQ9" s="334"/>
      <c r="BR9" s="331" t="e">
        <f>#REF!/100*BQ9</f>
        <v>#REF!</v>
      </c>
      <c r="BS9" s="331" t="e">
        <f t="shared" si="6"/>
        <v>#N/A</v>
      </c>
      <c r="BT9" s="331" t="e">
        <f t="shared" si="7"/>
        <v>#DIV/0!</v>
      </c>
      <c r="BU9" s="331" t="e">
        <f t="shared" si="8"/>
        <v>#REF!</v>
      </c>
      <c r="BW9" s="106">
        <v>1.06</v>
      </c>
      <c r="BX9" s="103"/>
      <c r="BY9" s="107" t="s">
        <v>88</v>
      </c>
      <c r="BZ9" s="106" t="s">
        <v>116</v>
      </c>
      <c r="CA9" s="106">
        <v>2</v>
      </c>
      <c r="CB9" s="115"/>
      <c r="CC9" s="109"/>
      <c r="CD9" s="103"/>
      <c r="CE9" s="103"/>
      <c r="CF9" s="103"/>
      <c r="CG9" s="103"/>
      <c r="CH9" s="103"/>
      <c r="CI9" s="103"/>
      <c r="CJ9" s="103"/>
      <c r="CK9" s="103"/>
      <c r="CL9" s="103"/>
      <c r="CM9" s="103"/>
      <c r="CN9" s="103"/>
      <c r="CO9" s="104" t="s">
        <v>85</v>
      </c>
      <c r="CP9" s="104" t="s">
        <v>163</v>
      </c>
      <c r="CQ9" s="104" t="s">
        <v>50</v>
      </c>
      <c r="CR9" s="103"/>
      <c r="CS9" s="103"/>
      <c r="CT9" s="104" t="s">
        <v>85</v>
      </c>
      <c r="CU9" s="104" t="s">
        <v>64</v>
      </c>
      <c r="CV9" s="103"/>
      <c r="CW9" s="103"/>
      <c r="CX9" s="104" t="s">
        <v>85</v>
      </c>
      <c r="CY9" s="104" t="s">
        <v>64</v>
      </c>
      <c r="CZ9" s="103"/>
      <c r="DA9" s="103"/>
      <c r="DB9" s="104" t="s">
        <v>85</v>
      </c>
      <c r="DC9" s="104" t="s">
        <v>64</v>
      </c>
      <c r="DD9" s="103"/>
      <c r="DE9" s="103"/>
    </row>
    <row r="10" spans="2:109" ht="13.5" thickBot="1" x14ac:dyDescent="0.25">
      <c r="AO10" s="340" t="s">
        <v>70</v>
      </c>
      <c r="AP10" s="328"/>
      <c r="AQ10" s="328"/>
      <c r="AR10" s="330">
        <f>G5</f>
        <v>0</v>
      </c>
      <c r="AS10" s="346">
        <f>H5</f>
        <v>0</v>
      </c>
      <c r="AT10" s="330"/>
      <c r="AU10" s="214"/>
      <c r="AV10" s="214"/>
      <c r="AW10" s="332" t="e">
        <f>VLOOKUP(AP10,$DB$5:$DE$5,4)</f>
        <v>#N/A</v>
      </c>
      <c r="AX10" s="332" t="e">
        <f t="shared" si="0"/>
        <v>#N/A</v>
      </c>
      <c r="AY10" s="332" t="e">
        <f>VLOOKUP(AP10,$DB$5:$DE$5,3)</f>
        <v>#N/A</v>
      </c>
      <c r="AZ10" s="330"/>
      <c r="BA10" s="328"/>
      <c r="BB10" s="331" t="e">
        <f t="shared" si="1"/>
        <v>#N/A</v>
      </c>
      <c r="BC10" s="330"/>
      <c r="BD10" s="331">
        <f t="shared" si="2"/>
        <v>0</v>
      </c>
      <c r="BE10" s="332" t="e">
        <f>VLOOKUP(AQ10,$DB$10:$DC$12,2)</f>
        <v>#N/A</v>
      </c>
      <c r="BF10" s="332" t="e">
        <f>AS10/J5*100</f>
        <v>#DIV/0!</v>
      </c>
      <c r="BG10" s="331" t="e">
        <f t="shared" si="3"/>
        <v>#N/A</v>
      </c>
      <c r="BH10" s="333">
        <f>(F5*AR10*AZ10/1000)/1000/O5*100</f>
        <v>0</v>
      </c>
      <c r="BI10" s="333" t="e">
        <f t="shared" si="4"/>
        <v>#DIV/0!</v>
      </c>
      <c r="BJ10" s="329" t="e">
        <f>BC10/(F5*AR10/1000)/60*1000*((1+(100-BE10)/100))</f>
        <v>#DIV/0!</v>
      </c>
      <c r="BK10" s="332" t="e">
        <f>BB10*60/O5</f>
        <v>#N/A</v>
      </c>
      <c r="BL10" s="330"/>
      <c r="BM10" s="330"/>
      <c r="BN10" s="329" t="e">
        <f>BJ10*L5/60+BB10</f>
        <v>#DIV/0!</v>
      </c>
      <c r="BO10" s="329" t="e">
        <f t="shared" si="5"/>
        <v>#DIV/0!</v>
      </c>
      <c r="BP10" s="334"/>
      <c r="BQ10" s="334"/>
      <c r="BR10" s="331" t="e">
        <f>#REF!/100*BQ10</f>
        <v>#REF!</v>
      </c>
      <c r="BS10" s="331" t="e">
        <f t="shared" si="6"/>
        <v>#N/A</v>
      </c>
      <c r="BT10" s="331" t="e">
        <f t="shared" si="7"/>
        <v>#DIV/0!</v>
      </c>
      <c r="BU10" s="331" t="e">
        <f t="shared" si="8"/>
        <v>#REF!</v>
      </c>
      <c r="BW10" s="106">
        <v>1.2</v>
      </c>
      <c r="BX10" s="103"/>
      <c r="BY10" s="767" t="s">
        <v>109</v>
      </c>
      <c r="BZ10" s="767"/>
      <c r="CA10" s="767"/>
      <c r="CB10" s="767"/>
      <c r="CC10" s="767"/>
      <c r="CD10" s="767" t="s">
        <v>81</v>
      </c>
      <c r="CE10" s="767"/>
      <c r="CF10" s="103"/>
      <c r="CG10" s="103"/>
      <c r="CH10" s="103"/>
      <c r="CI10" s="103"/>
      <c r="CJ10" s="103"/>
      <c r="CK10" s="103"/>
      <c r="CL10" s="103"/>
      <c r="CM10" s="103"/>
      <c r="CN10" s="103"/>
      <c r="CO10" s="107" t="s">
        <v>160</v>
      </c>
      <c r="CP10" s="107">
        <v>1</v>
      </c>
      <c r="CQ10" s="107">
        <v>0</v>
      </c>
      <c r="CR10" s="103"/>
      <c r="CS10" s="103"/>
      <c r="CT10" s="107" t="s">
        <v>82</v>
      </c>
      <c r="CU10" s="107">
        <v>90</v>
      </c>
      <c r="CV10" s="103"/>
      <c r="CW10" s="103"/>
      <c r="CX10" s="107" t="s">
        <v>82</v>
      </c>
      <c r="CY10" s="107">
        <v>70</v>
      </c>
      <c r="CZ10" s="103"/>
      <c r="DA10" s="103"/>
      <c r="DB10" s="107" t="s">
        <v>82</v>
      </c>
      <c r="DC10" s="107">
        <v>90</v>
      </c>
      <c r="DD10" s="103"/>
      <c r="DE10" s="103"/>
    </row>
    <row r="11" spans="2:109" x14ac:dyDescent="0.2">
      <c r="BW11" s="106">
        <v>1.25</v>
      </c>
      <c r="BX11" s="103"/>
      <c r="BY11" s="104" t="s">
        <v>154</v>
      </c>
      <c r="BZ11" s="104" t="s">
        <v>95</v>
      </c>
      <c r="CA11" s="103"/>
      <c r="CB11" s="103"/>
      <c r="CC11" s="109"/>
      <c r="CD11" s="104" t="s">
        <v>154</v>
      </c>
      <c r="CE11" s="104" t="s">
        <v>159</v>
      </c>
      <c r="CF11" s="103"/>
      <c r="CG11" s="103"/>
      <c r="CH11" s="103"/>
      <c r="CI11" s="103"/>
      <c r="CJ11" s="103"/>
      <c r="CK11" s="103"/>
      <c r="CL11" s="103"/>
      <c r="CM11" s="103"/>
      <c r="CN11" s="103"/>
      <c r="CO11" s="107" t="s">
        <v>161</v>
      </c>
      <c r="CP11" s="107">
        <v>2</v>
      </c>
      <c r="CQ11" s="107">
        <v>1</v>
      </c>
      <c r="CR11" s="103"/>
      <c r="CS11" s="103"/>
      <c r="CT11" s="107" t="s">
        <v>83</v>
      </c>
      <c r="CU11" s="107">
        <v>80</v>
      </c>
      <c r="CV11" s="103"/>
      <c r="CW11" s="103"/>
      <c r="CX11" s="107" t="s">
        <v>83</v>
      </c>
      <c r="CY11" s="107">
        <v>65</v>
      </c>
      <c r="CZ11" s="103"/>
      <c r="DA11" s="103"/>
      <c r="DB11" s="107" t="s">
        <v>83</v>
      </c>
      <c r="DC11" s="107">
        <v>80</v>
      </c>
      <c r="DD11" s="103"/>
      <c r="DE11" s="103"/>
    </row>
    <row r="12" spans="2:109" x14ac:dyDescent="0.2">
      <c r="BW12" s="106">
        <v>1.5</v>
      </c>
      <c r="BX12" s="103"/>
      <c r="BY12" s="107" t="s">
        <v>111</v>
      </c>
      <c r="BZ12" s="116">
        <v>8</v>
      </c>
      <c r="CA12" s="103"/>
      <c r="CB12" s="103"/>
      <c r="CC12" s="103"/>
      <c r="CD12" s="107" t="s">
        <v>155</v>
      </c>
      <c r="CE12" s="107">
        <v>5</v>
      </c>
      <c r="CF12" s="103"/>
      <c r="CG12" s="103"/>
      <c r="CH12" s="103"/>
      <c r="CI12" s="103"/>
      <c r="CJ12" s="103"/>
      <c r="CK12" s="103"/>
      <c r="CL12" s="103"/>
      <c r="CM12" s="103"/>
      <c r="CN12" s="103"/>
      <c r="CO12" s="103"/>
      <c r="CP12" s="103"/>
      <c r="CQ12" s="103"/>
      <c r="CR12" s="103"/>
      <c r="CS12" s="103"/>
      <c r="CT12" s="107" t="s">
        <v>84</v>
      </c>
      <c r="CU12" s="107">
        <v>70</v>
      </c>
      <c r="CV12" s="103"/>
      <c r="CW12" s="103"/>
      <c r="CX12" s="107" t="s">
        <v>84</v>
      </c>
      <c r="CY12" s="107">
        <v>60</v>
      </c>
      <c r="CZ12" s="103"/>
      <c r="DA12" s="103"/>
      <c r="DB12" s="107" t="s">
        <v>84</v>
      </c>
      <c r="DC12" s="107">
        <v>70</v>
      </c>
      <c r="DD12" s="103"/>
      <c r="DE12" s="103"/>
    </row>
    <row r="13" spans="2:109" x14ac:dyDescent="0.2">
      <c r="BW13" s="106">
        <v>1.55</v>
      </c>
      <c r="BX13" s="103"/>
      <c r="BY13" s="107" t="s">
        <v>188</v>
      </c>
      <c r="BZ13" s="116">
        <v>3</v>
      </c>
      <c r="CA13" s="103"/>
      <c r="CB13" s="103"/>
      <c r="CC13" s="103"/>
      <c r="CD13" s="107" t="s">
        <v>157</v>
      </c>
      <c r="CE13" s="107">
        <v>10</v>
      </c>
      <c r="CF13" s="103"/>
      <c r="CG13" s="103"/>
      <c r="CH13" s="103"/>
      <c r="CI13" s="103"/>
      <c r="CJ13" s="103"/>
      <c r="CK13" s="103"/>
      <c r="CL13" s="103"/>
      <c r="CM13" s="103"/>
      <c r="CN13" s="103"/>
      <c r="CO13" s="103"/>
      <c r="CP13" s="103"/>
      <c r="CQ13" s="103"/>
      <c r="CR13" s="103"/>
      <c r="CS13" s="103"/>
      <c r="CT13" s="103"/>
      <c r="CU13" s="103"/>
      <c r="CV13" s="103"/>
      <c r="CW13" s="103"/>
      <c r="CX13" s="103"/>
      <c r="CY13" s="103"/>
      <c r="CZ13" s="103"/>
      <c r="DA13" s="103"/>
      <c r="DB13" s="103"/>
      <c r="DC13" s="103"/>
      <c r="DD13" s="103"/>
      <c r="DE13" s="103"/>
    </row>
    <row r="14" spans="2:109" x14ac:dyDescent="0.2">
      <c r="BW14" s="106">
        <v>1.8</v>
      </c>
      <c r="BX14" s="103"/>
      <c r="BY14" s="103"/>
      <c r="BZ14" s="103"/>
      <c r="CA14" s="103"/>
      <c r="CB14" s="103"/>
      <c r="CC14" s="103"/>
      <c r="CD14" s="107" t="s">
        <v>158</v>
      </c>
      <c r="CE14" s="107">
        <v>15</v>
      </c>
      <c r="CF14" s="103"/>
      <c r="CG14" s="103"/>
      <c r="CH14" s="103"/>
      <c r="CI14" s="103"/>
      <c r="CJ14" s="103"/>
      <c r="CK14" s="103"/>
      <c r="CL14" s="103"/>
      <c r="CM14" s="103"/>
      <c r="CN14" s="103"/>
      <c r="CO14" s="103"/>
      <c r="CP14" s="103"/>
      <c r="CQ14" s="103"/>
      <c r="CR14" s="103"/>
      <c r="CS14" s="103"/>
      <c r="CT14" s="103"/>
      <c r="CU14" s="103"/>
      <c r="CV14" s="103"/>
      <c r="CW14" s="103"/>
      <c r="CX14" s="103"/>
      <c r="CY14" s="103"/>
      <c r="CZ14" s="103"/>
      <c r="DA14" s="103"/>
      <c r="DB14" s="103"/>
      <c r="DC14" s="103"/>
      <c r="DD14" s="103"/>
      <c r="DE14" s="103"/>
    </row>
    <row r="15" spans="2:109" x14ac:dyDescent="0.2">
      <c r="BW15" s="106">
        <v>1.9</v>
      </c>
      <c r="BX15" s="103"/>
      <c r="BY15" s="103"/>
      <c r="BZ15" s="103"/>
      <c r="CA15" s="103"/>
      <c r="CB15" s="103"/>
      <c r="CC15" s="103"/>
      <c r="CD15" s="107" t="s">
        <v>156</v>
      </c>
      <c r="CE15" s="107">
        <v>20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x14ac:dyDescent="0.2">
      <c r="BW16" s="106">
        <v>1.95</v>
      </c>
      <c r="BX16" s="103"/>
      <c r="BY16" s="103"/>
      <c r="BZ16" s="103"/>
      <c r="CA16" s="103"/>
      <c r="CB16" s="103"/>
      <c r="CC16" s="103"/>
      <c r="CD16" s="103"/>
      <c r="CE16" s="103"/>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75:109" x14ac:dyDescent="0.2">
      <c r="BW17" s="106">
        <v>2</v>
      </c>
      <c r="BX17" s="103"/>
      <c r="BY17" s="103"/>
      <c r="BZ17" s="103"/>
      <c r="CA17" s="103"/>
      <c r="CB17" s="103"/>
      <c r="CC17" s="103"/>
      <c r="CD17" s="103"/>
      <c r="CE17" s="103"/>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75:109" x14ac:dyDescent="0.2">
      <c r="BW18" s="106">
        <v>2.25</v>
      </c>
      <c r="BX18" s="103"/>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75:109" x14ac:dyDescent="0.2">
      <c r="BW19" s="106">
        <v>2.2999999999999998</v>
      </c>
      <c r="BX19" s="103"/>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75:109" x14ac:dyDescent="0.2">
      <c r="BW20" s="106">
        <v>2.65</v>
      </c>
      <c r="BX20" s="103"/>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75:109" x14ac:dyDescent="0.2">
      <c r="BW21" s="106">
        <v>2.7</v>
      </c>
      <c r="BX21" s="103"/>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75:109" x14ac:dyDescent="0.2">
      <c r="BW22" s="106">
        <v>3</v>
      </c>
      <c r="BX22" s="103"/>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75:109" x14ac:dyDescent="0.2">
      <c r="BW23" s="106">
        <v>3.35</v>
      </c>
      <c r="BX23" s="103"/>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75:109" x14ac:dyDescent="0.2">
      <c r="BW24" s="106">
        <v>3.75</v>
      </c>
      <c r="BX24" s="103"/>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75:109" x14ac:dyDescent="0.2">
      <c r="BW25" s="106">
        <v>4.25</v>
      </c>
      <c r="BX25" s="103"/>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75:109" x14ac:dyDescent="0.2">
      <c r="BW26" s="106">
        <v>4.5</v>
      </c>
      <c r="BX26" s="103"/>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75:109" x14ac:dyDescent="0.2">
      <c r="BW27" s="106">
        <v>4.75</v>
      </c>
      <c r="BX27" s="103"/>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75:109" x14ac:dyDescent="0.2">
      <c r="BW28" s="106">
        <v>5</v>
      </c>
      <c r="BX28" s="103"/>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75:109" x14ac:dyDescent="0.2">
      <c r="BW29" s="103"/>
      <c r="BX29" s="103"/>
      <c r="BY29" s="768"/>
      <c r="BZ29" s="768"/>
      <c r="CA29" s="768"/>
      <c r="CB29" s="768"/>
      <c r="CC29" s="768"/>
      <c r="CD29" s="103"/>
      <c r="CE29" s="11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75:109" x14ac:dyDescent="0.2">
      <c r="BW30" s="103"/>
      <c r="BX30" s="103"/>
      <c r="BY30" s="112"/>
      <c r="BZ30" s="112"/>
      <c r="CA30" s="112"/>
      <c r="CB30" s="112"/>
      <c r="CC30" s="112"/>
      <c r="CD30" s="103"/>
      <c r="CE30" s="11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75:109" x14ac:dyDescent="0.2">
      <c r="BW31" s="103"/>
      <c r="BX31" s="103"/>
      <c r="BY31" s="112"/>
      <c r="BZ31" s="112"/>
      <c r="CA31" s="112"/>
      <c r="CB31" s="112"/>
      <c r="CC31" s="112"/>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75:109" ht="13.5" thickBot="1" x14ac:dyDescent="0.25">
      <c r="CE32" s="101"/>
    </row>
    <row r="33" spans="83:83" ht="13.5" thickBot="1" x14ac:dyDescent="0.25">
      <c r="CE33" s="22"/>
    </row>
    <row r="34" spans="83:83" ht="13.5" thickBot="1" x14ac:dyDescent="0.25">
      <c r="CE34" s="22"/>
    </row>
  </sheetData>
  <mergeCells count="89">
    <mergeCell ref="DB3:DE3"/>
    <mergeCell ref="CO8:CQ8"/>
    <mergeCell ref="CT8:CU8"/>
    <mergeCell ref="DB8:DC8"/>
    <mergeCell ref="CT3:CW3"/>
    <mergeCell ref="CX3:DA3"/>
    <mergeCell ref="CX8:CY8"/>
    <mergeCell ref="BY29:CC29"/>
    <mergeCell ref="BY7:CC7"/>
    <mergeCell ref="BU3:BU4"/>
    <mergeCell ref="BY3:CC3"/>
    <mergeCell ref="CD3:CH3"/>
    <mergeCell ref="BY10:CC10"/>
    <mergeCell ref="CD10:CE10"/>
    <mergeCell ref="AY3:AY4"/>
    <mergeCell ref="AZ3:BA3"/>
    <mergeCell ref="BO3:BO4"/>
    <mergeCell ref="BP3:BP4"/>
    <mergeCell ref="BD3:BD4"/>
    <mergeCell ref="BB3:BB4"/>
    <mergeCell ref="BH3:BH4"/>
    <mergeCell ref="BG3:BG4"/>
    <mergeCell ref="BE3:BE4"/>
    <mergeCell ref="BF3:BF4"/>
    <mergeCell ref="AL3:AL4"/>
    <mergeCell ref="AO3:AO4"/>
    <mergeCell ref="AU3:AU4"/>
    <mergeCell ref="CI3:CN3"/>
    <mergeCell ref="CO3:CS3"/>
    <mergeCell ref="BC3:BC4"/>
    <mergeCell ref="BT3:BT4"/>
    <mergeCell ref="BI3:BI4"/>
    <mergeCell ref="BJ3:BJ4"/>
    <mergeCell ref="BK3:BK4"/>
    <mergeCell ref="BL3:BL4"/>
    <mergeCell ref="BM3:BM4"/>
    <mergeCell ref="BN3:BN4"/>
    <mergeCell ref="BQ3:BQ4"/>
    <mergeCell ref="BR3:BR4"/>
    <mergeCell ref="BS3:BS4"/>
    <mergeCell ref="AQ3:AQ4"/>
    <mergeCell ref="AR3:AR4"/>
    <mergeCell ref="AN3:AN4"/>
    <mergeCell ref="AM3:AM4"/>
    <mergeCell ref="AP3:AP4"/>
    <mergeCell ref="AV3:AV4"/>
    <mergeCell ref="AW3:AW4"/>
    <mergeCell ref="AS3:AS4"/>
    <mergeCell ref="AX3:AX4"/>
    <mergeCell ref="AT3:AT4"/>
    <mergeCell ref="AB3:AB4"/>
    <mergeCell ref="AC3:AC4"/>
    <mergeCell ref="AD3:AD4"/>
    <mergeCell ref="AK3:AK4"/>
    <mergeCell ref="P3:P4"/>
    <mergeCell ref="Q3:Q4"/>
    <mergeCell ref="R3:R4"/>
    <mergeCell ref="V3:W3"/>
    <mergeCell ref="X3:X4"/>
    <mergeCell ref="Y3:Y4"/>
    <mergeCell ref="AE3:AE4"/>
    <mergeCell ref="AF3:AF4"/>
    <mergeCell ref="AG3:AG4"/>
    <mergeCell ref="AH3:AH4"/>
    <mergeCell ref="AI3:AI4"/>
    <mergeCell ref="AJ3:AJ4"/>
    <mergeCell ref="B3:B4"/>
    <mergeCell ref="C3:C4"/>
    <mergeCell ref="D3:D4"/>
    <mergeCell ref="E3:E4"/>
    <mergeCell ref="H3:H4"/>
    <mergeCell ref="G3:G4"/>
    <mergeCell ref="F3:F4"/>
    <mergeCell ref="B2:O2"/>
    <mergeCell ref="P2:AL2"/>
    <mergeCell ref="AO2:BU2"/>
    <mergeCell ref="BY2:DE2"/>
    <mergeCell ref="N3:N4"/>
    <mergeCell ref="T3:T4"/>
    <mergeCell ref="S3:S4"/>
    <mergeCell ref="Z3:Z4"/>
    <mergeCell ref="AA3:AA4"/>
    <mergeCell ref="O3:O4"/>
    <mergeCell ref="U3:U4"/>
    <mergeCell ref="L3:L4"/>
    <mergeCell ref="M3:M4"/>
    <mergeCell ref="I3:I4"/>
    <mergeCell ref="J3:J4"/>
    <mergeCell ref="K3:K4"/>
  </mergeCells>
  <conditionalFormatting sqref="BR5:BU10 F5 BD5:BD10 BN5:BN10 BI5:BI10 I5:J5">
    <cfRule type="cellIs" dxfId="138" priority="19" operator="equal">
      <formula>0</formula>
    </cfRule>
  </conditionalFormatting>
  <conditionalFormatting sqref="BR5:BU10 K5 T5:U5 X5 Z5:AH5 BL5:BM5 BP5:BQ5 AO6:AO10 BB6:BB10 BC6:BD6 BN5:BO10 BE5:BK10 AK5:BD5 U7:W7 AW6:AY10">
    <cfRule type="containsErrors" dxfId="137" priority="18">
      <formula>ISERROR(K5)</formula>
    </cfRule>
  </conditionalFormatting>
  <conditionalFormatting sqref="U5 U7:W7">
    <cfRule type="cellIs" dxfId="136" priority="17" operator="lessThanOrEqual">
      <formula>0.67</formula>
    </cfRule>
  </conditionalFormatting>
  <conditionalFormatting sqref="AR5:AR10">
    <cfRule type="cellIs" dxfId="135" priority="15" operator="equal">
      <formula>0</formula>
    </cfRule>
    <cfRule type="cellIs" dxfId="134" priority="16" operator="lessThan">
      <formula>$I$5</formula>
    </cfRule>
  </conditionalFormatting>
  <conditionalFormatting sqref="AS7:AS10">
    <cfRule type="cellIs" dxfId="133" priority="14" operator="equal">
      <formula>0</formula>
    </cfRule>
  </conditionalFormatting>
  <conditionalFormatting sqref="AR8">
    <cfRule type="cellIs" dxfId="132" priority="13" operator="greaterThan">
      <formula>6500</formula>
    </cfRule>
  </conditionalFormatting>
  <conditionalFormatting sqref="L5:N5">
    <cfRule type="cellIs" dxfId="131" priority="11" operator="equal">
      <formula>0</formula>
    </cfRule>
    <cfRule type="containsErrors" dxfId="130" priority="12">
      <formula>ISERROR(L5)</formula>
    </cfRule>
  </conditionalFormatting>
  <conditionalFormatting sqref="F5">
    <cfRule type="cellIs" dxfId="129" priority="2" operator="greaterThan">
      <formula>18</formula>
    </cfRule>
  </conditionalFormatting>
  <conditionalFormatting sqref="I5">
    <cfRule type="cellIs" dxfId="128" priority="1" operator="greaterThan">
      <formula>100</formula>
    </cfRule>
  </conditionalFormatting>
  <dataValidations count="22">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5">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6">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7">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8">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9">
      <formula1>G5</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R10">
      <formula1>G5</formula1>
    </dataValidation>
    <dataValidation type="list" allowBlank="1" showInputMessage="1" showErrorMessage="1" sqref="AP5">
      <formula1>$CD$5</formula1>
    </dataValidation>
    <dataValidation type="list" allowBlank="1" showInputMessage="1" showErrorMessage="1" sqref="AP6">
      <formula1>$CI$5:$CI$6</formula1>
    </dataValidation>
    <dataValidation type="list" allowBlank="1" showInputMessage="1" showErrorMessage="1" sqref="AQ5">
      <formula1>$CD$12:$CD$15</formula1>
    </dataValidation>
    <dataValidation type="list" allowBlank="1" showInputMessage="1" showErrorMessage="1" sqref="AP7">
      <formula1>$CO$5:$CO$6</formula1>
    </dataValidation>
    <dataValidation type="list" allowBlank="1" showInputMessage="1" showErrorMessage="1" sqref="AQ7:AQ8">
      <formula1>$CT$10:$CT$12</formula1>
    </dataValidation>
    <dataValidation type="list" allowBlank="1" showInputMessage="1" showErrorMessage="1" sqref="AQ9">
      <formula1>$CX$10:$CX$12</formula1>
    </dataValidation>
    <dataValidation type="list" allowBlank="1" showInputMessage="1" showErrorMessage="1" sqref="AP10">
      <formula1>$DB$5</formula1>
    </dataValidation>
    <dataValidation type="list" allowBlank="1" showInputMessage="1" showErrorMessage="1" sqref="AQ10">
      <formula1>$DB$10:$DB$12</formula1>
    </dataValidation>
    <dataValidation operator="greaterThanOrEqual" allowBlank="1" sqref="AS5:AS6"/>
    <dataValidation operator="greaterThanOrEqual" allowBlank="1" showInputMessage="1" promptTitle="Sucata de Processo" prompt="Sucata referente a furações, rasgos, corte em ângulo etc." sqref="AS7:AS10"/>
    <dataValidation type="list" allowBlank="1" showInputMessage="1" showErrorMessage="1" sqref="S5">
      <formula1>$BY$12:$BY$13</formula1>
    </dataValidation>
    <dataValidation type="list" allowBlank="1" showInputMessage="1" showErrorMessage="1" sqref="R5">
      <formula1>$BY$8:$BY$9</formula1>
    </dataValidation>
    <dataValidation type="list" allowBlank="1" showInputMessage="1" showErrorMessage="1" sqref="P5">
      <formula1>$BY$5</formula1>
    </dataValidation>
    <dataValidation type="list" errorStyle="warning" allowBlank="1" showInputMessage="1" showErrorMessage="1" errorTitle="Espessura" error="Esta espessura não está cadastrada!" sqref="D5">
      <formula1>$BW$5:$BW$28</formula1>
    </dataValidation>
    <dataValidation type="list" allowBlank="1" showInputMessage="1" showErrorMessage="1" sqref="AP8">
      <formula1>$CT$5:$CT$7</formula1>
    </dataValidation>
    <dataValidation type="list" allowBlank="1" showInputMessage="1" showErrorMessage="1" sqref="AP9">
      <formula1>$CX$5:$CX$6</formula1>
    </dataValidation>
  </dataValidations>
  <hyperlinks>
    <hyperlink ref="H3:H4" location="'Estimar Perdas'!A1" display="'Estimar Perdas'!A1"/>
    <hyperlink ref="E3:E4" location="'Largura de Tira'!A1" display="'Largura de Tira'!A1"/>
  </hyperlinks>
  <pageMargins left="0.511811024" right="0.511811024" top="0.78740157499999996" bottom="0.78740157499999996" header="0.31496062000000002" footer="0.31496062000000002"/>
  <pageSetup paperSize="9" orientation="portrait" r:id="rId1"/>
  <ignoredErrors>
    <ignoredError sqref="T5:U5 M5 K5 AA5 BR5:BU10 AD5:AF5 BO6:BO10 AX7:BH7 BJ10:BK10 AN5 AL5 AK5 AM5 AX5 AZ5:BD5 BF5:BH5 AW10:BE10 AX8 AZ8:BD8 BG8:BH8 AW6:BH6 AW9:BE9 BJ6:BK9 AH5 BK5 BG9:BH9 BG10:BH10" evalError="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tabColor theme="0" tint="-0.34998626667073579"/>
  </sheetPr>
  <dimension ref="B2:DE36"/>
  <sheetViews>
    <sheetView showGridLines="0" zoomScaleNormal="100" workbookViewId="0">
      <pane xSplit="3" ySplit="6" topLeftCell="AP7" activePane="bottomRight" state="frozen"/>
      <selection activeCell="AQ5" sqref="AQ5"/>
      <selection pane="topRight" activeCell="AQ5" sqref="AQ5"/>
      <selection pane="bottomLeft" activeCell="AQ5" sqref="AQ5"/>
      <selection pane="bottomRight" activeCell="AQ5" sqref="AQ5:AQ6"/>
    </sheetView>
  </sheetViews>
  <sheetFormatPr defaultRowHeight="12.75" x14ac:dyDescent="0.2"/>
  <cols>
    <col min="1" max="1" width="2.140625" style="2" customWidth="1"/>
    <col min="2" max="2" width="9.140625" style="2"/>
    <col min="3" max="3" width="72.5703125" style="2" customWidth="1"/>
    <col min="4" max="4" width="11.140625" style="2" customWidth="1"/>
    <col min="5" max="5" width="14.42578125" style="2" customWidth="1"/>
    <col min="6" max="6" width="12.28515625" style="2" customWidth="1"/>
    <col min="7" max="7" width="19.42578125" style="2" customWidth="1"/>
    <col min="8" max="8" width="17.140625" style="2" customWidth="1"/>
    <col min="9" max="10" width="13.5703125" style="2" customWidth="1"/>
    <col min="11" max="12" width="13.85546875" style="2" customWidth="1"/>
    <col min="13" max="13" width="10.7109375" style="2" customWidth="1"/>
    <col min="14" max="14" width="10.5703125" style="2" customWidth="1"/>
    <col min="15" max="15" width="12.140625" style="2" customWidth="1"/>
    <col min="16" max="16" width="17.140625" style="2" customWidth="1"/>
    <col min="17" max="17" width="9.7109375" style="2" customWidth="1"/>
    <col min="18" max="18" width="11.140625" style="2" customWidth="1"/>
    <col min="19" max="19" width="13.42578125" style="2" customWidth="1"/>
    <col min="20" max="20" width="15.7109375" style="2" customWidth="1"/>
    <col min="21" max="21" width="13.42578125" style="2" customWidth="1"/>
    <col min="22" max="22" width="11.5703125" style="2" customWidth="1"/>
    <col min="23" max="24" width="9.140625" style="2"/>
    <col min="25" max="25" width="12.85546875" style="2" customWidth="1"/>
    <col min="26" max="26" width="12.140625" style="2" customWidth="1"/>
    <col min="27" max="27" width="10.5703125" style="2" customWidth="1"/>
    <col min="28" max="28" width="19.42578125" style="2" customWidth="1"/>
    <col min="29" max="29" width="13.85546875" style="2" customWidth="1"/>
    <col min="30" max="30" width="18.5703125" style="2" customWidth="1"/>
    <col min="31" max="31" width="16.85546875" style="2" customWidth="1"/>
    <col min="32" max="32" width="11.85546875" style="2" customWidth="1"/>
    <col min="33" max="33" width="14.140625" style="2" customWidth="1"/>
    <col min="34" max="34" width="18.85546875" style="2" customWidth="1"/>
    <col min="35" max="35" width="20.140625" style="2" customWidth="1"/>
    <col min="36" max="38" width="18.85546875" style="2" customWidth="1"/>
    <col min="39" max="41" width="20.85546875" style="2" customWidth="1"/>
    <col min="42" max="42" width="19.85546875" style="2" customWidth="1"/>
    <col min="43" max="43" width="9.85546875" style="2" customWidth="1"/>
    <col min="44" max="44" width="15" style="2" customWidth="1"/>
    <col min="45" max="46" width="24.7109375" style="2" customWidth="1"/>
    <col min="47" max="47" width="11.7109375" style="2" customWidth="1"/>
    <col min="48" max="48" width="15.140625" style="2" customWidth="1"/>
    <col min="49" max="49" width="23.7109375" style="2" customWidth="1"/>
    <col min="50" max="50" width="11.85546875" style="2" customWidth="1"/>
    <col min="51" max="51" width="22.140625" style="2" customWidth="1"/>
    <col min="52" max="52" width="9.5703125" style="2" customWidth="1"/>
    <col min="53" max="53" width="6.85546875" style="2" customWidth="1"/>
    <col min="54" max="54" width="7.42578125" style="2" customWidth="1"/>
    <col min="55" max="55" width="13.42578125" style="2" customWidth="1"/>
    <col min="56" max="56" width="17.28515625" style="2" customWidth="1"/>
    <col min="57" max="57" width="16" style="2" customWidth="1"/>
    <col min="58" max="58" width="10.5703125" style="2" customWidth="1"/>
    <col min="59" max="59" width="14" style="2" customWidth="1"/>
    <col min="60" max="60" width="18.42578125" style="2" customWidth="1"/>
    <col min="61" max="62" width="15.28515625" style="2" customWidth="1"/>
    <col min="63" max="74" width="20.85546875" style="2" customWidth="1"/>
    <col min="75" max="75" width="9.140625" style="2"/>
    <col min="76" max="76" width="16.42578125" style="2" customWidth="1"/>
    <col min="77" max="77" width="0.42578125" style="2" customWidth="1"/>
    <col min="78" max="78" width="13" style="2" customWidth="1"/>
    <col min="79" max="79" width="10.28515625" style="2" customWidth="1"/>
    <col min="80" max="80" width="19.140625" style="2" customWidth="1"/>
    <col min="81" max="81" width="10.28515625" style="2" customWidth="1"/>
    <col min="82" max="82" width="11.140625" style="2" customWidth="1"/>
    <col min="83" max="83" width="21.42578125" style="2" customWidth="1"/>
    <col min="84" max="90" width="9.140625" style="2"/>
    <col min="91" max="91" width="9.28515625" style="2" customWidth="1"/>
    <col min="92" max="92" width="22.85546875" style="2" customWidth="1"/>
    <col min="93" max="93" width="12.5703125" style="2" customWidth="1"/>
    <col min="94" max="16384" width="9.140625" style="2"/>
  </cols>
  <sheetData>
    <row r="2" spans="2:109" ht="13.5" thickBot="1" x14ac:dyDescent="0.25"/>
    <row r="3" spans="2:109" ht="5.0999999999999996" customHeight="1" thickBot="1" x14ac:dyDescent="0.25">
      <c r="B3" s="769"/>
      <c r="C3" s="770"/>
      <c r="D3" s="770"/>
      <c r="E3" s="770"/>
      <c r="F3" s="770"/>
      <c r="G3" s="770"/>
      <c r="H3" s="770"/>
      <c r="I3" s="770"/>
      <c r="J3" s="770"/>
      <c r="K3" s="770"/>
      <c r="L3" s="770"/>
      <c r="M3" s="770"/>
      <c r="N3" s="770"/>
      <c r="O3" s="770"/>
      <c r="P3" s="770"/>
      <c r="Q3" s="771"/>
      <c r="R3" s="770"/>
      <c r="S3" s="770"/>
      <c r="T3" s="770"/>
      <c r="U3" s="770"/>
      <c r="V3" s="770"/>
      <c r="W3" s="770"/>
      <c r="X3" s="770"/>
      <c r="Y3" s="770"/>
      <c r="Z3" s="770"/>
      <c r="AA3" s="770"/>
      <c r="AB3" s="770"/>
      <c r="AC3" s="770"/>
      <c r="AD3" s="770"/>
      <c r="AE3" s="770"/>
      <c r="AF3" s="770"/>
      <c r="AG3" s="770"/>
      <c r="AH3" s="770"/>
      <c r="AI3" s="770"/>
      <c r="AJ3" s="770"/>
      <c r="AK3" s="770"/>
      <c r="AL3" s="770"/>
      <c r="AM3" s="770"/>
      <c r="AN3" s="98"/>
      <c r="AO3" s="61"/>
      <c r="AP3" s="772"/>
      <c r="AQ3" s="773"/>
      <c r="AR3" s="773"/>
      <c r="AS3" s="773"/>
      <c r="AT3" s="773"/>
      <c r="AU3" s="773"/>
      <c r="AV3" s="773"/>
      <c r="AW3" s="773"/>
      <c r="AX3" s="773"/>
      <c r="AY3" s="773"/>
      <c r="AZ3" s="773"/>
      <c r="BA3" s="773"/>
      <c r="BB3" s="773"/>
      <c r="BC3" s="773"/>
      <c r="BD3" s="773"/>
      <c r="BE3" s="773"/>
      <c r="BF3" s="773"/>
      <c r="BG3" s="773"/>
      <c r="BH3" s="773"/>
      <c r="BI3" s="773"/>
      <c r="BJ3" s="773"/>
      <c r="BK3" s="773"/>
      <c r="BL3" s="773"/>
      <c r="BM3" s="773"/>
      <c r="BN3" s="773"/>
      <c r="BO3" s="773"/>
      <c r="BP3" s="773"/>
      <c r="BQ3" s="773"/>
      <c r="BR3" s="773"/>
      <c r="BS3" s="773"/>
      <c r="BT3" s="773"/>
      <c r="BU3" s="773"/>
      <c r="BV3" s="773"/>
      <c r="BX3" s="102"/>
      <c r="BY3" s="103"/>
      <c r="BZ3" s="756"/>
      <c r="CA3" s="756"/>
      <c r="CB3" s="756"/>
      <c r="CC3" s="756"/>
      <c r="CD3" s="756"/>
      <c r="CE3" s="756"/>
      <c r="CF3" s="756"/>
      <c r="CG3" s="756"/>
      <c r="CH3" s="756"/>
      <c r="CI3" s="756"/>
      <c r="CJ3" s="756"/>
      <c r="CK3" s="756"/>
      <c r="CL3" s="756"/>
      <c r="CM3" s="756"/>
      <c r="CN3" s="756"/>
      <c r="CO3" s="756"/>
      <c r="CP3" s="756"/>
      <c r="CQ3" s="756"/>
      <c r="CR3" s="756"/>
      <c r="CS3" s="756"/>
      <c r="CT3" s="756"/>
      <c r="CU3" s="756"/>
      <c r="CV3" s="756"/>
      <c r="CW3" s="756"/>
      <c r="CX3" s="756"/>
      <c r="CY3" s="756"/>
      <c r="CZ3" s="756"/>
      <c r="DA3" s="756"/>
      <c r="DB3" s="756"/>
      <c r="DC3" s="756"/>
      <c r="DD3" s="756"/>
      <c r="DE3" s="756"/>
    </row>
    <row r="4" spans="2:109" ht="13.5" thickBot="1" x14ac:dyDescent="0.25">
      <c r="B4" s="750" t="s">
        <v>0</v>
      </c>
      <c r="C4" s="750"/>
      <c r="D4" s="750"/>
      <c r="E4" s="750"/>
      <c r="F4" s="750"/>
      <c r="G4" s="750"/>
      <c r="H4" s="750"/>
      <c r="I4" s="750"/>
      <c r="J4" s="750"/>
      <c r="K4" s="750"/>
      <c r="L4" s="750"/>
      <c r="M4" s="750"/>
      <c r="N4" s="750"/>
      <c r="O4" s="751"/>
      <c r="P4" s="751"/>
      <c r="Q4" s="752" t="s">
        <v>58</v>
      </c>
      <c r="R4" s="750"/>
      <c r="S4" s="750"/>
      <c r="T4" s="750"/>
      <c r="U4" s="750"/>
      <c r="V4" s="750"/>
      <c r="W4" s="750"/>
      <c r="X4" s="750"/>
      <c r="Y4" s="750"/>
      <c r="Z4" s="750"/>
      <c r="AA4" s="750"/>
      <c r="AB4" s="750"/>
      <c r="AC4" s="750"/>
      <c r="AD4" s="750"/>
      <c r="AE4" s="750"/>
      <c r="AF4" s="750"/>
      <c r="AG4" s="750"/>
      <c r="AH4" s="750"/>
      <c r="AI4" s="750"/>
      <c r="AJ4" s="750"/>
      <c r="AK4" s="750"/>
      <c r="AL4" s="750"/>
      <c r="AM4" s="751"/>
      <c r="AN4" s="97"/>
      <c r="AO4" s="62"/>
      <c r="AP4" s="753" t="s">
        <v>68</v>
      </c>
      <c r="AQ4" s="754"/>
      <c r="AR4" s="754"/>
      <c r="AS4" s="754"/>
      <c r="AT4" s="754"/>
      <c r="AU4" s="754"/>
      <c r="AV4" s="754"/>
      <c r="AW4" s="754"/>
      <c r="AX4" s="754"/>
      <c r="AY4" s="754"/>
      <c r="AZ4" s="754"/>
      <c r="BA4" s="754"/>
      <c r="BB4" s="754"/>
      <c r="BC4" s="754"/>
      <c r="BD4" s="754"/>
      <c r="BE4" s="754"/>
      <c r="BF4" s="754"/>
      <c r="BG4" s="754"/>
      <c r="BH4" s="754"/>
      <c r="BI4" s="754"/>
      <c r="BJ4" s="754"/>
      <c r="BK4" s="754"/>
      <c r="BL4" s="754"/>
      <c r="BM4" s="754"/>
      <c r="BN4" s="754"/>
      <c r="BO4" s="754"/>
      <c r="BP4" s="754"/>
      <c r="BQ4" s="754"/>
      <c r="BR4" s="754"/>
      <c r="BS4" s="754"/>
      <c r="BT4" s="754"/>
      <c r="BU4" s="754"/>
      <c r="BV4" s="755"/>
      <c r="BX4" s="102" t="s">
        <v>94</v>
      </c>
      <c r="BY4" s="103"/>
      <c r="BZ4" s="756" t="s">
        <v>67</v>
      </c>
      <c r="CA4" s="756"/>
      <c r="CB4" s="756"/>
      <c r="CC4" s="756"/>
      <c r="CD4" s="756"/>
      <c r="CE4" s="756"/>
      <c r="CF4" s="756"/>
      <c r="CG4" s="756"/>
      <c r="CH4" s="756"/>
      <c r="CI4" s="756"/>
      <c r="CJ4" s="756"/>
      <c r="CK4" s="756"/>
      <c r="CL4" s="756"/>
      <c r="CM4" s="756"/>
      <c r="CN4" s="756"/>
      <c r="CO4" s="756"/>
      <c r="CP4" s="756"/>
      <c r="CQ4" s="756"/>
      <c r="CR4" s="756"/>
      <c r="CS4" s="756"/>
      <c r="CT4" s="756"/>
      <c r="CU4" s="756"/>
      <c r="CV4" s="756"/>
      <c r="CW4" s="756"/>
      <c r="CX4" s="756"/>
      <c r="CY4" s="756"/>
      <c r="CZ4" s="756"/>
      <c r="DA4" s="756"/>
      <c r="DB4" s="756"/>
      <c r="DC4" s="756"/>
      <c r="DD4" s="756"/>
      <c r="DE4" s="756"/>
    </row>
    <row r="5" spans="2:109" ht="18" customHeight="1" thickBot="1" x14ac:dyDescent="0.25">
      <c r="B5" s="761" t="s">
        <v>1</v>
      </c>
      <c r="C5" s="761" t="s">
        <v>2</v>
      </c>
      <c r="D5" s="757" t="s">
        <v>4</v>
      </c>
      <c r="E5" s="757" t="s">
        <v>170</v>
      </c>
      <c r="F5" s="757" t="s">
        <v>259</v>
      </c>
      <c r="G5" s="757" t="s">
        <v>257</v>
      </c>
      <c r="H5" s="757" t="s">
        <v>258</v>
      </c>
      <c r="I5" s="757" t="s">
        <v>74</v>
      </c>
      <c r="J5" s="763" t="s">
        <v>76</v>
      </c>
      <c r="K5" s="757" t="s">
        <v>6</v>
      </c>
      <c r="L5" s="757" t="s">
        <v>169</v>
      </c>
      <c r="M5" s="757" t="s">
        <v>7</v>
      </c>
      <c r="N5" s="757" t="s">
        <v>87</v>
      </c>
      <c r="O5" s="757" t="s">
        <v>260</v>
      </c>
      <c r="P5" s="760" t="s">
        <v>8</v>
      </c>
      <c r="Q5" s="762" t="s">
        <v>49</v>
      </c>
      <c r="R5" s="757" t="s">
        <v>104</v>
      </c>
      <c r="S5" s="757" t="s">
        <v>105</v>
      </c>
      <c r="T5" s="759" t="s">
        <v>109</v>
      </c>
      <c r="U5" s="758" t="s">
        <v>106</v>
      </c>
      <c r="V5" s="758" t="s">
        <v>107</v>
      </c>
      <c r="W5" s="757" t="s">
        <v>40</v>
      </c>
      <c r="X5" s="757"/>
      <c r="Y5" s="757" t="s">
        <v>66</v>
      </c>
      <c r="Z5" s="757" t="s">
        <v>301</v>
      </c>
      <c r="AA5" s="757" t="s">
        <v>42</v>
      </c>
      <c r="AB5" s="757" t="s">
        <v>108</v>
      </c>
      <c r="AC5" s="757" t="s">
        <v>112</v>
      </c>
      <c r="AD5" s="757" t="s">
        <v>48</v>
      </c>
      <c r="AE5" s="757" t="s">
        <v>45</v>
      </c>
      <c r="AF5" s="757" t="s">
        <v>171</v>
      </c>
      <c r="AG5" s="757" t="s">
        <v>65</v>
      </c>
      <c r="AH5" s="757" t="s">
        <v>46</v>
      </c>
      <c r="AI5" s="757" t="s">
        <v>47</v>
      </c>
      <c r="AJ5" s="757" t="s">
        <v>91</v>
      </c>
      <c r="AK5" s="757" t="s">
        <v>92</v>
      </c>
      <c r="AL5" s="757" t="s">
        <v>90</v>
      </c>
      <c r="AM5" s="760" t="s">
        <v>93</v>
      </c>
      <c r="AN5" s="760" t="s">
        <v>218</v>
      </c>
      <c r="AO5" s="760" t="s">
        <v>256</v>
      </c>
      <c r="AP5" s="765" t="s">
        <v>143</v>
      </c>
      <c r="AQ5" s="757" t="s">
        <v>49</v>
      </c>
      <c r="AR5" s="763" t="s">
        <v>78</v>
      </c>
      <c r="AS5" s="763" t="s">
        <v>152</v>
      </c>
      <c r="AT5" s="763" t="s">
        <v>164</v>
      </c>
      <c r="AU5" s="763" t="s">
        <v>71</v>
      </c>
      <c r="AV5" s="763" t="s">
        <v>151</v>
      </c>
      <c r="AW5" s="763" t="s">
        <v>162</v>
      </c>
      <c r="AX5" s="763" t="s">
        <v>73</v>
      </c>
      <c r="AY5" s="763" t="s">
        <v>77</v>
      </c>
      <c r="AZ5" s="757" t="s">
        <v>62</v>
      </c>
      <c r="BA5" s="757" t="s">
        <v>40</v>
      </c>
      <c r="BB5" s="757"/>
      <c r="BC5" s="757" t="s">
        <v>66</v>
      </c>
      <c r="BD5" s="757" t="s">
        <v>79</v>
      </c>
      <c r="BE5" s="757" t="s">
        <v>86</v>
      </c>
      <c r="BF5" s="757" t="s">
        <v>42</v>
      </c>
      <c r="BG5" s="757" t="s">
        <v>185</v>
      </c>
      <c r="BH5" s="757" t="s">
        <v>48</v>
      </c>
      <c r="BI5" s="757" t="s">
        <v>45</v>
      </c>
      <c r="BJ5" s="757" t="s">
        <v>65</v>
      </c>
      <c r="BK5" s="757" t="s">
        <v>46</v>
      </c>
      <c r="BL5" s="757" t="s">
        <v>47</v>
      </c>
      <c r="BM5" s="757" t="s">
        <v>91</v>
      </c>
      <c r="BN5" s="757" t="s">
        <v>92</v>
      </c>
      <c r="BO5" s="757" t="s">
        <v>90</v>
      </c>
      <c r="BP5" s="757" t="s">
        <v>93</v>
      </c>
      <c r="BQ5" s="757" t="s">
        <v>117</v>
      </c>
      <c r="BR5" s="757" t="s">
        <v>118</v>
      </c>
      <c r="BS5" s="757" t="s">
        <v>119</v>
      </c>
      <c r="BT5" s="757" t="s">
        <v>120</v>
      </c>
      <c r="BU5" s="757" t="s">
        <v>121</v>
      </c>
      <c r="BV5" s="757" t="s">
        <v>122</v>
      </c>
      <c r="BX5" s="104" t="s">
        <v>103</v>
      </c>
      <c r="BY5" s="103"/>
      <c r="BZ5" s="767" t="s">
        <v>58</v>
      </c>
      <c r="CA5" s="767"/>
      <c r="CB5" s="767"/>
      <c r="CC5" s="767"/>
      <c r="CD5" s="767" t="s">
        <v>145</v>
      </c>
      <c r="CE5" s="767"/>
      <c r="CF5" s="767"/>
      <c r="CG5" s="767"/>
      <c r="CH5" s="767"/>
      <c r="CI5" s="767" t="s">
        <v>150</v>
      </c>
      <c r="CJ5" s="767"/>
      <c r="CK5" s="767"/>
      <c r="CL5" s="767"/>
      <c r="CM5" s="767"/>
      <c r="CN5" s="767"/>
      <c r="CO5" s="767" t="s">
        <v>144</v>
      </c>
      <c r="CP5" s="767"/>
      <c r="CQ5" s="767"/>
      <c r="CR5" s="767"/>
      <c r="CS5" s="767"/>
      <c r="CT5" s="767" t="s">
        <v>146</v>
      </c>
      <c r="CU5" s="767"/>
      <c r="CV5" s="767"/>
      <c r="CW5" s="767"/>
      <c r="CX5" s="767" t="s">
        <v>148</v>
      </c>
      <c r="CY5" s="767"/>
      <c r="CZ5" s="767"/>
      <c r="DA5" s="767"/>
      <c r="DB5" s="767" t="s">
        <v>70</v>
      </c>
      <c r="DC5" s="767"/>
      <c r="DD5" s="767"/>
      <c r="DE5" s="767"/>
    </row>
    <row r="6" spans="2:109" ht="21.75" customHeight="1" thickBot="1" x14ac:dyDescent="0.3">
      <c r="B6" s="761"/>
      <c r="C6" s="761"/>
      <c r="D6" s="757"/>
      <c r="E6" s="757"/>
      <c r="F6" s="757"/>
      <c r="G6" s="757"/>
      <c r="H6" s="757"/>
      <c r="I6" s="757"/>
      <c r="J6" s="764"/>
      <c r="K6" s="757"/>
      <c r="L6" s="757"/>
      <c r="M6" s="757"/>
      <c r="N6" s="757"/>
      <c r="O6" s="757"/>
      <c r="P6" s="760"/>
      <c r="Q6" s="762"/>
      <c r="R6" s="757"/>
      <c r="S6" s="757"/>
      <c r="T6" s="759"/>
      <c r="U6" s="758"/>
      <c r="V6" s="758"/>
      <c r="W6" s="3" t="s">
        <v>43</v>
      </c>
      <c r="X6" s="3" t="s">
        <v>63</v>
      </c>
      <c r="Y6" s="757"/>
      <c r="Z6" s="757"/>
      <c r="AA6" s="757"/>
      <c r="AB6" s="757"/>
      <c r="AC6" s="757"/>
      <c r="AD6" s="757"/>
      <c r="AE6" s="757"/>
      <c r="AF6" s="757"/>
      <c r="AG6" s="757"/>
      <c r="AH6" s="757"/>
      <c r="AI6" s="757"/>
      <c r="AJ6" s="757"/>
      <c r="AK6" s="757"/>
      <c r="AL6" s="757"/>
      <c r="AM6" s="760"/>
      <c r="AN6" s="760"/>
      <c r="AO6" s="760"/>
      <c r="AP6" s="766"/>
      <c r="AQ6" s="757"/>
      <c r="AR6" s="764"/>
      <c r="AS6" s="764"/>
      <c r="AT6" s="764"/>
      <c r="AU6" s="764"/>
      <c r="AV6" s="764"/>
      <c r="AW6" s="764"/>
      <c r="AX6" s="764"/>
      <c r="AY6" s="764"/>
      <c r="AZ6" s="757"/>
      <c r="BA6" s="3" t="s">
        <v>80</v>
      </c>
      <c r="BB6" s="3" t="s">
        <v>44</v>
      </c>
      <c r="BC6" s="757"/>
      <c r="BD6" s="757"/>
      <c r="BE6" s="757"/>
      <c r="BF6" s="757"/>
      <c r="BG6" s="757"/>
      <c r="BH6" s="757"/>
      <c r="BI6" s="757"/>
      <c r="BJ6" s="757"/>
      <c r="BK6" s="757"/>
      <c r="BL6" s="757"/>
      <c r="BM6" s="757"/>
      <c r="BN6" s="757"/>
      <c r="BO6" s="757"/>
      <c r="BP6" s="757"/>
      <c r="BQ6" s="757"/>
      <c r="BR6" s="757"/>
      <c r="BS6" s="757"/>
      <c r="BT6" s="757"/>
      <c r="BU6" s="757"/>
      <c r="BV6" s="757"/>
      <c r="BX6" s="104" t="s">
        <v>95</v>
      </c>
      <c r="BY6" s="103"/>
      <c r="BZ6" s="104" t="s">
        <v>49</v>
      </c>
      <c r="CA6" s="104" t="s">
        <v>50</v>
      </c>
      <c r="CB6" s="105" t="s">
        <v>130</v>
      </c>
      <c r="CC6" s="104" t="s">
        <v>64</v>
      </c>
      <c r="CD6" s="104" t="s">
        <v>49</v>
      </c>
      <c r="CE6" s="104" t="s">
        <v>50</v>
      </c>
      <c r="CF6" s="104" t="s">
        <v>61</v>
      </c>
      <c r="CG6" s="104" t="s">
        <v>64</v>
      </c>
      <c r="CH6" s="104" t="s">
        <v>72</v>
      </c>
      <c r="CI6" s="104" t="s">
        <v>49</v>
      </c>
      <c r="CJ6" s="104" t="s">
        <v>50</v>
      </c>
      <c r="CK6" s="104" t="s">
        <v>61</v>
      </c>
      <c r="CL6" s="104" t="s">
        <v>64</v>
      </c>
      <c r="CM6" s="104" t="s">
        <v>72</v>
      </c>
      <c r="CN6" s="104" t="s">
        <v>153</v>
      </c>
      <c r="CO6" s="104" t="s">
        <v>49</v>
      </c>
      <c r="CP6" s="104" t="s">
        <v>50</v>
      </c>
      <c r="CQ6" s="104" t="s">
        <v>61</v>
      </c>
      <c r="CR6" s="104" t="s">
        <v>64</v>
      </c>
      <c r="CS6" s="104" t="s">
        <v>72</v>
      </c>
      <c r="CT6" s="104" t="s">
        <v>49</v>
      </c>
      <c r="CU6" s="104" t="s">
        <v>50</v>
      </c>
      <c r="CV6" s="104" t="s">
        <v>61</v>
      </c>
      <c r="CW6" s="104" t="s">
        <v>72</v>
      </c>
      <c r="CX6" s="104" t="s">
        <v>49</v>
      </c>
      <c r="CY6" s="104" t="s">
        <v>50</v>
      </c>
      <c r="CZ6" s="104" t="s">
        <v>61</v>
      </c>
      <c r="DA6" s="104" t="s">
        <v>72</v>
      </c>
      <c r="DB6" s="104" t="s">
        <v>49</v>
      </c>
      <c r="DC6" s="104" t="s">
        <v>50</v>
      </c>
      <c r="DD6" s="104" t="s">
        <v>61</v>
      </c>
      <c r="DE6" s="104" t="s">
        <v>72</v>
      </c>
    </row>
    <row r="7" spans="2:109" ht="15.75" thickBot="1" x14ac:dyDescent="0.3">
      <c r="B7" s="7"/>
      <c r="C7" s="8"/>
      <c r="D7" s="9"/>
      <c r="E7" s="24"/>
      <c r="F7" s="173"/>
      <c r="G7" s="10">
        <f>(D7/1000)*(E7/1000)*7850</f>
        <v>0</v>
      </c>
      <c r="H7" s="10">
        <f>G7*(1-F7)</f>
        <v>0</v>
      </c>
      <c r="I7" s="11"/>
      <c r="J7" s="10">
        <f>G7*I7/1000</f>
        <v>0</v>
      </c>
      <c r="K7" s="10">
        <f>G7*I7/1000-L7</f>
        <v>0</v>
      </c>
      <c r="L7" s="10">
        <f>G7*I7/1000-H7*I7/1000</f>
        <v>0</v>
      </c>
      <c r="M7" s="54"/>
      <c r="N7" s="100" t="e">
        <f>(M7*1000)/K7</f>
        <v>#DIV/0!</v>
      </c>
      <c r="O7" s="100" t="e">
        <f>M7*1000/H7</f>
        <v>#DIV/0!</v>
      </c>
      <c r="P7" s="57"/>
      <c r="Q7" s="59"/>
      <c r="R7" s="11"/>
      <c r="S7" s="11" t="s">
        <v>88</v>
      </c>
      <c r="T7" s="11" t="s">
        <v>111</v>
      </c>
      <c r="U7" s="12">
        <f>VLOOKUP(S7,$BZ$10:$CB$11,3)</f>
        <v>2</v>
      </c>
      <c r="V7" s="14" t="e">
        <f>((R7*(VLOOKUP(Q7,$BZ$7:$CB$8,3)))+(30+30))/60</f>
        <v>#N/A</v>
      </c>
      <c r="W7" s="11"/>
      <c r="X7" s="26"/>
      <c r="Y7" s="15" t="e">
        <f>(U7+V7+X7)</f>
        <v>#N/A</v>
      </c>
      <c r="Z7" s="11"/>
      <c r="AA7" s="12" t="e">
        <f>VLOOKUP(Q7,$BZ$7:$CC$8,4)</f>
        <v>#N/A</v>
      </c>
      <c r="AB7" s="15">
        <f>F7*100</f>
        <v>0</v>
      </c>
      <c r="AC7" s="14" t="e">
        <f>8/I7*100*(VLOOKUP(T7,$BZ$13:$CA$14,2))</f>
        <v>#DIV/0!</v>
      </c>
      <c r="AD7" s="11" t="e">
        <f>VLOOKUP(Q7,$BZ$7:$CA$8,2)</f>
        <v>#N/A</v>
      </c>
      <c r="AE7" s="14" t="e">
        <f>H7*W7/P7/1000*100</f>
        <v>#DIV/0!</v>
      </c>
      <c r="AF7" s="14" t="e">
        <f>AG7-AB7</f>
        <v>#DIV/0!</v>
      </c>
      <c r="AG7" s="14" t="e">
        <f>AB7+AC7+AD7+AE7</f>
        <v>#DIV/0!</v>
      </c>
      <c r="AH7" s="14" t="e">
        <f>((Z7*H7/1000)^(-1))*((1+(100-AA7)/100))</f>
        <v>#DIV/0!</v>
      </c>
      <c r="AI7" s="14" t="e">
        <f>(Y7*60)/P7</f>
        <v>#N/A</v>
      </c>
      <c r="AJ7" s="11"/>
      <c r="AK7" s="11"/>
      <c r="AL7" s="15" t="e">
        <f>AH7*P7/60</f>
        <v>#DIV/0!</v>
      </c>
      <c r="AM7" s="49" t="e">
        <f>AL7/(AJ7*AK7)</f>
        <v>#DIV/0!</v>
      </c>
      <c r="AN7" s="49" t="e">
        <f>(AL7+Y7)/(AJ7*AK7)</f>
        <v>#DIV/0!</v>
      </c>
      <c r="AO7" s="49" t="e">
        <f>(AH7^-1)*AJ7*60*AK7</f>
        <v>#DIV/0!</v>
      </c>
      <c r="AP7" s="58" t="s">
        <v>145</v>
      </c>
      <c r="AQ7" s="13"/>
      <c r="AR7" s="13"/>
      <c r="AS7" s="11">
        <f>I7</f>
        <v>0</v>
      </c>
      <c r="AT7" s="41"/>
      <c r="AU7" s="11"/>
      <c r="AV7" s="41"/>
      <c r="AW7" s="41"/>
      <c r="AX7" s="12" t="e">
        <f>VLOOKUP(AQ7,$CD$7:$CH$11,5)</f>
        <v>#N/A</v>
      </c>
      <c r="AY7" s="12" t="e">
        <f t="shared" ref="AY7:AY12" si="0">AU7*AS7+AX7</f>
        <v>#N/A</v>
      </c>
      <c r="AZ7" s="12" t="e">
        <f>VLOOKUP(AQ7,$CD$7:$CH$11,3)</f>
        <v>#N/A</v>
      </c>
      <c r="BA7" s="11"/>
      <c r="BB7" s="13"/>
      <c r="BC7" s="14" t="e">
        <f t="shared" ref="BC7:BC12" si="1">AZ7+BB7/60</f>
        <v>#N/A</v>
      </c>
      <c r="BD7" s="12" t="e">
        <f>VLOOKUP(AR7,$CD$14:$CE$17,2)</f>
        <v>#N/A</v>
      </c>
      <c r="BE7" s="14" t="e">
        <f t="shared" ref="BE7:BE12" si="2">BD7/60</f>
        <v>#N/A</v>
      </c>
      <c r="BF7" s="12" t="e">
        <f>VLOOKUP(AQ7,$CD$7:$CH$11,4)</f>
        <v>#N/A</v>
      </c>
      <c r="BG7" s="41"/>
      <c r="BH7" s="14" t="e">
        <f t="shared" ref="BH7:BH12" si="3">(AY7-AS7*AU7)/AY7*100</f>
        <v>#N/A</v>
      </c>
      <c r="BI7" s="5" t="e">
        <f>(G7*AS7*BA7/1000)/1000/M7*100</f>
        <v>#DIV/0!</v>
      </c>
      <c r="BJ7" s="5" t="e">
        <f t="shared" ref="BJ7:BJ12" si="4">BG7+BH7+BI7</f>
        <v>#N/A</v>
      </c>
      <c r="BK7" s="15" t="e">
        <f>BD7/(G7*AS7/1000)/60*1000*((1+(100-BF7)/100))</f>
        <v>#N/A</v>
      </c>
      <c r="BL7" s="12" t="e">
        <f>BC7*60/M7</f>
        <v>#N/A</v>
      </c>
      <c r="BM7" s="11"/>
      <c r="BN7" s="11"/>
      <c r="BO7" s="15" t="e">
        <f>BK7*M7/60+BC7</f>
        <v>#N/A</v>
      </c>
      <c r="BP7" s="15" t="e">
        <f t="shared" ref="BP7:BP12" si="5">BO7/(BM7*BN7)</f>
        <v>#N/A</v>
      </c>
      <c r="BQ7" s="9"/>
      <c r="BR7" s="9"/>
      <c r="BS7" s="14" t="e">
        <f>#REF!/100*BR7</f>
        <v>#REF!</v>
      </c>
      <c r="BT7" s="14" t="e">
        <f t="shared" ref="BT7:BT12" si="6">BL7/60*BQ7</f>
        <v>#N/A</v>
      </c>
      <c r="BU7" s="14" t="e">
        <f t="shared" ref="BU7:BU12" si="7">BK7/60*BQ7</f>
        <v>#N/A</v>
      </c>
      <c r="BV7" s="14" t="e">
        <f t="shared" ref="BV7:BV12" si="8">BS7+BT7+BU7</f>
        <v>#REF!</v>
      </c>
      <c r="BX7" s="106">
        <v>0.6</v>
      </c>
      <c r="BY7" s="103"/>
      <c r="BZ7" s="107" t="s">
        <v>59</v>
      </c>
      <c r="CA7" s="107">
        <v>1.8</v>
      </c>
      <c r="CB7" s="108">
        <v>30</v>
      </c>
      <c r="CC7" s="107">
        <v>50</v>
      </c>
      <c r="CD7" s="107" t="s">
        <v>414</v>
      </c>
      <c r="CE7" s="107">
        <v>1.5</v>
      </c>
      <c r="CF7" s="107">
        <f>15/60</f>
        <v>0.25</v>
      </c>
      <c r="CG7" s="107">
        <v>90</v>
      </c>
      <c r="CH7" s="107">
        <v>50</v>
      </c>
      <c r="CI7" s="107" t="s">
        <v>413</v>
      </c>
      <c r="CJ7" s="107">
        <v>1</v>
      </c>
      <c r="CK7" s="107">
        <f>15/60</f>
        <v>0.25</v>
      </c>
      <c r="CL7" s="107">
        <v>65</v>
      </c>
      <c r="CM7" s="107">
        <v>50</v>
      </c>
      <c r="CN7" s="107">
        <v>2.5</v>
      </c>
      <c r="CO7" s="107" t="s">
        <v>412</v>
      </c>
      <c r="CP7" s="107"/>
      <c r="CQ7" s="107">
        <v>0.25</v>
      </c>
      <c r="CR7" s="107">
        <v>70</v>
      </c>
      <c r="CS7" s="107">
        <v>50</v>
      </c>
      <c r="CT7" s="107" t="s">
        <v>411</v>
      </c>
      <c r="CU7" s="107"/>
      <c r="CV7" s="106">
        <v>0.35</v>
      </c>
      <c r="CW7" s="108">
        <v>100</v>
      </c>
      <c r="CX7" s="107" t="s">
        <v>408</v>
      </c>
      <c r="CY7" s="107">
        <v>3</v>
      </c>
      <c r="CZ7" s="107">
        <v>1</v>
      </c>
      <c r="DA7" s="107"/>
      <c r="DB7" s="107" t="s">
        <v>407</v>
      </c>
      <c r="DC7" s="107"/>
      <c r="DD7" s="107">
        <v>0.5</v>
      </c>
      <c r="DE7" s="107"/>
    </row>
    <row r="8" spans="2:109" ht="13.5" thickBot="1" x14ac:dyDescent="0.25">
      <c r="V8" s="42"/>
      <c r="AD8" s="25"/>
      <c r="AE8" s="25"/>
      <c r="AF8" s="21"/>
      <c r="AG8" s="6"/>
      <c r="AP8" s="58" t="s">
        <v>149</v>
      </c>
      <c r="AQ8" s="13"/>
      <c r="AR8" s="55"/>
      <c r="AS8" s="11">
        <f>I7</f>
        <v>0</v>
      </c>
      <c r="AT8" s="41"/>
      <c r="AU8" s="11"/>
      <c r="AV8" s="11"/>
      <c r="AW8" s="11"/>
      <c r="AX8" s="12" t="e">
        <f>VLOOKUP(AQ8,$CI$7:$CN$7,5)</f>
        <v>#N/A</v>
      </c>
      <c r="AY8" s="12" t="e">
        <f t="shared" si="0"/>
        <v>#N/A</v>
      </c>
      <c r="AZ8" s="12" t="e">
        <f>VLOOKUP(AQ8,$CI$7:$CM$7,3)</f>
        <v>#N/A</v>
      </c>
      <c r="BA8" s="11"/>
      <c r="BB8" s="13"/>
      <c r="BC8" s="14" t="e">
        <f t="shared" si="1"/>
        <v>#N/A</v>
      </c>
      <c r="BD8" s="15" t="e">
        <f>(VLOOKUP(AQ8,$CI$7:$CN$7,6)*AW8*(AU8+1))/(AU8*AV8)</f>
        <v>#N/A</v>
      </c>
      <c r="BE8" s="14" t="e">
        <f t="shared" si="2"/>
        <v>#N/A</v>
      </c>
      <c r="BF8" s="12" t="e">
        <f>VLOOKUP(AQ8,$CI$7:$CM$7,4)</f>
        <v>#N/A</v>
      </c>
      <c r="BG8" s="41"/>
      <c r="BH8" s="14" t="e">
        <f t="shared" si="3"/>
        <v>#N/A</v>
      </c>
      <c r="BI8" s="5" t="e">
        <f>(G7*AS8*BA8/1000)/1000/M7*100</f>
        <v>#DIV/0!</v>
      </c>
      <c r="BJ8" s="5" t="e">
        <f t="shared" si="4"/>
        <v>#N/A</v>
      </c>
      <c r="BK8" s="15" t="e">
        <f>BD8/(G7*AS8/1000)/60*1000*((1+(100-BF8)/100))</f>
        <v>#N/A</v>
      </c>
      <c r="BL8" s="12" t="e">
        <f>BC8*60/M7</f>
        <v>#N/A</v>
      </c>
      <c r="BM8" s="11"/>
      <c r="BN8" s="11"/>
      <c r="BO8" s="15" t="e">
        <f>BK8*M7/60+BC8</f>
        <v>#N/A</v>
      </c>
      <c r="BP8" s="15" t="e">
        <f t="shared" si="5"/>
        <v>#N/A</v>
      </c>
      <c r="BQ8" s="9"/>
      <c r="BR8" s="9"/>
      <c r="BS8" s="14" t="e">
        <f>#REF!/100*BR8</f>
        <v>#REF!</v>
      </c>
      <c r="BT8" s="14" t="e">
        <f t="shared" si="6"/>
        <v>#N/A</v>
      </c>
      <c r="BU8" s="14" t="e">
        <f t="shared" si="7"/>
        <v>#N/A</v>
      </c>
      <c r="BV8" s="14" t="e">
        <f t="shared" si="8"/>
        <v>#REF!</v>
      </c>
      <c r="BX8" s="106">
        <v>0.75</v>
      </c>
      <c r="BY8" s="103"/>
      <c r="BZ8" s="107" t="s">
        <v>60</v>
      </c>
      <c r="CA8" s="107">
        <v>1.8</v>
      </c>
      <c r="CB8" s="108">
        <v>30</v>
      </c>
      <c r="CC8" s="107">
        <v>50</v>
      </c>
      <c r="CD8" s="107" t="s">
        <v>415</v>
      </c>
      <c r="CE8" s="107">
        <v>1.5</v>
      </c>
      <c r="CF8" s="107">
        <f>15/60</f>
        <v>0.25</v>
      </c>
      <c r="CG8" s="107">
        <v>90</v>
      </c>
      <c r="CH8" s="107">
        <v>50</v>
      </c>
      <c r="CI8" s="103"/>
      <c r="CJ8" s="103"/>
      <c r="CK8" s="103"/>
      <c r="CL8" s="103"/>
      <c r="CM8" s="103"/>
      <c r="CN8" s="103"/>
      <c r="CO8" s="103"/>
      <c r="CP8" s="103"/>
      <c r="CQ8" s="103"/>
      <c r="CR8" s="103"/>
      <c r="CS8" s="103"/>
      <c r="CT8" s="107" t="s">
        <v>410</v>
      </c>
      <c r="CU8" s="107"/>
      <c r="CV8" s="106">
        <v>1</v>
      </c>
      <c r="CW8" s="108">
        <v>50</v>
      </c>
      <c r="CX8" s="107" t="s">
        <v>409</v>
      </c>
      <c r="CY8" s="107">
        <v>3</v>
      </c>
      <c r="CZ8" s="107">
        <v>0.5</v>
      </c>
      <c r="DA8" s="107">
        <v>400</v>
      </c>
      <c r="DB8" s="103"/>
      <c r="DC8" s="103"/>
      <c r="DD8" s="103"/>
      <c r="DE8" s="103"/>
    </row>
    <row r="9" spans="2:109" ht="13.5" thickBot="1" x14ac:dyDescent="0.25">
      <c r="AP9" s="58" t="s">
        <v>147</v>
      </c>
      <c r="AQ9" s="13"/>
      <c r="AR9" s="13"/>
      <c r="AS9" s="11">
        <f>I7</f>
        <v>0</v>
      </c>
      <c r="AT9" s="51"/>
      <c r="AU9" s="11"/>
      <c r="AV9" s="41"/>
      <c r="AW9" s="41"/>
      <c r="AX9" s="12" t="e">
        <f>VLOOKUP(AQ9,$CO$7:$CS$7,5)+(3*(AU9+1)*VLOOKUP(AR9,$CO$12:$CP$13,2))</f>
        <v>#N/A</v>
      </c>
      <c r="AY9" s="12" t="e">
        <f t="shared" si="0"/>
        <v>#N/A</v>
      </c>
      <c r="AZ9" s="12" t="e">
        <f>VLOOKUP(AQ9,$CI$7:$CM$7,3)</f>
        <v>#N/A</v>
      </c>
      <c r="BA9" s="11"/>
      <c r="BB9" s="13"/>
      <c r="BC9" s="14" t="e">
        <f t="shared" si="1"/>
        <v>#N/A</v>
      </c>
      <c r="BD9" s="11"/>
      <c r="BE9" s="14">
        <f t="shared" si="2"/>
        <v>0</v>
      </c>
      <c r="BF9" s="12" t="e">
        <f>VLOOKUP(AQ9,$CO$7:$CS$7,4)</f>
        <v>#N/A</v>
      </c>
      <c r="BG9" s="12" t="e">
        <f>AT9/K7*100</f>
        <v>#DIV/0!</v>
      </c>
      <c r="BH9" s="14" t="e">
        <f t="shared" si="3"/>
        <v>#N/A</v>
      </c>
      <c r="BI9" s="5" t="e">
        <f>(G7*AS9*BA9/1000)/1000/M7*100</f>
        <v>#DIV/0!</v>
      </c>
      <c r="BJ9" s="5" t="e">
        <f t="shared" si="4"/>
        <v>#DIV/0!</v>
      </c>
      <c r="BK9" s="15" t="e">
        <f>BD9/(G7*AS9/1000)/60*1000*((1+(100-BF9)/100))</f>
        <v>#DIV/0!</v>
      </c>
      <c r="BL9" s="12" t="e">
        <f>BC9*60/M7</f>
        <v>#N/A</v>
      </c>
      <c r="BM9" s="11"/>
      <c r="BN9" s="11"/>
      <c r="BO9" s="15" t="e">
        <f>BK9*M7/60+BC9</f>
        <v>#DIV/0!</v>
      </c>
      <c r="BP9" s="15" t="e">
        <f t="shared" si="5"/>
        <v>#DIV/0!</v>
      </c>
      <c r="BQ9" s="9"/>
      <c r="BR9" s="9"/>
      <c r="BS9" s="14" t="e">
        <f>#REF!/100*BR9</f>
        <v>#REF!</v>
      </c>
      <c r="BT9" s="14" t="e">
        <f t="shared" si="6"/>
        <v>#N/A</v>
      </c>
      <c r="BU9" s="14" t="e">
        <f t="shared" si="7"/>
        <v>#DIV/0!</v>
      </c>
      <c r="BV9" s="14" t="e">
        <f t="shared" si="8"/>
        <v>#REF!</v>
      </c>
      <c r="BX9" s="106">
        <v>0.9</v>
      </c>
      <c r="BY9" s="103"/>
      <c r="BZ9" s="767" t="s">
        <v>105</v>
      </c>
      <c r="CA9" s="767"/>
      <c r="CB9" s="767"/>
      <c r="CC9" s="767"/>
      <c r="CD9" s="107" t="s">
        <v>416</v>
      </c>
      <c r="CE9" s="107">
        <v>1.5</v>
      </c>
      <c r="CF9" s="107">
        <f>15/60</f>
        <v>0.25</v>
      </c>
      <c r="CG9" s="107">
        <v>90</v>
      </c>
      <c r="CH9" s="107">
        <v>50</v>
      </c>
      <c r="CI9" s="103"/>
      <c r="CJ9" s="103"/>
      <c r="CK9" s="103"/>
      <c r="CL9" s="103"/>
      <c r="CM9" s="103"/>
      <c r="CN9" s="103"/>
      <c r="CR9" s="103"/>
      <c r="CS9" s="103"/>
      <c r="CV9" s="103"/>
      <c r="CW9" s="103"/>
      <c r="CX9" s="103"/>
      <c r="CY9" s="103"/>
      <c r="CZ9" s="103"/>
      <c r="DA9" s="103"/>
      <c r="DD9" s="103"/>
      <c r="DE9" s="103"/>
    </row>
    <row r="10" spans="2:109" ht="13.5" thickBot="1" x14ac:dyDescent="0.25">
      <c r="AP10" s="58" t="s">
        <v>146</v>
      </c>
      <c r="AQ10" s="13"/>
      <c r="AR10" s="13"/>
      <c r="AS10" s="11">
        <f>I7</f>
        <v>0</v>
      </c>
      <c r="AT10" s="51"/>
      <c r="AU10" s="11"/>
      <c r="AV10" s="50"/>
      <c r="AW10" s="50"/>
      <c r="AX10" s="12" t="e">
        <f>VLOOKUP(AQ10,$CT$7:$CW$8,4)</f>
        <v>#N/A</v>
      </c>
      <c r="AY10" s="12" t="e">
        <f t="shared" si="0"/>
        <v>#N/A</v>
      </c>
      <c r="AZ10" s="12" t="e">
        <f>VLOOKUP(AQ10,$CT$7:$CW$8,3)</f>
        <v>#N/A</v>
      </c>
      <c r="BA10" s="11"/>
      <c r="BB10" s="13"/>
      <c r="BC10" s="14" t="e">
        <f t="shared" si="1"/>
        <v>#N/A</v>
      </c>
      <c r="BD10" s="11"/>
      <c r="BE10" s="14">
        <f t="shared" si="2"/>
        <v>0</v>
      </c>
      <c r="BF10" s="12" t="e">
        <f>VLOOKUP(AR10,$CT$12:$CU$14,2)</f>
        <v>#N/A</v>
      </c>
      <c r="BG10" s="12" t="e">
        <f>AT10/K7*100</f>
        <v>#DIV/0!</v>
      </c>
      <c r="BH10" s="14" t="e">
        <f t="shared" si="3"/>
        <v>#N/A</v>
      </c>
      <c r="BI10" s="5" t="e">
        <f>(G7*AS10*BA10/1000)/1000/M7*100</f>
        <v>#DIV/0!</v>
      </c>
      <c r="BJ10" s="5" t="e">
        <f t="shared" si="4"/>
        <v>#DIV/0!</v>
      </c>
      <c r="BK10" s="15" t="e">
        <f>BD10/(G7*AS10/1000)/60*1000*((1+(100-BF10)/100))</f>
        <v>#DIV/0!</v>
      </c>
      <c r="BL10" s="12" t="e">
        <f>BC10*60/M7</f>
        <v>#N/A</v>
      </c>
      <c r="BM10" s="11"/>
      <c r="BN10" s="11"/>
      <c r="BO10" s="15" t="e">
        <f>BK10*M7/60+BC10</f>
        <v>#DIV/0!</v>
      </c>
      <c r="BP10" s="15" t="e">
        <f t="shared" si="5"/>
        <v>#DIV/0!</v>
      </c>
      <c r="BQ10" s="9"/>
      <c r="BR10" s="9"/>
      <c r="BS10" s="14" t="e">
        <f>#REF!/100*BR10</f>
        <v>#REF!</v>
      </c>
      <c r="BT10" s="14" t="e">
        <f t="shared" si="6"/>
        <v>#N/A</v>
      </c>
      <c r="BU10" s="14" t="e">
        <f t="shared" si="7"/>
        <v>#DIV/0!</v>
      </c>
      <c r="BV10" s="14" t="e">
        <f t="shared" si="8"/>
        <v>#REF!</v>
      </c>
      <c r="BX10" s="106">
        <v>0.95</v>
      </c>
      <c r="BY10" s="103"/>
      <c r="BZ10" s="107" t="s">
        <v>89</v>
      </c>
      <c r="CA10" s="107">
        <v>0</v>
      </c>
      <c r="CB10" s="107">
        <v>0</v>
      </c>
      <c r="CC10" s="109"/>
      <c r="CD10" s="107" t="s">
        <v>417</v>
      </c>
      <c r="CE10" s="107">
        <v>1.5</v>
      </c>
      <c r="CF10" s="107">
        <f>15/60</f>
        <v>0.25</v>
      </c>
      <c r="CG10" s="107">
        <v>90</v>
      </c>
      <c r="CH10" s="107">
        <v>50</v>
      </c>
      <c r="CI10" s="103"/>
      <c r="CJ10" s="103"/>
      <c r="CK10" s="103"/>
      <c r="CL10" s="103"/>
      <c r="CM10" s="103"/>
      <c r="CN10" s="103"/>
      <c r="CO10" s="767" t="s">
        <v>81</v>
      </c>
      <c r="CP10" s="767"/>
      <c r="CQ10" s="767"/>
      <c r="CR10" s="103"/>
      <c r="CS10" s="103"/>
      <c r="CT10" s="767" t="s">
        <v>81</v>
      </c>
      <c r="CU10" s="767"/>
      <c r="CV10" s="103"/>
      <c r="CW10" s="103"/>
      <c r="CX10" s="767" t="s">
        <v>81</v>
      </c>
      <c r="CY10" s="767"/>
      <c r="CZ10" s="103"/>
      <c r="DA10" s="103"/>
      <c r="DB10" s="767" t="s">
        <v>81</v>
      </c>
      <c r="DC10" s="767"/>
      <c r="DD10" s="103"/>
      <c r="DE10" s="103"/>
    </row>
    <row r="11" spans="2:109" ht="13.5" thickBot="1" x14ac:dyDescent="0.25">
      <c r="AP11" s="58" t="s">
        <v>165</v>
      </c>
      <c r="AQ11" s="13"/>
      <c r="AR11" s="13"/>
      <c r="AS11" s="11">
        <f>I7</f>
        <v>0</v>
      </c>
      <c r="AT11" s="51"/>
      <c r="AU11" s="11"/>
      <c r="AV11" s="50"/>
      <c r="AW11" s="50"/>
      <c r="AX11" s="12" t="e">
        <f>VLOOKUP(AQ11,$CX$7:$DA$8,4)</f>
        <v>#N/A</v>
      </c>
      <c r="AY11" s="12" t="e">
        <f t="shared" si="0"/>
        <v>#N/A</v>
      </c>
      <c r="AZ11" s="12" t="e">
        <f>VLOOKUP(AQ11,$CX$7:$DA$8,3)</f>
        <v>#N/A</v>
      </c>
      <c r="BA11" s="11"/>
      <c r="BB11" s="13"/>
      <c r="BC11" s="14" t="e">
        <f t="shared" si="1"/>
        <v>#N/A</v>
      </c>
      <c r="BD11" s="11"/>
      <c r="BE11" s="14">
        <f t="shared" si="2"/>
        <v>0</v>
      </c>
      <c r="BF11" s="12" t="e">
        <f>VLOOKUP(AR11,$CX$12:$CY$14,2)</f>
        <v>#N/A</v>
      </c>
      <c r="BG11" s="12" t="e">
        <f>AT11/K9*100</f>
        <v>#DIV/0!</v>
      </c>
      <c r="BH11" s="14" t="e">
        <f t="shared" si="3"/>
        <v>#N/A</v>
      </c>
      <c r="BI11" s="5" t="e">
        <f>(G7*AS11*BA11/1000)/1000/M7*100</f>
        <v>#DIV/0!</v>
      </c>
      <c r="BJ11" s="5" t="e">
        <f t="shared" si="4"/>
        <v>#DIV/0!</v>
      </c>
      <c r="BK11" s="15" t="e">
        <f>BD11/(G7*AS11/1000)/60*1000*((1+(100-BF11)/100))</f>
        <v>#DIV/0!</v>
      </c>
      <c r="BL11" s="12" t="e">
        <f>BC11*60/M7</f>
        <v>#N/A</v>
      </c>
      <c r="BM11" s="11"/>
      <c r="BN11" s="11"/>
      <c r="BO11" s="15" t="e">
        <f>BK11*M7/60+BC11</f>
        <v>#DIV/0!</v>
      </c>
      <c r="BP11" s="15" t="e">
        <f t="shared" si="5"/>
        <v>#DIV/0!</v>
      </c>
      <c r="BQ11" s="9"/>
      <c r="BR11" s="9"/>
      <c r="BS11" s="14" t="e">
        <f>#REF!/100*BR11</f>
        <v>#REF!</v>
      </c>
      <c r="BT11" s="14" t="e">
        <f t="shared" si="6"/>
        <v>#N/A</v>
      </c>
      <c r="BU11" s="14" t="e">
        <f t="shared" si="7"/>
        <v>#DIV/0!</v>
      </c>
      <c r="BV11" s="14" t="e">
        <f t="shared" si="8"/>
        <v>#REF!</v>
      </c>
      <c r="BX11" s="106">
        <v>1.06</v>
      </c>
      <c r="BY11" s="103"/>
      <c r="BZ11" s="107" t="s">
        <v>88</v>
      </c>
      <c r="CA11" s="106" t="s">
        <v>116</v>
      </c>
      <c r="CB11" s="106">
        <v>2</v>
      </c>
      <c r="CC11" s="109"/>
      <c r="CD11" s="107" t="s">
        <v>418</v>
      </c>
      <c r="CE11" s="107">
        <v>1.5</v>
      </c>
      <c r="CF11" s="107">
        <f>15/60</f>
        <v>0.25</v>
      </c>
      <c r="CG11" s="107">
        <v>90</v>
      </c>
      <c r="CH11" s="107">
        <v>50</v>
      </c>
      <c r="CI11" s="103"/>
      <c r="CJ11" s="103"/>
      <c r="CK11" s="103"/>
      <c r="CL11" s="103"/>
      <c r="CM11" s="103"/>
      <c r="CN11" s="103"/>
      <c r="CO11" s="104" t="s">
        <v>85</v>
      </c>
      <c r="CP11" s="104" t="s">
        <v>163</v>
      </c>
      <c r="CQ11" s="104" t="s">
        <v>50</v>
      </c>
      <c r="CR11" s="103"/>
      <c r="CS11" s="103"/>
      <c r="CT11" s="104" t="s">
        <v>85</v>
      </c>
      <c r="CU11" s="104" t="s">
        <v>64</v>
      </c>
      <c r="CV11" s="103"/>
      <c r="CW11" s="103"/>
      <c r="CX11" s="104" t="s">
        <v>85</v>
      </c>
      <c r="CY11" s="104" t="s">
        <v>64</v>
      </c>
      <c r="CZ11" s="103"/>
      <c r="DA11" s="103"/>
      <c r="DB11" s="104" t="s">
        <v>85</v>
      </c>
      <c r="DC11" s="104" t="s">
        <v>64</v>
      </c>
      <c r="DD11" s="103"/>
      <c r="DE11" s="103"/>
    </row>
    <row r="12" spans="2:109" ht="13.5" thickBot="1" x14ac:dyDescent="0.25">
      <c r="B12" s="99"/>
      <c r="C12" s="99"/>
      <c r="D12" s="99"/>
      <c r="E12" s="99"/>
      <c r="F12" s="99"/>
      <c r="G12" s="99"/>
      <c r="H12" s="99"/>
      <c r="I12" s="99"/>
      <c r="J12" s="99"/>
      <c r="K12" s="99"/>
      <c r="L12" s="99"/>
      <c r="M12" s="99"/>
      <c r="N12" s="99"/>
      <c r="S12" s="99"/>
      <c r="T12" s="99"/>
      <c r="U12" s="99"/>
      <c r="V12" s="99"/>
      <c r="W12" s="99"/>
      <c r="X12" s="99"/>
      <c r="Y12" s="99"/>
      <c r="Z12" s="99"/>
      <c r="AA12" s="99"/>
      <c r="AB12" s="99"/>
      <c r="AC12" s="99"/>
      <c r="AD12" s="99"/>
      <c r="AE12" s="99"/>
      <c r="AF12" s="99"/>
      <c r="AG12" s="99"/>
      <c r="AH12" s="99"/>
      <c r="AI12" s="99"/>
      <c r="AJ12" s="99"/>
      <c r="AK12" s="99"/>
      <c r="AL12" s="99"/>
      <c r="AM12" s="99"/>
      <c r="AN12" s="99"/>
      <c r="AO12" s="99"/>
      <c r="AP12" s="58" t="s">
        <v>70</v>
      </c>
      <c r="AQ12" s="13"/>
      <c r="AR12" s="13"/>
      <c r="AS12" s="11">
        <f>I7</f>
        <v>0</v>
      </c>
      <c r="AT12" s="51"/>
      <c r="AU12" s="11"/>
      <c r="AV12" s="50"/>
      <c r="AW12" s="50"/>
      <c r="AX12" s="12" t="e">
        <f>VLOOKUP(AQ12,$DB$7:$DE$7,4)</f>
        <v>#N/A</v>
      </c>
      <c r="AY12" s="12" t="e">
        <f t="shared" si="0"/>
        <v>#N/A</v>
      </c>
      <c r="AZ12" s="12" t="e">
        <f>VLOOKUP(AQ12,$DB$7:$DE$7,3)</f>
        <v>#N/A</v>
      </c>
      <c r="BA12" s="11"/>
      <c r="BB12" s="13"/>
      <c r="BC12" s="14" t="e">
        <f t="shared" si="1"/>
        <v>#N/A</v>
      </c>
      <c r="BD12" s="11"/>
      <c r="BE12" s="14">
        <f t="shared" si="2"/>
        <v>0</v>
      </c>
      <c r="BF12" s="12" t="e">
        <f>VLOOKUP(AR12,$DB$12:$DC$14,2)</f>
        <v>#N/A</v>
      </c>
      <c r="BG12" s="12" t="e">
        <f>AT12/K10*100</f>
        <v>#DIV/0!</v>
      </c>
      <c r="BH12" s="14" t="e">
        <f t="shared" si="3"/>
        <v>#N/A</v>
      </c>
      <c r="BI12" s="5" t="e">
        <f>(G7*AS12*BA12/1000)/1000/M7*100</f>
        <v>#DIV/0!</v>
      </c>
      <c r="BJ12" s="5" t="e">
        <f t="shared" si="4"/>
        <v>#DIV/0!</v>
      </c>
      <c r="BK12" s="15" t="e">
        <f>BD12/(G7*AS12/1000)/60*1000*((1+(100-BF12)/100))</f>
        <v>#DIV/0!</v>
      </c>
      <c r="BL12" s="12" t="e">
        <f>BC12*60/M7</f>
        <v>#N/A</v>
      </c>
      <c r="BM12" s="11"/>
      <c r="BN12" s="11"/>
      <c r="BO12" s="15" t="e">
        <f>BK12*M7/60+BC12</f>
        <v>#DIV/0!</v>
      </c>
      <c r="BP12" s="15" t="e">
        <f t="shared" si="5"/>
        <v>#DIV/0!</v>
      </c>
      <c r="BQ12" s="9"/>
      <c r="BR12" s="9"/>
      <c r="BS12" s="14" t="e">
        <f>#REF!/100*BR12</f>
        <v>#REF!</v>
      </c>
      <c r="BT12" s="14" t="e">
        <f t="shared" si="6"/>
        <v>#N/A</v>
      </c>
      <c r="BU12" s="14" t="e">
        <f t="shared" si="7"/>
        <v>#DIV/0!</v>
      </c>
      <c r="BV12" s="14" t="e">
        <f t="shared" si="8"/>
        <v>#REF!</v>
      </c>
      <c r="BX12" s="106">
        <v>1.2</v>
      </c>
      <c r="BY12" s="103"/>
      <c r="BZ12" s="767" t="s">
        <v>109</v>
      </c>
      <c r="CA12" s="767"/>
      <c r="CB12" s="767"/>
      <c r="CC12" s="767"/>
      <c r="CD12" s="767" t="s">
        <v>81</v>
      </c>
      <c r="CE12" s="767"/>
      <c r="CF12" s="103"/>
      <c r="CG12" s="103"/>
      <c r="CH12" s="103"/>
      <c r="CI12" s="103"/>
      <c r="CJ12" s="103"/>
      <c r="CK12" s="103"/>
      <c r="CL12" s="103"/>
      <c r="CM12" s="103"/>
      <c r="CN12" s="103"/>
      <c r="CO12" s="107" t="s">
        <v>160</v>
      </c>
      <c r="CP12" s="107">
        <v>1</v>
      </c>
      <c r="CQ12" s="107">
        <v>0</v>
      </c>
      <c r="CR12" s="103"/>
      <c r="CS12" s="103"/>
      <c r="CT12" s="107" t="s">
        <v>82</v>
      </c>
      <c r="CU12" s="107">
        <v>90</v>
      </c>
      <c r="CV12" s="103"/>
      <c r="CW12" s="103"/>
      <c r="CX12" s="107" t="s">
        <v>82</v>
      </c>
      <c r="CY12" s="107">
        <v>70</v>
      </c>
      <c r="CZ12" s="103"/>
      <c r="DA12" s="103"/>
      <c r="DB12" s="107" t="s">
        <v>82</v>
      </c>
      <c r="DC12" s="107">
        <v>90</v>
      </c>
      <c r="DD12" s="103"/>
      <c r="DE12" s="103"/>
    </row>
    <row r="13" spans="2:109" ht="15.75" thickBot="1" x14ac:dyDescent="0.3">
      <c r="B13" s="177"/>
      <c r="C13" s="178"/>
      <c r="D13" s="179"/>
      <c r="E13" s="180"/>
      <c r="F13" s="181"/>
      <c r="G13" s="182"/>
      <c r="H13" s="182"/>
      <c r="I13" s="41"/>
      <c r="J13" s="182"/>
      <c r="K13" s="182"/>
      <c r="L13" s="182"/>
      <c r="M13" s="183"/>
      <c r="N13" s="184"/>
      <c r="S13" s="41"/>
      <c r="T13" s="41"/>
      <c r="U13" s="41"/>
      <c r="V13" s="179"/>
      <c r="W13" s="41"/>
      <c r="X13" s="185"/>
      <c r="Y13" s="183"/>
      <c r="Z13" s="41"/>
      <c r="AA13" s="41"/>
      <c r="AB13" s="183"/>
      <c r="AC13" s="179"/>
      <c r="AD13" s="41"/>
      <c r="AE13" s="179"/>
      <c r="AF13" s="179"/>
      <c r="AG13" s="179"/>
      <c r="AH13" s="179"/>
      <c r="AI13" s="179"/>
      <c r="AJ13" s="41"/>
      <c r="AK13" s="41"/>
      <c r="AL13" s="183"/>
      <c r="AM13" s="186"/>
      <c r="AN13" s="186"/>
      <c r="AS13" s="41"/>
      <c r="AT13" s="41"/>
      <c r="AU13" s="41"/>
      <c r="AV13" s="41"/>
      <c r="AW13" s="41"/>
      <c r="AX13" s="41"/>
      <c r="AY13" s="41"/>
      <c r="AZ13" s="41"/>
      <c r="BA13" s="41"/>
      <c r="BB13" s="176"/>
      <c r="BC13" s="179"/>
      <c r="BD13" s="41"/>
      <c r="BE13" s="179"/>
      <c r="BF13" s="41"/>
      <c r="BG13" s="41"/>
      <c r="BH13" s="179"/>
      <c r="BI13" s="22"/>
      <c r="BJ13" s="22"/>
      <c r="BK13" s="183"/>
      <c r="BL13" s="41"/>
      <c r="BM13" s="41"/>
      <c r="BN13" s="41"/>
      <c r="BO13" s="183"/>
      <c r="BP13" s="183"/>
      <c r="BQ13" s="179"/>
      <c r="BR13" s="179"/>
      <c r="BS13" s="179"/>
      <c r="BT13" s="179"/>
      <c r="BU13" s="179"/>
      <c r="BV13" s="179"/>
      <c r="BX13" s="106">
        <v>1.25</v>
      </c>
      <c r="BY13" s="103"/>
      <c r="BZ13" s="110" t="s">
        <v>110</v>
      </c>
      <c r="CA13" s="107">
        <v>0</v>
      </c>
      <c r="CB13" s="111"/>
      <c r="CC13" s="109"/>
      <c r="CD13" s="104" t="s">
        <v>154</v>
      </c>
      <c r="CE13" s="104" t="s">
        <v>159</v>
      </c>
      <c r="CF13" s="103"/>
      <c r="CG13" s="103"/>
      <c r="CH13" s="103"/>
      <c r="CI13" s="103"/>
      <c r="CJ13" s="103"/>
      <c r="CK13" s="103"/>
      <c r="CL13" s="103"/>
      <c r="CM13" s="103"/>
      <c r="CN13" s="103"/>
      <c r="CO13" s="107" t="s">
        <v>161</v>
      </c>
      <c r="CP13" s="107">
        <v>2</v>
      </c>
      <c r="CQ13" s="107">
        <v>1</v>
      </c>
      <c r="CR13" s="103"/>
      <c r="CS13" s="103"/>
      <c r="CT13" s="107" t="s">
        <v>83</v>
      </c>
      <c r="CU13" s="107">
        <v>80</v>
      </c>
      <c r="CV13" s="103"/>
      <c r="CW13" s="103"/>
      <c r="CX13" s="107" t="s">
        <v>83</v>
      </c>
      <c r="CY13" s="107">
        <v>65</v>
      </c>
      <c r="CZ13" s="103"/>
      <c r="DA13" s="103"/>
      <c r="DB13" s="107" t="s">
        <v>83</v>
      </c>
      <c r="DC13" s="107">
        <v>80</v>
      </c>
      <c r="DD13" s="103"/>
      <c r="DE13" s="103"/>
    </row>
    <row r="14" spans="2:109" ht="13.5" thickBot="1" x14ac:dyDescent="0.25">
      <c r="V14" s="42"/>
      <c r="AD14" s="25"/>
      <c r="AE14" s="25"/>
      <c r="AF14" s="21"/>
      <c r="AG14" s="175"/>
      <c r="AS14" s="41"/>
      <c r="AT14" s="41"/>
      <c r="AU14" s="41"/>
      <c r="AV14" s="41"/>
      <c r="AW14" s="41"/>
      <c r="AX14" s="41"/>
      <c r="AY14" s="41"/>
      <c r="AZ14" s="41"/>
      <c r="BA14" s="41"/>
      <c r="BB14" s="176"/>
      <c r="BC14" s="179"/>
      <c r="BD14" s="183"/>
      <c r="BE14" s="179"/>
      <c r="BF14" s="41"/>
      <c r="BG14" s="41"/>
      <c r="BH14" s="179"/>
      <c r="BI14" s="22"/>
      <c r="BJ14" s="22"/>
      <c r="BK14" s="183"/>
      <c r="BL14" s="41"/>
      <c r="BM14" s="41"/>
      <c r="BN14" s="41"/>
      <c r="BO14" s="183"/>
      <c r="BP14" s="183"/>
      <c r="BQ14" s="179"/>
      <c r="BR14" s="179"/>
      <c r="BS14" s="179"/>
      <c r="BT14" s="179"/>
      <c r="BU14" s="179"/>
      <c r="BV14" s="179"/>
      <c r="BX14" s="106">
        <v>1.5</v>
      </c>
      <c r="BY14" s="103"/>
      <c r="BZ14" s="107" t="s">
        <v>111</v>
      </c>
      <c r="CA14" s="108">
        <v>1</v>
      </c>
      <c r="CB14" s="103"/>
      <c r="CC14" s="103"/>
      <c r="CD14" s="107" t="s">
        <v>155</v>
      </c>
      <c r="CE14" s="107">
        <v>5</v>
      </c>
      <c r="CF14" s="103"/>
      <c r="CG14" s="103"/>
      <c r="CH14" s="103"/>
      <c r="CI14" s="103"/>
      <c r="CJ14" s="103"/>
      <c r="CK14" s="103"/>
      <c r="CL14" s="103"/>
      <c r="CM14" s="103"/>
      <c r="CN14" s="103"/>
      <c r="CO14" s="103"/>
      <c r="CP14" s="103"/>
      <c r="CQ14" s="103"/>
      <c r="CR14" s="103"/>
      <c r="CS14" s="103"/>
      <c r="CT14" s="107" t="s">
        <v>84</v>
      </c>
      <c r="CU14" s="107">
        <v>70</v>
      </c>
      <c r="CV14" s="103"/>
      <c r="CW14" s="103"/>
      <c r="CX14" s="107" t="s">
        <v>84</v>
      </c>
      <c r="CY14" s="107">
        <v>60</v>
      </c>
      <c r="CZ14" s="103"/>
      <c r="DA14" s="103"/>
      <c r="DB14" s="107" t="s">
        <v>84</v>
      </c>
      <c r="DC14" s="107">
        <v>70</v>
      </c>
      <c r="DD14" s="103"/>
      <c r="DE14" s="103"/>
    </row>
    <row r="15" spans="2:109" ht="13.5" thickBot="1" x14ac:dyDescent="0.25">
      <c r="AS15" s="41"/>
      <c r="AT15" s="182"/>
      <c r="AU15" s="41"/>
      <c r="AV15" s="41"/>
      <c r="AW15" s="41"/>
      <c r="AX15" s="41"/>
      <c r="AY15" s="41"/>
      <c r="AZ15" s="41"/>
      <c r="BA15" s="41"/>
      <c r="BB15" s="176"/>
      <c r="BC15" s="179"/>
      <c r="BD15" s="41"/>
      <c r="BE15" s="179"/>
      <c r="BF15" s="41"/>
      <c r="BG15" s="41"/>
      <c r="BH15" s="179"/>
      <c r="BI15" s="22"/>
      <c r="BJ15" s="22"/>
      <c r="BK15" s="183"/>
      <c r="BL15" s="41"/>
      <c r="BM15" s="41"/>
      <c r="BN15" s="41"/>
      <c r="BO15" s="183"/>
      <c r="BP15" s="183"/>
      <c r="BQ15" s="179"/>
      <c r="BR15" s="179"/>
      <c r="BS15" s="179"/>
      <c r="BT15" s="179"/>
      <c r="BU15" s="179"/>
      <c r="BV15" s="179"/>
      <c r="BX15" s="106">
        <v>1.55</v>
      </c>
      <c r="BY15" s="103"/>
      <c r="BZ15" s="103"/>
      <c r="CA15" s="112"/>
      <c r="CB15" s="103"/>
      <c r="CC15" s="103"/>
      <c r="CD15" s="107" t="s">
        <v>157</v>
      </c>
      <c r="CE15" s="107">
        <v>10</v>
      </c>
      <c r="CF15" s="103"/>
      <c r="CG15" s="103"/>
      <c r="CH15" s="103"/>
      <c r="CI15" s="103"/>
      <c r="CJ15" s="103"/>
      <c r="CK15" s="103"/>
      <c r="CL15" s="103"/>
      <c r="CM15" s="103"/>
      <c r="CN15" s="103"/>
      <c r="CO15" s="103"/>
      <c r="CP15" s="103"/>
      <c r="CQ15" s="103"/>
      <c r="CR15" s="103"/>
      <c r="CS15" s="103"/>
      <c r="CT15" s="103"/>
      <c r="CU15" s="103"/>
      <c r="CV15" s="103"/>
      <c r="CW15" s="103"/>
      <c r="CX15" s="103"/>
      <c r="CY15" s="103"/>
      <c r="CZ15" s="103"/>
      <c r="DA15" s="103"/>
      <c r="DB15" s="103"/>
      <c r="DC15" s="103"/>
      <c r="DD15" s="103"/>
      <c r="DE15" s="103"/>
    </row>
    <row r="16" spans="2:109" ht="13.5" thickBot="1" x14ac:dyDescent="0.25">
      <c r="AS16" s="41"/>
      <c r="AT16" s="182"/>
      <c r="AU16" s="41"/>
      <c r="AV16" s="50"/>
      <c r="AW16" s="50"/>
      <c r="AX16" s="41"/>
      <c r="AY16" s="41"/>
      <c r="AZ16" s="41"/>
      <c r="BA16" s="41"/>
      <c r="BB16" s="176"/>
      <c r="BC16" s="179"/>
      <c r="BD16" s="41"/>
      <c r="BE16" s="179"/>
      <c r="BF16" s="41"/>
      <c r="BG16" s="41"/>
      <c r="BH16" s="179"/>
      <c r="BI16" s="22"/>
      <c r="BJ16" s="22"/>
      <c r="BK16" s="183"/>
      <c r="BL16" s="41"/>
      <c r="BM16" s="41"/>
      <c r="BN16" s="41"/>
      <c r="BO16" s="183"/>
      <c r="BP16" s="183"/>
      <c r="BQ16" s="179"/>
      <c r="BR16" s="179"/>
      <c r="BS16" s="179"/>
      <c r="BT16" s="179"/>
      <c r="BU16" s="179"/>
      <c r="BV16" s="179"/>
      <c r="BX16" s="106">
        <v>1.8</v>
      </c>
      <c r="BY16" s="103"/>
      <c r="BZ16" s="103"/>
      <c r="CA16" s="103"/>
      <c r="CB16" s="103"/>
      <c r="CC16" s="103"/>
      <c r="CD16" s="107" t="s">
        <v>158</v>
      </c>
      <c r="CE16" s="107">
        <v>15</v>
      </c>
      <c r="CF16" s="103"/>
      <c r="CG16" s="103"/>
      <c r="CH16" s="103"/>
      <c r="CI16" s="103"/>
      <c r="CJ16" s="103"/>
      <c r="CK16" s="103"/>
      <c r="CL16" s="103"/>
      <c r="CM16" s="103"/>
      <c r="CN16" s="103"/>
      <c r="CO16" s="103"/>
      <c r="CP16" s="103"/>
      <c r="CQ16" s="103"/>
      <c r="CR16" s="103"/>
      <c r="CS16" s="103"/>
      <c r="CT16" s="103"/>
      <c r="CU16" s="103"/>
      <c r="CV16" s="103"/>
      <c r="CW16" s="103"/>
      <c r="CX16" s="103"/>
      <c r="CY16" s="103"/>
      <c r="CZ16" s="103"/>
      <c r="DA16" s="103"/>
      <c r="DB16" s="103"/>
      <c r="DC16" s="103"/>
      <c r="DD16" s="103"/>
      <c r="DE16" s="103"/>
    </row>
    <row r="17" spans="2:109" ht="13.5" thickBot="1" x14ac:dyDescent="0.25">
      <c r="AS17" s="41"/>
      <c r="AT17" s="182"/>
      <c r="AU17" s="41"/>
      <c r="AV17" s="50"/>
      <c r="AW17" s="50"/>
      <c r="AX17" s="41"/>
      <c r="AY17" s="41"/>
      <c r="AZ17" s="41"/>
      <c r="BA17" s="41"/>
      <c r="BB17" s="176"/>
      <c r="BC17" s="179"/>
      <c r="BD17" s="41"/>
      <c r="BE17" s="179"/>
      <c r="BF17" s="41"/>
      <c r="BG17" s="41"/>
      <c r="BH17" s="179"/>
      <c r="BI17" s="22"/>
      <c r="BJ17" s="22"/>
      <c r="BK17" s="183"/>
      <c r="BL17" s="41"/>
      <c r="BM17" s="41"/>
      <c r="BN17" s="41"/>
      <c r="BO17" s="183"/>
      <c r="BP17" s="183"/>
      <c r="BQ17" s="179"/>
      <c r="BR17" s="179"/>
      <c r="BS17" s="179"/>
      <c r="BT17" s="179"/>
      <c r="BU17" s="179"/>
      <c r="BV17" s="179"/>
      <c r="BX17" s="106">
        <v>1.9</v>
      </c>
      <c r="BY17" s="103"/>
      <c r="BZ17" s="103"/>
      <c r="CA17" s="103"/>
      <c r="CB17" s="103"/>
      <c r="CC17" s="103"/>
      <c r="CD17" s="107" t="s">
        <v>156</v>
      </c>
      <c r="CE17" s="107">
        <v>20</v>
      </c>
      <c r="CF17" s="103"/>
      <c r="CG17" s="103"/>
      <c r="CH17" s="103"/>
      <c r="CI17" s="103"/>
      <c r="CJ17" s="103"/>
      <c r="CK17" s="103"/>
      <c r="CL17" s="103"/>
      <c r="CM17" s="103"/>
      <c r="CN17" s="103"/>
      <c r="CO17" s="103"/>
      <c r="CP17" s="103"/>
      <c r="CQ17" s="103"/>
      <c r="CR17" s="103"/>
      <c r="CS17" s="103"/>
      <c r="CT17" s="103"/>
      <c r="CU17" s="103"/>
      <c r="CV17" s="103"/>
      <c r="CW17" s="103"/>
      <c r="CX17" s="103"/>
      <c r="CY17" s="103"/>
      <c r="CZ17" s="103"/>
      <c r="DA17" s="103"/>
      <c r="DB17" s="103"/>
      <c r="DC17" s="103"/>
      <c r="DD17" s="103"/>
      <c r="DE17" s="103"/>
    </row>
    <row r="18" spans="2:109" ht="13.5" thickBot="1" x14ac:dyDescent="0.25">
      <c r="AS18" s="41"/>
      <c r="AT18" s="182"/>
      <c r="AU18" s="41"/>
      <c r="AV18" s="50"/>
      <c r="AW18" s="50"/>
      <c r="AX18" s="41"/>
      <c r="AY18" s="41"/>
      <c r="AZ18" s="41"/>
      <c r="BA18" s="41"/>
      <c r="BB18" s="176"/>
      <c r="BC18" s="179"/>
      <c r="BD18" s="41"/>
      <c r="BE18" s="179"/>
      <c r="BF18" s="41"/>
      <c r="BG18" s="41"/>
      <c r="BH18" s="179"/>
      <c r="BI18" s="22"/>
      <c r="BJ18" s="22"/>
      <c r="BK18" s="183"/>
      <c r="BL18" s="41"/>
      <c r="BM18" s="41"/>
      <c r="BN18" s="41"/>
      <c r="BO18" s="183"/>
      <c r="BP18" s="183"/>
      <c r="BQ18" s="179"/>
      <c r="BR18" s="179"/>
      <c r="BS18" s="179"/>
      <c r="BT18" s="179"/>
      <c r="BU18" s="179"/>
      <c r="BV18" s="179"/>
      <c r="BX18" s="106">
        <v>1.95</v>
      </c>
      <c r="BY18" s="103"/>
      <c r="BZ18" s="103"/>
      <c r="CA18" s="103"/>
      <c r="CB18" s="103"/>
      <c r="CC18" s="103"/>
      <c r="CD18" s="103"/>
      <c r="CE18" s="103"/>
      <c r="CF18" s="103"/>
      <c r="CG18" s="103"/>
      <c r="CH18" s="103"/>
      <c r="CI18" s="103"/>
      <c r="CJ18" s="103"/>
      <c r="CK18" s="103"/>
      <c r="CL18" s="103"/>
      <c r="CM18" s="103"/>
      <c r="CN18" s="103"/>
      <c r="CO18" s="103"/>
      <c r="CP18" s="103"/>
      <c r="CQ18" s="103"/>
      <c r="CR18" s="103"/>
      <c r="CS18" s="103"/>
      <c r="CT18" s="103"/>
      <c r="CU18" s="103"/>
      <c r="CV18" s="103"/>
      <c r="CW18" s="103"/>
      <c r="CX18" s="103"/>
      <c r="CY18" s="103"/>
      <c r="CZ18" s="103"/>
      <c r="DA18" s="103"/>
      <c r="DB18" s="103"/>
      <c r="DC18" s="103"/>
      <c r="DD18" s="103"/>
      <c r="DE18" s="103"/>
    </row>
    <row r="19" spans="2:109" ht="15.75" thickBot="1" x14ac:dyDescent="0.3">
      <c r="B19" s="177"/>
      <c r="C19" s="178"/>
      <c r="D19" s="179"/>
      <c r="E19" s="180"/>
      <c r="F19" s="181"/>
      <c r="G19" s="182"/>
      <c r="H19" s="182"/>
      <c r="I19" s="41"/>
      <c r="J19" s="182"/>
      <c r="K19" s="182"/>
      <c r="L19" s="182"/>
      <c r="M19" s="183"/>
      <c r="N19" s="184"/>
      <c r="S19" s="41"/>
      <c r="T19" s="41"/>
      <c r="U19" s="41"/>
      <c r="V19" s="179"/>
      <c r="W19" s="41"/>
      <c r="X19" s="185"/>
      <c r="Y19" s="183"/>
      <c r="Z19" s="41"/>
      <c r="AA19" s="41"/>
      <c r="AB19" s="183"/>
      <c r="AC19" s="179"/>
      <c r="AD19" s="41"/>
      <c r="AE19" s="179"/>
      <c r="AF19" s="179"/>
      <c r="AG19" s="179"/>
      <c r="AH19" s="179"/>
      <c r="AI19" s="179"/>
      <c r="AJ19" s="41"/>
      <c r="AK19" s="41"/>
      <c r="AL19" s="183"/>
      <c r="AM19" s="186"/>
      <c r="AN19" s="186"/>
      <c r="AS19" s="41"/>
      <c r="AT19" s="41"/>
      <c r="AU19" s="41"/>
      <c r="AV19" s="41"/>
      <c r="AW19" s="41"/>
      <c r="AX19" s="41"/>
      <c r="AY19" s="41"/>
      <c r="AZ19" s="41"/>
      <c r="BA19" s="41"/>
      <c r="BB19" s="176"/>
      <c r="BC19" s="179"/>
      <c r="BD19" s="41"/>
      <c r="BE19" s="179"/>
      <c r="BF19" s="41"/>
      <c r="BG19" s="41"/>
      <c r="BH19" s="179"/>
      <c r="BI19" s="22"/>
      <c r="BJ19" s="22"/>
      <c r="BK19" s="183"/>
      <c r="BL19" s="41"/>
      <c r="BM19" s="41"/>
      <c r="BN19" s="41"/>
      <c r="BO19" s="183"/>
      <c r="BP19" s="183"/>
      <c r="BQ19" s="179"/>
      <c r="BR19" s="179"/>
      <c r="BS19" s="179"/>
      <c r="BT19" s="179"/>
      <c r="BU19" s="179"/>
      <c r="BV19" s="179"/>
      <c r="BX19" s="106">
        <v>2</v>
      </c>
      <c r="BY19" s="103"/>
      <c r="BZ19" s="103"/>
      <c r="CA19" s="103"/>
      <c r="CB19" s="103"/>
      <c r="CC19" s="103"/>
      <c r="CD19" s="103"/>
      <c r="CE19" s="103"/>
      <c r="CF19" s="103"/>
      <c r="CG19" s="103"/>
      <c r="CH19" s="103"/>
      <c r="CI19" s="103"/>
      <c r="CJ19" s="103"/>
      <c r="CK19" s="103"/>
      <c r="CL19" s="103"/>
      <c r="CM19" s="103"/>
      <c r="CN19" s="103"/>
      <c r="CO19" s="103"/>
      <c r="CP19" s="103"/>
      <c r="CQ19" s="103"/>
      <c r="CR19" s="103"/>
      <c r="CS19" s="103"/>
      <c r="CT19" s="103"/>
      <c r="CU19" s="103"/>
      <c r="CV19" s="103"/>
      <c r="CW19" s="103"/>
      <c r="CX19" s="103"/>
      <c r="CY19" s="103"/>
      <c r="CZ19" s="103"/>
      <c r="DA19" s="103"/>
      <c r="DB19" s="103"/>
      <c r="DC19" s="103"/>
      <c r="DD19" s="103"/>
      <c r="DE19" s="103"/>
    </row>
    <row r="20" spans="2:109" ht="13.5" thickBot="1" x14ac:dyDescent="0.25">
      <c r="V20" s="42"/>
      <c r="AD20" s="25"/>
      <c r="AE20" s="25"/>
      <c r="AF20" s="21"/>
      <c r="AG20" s="175"/>
      <c r="AS20" s="41"/>
      <c r="AT20" s="41"/>
      <c r="AU20" s="41"/>
      <c r="AV20" s="41"/>
      <c r="AW20" s="41"/>
      <c r="AX20" s="41"/>
      <c r="AY20" s="41"/>
      <c r="AZ20" s="41"/>
      <c r="BA20" s="41"/>
      <c r="BB20" s="176"/>
      <c r="BC20" s="179"/>
      <c r="BD20" s="183"/>
      <c r="BE20" s="179"/>
      <c r="BF20" s="41"/>
      <c r="BG20" s="41"/>
      <c r="BH20" s="179"/>
      <c r="BI20" s="22"/>
      <c r="BJ20" s="22"/>
      <c r="BK20" s="183"/>
      <c r="BL20" s="41"/>
      <c r="BM20" s="41"/>
      <c r="BN20" s="41"/>
      <c r="BO20" s="183"/>
      <c r="BP20" s="183"/>
      <c r="BQ20" s="179"/>
      <c r="BR20" s="179"/>
      <c r="BS20" s="179"/>
      <c r="BT20" s="179"/>
      <c r="BU20" s="179"/>
      <c r="BV20" s="179"/>
      <c r="BX20" s="106">
        <v>2.25</v>
      </c>
      <c r="BY20" s="103"/>
      <c r="BZ20" s="103"/>
      <c r="CA20" s="103"/>
      <c r="CB20" s="103"/>
      <c r="CC20" s="103"/>
      <c r="CD20" s="103"/>
      <c r="CE20" s="103"/>
      <c r="CF20" s="103"/>
      <c r="CG20" s="103"/>
      <c r="CH20" s="103"/>
      <c r="CI20" s="103"/>
      <c r="CJ20" s="103"/>
      <c r="CK20" s="103"/>
      <c r="CL20" s="103"/>
      <c r="CM20" s="103"/>
      <c r="CN20" s="103"/>
      <c r="CO20" s="103"/>
      <c r="CP20" s="103"/>
      <c r="CQ20" s="103"/>
      <c r="CR20" s="103"/>
      <c r="CS20" s="103"/>
      <c r="CT20" s="103"/>
      <c r="CU20" s="103"/>
      <c r="CV20" s="103"/>
      <c r="CW20" s="103"/>
      <c r="CX20" s="103"/>
      <c r="CY20" s="103"/>
      <c r="CZ20" s="103"/>
      <c r="DA20" s="103"/>
      <c r="DB20" s="103"/>
      <c r="DC20" s="103"/>
      <c r="DD20" s="103"/>
      <c r="DE20" s="103"/>
    </row>
    <row r="21" spans="2:109" ht="13.5" thickBot="1" x14ac:dyDescent="0.25">
      <c r="AS21" s="41"/>
      <c r="AT21" s="182"/>
      <c r="AU21" s="41"/>
      <c r="AV21" s="41"/>
      <c r="AW21" s="41"/>
      <c r="AX21" s="41"/>
      <c r="AY21" s="41"/>
      <c r="AZ21" s="41"/>
      <c r="BA21" s="41"/>
      <c r="BB21" s="176"/>
      <c r="BC21" s="179"/>
      <c r="BD21" s="41"/>
      <c r="BE21" s="179"/>
      <c r="BF21" s="41"/>
      <c r="BG21" s="41"/>
      <c r="BH21" s="179"/>
      <c r="BI21" s="22"/>
      <c r="BJ21" s="22"/>
      <c r="BK21" s="183"/>
      <c r="BL21" s="41"/>
      <c r="BM21" s="41"/>
      <c r="BN21" s="41"/>
      <c r="BO21" s="183"/>
      <c r="BP21" s="183"/>
      <c r="BQ21" s="179"/>
      <c r="BR21" s="179"/>
      <c r="BS21" s="179"/>
      <c r="BT21" s="179"/>
      <c r="BU21" s="179"/>
      <c r="BV21" s="179"/>
      <c r="BX21" s="106">
        <v>2.2999999999999998</v>
      </c>
      <c r="BY21" s="103"/>
      <c r="BZ21" s="103"/>
      <c r="CA21" s="103"/>
      <c r="CB21" s="103"/>
      <c r="CC21" s="103"/>
      <c r="CD21" s="103"/>
      <c r="CE21" s="103"/>
      <c r="CF21" s="103"/>
      <c r="CG21" s="103"/>
      <c r="CH21" s="103"/>
      <c r="CI21" s="103"/>
      <c r="CJ21" s="103"/>
      <c r="CK21" s="103"/>
      <c r="CL21" s="103"/>
      <c r="CM21" s="103"/>
      <c r="CN21" s="103"/>
      <c r="CO21" s="103"/>
      <c r="CP21" s="103"/>
      <c r="CQ21" s="103"/>
      <c r="CR21" s="103"/>
      <c r="CS21" s="103"/>
      <c r="CT21" s="103"/>
      <c r="CU21" s="103"/>
      <c r="CV21" s="103"/>
      <c r="CW21" s="103"/>
      <c r="CX21" s="103"/>
      <c r="CY21" s="103"/>
      <c r="CZ21" s="103"/>
      <c r="DA21" s="103"/>
      <c r="DB21" s="103"/>
      <c r="DC21" s="103"/>
      <c r="DD21" s="103"/>
      <c r="DE21" s="103"/>
    </row>
    <row r="22" spans="2:109" ht="13.5" thickBot="1" x14ac:dyDescent="0.25">
      <c r="AS22" s="41"/>
      <c r="AT22" s="182"/>
      <c r="AU22" s="41"/>
      <c r="AV22" s="50"/>
      <c r="AW22" s="50"/>
      <c r="AX22" s="41"/>
      <c r="AY22" s="41"/>
      <c r="AZ22" s="41"/>
      <c r="BA22" s="41"/>
      <c r="BB22" s="176"/>
      <c r="BC22" s="179"/>
      <c r="BD22" s="41"/>
      <c r="BE22" s="179"/>
      <c r="BF22" s="41"/>
      <c r="BG22" s="41"/>
      <c r="BH22" s="179"/>
      <c r="BI22" s="22"/>
      <c r="BJ22" s="22"/>
      <c r="BK22" s="183"/>
      <c r="BL22" s="41"/>
      <c r="BM22" s="41"/>
      <c r="BN22" s="41"/>
      <c r="BO22" s="183"/>
      <c r="BP22" s="183"/>
      <c r="BQ22" s="179"/>
      <c r="BR22" s="179"/>
      <c r="BS22" s="179"/>
      <c r="BT22" s="179"/>
      <c r="BU22" s="179"/>
      <c r="BV22" s="179"/>
      <c r="BX22" s="106">
        <v>2.65</v>
      </c>
      <c r="BY22" s="103"/>
      <c r="BZ22" s="103"/>
      <c r="CA22" s="103"/>
      <c r="CB22" s="103"/>
      <c r="CC22" s="103"/>
      <c r="CD22" s="103"/>
      <c r="CE22" s="103"/>
      <c r="CF22" s="103"/>
      <c r="CG22" s="103"/>
      <c r="CH22" s="103"/>
      <c r="CI22" s="103"/>
      <c r="CJ22" s="103"/>
      <c r="CK22" s="103"/>
      <c r="CL22" s="103"/>
      <c r="CM22" s="103"/>
      <c r="CN22" s="103"/>
      <c r="CO22" s="103"/>
      <c r="CP22" s="103"/>
      <c r="CQ22" s="103"/>
      <c r="CR22" s="103"/>
      <c r="CS22" s="103"/>
      <c r="CT22" s="103"/>
      <c r="CU22" s="103"/>
      <c r="CV22" s="103"/>
      <c r="CW22" s="103"/>
      <c r="CX22" s="103"/>
      <c r="CY22" s="103"/>
      <c r="CZ22" s="103"/>
      <c r="DA22" s="103"/>
      <c r="DB22" s="103"/>
      <c r="DC22" s="103"/>
      <c r="DD22" s="103"/>
      <c r="DE22" s="103"/>
    </row>
    <row r="23" spans="2:109" ht="13.5" thickBot="1" x14ac:dyDescent="0.25">
      <c r="AS23" s="41"/>
      <c r="AT23" s="182"/>
      <c r="AU23" s="41"/>
      <c r="AV23" s="50"/>
      <c r="AW23" s="50"/>
      <c r="AX23" s="41"/>
      <c r="AY23" s="41"/>
      <c r="AZ23" s="41"/>
      <c r="BA23" s="41"/>
      <c r="BB23" s="176"/>
      <c r="BC23" s="179"/>
      <c r="BD23" s="41"/>
      <c r="BE23" s="179"/>
      <c r="BF23" s="41"/>
      <c r="BG23" s="41"/>
      <c r="BH23" s="179"/>
      <c r="BI23" s="22"/>
      <c r="BJ23" s="22"/>
      <c r="BK23" s="183"/>
      <c r="BL23" s="41"/>
      <c r="BM23" s="41"/>
      <c r="BN23" s="41"/>
      <c r="BO23" s="183"/>
      <c r="BP23" s="183"/>
      <c r="BQ23" s="179"/>
      <c r="BR23" s="179"/>
      <c r="BS23" s="179"/>
      <c r="BT23" s="179"/>
      <c r="BU23" s="179"/>
      <c r="BV23" s="179"/>
      <c r="BX23" s="106">
        <v>2.7</v>
      </c>
      <c r="BY23" s="103"/>
      <c r="BZ23" s="103"/>
      <c r="CA23" s="103"/>
      <c r="CB23" s="103"/>
      <c r="CC23" s="103"/>
      <c r="CD23" s="103"/>
      <c r="CE23" s="103"/>
      <c r="CF23" s="103"/>
      <c r="CG23" s="103"/>
      <c r="CH23" s="103"/>
      <c r="CI23" s="103"/>
      <c r="CJ23" s="103"/>
      <c r="CK23" s="103"/>
      <c r="CL23" s="103"/>
      <c r="CM23" s="103"/>
      <c r="CN23" s="103"/>
      <c r="CO23" s="103"/>
      <c r="CP23" s="103"/>
      <c r="CQ23" s="103"/>
      <c r="CR23" s="103"/>
      <c r="CS23" s="103"/>
      <c r="CT23" s="103"/>
      <c r="CU23" s="103"/>
      <c r="CV23" s="103"/>
      <c r="CW23" s="103"/>
      <c r="CX23" s="103"/>
      <c r="CY23" s="103"/>
      <c r="CZ23" s="103"/>
      <c r="DA23" s="103"/>
      <c r="DB23" s="103"/>
      <c r="DC23" s="103"/>
      <c r="DD23" s="103"/>
      <c r="DE23" s="103"/>
    </row>
    <row r="24" spans="2:109" ht="13.5" thickBot="1" x14ac:dyDescent="0.25">
      <c r="AS24" s="41"/>
      <c r="AT24" s="182"/>
      <c r="AU24" s="41"/>
      <c r="AV24" s="50"/>
      <c r="AW24" s="50"/>
      <c r="AX24" s="41"/>
      <c r="AY24" s="41"/>
      <c r="AZ24" s="41"/>
      <c r="BA24" s="41"/>
      <c r="BB24" s="176"/>
      <c r="BC24" s="179"/>
      <c r="BD24" s="41"/>
      <c r="BE24" s="179"/>
      <c r="BF24" s="41"/>
      <c r="BG24" s="41"/>
      <c r="BH24" s="179"/>
      <c r="BI24" s="22"/>
      <c r="BJ24" s="22"/>
      <c r="BK24" s="183"/>
      <c r="BL24" s="41"/>
      <c r="BM24" s="41"/>
      <c r="BN24" s="41"/>
      <c r="BO24" s="183"/>
      <c r="BP24" s="183"/>
      <c r="BQ24" s="179"/>
      <c r="BR24" s="179"/>
      <c r="BS24" s="179"/>
      <c r="BT24" s="179"/>
      <c r="BU24" s="179"/>
      <c r="BV24" s="179"/>
      <c r="BX24" s="106">
        <v>3</v>
      </c>
      <c r="BY24" s="103"/>
      <c r="BZ24" s="103"/>
      <c r="CA24" s="103"/>
      <c r="CB24" s="103"/>
      <c r="CC24" s="103"/>
      <c r="CD24" s="103"/>
      <c r="CE24" s="103"/>
      <c r="CF24" s="103"/>
      <c r="CG24" s="103"/>
      <c r="CH24" s="103"/>
      <c r="CI24" s="103"/>
      <c r="CJ24" s="103"/>
      <c r="CK24" s="103"/>
      <c r="CL24" s="103"/>
      <c r="CM24" s="103"/>
      <c r="CN24" s="103"/>
      <c r="CO24" s="103"/>
      <c r="CP24" s="103"/>
      <c r="CQ24" s="103"/>
      <c r="CR24" s="103"/>
      <c r="CS24" s="103"/>
      <c r="CT24" s="103"/>
      <c r="CU24" s="103"/>
      <c r="CV24" s="103"/>
      <c r="CW24" s="103"/>
      <c r="CX24" s="103"/>
      <c r="CY24" s="103"/>
      <c r="CZ24" s="103"/>
      <c r="DA24" s="103"/>
      <c r="DB24" s="103"/>
      <c r="DC24" s="103"/>
      <c r="DD24" s="103"/>
      <c r="DE24" s="103"/>
    </row>
    <row r="25" spans="2:109" ht="15.75" thickBot="1" x14ac:dyDescent="0.3">
      <c r="B25" s="177"/>
      <c r="C25" s="178"/>
      <c r="D25" s="179"/>
      <c r="E25" s="180"/>
      <c r="F25" s="181"/>
      <c r="G25" s="182"/>
      <c r="H25" s="182"/>
      <c r="I25" s="41"/>
      <c r="J25" s="182"/>
      <c r="K25" s="182"/>
      <c r="L25" s="182"/>
      <c r="M25" s="183"/>
      <c r="N25" s="184"/>
      <c r="S25" s="41"/>
      <c r="T25" s="41"/>
      <c r="U25" s="41"/>
      <c r="V25" s="179"/>
      <c r="W25" s="41"/>
      <c r="X25" s="185"/>
      <c r="Y25" s="183"/>
      <c r="Z25" s="41"/>
      <c r="AA25" s="41"/>
      <c r="AB25" s="183"/>
      <c r="AC25" s="179"/>
      <c r="AD25" s="41"/>
      <c r="AE25" s="179"/>
      <c r="AF25" s="179"/>
      <c r="AG25" s="179"/>
      <c r="AH25" s="179"/>
      <c r="AI25" s="179"/>
      <c r="AJ25" s="41"/>
      <c r="AK25" s="41"/>
      <c r="AL25" s="183"/>
      <c r="AM25" s="186"/>
      <c r="AN25" s="186"/>
      <c r="AS25" s="41"/>
      <c r="AT25" s="41"/>
      <c r="AU25" s="41"/>
      <c r="AV25" s="41"/>
      <c r="AW25" s="41"/>
      <c r="AX25" s="41"/>
      <c r="AY25" s="41"/>
      <c r="AZ25" s="41"/>
      <c r="BA25" s="41"/>
      <c r="BB25" s="176"/>
      <c r="BC25" s="179"/>
      <c r="BD25" s="41"/>
      <c r="BE25" s="179"/>
      <c r="BF25" s="41"/>
      <c r="BG25" s="41"/>
      <c r="BH25" s="179"/>
      <c r="BI25" s="22"/>
      <c r="BJ25" s="22"/>
      <c r="BK25" s="183"/>
      <c r="BL25" s="41"/>
      <c r="BM25" s="41"/>
      <c r="BN25" s="41"/>
      <c r="BO25" s="183"/>
      <c r="BP25" s="183"/>
      <c r="BQ25" s="179"/>
      <c r="BR25" s="179"/>
      <c r="BS25" s="179"/>
      <c r="BT25" s="179"/>
      <c r="BU25" s="179"/>
      <c r="BV25" s="179"/>
      <c r="BX25" s="106">
        <v>3.35</v>
      </c>
      <c r="BY25" s="103"/>
      <c r="BZ25" s="103"/>
      <c r="CA25" s="103"/>
      <c r="CB25" s="103"/>
      <c r="CC25" s="103"/>
      <c r="CD25" s="103"/>
      <c r="CE25" s="103"/>
      <c r="CF25" s="103"/>
      <c r="CG25" s="103"/>
      <c r="CH25" s="103"/>
      <c r="CI25" s="103"/>
      <c r="CJ25" s="103"/>
      <c r="CK25" s="103"/>
      <c r="CL25" s="103"/>
      <c r="CM25" s="103"/>
      <c r="CN25" s="103"/>
      <c r="CO25" s="103"/>
      <c r="CP25" s="103"/>
      <c r="CQ25" s="103"/>
      <c r="CR25" s="103"/>
      <c r="CS25" s="103"/>
      <c r="CT25" s="103"/>
      <c r="CU25" s="103"/>
      <c r="CV25" s="103"/>
      <c r="CW25" s="103"/>
      <c r="CX25" s="103"/>
      <c r="CY25" s="103"/>
      <c r="CZ25" s="103"/>
      <c r="DA25" s="103"/>
      <c r="DB25" s="103"/>
      <c r="DC25" s="103"/>
      <c r="DD25" s="103"/>
      <c r="DE25" s="103"/>
    </row>
    <row r="26" spans="2:109" ht="13.5" thickBot="1" x14ac:dyDescent="0.25">
      <c r="V26" s="42"/>
      <c r="AD26" s="25"/>
      <c r="AE26" s="25"/>
      <c r="AF26" s="21"/>
      <c r="AG26" s="175"/>
      <c r="AS26" s="41"/>
      <c r="AT26" s="41"/>
      <c r="AU26" s="41"/>
      <c r="AV26" s="41"/>
      <c r="AW26" s="41"/>
      <c r="AX26" s="41"/>
      <c r="AY26" s="41"/>
      <c r="AZ26" s="41"/>
      <c r="BA26" s="41"/>
      <c r="BB26" s="176"/>
      <c r="BC26" s="179"/>
      <c r="BD26" s="183"/>
      <c r="BE26" s="179"/>
      <c r="BF26" s="41"/>
      <c r="BG26" s="41"/>
      <c r="BH26" s="179"/>
      <c r="BI26" s="22"/>
      <c r="BJ26" s="22"/>
      <c r="BK26" s="183"/>
      <c r="BL26" s="41"/>
      <c r="BM26" s="41"/>
      <c r="BN26" s="41"/>
      <c r="BO26" s="183"/>
      <c r="BP26" s="183"/>
      <c r="BQ26" s="179"/>
      <c r="BR26" s="179"/>
      <c r="BS26" s="179"/>
      <c r="BT26" s="179"/>
      <c r="BU26" s="179"/>
      <c r="BV26" s="179"/>
      <c r="BX26" s="106">
        <v>3.75</v>
      </c>
      <c r="BY26" s="103"/>
      <c r="BZ26" s="103"/>
      <c r="CA26" s="103"/>
      <c r="CB26" s="103"/>
      <c r="CC26" s="103"/>
      <c r="CD26" s="103"/>
      <c r="CE26" s="103"/>
      <c r="CF26" s="103"/>
      <c r="CG26" s="103"/>
      <c r="CH26" s="103"/>
      <c r="CI26" s="103"/>
      <c r="CJ26" s="103"/>
      <c r="CK26" s="103"/>
      <c r="CL26" s="103"/>
      <c r="CM26" s="103"/>
      <c r="CN26" s="103"/>
      <c r="CO26" s="103"/>
      <c r="CP26" s="103"/>
      <c r="CQ26" s="103"/>
      <c r="CR26" s="103"/>
      <c r="CS26" s="103"/>
      <c r="CT26" s="103"/>
      <c r="CU26" s="103"/>
      <c r="CV26" s="103"/>
      <c r="CW26" s="103"/>
      <c r="CX26" s="103"/>
      <c r="CY26" s="103"/>
      <c r="CZ26" s="103"/>
      <c r="DA26" s="103"/>
      <c r="DB26" s="103"/>
      <c r="DC26" s="103"/>
      <c r="DD26" s="103"/>
      <c r="DE26" s="103"/>
    </row>
    <row r="27" spans="2:109" ht="13.5" thickBot="1" x14ac:dyDescent="0.25">
      <c r="AS27" s="41"/>
      <c r="AT27" s="182"/>
      <c r="AU27" s="41"/>
      <c r="AV27" s="41"/>
      <c r="AW27" s="41"/>
      <c r="AX27" s="41"/>
      <c r="AY27" s="41"/>
      <c r="AZ27" s="41"/>
      <c r="BA27" s="41"/>
      <c r="BB27" s="176"/>
      <c r="BC27" s="179"/>
      <c r="BD27" s="41"/>
      <c r="BE27" s="179"/>
      <c r="BF27" s="41"/>
      <c r="BG27" s="41"/>
      <c r="BH27" s="179"/>
      <c r="BI27" s="22"/>
      <c r="BJ27" s="22"/>
      <c r="BK27" s="183"/>
      <c r="BL27" s="41"/>
      <c r="BM27" s="41"/>
      <c r="BN27" s="41"/>
      <c r="BO27" s="183"/>
      <c r="BP27" s="183"/>
      <c r="BQ27" s="179"/>
      <c r="BR27" s="179"/>
      <c r="BS27" s="179"/>
      <c r="BT27" s="179"/>
      <c r="BU27" s="179"/>
      <c r="BV27" s="179"/>
      <c r="BX27" s="106">
        <v>4.25</v>
      </c>
      <c r="BY27" s="103"/>
      <c r="BZ27" s="103"/>
      <c r="CA27" s="103"/>
      <c r="CB27" s="103"/>
      <c r="CC27" s="103"/>
      <c r="CD27" s="103"/>
      <c r="CE27" s="103"/>
      <c r="CF27" s="103"/>
      <c r="CG27" s="103"/>
      <c r="CH27" s="103"/>
      <c r="CI27" s="103"/>
      <c r="CJ27" s="103"/>
      <c r="CK27" s="103"/>
      <c r="CL27" s="103"/>
      <c r="CM27" s="103"/>
      <c r="CN27" s="103"/>
      <c r="CO27" s="103"/>
      <c r="CP27" s="103"/>
      <c r="CQ27" s="103"/>
      <c r="CR27" s="103"/>
      <c r="CS27" s="103"/>
      <c r="CT27" s="103"/>
      <c r="CU27" s="103"/>
      <c r="CV27" s="103"/>
      <c r="CW27" s="103"/>
      <c r="CX27" s="103"/>
      <c r="CY27" s="103"/>
      <c r="CZ27" s="103"/>
      <c r="DA27" s="103"/>
      <c r="DB27" s="103"/>
      <c r="DC27" s="103"/>
      <c r="DD27" s="103"/>
      <c r="DE27" s="103"/>
    </row>
    <row r="28" spans="2:109" ht="13.5" thickBot="1" x14ac:dyDescent="0.25">
      <c r="AS28" s="41"/>
      <c r="AT28" s="182"/>
      <c r="AU28" s="41"/>
      <c r="AV28" s="50"/>
      <c r="AW28" s="50"/>
      <c r="AX28" s="41"/>
      <c r="AY28" s="41"/>
      <c r="AZ28" s="41"/>
      <c r="BA28" s="41"/>
      <c r="BB28" s="176"/>
      <c r="BC28" s="179"/>
      <c r="BD28" s="41"/>
      <c r="BE28" s="179"/>
      <c r="BF28" s="41"/>
      <c r="BG28" s="41"/>
      <c r="BH28" s="179"/>
      <c r="BI28" s="22"/>
      <c r="BJ28" s="22"/>
      <c r="BK28" s="183"/>
      <c r="BL28" s="41"/>
      <c r="BM28" s="41"/>
      <c r="BN28" s="41"/>
      <c r="BO28" s="183"/>
      <c r="BP28" s="183"/>
      <c r="BQ28" s="179"/>
      <c r="BR28" s="179"/>
      <c r="BS28" s="179"/>
      <c r="BT28" s="179"/>
      <c r="BU28" s="179"/>
      <c r="BV28" s="179"/>
      <c r="BX28" s="106">
        <v>4.5</v>
      </c>
      <c r="BY28" s="103"/>
      <c r="BZ28" s="103"/>
      <c r="CA28" s="103"/>
      <c r="CB28" s="103"/>
      <c r="CC28" s="103"/>
      <c r="CD28" s="103"/>
      <c r="CE28" s="103"/>
      <c r="CF28" s="103"/>
      <c r="CG28" s="103"/>
      <c r="CH28" s="103"/>
      <c r="CI28" s="103"/>
      <c r="CJ28" s="103"/>
      <c r="CK28" s="103"/>
      <c r="CL28" s="103"/>
      <c r="CM28" s="103"/>
      <c r="CN28" s="103"/>
      <c r="CO28" s="103"/>
      <c r="CP28" s="103"/>
      <c r="CQ28" s="103"/>
      <c r="CR28" s="103"/>
      <c r="CS28" s="103"/>
      <c r="CT28" s="103"/>
      <c r="CU28" s="103"/>
      <c r="CV28" s="103"/>
      <c r="CW28" s="103"/>
      <c r="CX28" s="103"/>
      <c r="CY28" s="103"/>
      <c r="CZ28" s="103"/>
      <c r="DA28" s="103"/>
      <c r="DB28" s="103"/>
      <c r="DC28" s="103"/>
      <c r="DD28" s="103"/>
      <c r="DE28" s="103"/>
    </row>
    <row r="29" spans="2:109" ht="13.5" thickBot="1" x14ac:dyDescent="0.25">
      <c r="AS29" s="41"/>
      <c r="AT29" s="182"/>
      <c r="AU29" s="41"/>
      <c r="AV29" s="50"/>
      <c r="AW29" s="50"/>
      <c r="AX29" s="41"/>
      <c r="AY29" s="41"/>
      <c r="AZ29" s="41"/>
      <c r="BA29" s="41"/>
      <c r="BB29" s="176"/>
      <c r="BC29" s="179"/>
      <c r="BD29" s="41"/>
      <c r="BE29" s="179"/>
      <c r="BF29" s="41"/>
      <c r="BG29" s="41"/>
      <c r="BH29" s="179"/>
      <c r="BI29" s="22"/>
      <c r="BJ29" s="22"/>
      <c r="BK29" s="183"/>
      <c r="BL29" s="41"/>
      <c r="BM29" s="41"/>
      <c r="BN29" s="41"/>
      <c r="BO29" s="183"/>
      <c r="BP29" s="183"/>
      <c r="BQ29" s="179"/>
      <c r="BR29" s="179"/>
      <c r="BS29" s="179"/>
      <c r="BT29" s="179"/>
      <c r="BU29" s="179"/>
      <c r="BV29" s="179"/>
      <c r="BX29" s="106">
        <v>4.75</v>
      </c>
      <c r="BY29" s="103"/>
      <c r="BZ29" s="103"/>
      <c r="CA29" s="103"/>
      <c r="CB29" s="103"/>
      <c r="CC29" s="103"/>
      <c r="CD29" s="103"/>
      <c r="CE29" s="103"/>
      <c r="CF29" s="103"/>
      <c r="CG29" s="103"/>
      <c r="CH29" s="103"/>
      <c r="CI29" s="103"/>
      <c r="CJ29" s="103"/>
      <c r="CK29" s="103"/>
      <c r="CL29" s="103"/>
      <c r="CM29" s="103"/>
      <c r="CN29" s="103"/>
      <c r="CO29" s="103"/>
      <c r="CP29" s="103"/>
      <c r="CQ29" s="103"/>
      <c r="CR29" s="103"/>
      <c r="CS29" s="103"/>
      <c r="CT29" s="103"/>
      <c r="CU29" s="103"/>
      <c r="CV29" s="103"/>
      <c r="CW29" s="103"/>
      <c r="CX29" s="103"/>
      <c r="CY29" s="103"/>
      <c r="CZ29" s="103"/>
      <c r="DA29" s="103"/>
      <c r="DB29" s="103"/>
      <c r="DC29" s="103"/>
      <c r="DD29" s="103"/>
      <c r="DE29" s="103"/>
    </row>
    <row r="30" spans="2:109" ht="13.5" thickBot="1" x14ac:dyDescent="0.25">
      <c r="AS30" s="41"/>
      <c r="AT30" s="182"/>
      <c r="AU30" s="41"/>
      <c r="AV30" s="50"/>
      <c r="AW30" s="50"/>
      <c r="AX30" s="41"/>
      <c r="AY30" s="41"/>
      <c r="AZ30" s="41"/>
      <c r="BA30" s="41"/>
      <c r="BB30" s="176"/>
      <c r="BC30" s="179"/>
      <c r="BD30" s="41"/>
      <c r="BE30" s="179"/>
      <c r="BF30" s="41"/>
      <c r="BG30" s="41"/>
      <c r="BH30" s="179"/>
      <c r="BI30" s="22"/>
      <c r="BJ30" s="22"/>
      <c r="BK30" s="183"/>
      <c r="BL30" s="41"/>
      <c r="BM30" s="41"/>
      <c r="BN30" s="41"/>
      <c r="BO30" s="183"/>
      <c r="BP30" s="183"/>
      <c r="BQ30" s="179"/>
      <c r="BR30" s="179"/>
      <c r="BS30" s="179"/>
      <c r="BT30" s="179"/>
      <c r="BU30" s="179"/>
      <c r="BV30" s="179"/>
      <c r="BX30" s="106">
        <v>5</v>
      </c>
      <c r="BY30" s="103"/>
      <c r="BZ30" s="103"/>
      <c r="CA30" s="103"/>
      <c r="CB30" s="103"/>
      <c r="CC30" s="103"/>
      <c r="CD30" s="103"/>
      <c r="CE30" s="103"/>
      <c r="CF30" s="103"/>
      <c r="CG30" s="103"/>
      <c r="CH30" s="103"/>
      <c r="CI30" s="103"/>
      <c r="CJ30" s="103"/>
      <c r="CK30" s="103"/>
      <c r="CL30" s="103"/>
      <c r="CM30" s="103"/>
      <c r="CN30" s="103"/>
      <c r="CO30" s="103"/>
      <c r="CP30" s="103"/>
      <c r="CQ30" s="103"/>
      <c r="CR30" s="103"/>
      <c r="CS30" s="103"/>
      <c r="CT30" s="103"/>
      <c r="CU30" s="103"/>
      <c r="CV30" s="103"/>
      <c r="CW30" s="103"/>
      <c r="CX30" s="103"/>
      <c r="CY30" s="103"/>
      <c r="CZ30" s="103"/>
      <c r="DA30" s="103"/>
      <c r="DB30" s="103"/>
      <c r="DC30" s="103"/>
      <c r="DD30" s="103"/>
      <c r="DE30" s="103"/>
    </row>
    <row r="31" spans="2:109" x14ac:dyDescent="0.2">
      <c r="BX31" s="103"/>
      <c r="BY31" s="103"/>
      <c r="BZ31" s="768"/>
      <c r="CA31" s="768"/>
      <c r="CB31" s="768"/>
      <c r="CC31" s="768"/>
      <c r="CD31" s="103"/>
      <c r="CE31" s="113"/>
      <c r="CF31" s="103"/>
      <c r="CG31" s="103"/>
      <c r="CH31" s="103"/>
      <c r="CI31" s="103"/>
      <c r="CJ31" s="103"/>
      <c r="CK31" s="103"/>
      <c r="CL31" s="103"/>
      <c r="CM31" s="103"/>
      <c r="CN31" s="103"/>
      <c r="CO31" s="103"/>
      <c r="CP31" s="103"/>
      <c r="CQ31" s="103"/>
      <c r="CR31" s="103"/>
      <c r="CS31" s="103"/>
      <c r="CT31" s="103"/>
      <c r="CU31" s="103"/>
      <c r="CV31" s="103"/>
      <c r="CW31" s="103"/>
      <c r="CX31" s="103"/>
      <c r="CY31" s="103"/>
      <c r="CZ31" s="103"/>
      <c r="DA31" s="103"/>
      <c r="DB31" s="103"/>
      <c r="DC31" s="103"/>
      <c r="DD31" s="103"/>
      <c r="DE31" s="103"/>
    </row>
    <row r="32" spans="2:109" x14ac:dyDescent="0.2">
      <c r="BX32" s="103"/>
      <c r="BY32" s="103"/>
      <c r="BZ32" s="112"/>
      <c r="CA32" s="112"/>
      <c r="CB32" s="112"/>
      <c r="CC32" s="112"/>
      <c r="CD32" s="103"/>
      <c r="CE32" s="113"/>
      <c r="CF32" s="103"/>
      <c r="CG32" s="103"/>
      <c r="CH32" s="103"/>
      <c r="CI32" s="103"/>
      <c r="CJ32" s="103"/>
      <c r="CK32" s="103"/>
      <c r="CL32" s="103"/>
      <c r="CM32" s="103"/>
      <c r="CN32" s="103"/>
      <c r="CO32" s="103"/>
      <c r="CP32" s="103"/>
      <c r="CQ32" s="103"/>
      <c r="CR32" s="103"/>
      <c r="CS32" s="103"/>
      <c r="CT32" s="103"/>
      <c r="CU32" s="103"/>
      <c r="CV32" s="103"/>
      <c r="CW32" s="103"/>
      <c r="CX32" s="103"/>
      <c r="CY32" s="103"/>
      <c r="CZ32" s="103"/>
      <c r="DA32" s="103"/>
      <c r="DB32" s="103"/>
      <c r="DC32" s="103"/>
      <c r="DD32" s="103"/>
      <c r="DE32" s="103"/>
    </row>
    <row r="33" spans="76:109" x14ac:dyDescent="0.2">
      <c r="BX33" s="103"/>
      <c r="BY33" s="103"/>
      <c r="BZ33" s="112"/>
      <c r="CA33" s="112"/>
      <c r="CB33" s="112"/>
      <c r="CC33" s="112"/>
      <c r="CD33" s="103"/>
      <c r="CE33" s="113"/>
      <c r="CF33" s="103"/>
      <c r="CG33" s="103"/>
      <c r="CH33" s="103"/>
      <c r="CI33" s="103"/>
      <c r="CJ33" s="103"/>
      <c r="CK33" s="103"/>
      <c r="CL33" s="103"/>
      <c r="CM33" s="103"/>
      <c r="CN33" s="103"/>
      <c r="CO33" s="103"/>
      <c r="CP33" s="103"/>
      <c r="CQ33" s="103"/>
      <c r="CR33" s="103"/>
      <c r="CS33" s="103"/>
      <c r="CT33" s="103"/>
      <c r="CU33" s="103"/>
      <c r="CV33" s="103"/>
      <c r="CW33" s="103"/>
      <c r="CX33" s="103"/>
      <c r="CY33" s="103"/>
      <c r="CZ33" s="103"/>
      <c r="DA33" s="103"/>
      <c r="DB33" s="103"/>
      <c r="DC33" s="103"/>
      <c r="DD33" s="103"/>
      <c r="DE33" s="103"/>
    </row>
    <row r="34" spans="76:109" ht="13.5" thickBot="1" x14ac:dyDescent="0.25">
      <c r="CE34" s="101"/>
    </row>
    <row r="35" spans="76:109" ht="13.5" thickBot="1" x14ac:dyDescent="0.25">
      <c r="CE35" s="22"/>
    </row>
    <row r="36" spans="76:109" ht="13.5" thickBot="1" x14ac:dyDescent="0.25">
      <c r="CE36" s="22"/>
    </row>
  </sheetData>
  <mergeCells count="94">
    <mergeCell ref="B4:P4"/>
    <mergeCell ref="Q4:AM4"/>
    <mergeCell ref="L5:L6"/>
    <mergeCell ref="B5:B6"/>
    <mergeCell ref="C5:C6"/>
    <mergeCell ref="D5:D6"/>
    <mergeCell ref="H5:H6"/>
    <mergeCell ref="F5:F6"/>
    <mergeCell ref="R5:R6"/>
    <mergeCell ref="S5:S6"/>
    <mergeCell ref="P5:P6"/>
    <mergeCell ref="Q5:Q6"/>
    <mergeCell ref="O5:O6"/>
    <mergeCell ref="T5:T6"/>
    <mergeCell ref="U5:U6"/>
    <mergeCell ref="V5:V6"/>
    <mergeCell ref="B3:P3"/>
    <mergeCell ref="Q3:AM3"/>
    <mergeCell ref="AP3:BV3"/>
    <mergeCell ref="BL5:BL6"/>
    <mergeCell ref="BM5:BM6"/>
    <mergeCell ref="BN5:BN6"/>
    <mergeCell ref="BO5:BO6"/>
    <mergeCell ref="BP5:BP6"/>
    <mergeCell ref="E5:E6"/>
    <mergeCell ref="G5:G6"/>
    <mergeCell ref="I5:I6"/>
    <mergeCell ref="J5:J6"/>
    <mergeCell ref="K5:K6"/>
    <mergeCell ref="Y5:Y6"/>
    <mergeCell ref="M5:M6"/>
    <mergeCell ref="N5:N6"/>
    <mergeCell ref="CD12:CE12"/>
    <mergeCell ref="CD5:CH5"/>
    <mergeCell ref="Z5:Z6"/>
    <mergeCell ref="AA5:AA6"/>
    <mergeCell ref="AD5:AD6"/>
    <mergeCell ref="AE5:AE6"/>
    <mergeCell ref="AG5:AG6"/>
    <mergeCell ref="BJ5:BJ6"/>
    <mergeCell ref="BK5:BK6"/>
    <mergeCell ref="BC5:BC6"/>
    <mergeCell ref="BE5:BE6"/>
    <mergeCell ref="AL5:AL6"/>
    <mergeCell ref="AX5:AX6"/>
    <mergeCell ref="AI5:AI6"/>
    <mergeCell ref="AJ5:AJ6"/>
    <mergeCell ref="CI5:CN5"/>
    <mergeCell ref="CX5:DA5"/>
    <mergeCell ref="DB5:DE5"/>
    <mergeCell ref="CO10:CQ10"/>
    <mergeCell ref="CT10:CU10"/>
    <mergeCell ref="CX10:CY10"/>
    <mergeCell ref="BZ3:DE3"/>
    <mergeCell ref="AP4:BV4"/>
    <mergeCell ref="DB10:DC10"/>
    <mergeCell ref="AV5:AV6"/>
    <mergeCell ref="AW5:AW6"/>
    <mergeCell ref="BA5:BB5"/>
    <mergeCell ref="BR5:BR6"/>
    <mergeCell ref="BG5:BG6"/>
    <mergeCell ref="BD5:BD6"/>
    <mergeCell ref="AQ5:AQ6"/>
    <mergeCell ref="BZ4:DE4"/>
    <mergeCell ref="BF5:BF6"/>
    <mergeCell ref="BH5:BH6"/>
    <mergeCell ref="BI5:BI6"/>
    <mergeCell ref="CO5:CS5"/>
    <mergeCell ref="CT5:CW5"/>
    <mergeCell ref="W5:X5"/>
    <mergeCell ref="AK5:AK6"/>
    <mergeCell ref="AC5:AC6"/>
    <mergeCell ref="AZ5:AZ6"/>
    <mergeCell ref="AF5:AF6"/>
    <mergeCell ref="AS5:AS6"/>
    <mergeCell ref="AT5:AT6"/>
    <mergeCell ref="AY5:AY6"/>
    <mergeCell ref="AM5:AM6"/>
    <mergeCell ref="AO5:AO6"/>
    <mergeCell ref="AU5:AU6"/>
    <mergeCell ref="AB5:AB6"/>
    <mergeCell ref="AH5:AH6"/>
    <mergeCell ref="AR5:AR6"/>
    <mergeCell ref="AN5:AN6"/>
    <mergeCell ref="AP5:AP6"/>
    <mergeCell ref="BZ31:CC31"/>
    <mergeCell ref="BZ12:CC12"/>
    <mergeCell ref="BZ9:CC9"/>
    <mergeCell ref="BZ5:CC5"/>
    <mergeCell ref="BQ5:BQ6"/>
    <mergeCell ref="BT5:BT6"/>
    <mergeCell ref="BU5:BU6"/>
    <mergeCell ref="BV5:BV6"/>
    <mergeCell ref="BS5:BS6"/>
  </mergeCells>
  <conditionalFormatting sqref="BS7:BV12 BE7:BE12 BO7:BO12 BJ7:BJ12 G7:H7 J7:L7">
    <cfRule type="cellIs" dxfId="127" priority="85" operator="equal">
      <formula>0</formula>
    </cfRule>
  </conditionalFormatting>
  <conditionalFormatting sqref="BO7:BP12 BS7:BV12 U7:V7 Y7 AA7:AI7 AP7:AP12 BC7:BC12 AX7:AZ12 BD7:BE8 BF7:BL12 AL7:BV7">
    <cfRule type="containsErrors" dxfId="126" priority="83">
      <formula>ISERROR(U7)</formula>
    </cfRule>
  </conditionalFormatting>
  <conditionalFormatting sqref="V7">
    <cfRule type="cellIs" dxfId="125" priority="72" operator="lessThanOrEqual">
      <formula>0.67</formula>
    </cfRule>
  </conditionalFormatting>
  <conditionalFormatting sqref="AS7:AS12">
    <cfRule type="cellIs" dxfId="124" priority="68" operator="equal">
      <formula>0</formula>
    </cfRule>
    <cfRule type="cellIs" dxfId="123" priority="69" operator="lessThan">
      <formula>$J$7</formula>
    </cfRule>
  </conditionalFormatting>
  <conditionalFormatting sqref="AT9:AT12">
    <cfRule type="cellIs" dxfId="122" priority="60" operator="equal">
      <formula>0</formula>
    </cfRule>
  </conditionalFormatting>
  <conditionalFormatting sqref="AS10">
    <cfRule type="cellIs" dxfId="121" priority="57" operator="greaterThan">
      <formula>6500</formula>
    </cfRule>
  </conditionalFormatting>
  <conditionalFormatting sqref="M7:O7">
    <cfRule type="cellIs" dxfId="120" priority="55" operator="equal">
      <formula>0</formula>
    </cfRule>
    <cfRule type="containsErrors" dxfId="119" priority="56">
      <formula>ISERROR(M7)</formula>
    </cfRule>
  </conditionalFormatting>
  <conditionalFormatting sqref="G7">
    <cfRule type="cellIs" dxfId="118" priority="51" operator="greaterThan">
      <formula>18</formula>
    </cfRule>
  </conditionalFormatting>
  <conditionalFormatting sqref="H7">
    <cfRule type="cellIs" dxfId="117" priority="50" operator="greaterThan">
      <formula>18</formula>
    </cfRule>
  </conditionalFormatting>
  <conditionalFormatting sqref="J7">
    <cfRule type="cellIs" dxfId="116" priority="49" operator="greaterThan">
      <formula>100</formula>
    </cfRule>
  </conditionalFormatting>
  <conditionalFormatting sqref="G7:H7 J7:L7">
    <cfRule type="cellIs" dxfId="115" priority="48" operator="equal">
      <formula>0</formula>
    </cfRule>
  </conditionalFormatting>
  <conditionalFormatting sqref="M7:O7">
    <cfRule type="cellIs" dxfId="114" priority="46" operator="equal">
      <formula>0</formula>
    </cfRule>
    <cfRule type="containsErrors" dxfId="113" priority="47">
      <formula>ISERROR(M7)</formula>
    </cfRule>
  </conditionalFormatting>
  <conditionalFormatting sqref="BS13:BV18 BE13:BE18 BO13:BO18 BJ13:BJ18 G13:H13 J13:L13">
    <cfRule type="cellIs" dxfId="112" priority="45" operator="equal">
      <formula>0</formula>
    </cfRule>
  </conditionalFormatting>
  <conditionalFormatting sqref="BO13:BP18 BS13:BV18 U13:V13 Y13 AA13:AI13 AL13:AN13 BC13:BC18 AX13:AZ18 BD13:BE14 BF13:BL18 AS13:AW13 BQ13:BR13 BA13:BB13 BM13:BN13">
    <cfRule type="containsErrors" dxfId="111" priority="44">
      <formula>ISERROR(U13)</formula>
    </cfRule>
  </conditionalFormatting>
  <conditionalFormatting sqref="V13">
    <cfRule type="cellIs" dxfId="110" priority="43" operator="lessThanOrEqual">
      <formula>0.67</formula>
    </cfRule>
  </conditionalFormatting>
  <conditionalFormatting sqref="AS13:AS18">
    <cfRule type="cellIs" dxfId="109" priority="41" operator="equal">
      <formula>0</formula>
    </cfRule>
    <cfRule type="cellIs" dxfId="108" priority="42" operator="lessThan">
      <formula>$J$7</formula>
    </cfRule>
  </conditionalFormatting>
  <conditionalFormatting sqref="AT15:AT18">
    <cfRule type="cellIs" dxfId="107" priority="40" operator="equal">
      <formula>0</formula>
    </cfRule>
  </conditionalFormatting>
  <conditionalFormatting sqref="AS16">
    <cfRule type="cellIs" dxfId="106" priority="39" operator="greaterThan">
      <formula>6500</formula>
    </cfRule>
  </conditionalFormatting>
  <conditionalFormatting sqref="M13:O13">
    <cfRule type="cellIs" dxfId="105" priority="37" operator="equal">
      <formula>0</formula>
    </cfRule>
    <cfRule type="containsErrors" dxfId="104" priority="38">
      <formula>ISERROR(M13)</formula>
    </cfRule>
  </conditionalFormatting>
  <conditionalFormatting sqref="G13">
    <cfRule type="cellIs" dxfId="103" priority="36" operator="greaterThan">
      <formula>18</formula>
    </cfRule>
  </conditionalFormatting>
  <conditionalFormatting sqref="H13">
    <cfRule type="cellIs" dxfId="102" priority="35" operator="greaterThan">
      <formula>18</formula>
    </cfRule>
  </conditionalFormatting>
  <conditionalFormatting sqref="J13">
    <cfRule type="cellIs" dxfId="101" priority="34" operator="greaterThan">
      <formula>100</formula>
    </cfRule>
  </conditionalFormatting>
  <conditionalFormatting sqref="G13:H13 J13:L13">
    <cfRule type="cellIs" dxfId="100" priority="33" operator="equal">
      <formula>0</formula>
    </cfRule>
  </conditionalFormatting>
  <conditionalFormatting sqref="M13:O13">
    <cfRule type="cellIs" dxfId="99" priority="31" operator="equal">
      <formula>0</formula>
    </cfRule>
    <cfRule type="containsErrors" dxfId="98" priority="32">
      <formula>ISERROR(M13)</formula>
    </cfRule>
  </conditionalFormatting>
  <conditionalFormatting sqref="BS19:BV24 BE19:BE24 BO19:BO24 BJ19:BJ24 G19:H19 J19:L19">
    <cfRule type="cellIs" dxfId="97" priority="30" operator="equal">
      <formula>0</formula>
    </cfRule>
  </conditionalFormatting>
  <conditionalFormatting sqref="BO19:BP24 BS19:BV24 U19:V19 Y19 AA19:AI19 AL19:AN19 BC19:BC24 AX19:AZ24 BD19:BE20 BF19:BL24 AS19:AW19 BQ19:BR19 BA19:BB19 BM19:BN19">
    <cfRule type="containsErrors" dxfId="96" priority="29">
      <formula>ISERROR(U19)</formula>
    </cfRule>
  </conditionalFormatting>
  <conditionalFormatting sqref="V19">
    <cfRule type="cellIs" dxfId="95" priority="28" operator="lessThanOrEqual">
      <formula>0.67</formula>
    </cfRule>
  </conditionalFormatting>
  <conditionalFormatting sqref="AS19:AS24">
    <cfRule type="cellIs" dxfId="94" priority="26" operator="equal">
      <formula>0</formula>
    </cfRule>
    <cfRule type="cellIs" dxfId="93" priority="27" operator="lessThan">
      <formula>$J$7</formula>
    </cfRule>
  </conditionalFormatting>
  <conditionalFormatting sqref="AT21:AT24">
    <cfRule type="cellIs" dxfId="92" priority="25" operator="equal">
      <formula>0</formula>
    </cfRule>
  </conditionalFormatting>
  <conditionalFormatting sqref="AS22">
    <cfRule type="cellIs" dxfId="91" priority="24" operator="greaterThan">
      <formula>6500</formula>
    </cfRule>
  </conditionalFormatting>
  <conditionalFormatting sqref="M19:O19">
    <cfRule type="cellIs" dxfId="90" priority="22" operator="equal">
      <formula>0</formula>
    </cfRule>
    <cfRule type="containsErrors" dxfId="89" priority="23">
      <formula>ISERROR(M19)</formula>
    </cfRule>
  </conditionalFormatting>
  <conditionalFormatting sqref="G19">
    <cfRule type="cellIs" dxfId="88" priority="21" operator="greaterThan">
      <formula>18</formula>
    </cfRule>
  </conditionalFormatting>
  <conditionalFormatting sqref="H19">
    <cfRule type="cellIs" dxfId="87" priority="20" operator="greaterThan">
      <formula>18</formula>
    </cfRule>
  </conditionalFormatting>
  <conditionalFormatting sqref="J19">
    <cfRule type="cellIs" dxfId="86" priority="19" operator="greaterThan">
      <formula>100</formula>
    </cfRule>
  </conditionalFormatting>
  <conditionalFormatting sqref="G19:H19 J19:L19">
    <cfRule type="cellIs" dxfId="85" priority="18" operator="equal">
      <formula>0</formula>
    </cfRule>
  </conditionalFormatting>
  <conditionalFormatting sqref="M19:O19">
    <cfRule type="cellIs" dxfId="84" priority="16" operator="equal">
      <formula>0</formula>
    </cfRule>
    <cfRule type="containsErrors" dxfId="83" priority="17">
      <formula>ISERROR(M19)</formula>
    </cfRule>
  </conditionalFormatting>
  <conditionalFormatting sqref="BS25:BV30 BE25:BE30 BO25:BO30 BJ25:BJ30 G25:H25 J25:L25">
    <cfRule type="cellIs" dxfId="82" priority="15" operator="equal">
      <formula>0</formula>
    </cfRule>
  </conditionalFormatting>
  <conditionalFormatting sqref="BO25:BP30 BS25:BV30 U25:V25 Y25 AA25:AI25 AL25:AN25 BC25:BC30 AX25:AZ30 BD25:BE26 BF25:BL30 AS25:AW25 BQ25:BR25 BA25:BB25 BM25:BN25">
    <cfRule type="containsErrors" dxfId="81" priority="14">
      <formula>ISERROR(U25)</formula>
    </cfRule>
  </conditionalFormatting>
  <conditionalFormatting sqref="V25">
    <cfRule type="cellIs" dxfId="80" priority="13" operator="lessThanOrEqual">
      <formula>0.67</formula>
    </cfRule>
  </conditionalFormatting>
  <conditionalFormatting sqref="AS25:AS30">
    <cfRule type="cellIs" dxfId="79" priority="11" operator="equal">
      <formula>0</formula>
    </cfRule>
    <cfRule type="cellIs" dxfId="78" priority="12" operator="lessThan">
      <formula>$J$7</formula>
    </cfRule>
  </conditionalFormatting>
  <conditionalFormatting sqref="AT27:AT30">
    <cfRule type="cellIs" dxfId="77" priority="10" operator="equal">
      <formula>0</formula>
    </cfRule>
  </conditionalFormatting>
  <conditionalFormatting sqref="AS28">
    <cfRule type="cellIs" dxfId="76" priority="9" operator="greaterThan">
      <formula>6500</formula>
    </cfRule>
  </conditionalFormatting>
  <conditionalFormatting sqref="M25:O25">
    <cfRule type="cellIs" dxfId="75" priority="7" operator="equal">
      <formula>0</formula>
    </cfRule>
    <cfRule type="containsErrors" dxfId="74" priority="8">
      <formula>ISERROR(M25)</formula>
    </cfRule>
  </conditionalFormatting>
  <conditionalFormatting sqref="G25">
    <cfRule type="cellIs" dxfId="73" priority="6" operator="greaterThan">
      <formula>18</formula>
    </cfRule>
  </conditionalFormatting>
  <conditionalFormatting sqref="H25">
    <cfRule type="cellIs" dxfId="72" priority="5" operator="greaterThan">
      <formula>18</formula>
    </cfRule>
  </conditionalFormatting>
  <conditionalFormatting sqref="J25">
    <cfRule type="cellIs" dxfId="71" priority="4" operator="greaterThan">
      <formula>100</formula>
    </cfRule>
  </conditionalFormatting>
  <conditionalFormatting sqref="G25:H25 J25:L25">
    <cfRule type="cellIs" dxfId="70" priority="3" operator="equal">
      <formula>0</formula>
    </cfRule>
  </conditionalFormatting>
  <conditionalFormatting sqref="M25:O25">
    <cfRule type="cellIs" dxfId="69" priority="1" operator="equal">
      <formula>0</formula>
    </cfRule>
    <cfRule type="containsErrors" dxfId="68" priority="2">
      <formula>ISERROR(M25)</formula>
    </cfRule>
  </conditionalFormatting>
  <dataValidations count="23">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2 AS18 AS24 AS30">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1 AS17 AS23 AS29">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10 AS16 AS22 AS28">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9 AS15 AS21 AS27">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8 AS14 AS20 AS26">
      <formula1>I7</formula1>
    </dataValidation>
    <dataValidation type="whole" operator="greaterThanOrEqual" allowBlank="1" showInputMessage="1" showErrorMessage="1" errorTitle="Erro de comprimento" error="Comprimento informado é menor do que o comprimento da peça pronta!" promptTitle="Comprimento de Processo" prompt="Em caso de o comprimento deste processo for o comprimento final da peça, este campo é auto-alimentável. No caso deste processo necessitar cortar com sobre-metal, deverá ser informado o novo valor." sqref="AS7 AS13 AS19 AS25">
      <formula1>I7</formula1>
    </dataValidation>
    <dataValidation type="list" allowBlank="1" showInputMessage="1" showErrorMessage="1" sqref="Q7 Q19 Q13 Q25">
      <formula1>$BZ$7:$BZ$8</formula1>
    </dataValidation>
    <dataValidation type="list" allowBlank="1" showInputMessage="1" showErrorMessage="1" sqref="S7 S19 S13 S25">
      <formula1>$BZ$10:$BZ$11</formula1>
    </dataValidation>
    <dataValidation type="list" allowBlank="1" showInputMessage="1" showErrorMessage="1" sqref="T7 T19 T13 T25">
      <formula1>$BZ$13:$BZ$14</formula1>
    </dataValidation>
    <dataValidation operator="greaterThanOrEqual" allowBlank="1" showInputMessage="1" promptTitle="Sucata de Processo" prompt="Sucata referente a furações, rasgos, corte em ângulo etc." sqref="AT9:AT12 AT15:AT18 AT21:AT24 AT27:AT30"/>
    <dataValidation operator="greaterThanOrEqual" allowBlank="1" sqref="AT7:AT8 AT13:AT14 AT19:AT20 AT25:AT26"/>
    <dataValidation type="list" allowBlank="1" showInputMessage="1" showErrorMessage="1" sqref="AR12 AR18 AR24 AR30">
      <formula1>$DB$12:$DB$14</formula1>
    </dataValidation>
    <dataValidation type="list" allowBlank="1" showInputMessage="1" showErrorMessage="1" sqref="AQ12 AQ18 AQ24 AQ30">
      <formula1>$DB$7</formula1>
    </dataValidation>
    <dataValidation type="list" allowBlank="1" showInputMessage="1" showErrorMessage="1" sqref="AR11 AR17 AR23 AR29">
      <formula1>$CX$12:$CX$14</formula1>
    </dataValidation>
    <dataValidation type="list" allowBlank="1" showInputMessage="1" showErrorMessage="1" sqref="AQ11 AQ17 AQ23 AQ29">
      <formula1>$CX$7:$CX$8</formula1>
    </dataValidation>
    <dataValidation type="list" allowBlank="1" showInputMessage="1" showErrorMessage="1" sqref="AR10 AR16 AR22 AR28">
      <formula1>$CT$12:$CT$14</formula1>
    </dataValidation>
    <dataValidation type="list" allowBlank="1" showInputMessage="1" showErrorMessage="1" sqref="AQ10 AQ16 AQ22 AQ28">
      <formula1>$CT$7:$CT$8</formula1>
    </dataValidation>
    <dataValidation type="list" allowBlank="1" showInputMessage="1" showErrorMessage="1" sqref="AR9 AR15 AR21 AR27">
      <formula1>$CO$12:$CO$13</formula1>
    </dataValidation>
    <dataValidation type="list" allowBlank="1" showInputMessage="1" showErrorMessage="1" sqref="AQ9 AQ15 AQ21 AQ27">
      <formula1>$CO$7</formula1>
    </dataValidation>
    <dataValidation type="list" allowBlank="1" showInputMessage="1" showErrorMessage="1" sqref="AR7 AR13 AR19 AR25">
      <formula1>$CD$14:$CD$17</formula1>
    </dataValidation>
    <dataValidation type="list" allowBlank="1" showInputMessage="1" showErrorMessage="1" sqref="AQ8 AQ14 AQ20 AQ26">
      <formula1>$CI$7</formula1>
    </dataValidation>
    <dataValidation type="list" allowBlank="1" showInputMessage="1" showErrorMessage="1" sqref="AQ7 AQ13 AQ19 AQ25">
      <formula1>$CD$7:$CD$11</formula1>
    </dataValidation>
    <dataValidation type="list" errorStyle="warning" allowBlank="1" showInputMessage="1" showErrorMessage="1" errorTitle="Espessura" error="Esta espessura não está cadastrada!" sqref="D7 D19 D13 D25">
      <formula1>$BX$7:$BX$30</formula1>
    </dataValidation>
  </dataValidations>
  <hyperlinks>
    <hyperlink ref="E5:E6" location="'Largura de Tira'!A1" display="'Largura de Tira'!A1"/>
    <hyperlink ref="L5:L6" location="'Estimar Perdas'!A1" display="'Estimar Perdas'!A1"/>
    <hyperlink ref="F5:F6" location="'Estimar Perdas'!A1" display="Scrap Perfuração"/>
    <hyperlink ref="Z5:Z6" location="'Pre Punching'!A1" display="'Pre Punching'!A1"/>
  </hyperlinks>
  <pageMargins left="0.511811024" right="0.511811024" top="0.78740157499999996" bottom="0.78740157499999996" header="0.31496062000000002" footer="0.31496062000000002"/>
  <pageSetup paperSize="9" orientation="portrait" r:id="rId1"/>
  <ignoredErrors>
    <ignoredError sqref="Y7 U7:V7 BS7:BV12 AX8:BF9 BG9 BH7:BI12 AX12:BF12 AY11 BA11:BF11 AA7 BK7:BL12 BP7:BP12 AC7:AD7 AF7:AI7 AY7 BA7:BC7 BE7 AY10 BA10:BE10 BG11:BG12" evalError="1"/>
  </ignoredError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etoCJ">
    <tabColor theme="1"/>
    <pageSetUpPr fitToPage="1"/>
  </sheetPr>
  <dimension ref="B1:Y96"/>
  <sheetViews>
    <sheetView showGridLines="0" showRowColHeaders="0" zoomScaleNormal="100" zoomScaleSheetLayoutView="85" workbookViewId="0">
      <selection activeCell="J8" sqref="J8:L9"/>
    </sheetView>
  </sheetViews>
  <sheetFormatPr defaultColWidth="9.140625" defaultRowHeight="12.75" x14ac:dyDescent="0.2"/>
  <cols>
    <col min="1" max="1" width="8.85546875" style="384" customWidth="1"/>
    <col min="2" max="2" width="1" style="384" customWidth="1"/>
    <col min="3" max="16" width="9.7109375" style="384" customWidth="1"/>
    <col min="17" max="17" width="2.7109375" style="384" customWidth="1"/>
    <col min="18" max="18" width="3.42578125" style="384" customWidth="1"/>
    <col min="19" max="29" width="9.7109375" style="384" customWidth="1"/>
    <col min="30" max="16384" width="9.140625" style="384"/>
  </cols>
  <sheetData>
    <row r="1" spans="2:20" ht="13.5" thickBot="1" x14ac:dyDescent="0.25">
      <c r="B1" s="383"/>
      <c r="C1" s="383"/>
      <c r="D1" s="383"/>
      <c r="E1" s="383"/>
      <c r="F1" s="383"/>
      <c r="G1" s="383"/>
      <c r="H1" s="383"/>
      <c r="I1" s="383"/>
      <c r="J1" s="383"/>
      <c r="K1" s="383"/>
      <c r="L1" s="383"/>
      <c r="M1" s="383"/>
      <c r="N1" s="383"/>
      <c r="O1" s="383"/>
      <c r="P1" s="383"/>
      <c r="Q1" s="383"/>
    </row>
    <row r="2" spans="2:20" ht="13.5" customHeight="1" x14ac:dyDescent="0.2">
      <c r="B2" s="394"/>
      <c r="C2" s="395"/>
      <c r="D2" s="395"/>
      <c r="E2" s="395"/>
      <c r="F2" s="395"/>
      <c r="G2" s="395"/>
      <c r="H2" s="395"/>
      <c r="I2" s="395"/>
      <c r="J2" s="395"/>
      <c r="K2" s="395"/>
      <c r="L2" s="395"/>
      <c r="M2" s="395"/>
      <c r="N2" s="395"/>
      <c r="O2" s="785" t="s">
        <v>633</v>
      </c>
      <c r="P2" s="785"/>
      <c r="Q2" s="396"/>
    </row>
    <row r="3" spans="2:20" ht="15" customHeight="1" x14ac:dyDescent="0.2">
      <c r="B3" s="397"/>
      <c r="C3" s="702"/>
      <c r="D3" s="703"/>
      <c r="E3" s="703"/>
      <c r="F3" s="703"/>
      <c r="G3" s="708" t="s">
        <v>673</v>
      </c>
      <c r="H3" s="708"/>
      <c r="I3" s="708"/>
      <c r="J3" s="708"/>
      <c r="K3" s="708"/>
      <c r="L3" s="708"/>
      <c r="M3" s="708"/>
      <c r="N3" s="708"/>
      <c r="O3" s="708"/>
      <c r="P3" s="708"/>
      <c r="Q3" s="398"/>
    </row>
    <row r="4" spans="2:20" ht="15" customHeight="1" x14ac:dyDescent="0.2">
      <c r="B4" s="397"/>
      <c r="C4" s="704"/>
      <c r="D4" s="705"/>
      <c r="E4" s="705"/>
      <c r="F4" s="705"/>
      <c r="G4" s="708"/>
      <c r="H4" s="708"/>
      <c r="I4" s="708"/>
      <c r="J4" s="708"/>
      <c r="K4" s="708"/>
      <c r="L4" s="708"/>
      <c r="M4" s="708"/>
      <c r="N4" s="708"/>
      <c r="O4" s="708"/>
      <c r="P4" s="708"/>
      <c r="Q4" s="398"/>
    </row>
    <row r="5" spans="2:20" ht="15" customHeight="1" x14ac:dyDescent="0.2">
      <c r="B5" s="397"/>
      <c r="C5" s="706"/>
      <c r="D5" s="707"/>
      <c r="E5" s="707"/>
      <c r="F5" s="707"/>
      <c r="G5" s="708"/>
      <c r="H5" s="708"/>
      <c r="I5" s="708"/>
      <c r="J5" s="708"/>
      <c r="K5" s="708"/>
      <c r="L5" s="708"/>
      <c r="M5" s="708"/>
      <c r="N5" s="708"/>
      <c r="O5" s="708"/>
      <c r="P5" s="708"/>
      <c r="Q5" s="398"/>
    </row>
    <row r="6" spans="2:20" ht="5.0999999999999996" customHeight="1" x14ac:dyDescent="0.2">
      <c r="B6" s="397"/>
      <c r="C6" s="383"/>
      <c r="D6" s="383"/>
      <c r="E6" s="383"/>
      <c r="F6" s="383"/>
      <c r="G6" s="383"/>
      <c r="H6" s="383"/>
      <c r="I6" s="383"/>
      <c r="J6" s="383"/>
      <c r="K6" s="383"/>
      <c r="L6" s="383"/>
      <c r="M6" s="383"/>
      <c r="N6" s="383"/>
      <c r="O6" s="383"/>
      <c r="P6" s="383"/>
      <c r="Q6" s="398"/>
    </row>
    <row r="7" spans="2:20" ht="5.0999999999999996" customHeight="1" x14ac:dyDescent="0.2">
      <c r="B7" s="397"/>
      <c r="C7" s="383"/>
      <c r="D7" s="383"/>
      <c r="E7" s="383"/>
      <c r="F7" s="383"/>
      <c r="G7" s="383"/>
      <c r="H7" s="383"/>
      <c r="I7" s="383"/>
      <c r="J7" s="383"/>
      <c r="K7" s="383"/>
      <c r="L7" s="383"/>
      <c r="M7" s="383"/>
      <c r="N7" s="383"/>
      <c r="O7" s="383"/>
      <c r="P7" s="383"/>
      <c r="Q7" s="398"/>
    </row>
    <row r="8" spans="2:20" ht="15" customHeight="1" x14ac:dyDescent="0.2">
      <c r="B8" s="397"/>
      <c r="C8" s="786" t="s">
        <v>669</v>
      </c>
      <c r="D8" s="786"/>
      <c r="E8" s="714" t="str">
        <f ca="1">IFERROR(MID(CELL("nome.arquivo",A1),FIND("C.S.",CELL("nome.arquivo",A1))+5,LEN(CELL("nome.arquivo",A1) )),"{Salvar Este Arquivo}")</f>
        <v>PJT XXXX</v>
      </c>
      <c r="F8" s="714"/>
      <c r="G8" s="529"/>
      <c r="H8" s="709" t="s">
        <v>672</v>
      </c>
      <c r="I8" s="709"/>
      <c r="J8" s="715"/>
      <c r="K8" s="715"/>
      <c r="L8" s="715"/>
      <c r="M8" s="383"/>
      <c r="N8" s="787" t="s">
        <v>613</v>
      </c>
      <c r="O8" s="788"/>
      <c r="P8" s="789"/>
      <c r="Q8" s="398"/>
    </row>
    <row r="9" spans="2:20" ht="15" customHeight="1" x14ac:dyDescent="0.2">
      <c r="B9" s="397"/>
      <c r="C9" s="383"/>
      <c r="D9" s="383"/>
      <c r="E9" s="714"/>
      <c r="F9" s="714"/>
      <c r="G9" s="529"/>
      <c r="H9" s="383"/>
      <c r="I9" s="383"/>
      <c r="J9" s="715"/>
      <c r="K9" s="715"/>
      <c r="L9" s="715"/>
      <c r="M9" s="383"/>
      <c r="N9" s="410"/>
      <c r="O9" s="419" t="s">
        <v>615</v>
      </c>
      <c r="P9" s="420"/>
      <c r="Q9" s="398"/>
    </row>
    <row r="10" spans="2:20" ht="15" customHeight="1" x14ac:dyDescent="0.2">
      <c r="B10" s="397"/>
      <c r="C10" s="383"/>
      <c r="D10" s="383"/>
      <c r="E10" s="383"/>
      <c r="F10" s="383"/>
      <c r="G10" s="383"/>
      <c r="H10" s="383"/>
      <c r="I10" s="383"/>
      <c r="J10" s="383"/>
      <c r="K10" s="383"/>
      <c r="L10" s="383"/>
      <c r="M10" s="383"/>
      <c r="N10" s="446"/>
      <c r="O10" s="419" t="s">
        <v>670</v>
      </c>
      <c r="P10" s="420"/>
      <c r="Q10" s="398"/>
    </row>
    <row r="11" spans="2:20" ht="15" customHeight="1" x14ac:dyDescent="0.2">
      <c r="B11" s="397"/>
      <c r="C11" s="709" t="s">
        <v>612</v>
      </c>
      <c r="D11" s="709"/>
      <c r="E11" s="710"/>
      <c r="F11" s="710"/>
      <c r="G11" s="710"/>
      <c r="H11" s="710"/>
      <c r="I11" s="710"/>
      <c r="J11" s="710"/>
      <c r="K11" s="383"/>
      <c r="L11" s="531" t="s">
        <v>756</v>
      </c>
      <c r="M11" s="383"/>
      <c r="N11" s="411"/>
      <c r="O11" s="419" t="s">
        <v>671</v>
      </c>
      <c r="P11" s="420"/>
      <c r="Q11" s="398"/>
    </row>
    <row r="12" spans="2:20" ht="15" customHeight="1" x14ac:dyDescent="0.2">
      <c r="B12" s="397"/>
      <c r="C12" s="709" t="s">
        <v>614</v>
      </c>
      <c r="D12" s="709"/>
      <c r="E12" s="710"/>
      <c r="F12" s="710"/>
      <c r="G12" s="710"/>
      <c r="H12" s="710"/>
      <c r="I12" s="710"/>
      <c r="J12" s="710"/>
      <c r="K12" s="383"/>
      <c r="L12" s="430">
        <v>0</v>
      </c>
      <c r="M12" s="383"/>
      <c r="N12" s="412"/>
      <c r="O12" s="383" t="s">
        <v>631</v>
      </c>
      <c r="P12" s="413"/>
      <c r="Q12" s="398"/>
    </row>
    <row r="13" spans="2:20" ht="15" customHeight="1" x14ac:dyDescent="0.2">
      <c r="B13" s="397"/>
      <c r="C13" s="709" t="s">
        <v>616</v>
      </c>
      <c r="D13" s="709"/>
      <c r="E13" s="782"/>
      <c r="F13" s="782"/>
      <c r="G13" s="782"/>
      <c r="H13" s="782"/>
      <c r="I13" s="782"/>
      <c r="J13" s="782"/>
      <c r="K13" s="383"/>
      <c r="L13" s="383"/>
      <c r="M13" s="383"/>
      <c r="N13" s="414"/>
      <c r="O13" s="415" t="s">
        <v>632</v>
      </c>
      <c r="P13" s="408"/>
      <c r="Q13" s="398"/>
    </row>
    <row r="14" spans="2:20" ht="15" customHeight="1" x14ac:dyDescent="0.2">
      <c r="B14" s="397"/>
      <c r="C14" s="383"/>
      <c r="D14" s="383"/>
      <c r="E14" s="383"/>
      <c r="F14" s="383"/>
      <c r="G14" s="383"/>
      <c r="H14" s="383"/>
      <c r="I14" s="383"/>
      <c r="J14" s="383"/>
      <c r="K14" s="383"/>
      <c r="L14" s="383"/>
      <c r="M14" s="383"/>
      <c r="N14" s="383"/>
      <c r="O14" s="383"/>
      <c r="P14" s="383"/>
      <c r="Q14" s="398"/>
    </row>
    <row r="15" spans="2:20" ht="20.100000000000001" customHeight="1" x14ac:dyDescent="0.2">
      <c r="B15" s="397"/>
      <c r="C15" s="689" t="s">
        <v>647</v>
      </c>
      <c r="D15" s="689"/>
      <c r="E15" s="689"/>
      <c r="F15" s="689"/>
      <c r="G15" s="689"/>
      <c r="H15" s="689"/>
      <c r="I15" s="689"/>
      <c r="J15" s="689"/>
      <c r="K15" s="689"/>
      <c r="L15" s="689"/>
      <c r="M15" s="689"/>
      <c r="N15" s="689"/>
      <c r="O15" s="689"/>
      <c r="P15" s="689"/>
      <c r="Q15" s="398"/>
      <c r="R15" s="407"/>
      <c r="S15" s="407"/>
      <c r="T15" s="407"/>
    </row>
    <row r="16" spans="2:20" ht="5.0999999999999996" customHeight="1" x14ac:dyDescent="0.2">
      <c r="B16" s="397"/>
      <c r="C16" s="383"/>
      <c r="D16" s="383"/>
      <c r="E16" s="379"/>
      <c r="F16" s="383"/>
      <c r="G16" s="379"/>
      <c r="H16" s="379"/>
      <c r="I16" s="379"/>
      <c r="J16" s="379"/>
      <c r="K16" s="383"/>
      <c r="L16" s="383"/>
      <c r="M16" s="383"/>
      <c r="N16" s="383"/>
      <c r="O16" s="383"/>
      <c r="P16" s="383"/>
      <c r="Q16" s="398"/>
    </row>
    <row r="17" spans="2:21" ht="15" customHeight="1" x14ac:dyDescent="0.2">
      <c r="B17" s="397"/>
      <c r="C17" s="685" t="s">
        <v>733</v>
      </c>
      <c r="D17" s="686"/>
      <c r="E17" s="686"/>
      <c r="F17" s="447">
        <v>1</v>
      </c>
      <c r="G17" s="448"/>
      <c r="K17" s="673" t="s">
        <v>739</v>
      </c>
      <c r="L17" s="673"/>
      <c r="N17" s="640" t="s">
        <v>823</v>
      </c>
      <c r="O17" s="399"/>
      <c r="P17" s="400" t="s">
        <v>689</v>
      </c>
      <c r="Q17" s="398"/>
      <c r="R17" s="407"/>
      <c r="U17" s="407"/>
    </row>
    <row r="18" spans="2:21" ht="15" customHeight="1" x14ac:dyDescent="0.2">
      <c r="B18" s="397"/>
      <c r="C18"/>
      <c r="D18"/>
      <c r="E18"/>
      <c r="F18"/>
      <c r="G18" s="448"/>
      <c r="K18" s="390">
        <f>ROUND(SUMPRODUCT(E25:E49,F25:F49),3)</f>
        <v>0</v>
      </c>
      <c r="L18" s="391" t="s">
        <v>702</v>
      </c>
      <c r="M18" s="383"/>
      <c r="N18" s="383"/>
      <c r="O18" s="401" t="str">
        <f>IFERROR(ROUNDUP((O17*1000)/K18,0),"")</f>
        <v/>
      </c>
      <c r="P18" s="400" t="s">
        <v>619</v>
      </c>
      <c r="Q18" s="398"/>
      <c r="R18" s="407"/>
    </row>
    <row r="19" spans="2:21" ht="15" customHeight="1" x14ac:dyDescent="0.2">
      <c r="B19" s="397"/>
      <c r="C19" s="774" t="s">
        <v>822</v>
      </c>
      <c r="D19" s="775"/>
      <c r="E19" s="776"/>
      <c r="G19" s="639" t="s">
        <v>821</v>
      </c>
      <c r="H19" s="645"/>
      <c r="I19" s="643" t="s">
        <v>740</v>
      </c>
      <c r="J19" s="383"/>
      <c r="K19" s="383"/>
      <c r="L19" s="383"/>
      <c r="M19" s="383"/>
      <c r="N19" s="383"/>
      <c r="Q19" s="398"/>
      <c r="R19" s="407"/>
    </row>
    <row r="20" spans="2:21" ht="15" customHeight="1" x14ac:dyDescent="0.2">
      <c r="B20" s="397"/>
      <c r="C20" s="718" t="s">
        <v>734</v>
      </c>
      <c r="D20" s="718"/>
      <c r="E20" s="642" t="b">
        <v>0</v>
      </c>
      <c r="H20" s="646">
        <f>IFERROR(IF(I19="R$/PC",ROUNDUP(1000/K18,3)*H19,ROUND((H19/1000)*K18,2)),0)</f>
        <v>0</v>
      </c>
      <c r="I20" s="641" t="str">
        <f>IF(I19="R$/PC","R$/Ton","R$/PC")</f>
        <v>R$/Ton</v>
      </c>
      <c r="K20" s="673" t="s">
        <v>743</v>
      </c>
      <c r="L20" s="673"/>
      <c r="M20" s="383"/>
      <c r="N20" s="527" t="s">
        <v>636</v>
      </c>
      <c r="O20" s="526"/>
      <c r="P20" s="450" t="s">
        <v>688</v>
      </c>
      <c r="Q20" s="398"/>
    </row>
    <row r="21" spans="2:21" ht="15" customHeight="1" x14ac:dyDescent="0.2">
      <c r="B21" s="397"/>
      <c r="C21" s="718" t="s">
        <v>735</v>
      </c>
      <c r="D21" s="718"/>
      <c r="E21" s="642" t="b">
        <v>0</v>
      </c>
      <c r="H21" s="644"/>
      <c r="K21" s="390">
        <f>SUM(M25:M49)</f>
        <v>0</v>
      </c>
      <c r="L21" s="391" t="s">
        <v>747</v>
      </c>
      <c r="M21" s="383"/>
      <c r="O21" s="558">
        <f>IF(P21="Ton/mês",ROUND(O20*K18/1000,3),ROUNDUP(O20*1000/K18,0))</f>
        <v>0</v>
      </c>
      <c r="P21" s="537" t="str">
        <f>IF(P20="Peça/mês","Ton/mês","Peça/mês")</f>
        <v>Ton/mês</v>
      </c>
      <c r="Q21" s="398"/>
    </row>
    <row r="22" spans="2:21" ht="15" customHeight="1" x14ac:dyDescent="0.2">
      <c r="B22" s="397"/>
      <c r="C22"/>
      <c r="D22"/>
      <c r="E22"/>
      <c r="G22"/>
      <c r="H22"/>
      <c r="I22"/>
      <c r="J22"/>
      <c r="K22" s="383"/>
      <c r="L22" s="383"/>
      <c r="M22" s="383"/>
      <c r="N22" s="383"/>
      <c r="O22" s="383"/>
      <c r="P22" s="383"/>
      <c r="Q22" s="398"/>
    </row>
    <row r="23" spans="2:21" ht="15" customHeight="1" x14ac:dyDescent="0.2">
      <c r="B23" s="397"/>
      <c r="C23" s="783" t="s">
        <v>736</v>
      </c>
      <c r="D23" s="784"/>
      <c r="E23" s="784"/>
      <c r="F23" s="784"/>
      <c r="G23" s="784"/>
      <c r="H23" s="784"/>
      <c r="I23" s="784"/>
      <c r="J23" s="784"/>
      <c r="K23" s="784"/>
      <c r="L23" s="784"/>
      <c r="M23" s="784"/>
      <c r="N23" s="784"/>
      <c r="O23" s="784"/>
      <c r="P23" s="784"/>
      <c r="Q23" s="398"/>
    </row>
    <row r="24" spans="2:21" ht="15" customHeight="1" x14ac:dyDescent="0.2">
      <c r="B24" s="397"/>
      <c r="C24" s="679" t="s">
        <v>534</v>
      </c>
      <c r="D24" s="679"/>
      <c r="E24" s="530" t="s">
        <v>535</v>
      </c>
      <c r="F24" s="539" t="s">
        <v>738</v>
      </c>
      <c r="G24" s="679" t="s">
        <v>737</v>
      </c>
      <c r="H24" s="679"/>
      <c r="I24" s="781" t="s">
        <v>741</v>
      </c>
      <c r="J24" s="781"/>
      <c r="K24" s="781" t="s">
        <v>742</v>
      </c>
      <c r="L24" s="781"/>
      <c r="M24" s="781" t="s">
        <v>743</v>
      </c>
      <c r="N24" s="781"/>
      <c r="O24" s="679" t="s">
        <v>744</v>
      </c>
      <c r="P24" s="679"/>
      <c r="Q24" s="398"/>
      <c r="R24" s="407"/>
    </row>
    <row r="25" spans="2:21" ht="15" customHeight="1" x14ac:dyDescent="0.2">
      <c r="B25" s="397"/>
      <c r="C25" s="907"/>
      <c r="D25" s="908"/>
      <c r="E25" s="906"/>
      <c r="F25" s="556"/>
      <c r="G25" s="557"/>
      <c r="H25" s="392" t="s">
        <v>740</v>
      </c>
      <c r="I25" s="435">
        <f t="shared" ref="I25:I49" si="0">IFERROR(G25*(1000/E25),0)</f>
        <v>0</v>
      </c>
      <c r="J25" s="392" t="s">
        <v>747</v>
      </c>
      <c r="K25" s="540"/>
      <c r="L25" s="392" t="s">
        <v>747</v>
      </c>
      <c r="M25" s="390">
        <f>IF(I25&gt;0,PRODUCT(I25,O25),PRODUCT(K25,O25))</f>
        <v>0</v>
      </c>
      <c r="N25" s="392" t="s">
        <v>747</v>
      </c>
      <c r="O25" s="778">
        <f t="shared" ref="O25:O49" si="1">IFERROR(ROUND(F25*E25/$K$18,4),0)</f>
        <v>0</v>
      </c>
      <c r="P25" s="778"/>
      <c r="Q25" s="398"/>
    </row>
    <row r="26" spans="2:21" ht="15" customHeight="1" x14ac:dyDescent="0.2">
      <c r="B26" s="397"/>
      <c r="C26" s="907"/>
      <c r="D26" s="908"/>
      <c r="E26" s="906"/>
      <c r="F26" s="556"/>
      <c r="G26" s="557"/>
      <c r="H26" s="392" t="s">
        <v>740</v>
      </c>
      <c r="I26" s="435">
        <f t="shared" si="0"/>
        <v>0</v>
      </c>
      <c r="J26" s="392" t="s">
        <v>747</v>
      </c>
      <c r="K26" s="540"/>
      <c r="L26" s="392" t="s">
        <v>747</v>
      </c>
      <c r="M26" s="390">
        <f t="shared" ref="M26:M49" si="2">IF(I26&gt;0,PRODUCT(I26,O26),PRODUCT(K26,O26))</f>
        <v>0</v>
      </c>
      <c r="N26" s="392" t="s">
        <v>747</v>
      </c>
      <c r="O26" s="778">
        <f t="shared" si="1"/>
        <v>0</v>
      </c>
      <c r="P26" s="778"/>
      <c r="Q26" s="398"/>
      <c r="R26" s="407"/>
    </row>
    <row r="27" spans="2:21" ht="15" customHeight="1" x14ac:dyDescent="0.2">
      <c r="B27" s="397"/>
      <c r="C27" s="907"/>
      <c r="D27" s="908"/>
      <c r="E27" s="906"/>
      <c r="F27" s="556"/>
      <c r="G27" s="557"/>
      <c r="H27" s="392" t="s">
        <v>740</v>
      </c>
      <c r="I27" s="435">
        <f t="shared" si="0"/>
        <v>0</v>
      </c>
      <c r="J27" s="392" t="s">
        <v>747</v>
      </c>
      <c r="K27" s="540"/>
      <c r="L27" s="392" t="s">
        <v>747</v>
      </c>
      <c r="M27" s="390">
        <f t="shared" si="2"/>
        <v>0</v>
      </c>
      <c r="N27" s="392" t="s">
        <v>747</v>
      </c>
      <c r="O27" s="778">
        <f t="shared" si="1"/>
        <v>0</v>
      </c>
      <c r="P27" s="778"/>
      <c r="Q27" s="398"/>
      <c r="R27" s="407"/>
    </row>
    <row r="28" spans="2:21" ht="15" customHeight="1" x14ac:dyDescent="0.2">
      <c r="B28" s="397"/>
      <c r="C28" s="907"/>
      <c r="D28" s="908"/>
      <c r="E28" s="906"/>
      <c r="F28" s="556"/>
      <c r="G28" s="557"/>
      <c r="H28" s="392" t="s">
        <v>740</v>
      </c>
      <c r="I28" s="435">
        <f t="shared" si="0"/>
        <v>0</v>
      </c>
      <c r="J28" s="392" t="s">
        <v>747</v>
      </c>
      <c r="K28" s="540"/>
      <c r="L28" s="392" t="s">
        <v>747</v>
      </c>
      <c r="M28" s="390">
        <f t="shared" si="2"/>
        <v>0</v>
      </c>
      <c r="N28" s="392" t="s">
        <v>747</v>
      </c>
      <c r="O28" s="778">
        <f t="shared" si="1"/>
        <v>0</v>
      </c>
      <c r="P28" s="778"/>
      <c r="Q28" s="398"/>
      <c r="R28" s="407"/>
    </row>
    <row r="29" spans="2:21" ht="15" customHeight="1" x14ac:dyDescent="0.2">
      <c r="B29" s="397"/>
      <c r="C29" s="907"/>
      <c r="D29" s="908"/>
      <c r="E29" s="906"/>
      <c r="F29" s="556"/>
      <c r="G29" s="557"/>
      <c r="H29" s="392" t="s">
        <v>740</v>
      </c>
      <c r="I29" s="435">
        <f t="shared" si="0"/>
        <v>0</v>
      </c>
      <c r="J29" s="392" t="s">
        <v>747</v>
      </c>
      <c r="K29" s="540"/>
      <c r="L29" s="392" t="s">
        <v>747</v>
      </c>
      <c r="M29" s="390">
        <f t="shared" si="2"/>
        <v>0</v>
      </c>
      <c r="N29" s="392" t="s">
        <v>747</v>
      </c>
      <c r="O29" s="778">
        <f t="shared" si="1"/>
        <v>0</v>
      </c>
      <c r="P29" s="778"/>
      <c r="Q29" s="398"/>
      <c r="R29" s="407"/>
    </row>
    <row r="30" spans="2:21" ht="15" customHeight="1" x14ac:dyDescent="0.2">
      <c r="B30" s="397"/>
      <c r="C30" s="907"/>
      <c r="D30" s="908"/>
      <c r="E30" s="906"/>
      <c r="F30" s="556"/>
      <c r="G30" s="557"/>
      <c r="H30" s="392" t="s">
        <v>740</v>
      </c>
      <c r="I30" s="435">
        <f t="shared" si="0"/>
        <v>0</v>
      </c>
      <c r="J30" s="392" t="s">
        <v>747</v>
      </c>
      <c r="K30" s="540"/>
      <c r="L30" s="392" t="s">
        <v>747</v>
      </c>
      <c r="M30" s="390">
        <f t="shared" si="2"/>
        <v>0</v>
      </c>
      <c r="N30" s="392" t="s">
        <v>747</v>
      </c>
      <c r="O30" s="778">
        <f t="shared" si="1"/>
        <v>0</v>
      </c>
      <c r="P30" s="778"/>
      <c r="Q30" s="398"/>
      <c r="R30" s="407"/>
    </row>
    <row r="31" spans="2:21" ht="15" customHeight="1" x14ac:dyDescent="0.2">
      <c r="B31" s="397"/>
      <c r="C31" s="907"/>
      <c r="D31" s="908"/>
      <c r="E31" s="906"/>
      <c r="F31" s="556"/>
      <c r="G31" s="557"/>
      <c r="H31" s="392" t="s">
        <v>740</v>
      </c>
      <c r="I31" s="435">
        <f t="shared" si="0"/>
        <v>0</v>
      </c>
      <c r="J31" s="392" t="s">
        <v>747</v>
      </c>
      <c r="K31" s="540"/>
      <c r="L31" s="392" t="s">
        <v>747</v>
      </c>
      <c r="M31" s="390">
        <f t="shared" si="2"/>
        <v>0</v>
      </c>
      <c r="N31" s="392" t="s">
        <v>747</v>
      </c>
      <c r="O31" s="778">
        <f t="shared" si="1"/>
        <v>0</v>
      </c>
      <c r="P31" s="778"/>
      <c r="Q31" s="398"/>
      <c r="R31" s="407"/>
    </row>
    <row r="32" spans="2:21" ht="15" customHeight="1" x14ac:dyDescent="0.2">
      <c r="B32" s="397"/>
      <c r="C32" s="907"/>
      <c r="D32" s="908"/>
      <c r="E32" s="906"/>
      <c r="F32" s="556"/>
      <c r="G32" s="557"/>
      <c r="H32" s="392" t="s">
        <v>740</v>
      </c>
      <c r="I32" s="435">
        <f t="shared" si="0"/>
        <v>0</v>
      </c>
      <c r="J32" s="392" t="s">
        <v>747</v>
      </c>
      <c r="K32" s="540"/>
      <c r="L32" s="392" t="s">
        <v>747</v>
      </c>
      <c r="M32" s="390">
        <f t="shared" si="2"/>
        <v>0</v>
      </c>
      <c r="N32" s="392" t="s">
        <v>747</v>
      </c>
      <c r="O32" s="778">
        <f t="shared" si="1"/>
        <v>0</v>
      </c>
      <c r="P32" s="778"/>
      <c r="Q32" s="398"/>
      <c r="R32" s="407"/>
    </row>
    <row r="33" spans="2:18" ht="15" customHeight="1" x14ac:dyDescent="0.2">
      <c r="B33" s="397"/>
      <c r="C33" s="907"/>
      <c r="D33" s="908"/>
      <c r="E33" s="906"/>
      <c r="F33" s="556"/>
      <c r="G33" s="557"/>
      <c r="H33" s="392" t="s">
        <v>740</v>
      </c>
      <c r="I33" s="435">
        <f t="shared" si="0"/>
        <v>0</v>
      </c>
      <c r="J33" s="392" t="s">
        <v>747</v>
      </c>
      <c r="K33" s="540"/>
      <c r="L33" s="392" t="s">
        <v>747</v>
      </c>
      <c r="M33" s="390">
        <f t="shared" si="2"/>
        <v>0</v>
      </c>
      <c r="N33" s="392" t="s">
        <v>747</v>
      </c>
      <c r="O33" s="778">
        <f t="shared" si="1"/>
        <v>0</v>
      </c>
      <c r="P33" s="778"/>
      <c r="Q33" s="398"/>
      <c r="R33" s="407"/>
    </row>
    <row r="34" spans="2:18" ht="15" customHeight="1" x14ac:dyDescent="0.2">
      <c r="B34" s="397"/>
      <c r="C34" s="907"/>
      <c r="D34" s="908"/>
      <c r="E34" s="906"/>
      <c r="F34" s="556"/>
      <c r="G34" s="557"/>
      <c r="H34" s="392" t="s">
        <v>740</v>
      </c>
      <c r="I34" s="435">
        <f t="shared" si="0"/>
        <v>0</v>
      </c>
      <c r="J34" s="392" t="s">
        <v>747</v>
      </c>
      <c r="K34" s="540"/>
      <c r="L34" s="392" t="s">
        <v>747</v>
      </c>
      <c r="M34" s="390">
        <f t="shared" si="2"/>
        <v>0</v>
      </c>
      <c r="N34" s="392" t="s">
        <v>747</v>
      </c>
      <c r="O34" s="778">
        <f t="shared" si="1"/>
        <v>0</v>
      </c>
      <c r="P34" s="778"/>
      <c r="Q34" s="398"/>
      <c r="R34" s="407"/>
    </row>
    <row r="35" spans="2:18" ht="15" customHeight="1" x14ac:dyDescent="0.2">
      <c r="B35" s="397"/>
      <c r="C35" s="907"/>
      <c r="D35" s="908"/>
      <c r="E35" s="906"/>
      <c r="F35" s="556"/>
      <c r="G35" s="557"/>
      <c r="H35" s="392" t="s">
        <v>740</v>
      </c>
      <c r="I35" s="435">
        <f t="shared" si="0"/>
        <v>0</v>
      </c>
      <c r="J35" s="392" t="s">
        <v>747</v>
      </c>
      <c r="K35" s="540"/>
      <c r="L35" s="392" t="s">
        <v>747</v>
      </c>
      <c r="M35" s="390">
        <f t="shared" si="2"/>
        <v>0</v>
      </c>
      <c r="N35" s="392" t="s">
        <v>747</v>
      </c>
      <c r="O35" s="778">
        <f t="shared" si="1"/>
        <v>0</v>
      </c>
      <c r="P35" s="778"/>
      <c r="Q35" s="398"/>
      <c r="R35" s="407"/>
    </row>
    <row r="36" spans="2:18" ht="15" customHeight="1" x14ac:dyDescent="0.2">
      <c r="B36" s="397"/>
      <c r="C36" s="907"/>
      <c r="D36" s="908"/>
      <c r="E36" s="906"/>
      <c r="F36" s="556"/>
      <c r="G36" s="557"/>
      <c r="H36" s="392" t="s">
        <v>740</v>
      </c>
      <c r="I36" s="435">
        <f t="shared" si="0"/>
        <v>0</v>
      </c>
      <c r="J36" s="392" t="s">
        <v>747</v>
      </c>
      <c r="K36" s="540"/>
      <c r="L36" s="392" t="s">
        <v>747</v>
      </c>
      <c r="M36" s="390">
        <f t="shared" si="2"/>
        <v>0</v>
      </c>
      <c r="N36" s="392" t="s">
        <v>747</v>
      </c>
      <c r="O36" s="778">
        <f t="shared" si="1"/>
        <v>0</v>
      </c>
      <c r="P36" s="778"/>
      <c r="Q36" s="398"/>
      <c r="R36" s="407"/>
    </row>
    <row r="37" spans="2:18" ht="15" customHeight="1" x14ac:dyDescent="0.2">
      <c r="B37" s="397"/>
      <c r="C37" s="907"/>
      <c r="D37" s="908"/>
      <c r="E37" s="906"/>
      <c r="F37" s="556"/>
      <c r="G37" s="557"/>
      <c r="H37" s="392" t="s">
        <v>740</v>
      </c>
      <c r="I37" s="435">
        <f t="shared" si="0"/>
        <v>0</v>
      </c>
      <c r="J37" s="392" t="s">
        <v>747</v>
      </c>
      <c r="K37" s="540"/>
      <c r="L37" s="392" t="s">
        <v>747</v>
      </c>
      <c r="M37" s="390">
        <f t="shared" si="2"/>
        <v>0</v>
      </c>
      <c r="N37" s="392" t="s">
        <v>747</v>
      </c>
      <c r="O37" s="778">
        <f t="shared" si="1"/>
        <v>0</v>
      </c>
      <c r="P37" s="778"/>
      <c r="Q37" s="398"/>
      <c r="R37" s="407"/>
    </row>
    <row r="38" spans="2:18" ht="15" customHeight="1" x14ac:dyDescent="0.2">
      <c r="B38" s="397"/>
      <c r="C38" s="907"/>
      <c r="D38" s="908"/>
      <c r="E38" s="906"/>
      <c r="F38" s="556"/>
      <c r="G38" s="557"/>
      <c r="H38" s="392" t="s">
        <v>740</v>
      </c>
      <c r="I38" s="435">
        <f t="shared" si="0"/>
        <v>0</v>
      </c>
      <c r="J38" s="392" t="s">
        <v>747</v>
      </c>
      <c r="K38" s="540"/>
      <c r="L38" s="392" t="s">
        <v>747</v>
      </c>
      <c r="M38" s="390">
        <f t="shared" si="2"/>
        <v>0</v>
      </c>
      <c r="N38" s="392" t="s">
        <v>747</v>
      </c>
      <c r="O38" s="778">
        <f t="shared" si="1"/>
        <v>0</v>
      </c>
      <c r="P38" s="778"/>
      <c r="Q38" s="398"/>
      <c r="R38" s="407"/>
    </row>
    <row r="39" spans="2:18" ht="15" customHeight="1" x14ac:dyDescent="0.2">
      <c r="B39" s="397"/>
      <c r="C39" s="907"/>
      <c r="D39" s="908"/>
      <c r="E39" s="906"/>
      <c r="F39" s="556"/>
      <c r="G39" s="557"/>
      <c r="H39" s="392" t="s">
        <v>740</v>
      </c>
      <c r="I39" s="435">
        <f t="shared" si="0"/>
        <v>0</v>
      </c>
      <c r="J39" s="392" t="s">
        <v>747</v>
      </c>
      <c r="K39" s="540"/>
      <c r="L39" s="392" t="s">
        <v>747</v>
      </c>
      <c r="M39" s="390">
        <f t="shared" si="2"/>
        <v>0</v>
      </c>
      <c r="N39" s="392" t="s">
        <v>747</v>
      </c>
      <c r="O39" s="778">
        <f t="shared" si="1"/>
        <v>0</v>
      </c>
      <c r="P39" s="778"/>
      <c r="Q39" s="398"/>
      <c r="R39" s="407"/>
    </row>
    <row r="40" spans="2:18" ht="15" customHeight="1" x14ac:dyDescent="0.2">
      <c r="B40" s="397"/>
      <c r="C40" s="907"/>
      <c r="D40" s="908"/>
      <c r="E40" s="906"/>
      <c r="F40" s="556"/>
      <c r="G40" s="557"/>
      <c r="H40" s="392" t="s">
        <v>740</v>
      </c>
      <c r="I40" s="435">
        <f t="shared" si="0"/>
        <v>0</v>
      </c>
      <c r="J40" s="392" t="s">
        <v>747</v>
      </c>
      <c r="K40" s="540"/>
      <c r="L40" s="392" t="s">
        <v>747</v>
      </c>
      <c r="M40" s="390">
        <f t="shared" si="2"/>
        <v>0</v>
      </c>
      <c r="N40" s="392" t="s">
        <v>747</v>
      </c>
      <c r="O40" s="778">
        <f t="shared" si="1"/>
        <v>0</v>
      </c>
      <c r="P40" s="778"/>
      <c r="Q40" s="398"/>
      <c r="R40" s="407"/>
    </row>
    <row r="41" spans="2:18" ht="15" customHeight="1" x14ac:dyDescent="0.2">
      <c r="B41" s="397"/>
      <c r="C41" s="907"/>
      <c r="D41" s="908"/>
      <c r="E41" s="906"/>
      <c r="F41" s="556"/>
      <c r="G41" s="557"/>
      <c r="H41" s="392" t="s">
        <v>740</v>
      </c>
      <c r="I41" s="435">
        <f t="shared" si="0"/>
        <v>0</v>
      </c>
      <c r="J41" s="392" t="s">
        <v>747</v>
      </c>
      <c r="K41" s="540"/>
      <c r="L41" s="392" t="s">
        <v>747</v>
      </c>
      <c r="M41" s="390">
        <f t="shared" si="2"/>
        <v>0</v>
      </c>
      <c r="N41" s="392" t="s">
        <v>747</v>
      </c>
      <c r="O41" s="778">
        <f t="shared" si="1"/>
        <v>0</v>
      </c>
      <c r="P41" s="778"/>
      <c r="Q41" s="398"/>
      <c r="R41" s="407"/>
    </row>
    <row r="42" spans="2:18" ht="15" customHeight="1" x14ac:dyDescent="0.2">
      <c r="B42" s="397"/>
      <c r="C42" s="907"/>
      <c r="D42" s="908"/>
      <c r="E42" s="906"/>
      <c r="F42" s="556"/>
      <c r="G42" s="557"/>
      <c r="H42" s="392" t="s">
        <v>740</v>
      </c>
      <c r="I42" s="435">
        <f t="shared" si="0"/>
        <v>0</v>
      </c>
      <c r="J42" s="392" t="s">
        <v>747</v>
      </c>
      <c r="K42" s="540"/>
      <c r="L42" s="392" t="s">
        <v>747</v>
      </c>
      <c r="M42" s="390">
        <f t="shared" si="2"/>
        <v>0</v>
      </c>
      <c r="N42" s="392" t="s">
        <v>747</v>
      </c>
      <c r="O42" s="778">
        <f t="shared" si="1"/>
        <v>0</v>
      </c>
      <c r="P42" s="778"/>
      <c r="Q42" s="398"/>
      <c r="R42" s="407"/>
    </row>
    <row r="43" spans="2:18" ht="15" customHeight="1" x14ac:dyDescent="0.2">
      <c r="B43" s="397"/>
      <c r="C43" s="907"/>
      <c r="D43" s="908"/>
      <c r="E43" s="906"/>
      <c r="F43" s="556"/>
      <c r="G43" s="557"/>
      <c r="H43" s="392" t="s">
        <v>740</v>
      </c>
      <c r="I43" s="435">
        <f t="shared" si="0"/>
        <v>0</v>
      </c>
      <c r="J43" s="392" t="s">
        <v>747</v>
      </c>
      <c r="K43" s="540"/>
      <c r="L43" s="392" t="s">
        <v>747</v>
      </c>
      <c r="M43" s="390">
        <f t="shared" si="2"/>
        <v>0</v>
      </c>
      <c r="N43" s="392" t="s">
        <v>747</v>
      </c>
      <c r="O43" s="778">
        <f t="shared" si="1"/>
        <v>0</v>
      </c>
      <c r="P43" s="778"/>
      <c r="Q43" s="398"/>
      <c r="R43" s="407"/>
    </row>
    <row r="44" spans="2:18" ht="15" customHeight="1" x14ac:dyDescent="0.2">
      <c r="B44" s="397"/>
      <c r="C44" s="907"/>
      <c r="D44" s="908"/>
      <c r="E44" s="906"/>
      <c r="F44" s="556"/>
      <c r="G44" s="557"/>
      <c r="H44" s="392" t="s">
        <v>740</v>
      </c>
      <c r="I44" s="435">
        <f t="shared" si="0"/>
        <v>0</v>
      </c>
      <c r="J44" s="392" t="s">
        <v>747</v>
      </c>
      <c r="K44" s="540"/>
      <c r="L44" s="392" t="s">
        <v>747</v>
      </c>
      <c r="M44" s="390">
        <f t="shared" si="2"/>
        <v>0</v>
      </c>
      <c r="N44" s="392" t="s">
        <v>747</v>
      </c>
      <c r="O44" s="778">
        <f t="shared" si="1"/>
        <v>0</v>
      </c>
      <c r="P44" s="778"/>
      <c r="Q44" s="398"/>
      <c r="R44" s="407"/>
    </row>
    <row r="45" spans="2:18" ht="15" customHeight="1" x14ac:dyDescent="0.2">
      <c r="B45" s="397"/>
      <c r="C45" s="907"/>
      <c r="D45" s="908"/>
      <c r="E45" s="906"/>
      <c r="F45" s="556"/>
      <c r="G45" s="557"/>
      <c r="H45" s="392" t="s">
        <v>740</v>
      </c>
      <c r="I45" s="435">
        <f t="shared" si="0"/>
        <v>0</v>
      </c>
      <c r="J45" s="392" t="s">
        <v>747</v>
      </c>
      <c r="K45" s="540"/>
      <c r="L45" s="392" t="s">
        <v>747</v>
      </c>
      <c r="M45" s="390">
        <f t="shared" si="2"/>
        <v>0</v>
      </c>
      <c r="N45" s="392" t="s">
        <v>747</v>
      </c>
      <c r="O45" s="778">
        <f t="shared" si="1"/>
        <v>0</v>
      </c>
      <c r="P45" s="778"/>
      <c r="Q45" s="398"/>
      <c r="R45" s="407"/>
    </row>
    <row r="46" spans="2:18" ht="15" customHeight="1" x14ac:dyDescent="0.2">
      <c r="B46" s="397"/>
      <c r="C46" s="907"/>
      <c r="D46" s="908"/>
      <c r="E46" s="906"/>
      <c r="F46" s="556"/>
      <c r="G46" s="557"/>
      <c r="H46" s="392" t="s">
        <v>740</v>
      </c>
      <c r="I46" s="435">
        <f t="shared" si="0"/>
        <v>0</v>
      </c>
      <c r="J46" s="392" t="s">
        <v>747</v>
      </c>
      <c r="K46" s="540"/>
      <c r="L46" s="392" t="s">
        <v>747</v>
      </c>
      <c r="M46" s="390">
        <f t="shared" si="2"/>
        <v>0</v>
      </c>
      <c r="N46" s="392" t="s">
        <v>747</v>
      </c>
      <c r="O46" s="778">
        <f t="shared" si="1"/>
        <v>0</v>
      </c>
      <c r="P46" s="778"/>
      <c r="Q46" s="398"/>
      <c r="R46" s="407"/>
    </row>
    <row r="47" spans="2:18" ht="15" customHeight="1" x14ac:dyDescent="0.2">
      <c r="B47" s="397"/>
      <c r="C47" s="907"/>
      <c r="D47" s="908"/>
      <c r="E47" s="906"/>
      <c r="F47" s="556"/>
      <c r="G47" s="557"/>
      <c r="H47" s="392" t="s">
        <v>740</v>
      </c>
      <c r="I47" s="435">
        <f t="shared" si="0"/>
        <v>0</v>
      </c>
      <c r="J47" s="392" t="s">
        <v>747</v>
      </c>
      <c r="K47" s="540"/>
      <c r="L47" s="392" t="s">
        <v>747</v>
      </c>
      <c r="M47" s="390">
        <f t="shared" si="2"/>
        <v>0</v>
      </c>
      <c r="N47" s="392" t="s">
        <v>747</v>
      </c>
      <c r="O47" s="778">
        <f t="shared" si="1"/>
        <v>0</v>
      </c>
      <c r="P47" s="778"/>
      <c r="Q47" s="398"/>
      <c r="R47" s="407"/>
    </row>
    <row r="48" spans="2:18" ht="15" customHeight="1" x14ac:dyDescent="0.2">
      <c r="B48" s="397"/>
      <c r="C48" s="907"/>
      <c r="D48" s="908"/>
      <c r="E48" s="906"/>
      <c r="F48" s="556"/>
      <c r="G48" s="557"/>
      <c r="H48" s="392" t="s">
        <v>740</v>
      </c>
      <c r="I48" s="435">
        <f t="shared" si="0"/>
        <v>0</v>
      </c>
      <c r="J48" s="392" t="s">
        <v>747</v>
      </c>
      <c r="K48" s="540"/>
      <c r="L48" s="392" t="s">
        <v>747</v>
      </c>
      <c r="M48" s="390">
        <f t="shared" si="2"/>
        <v>0</v>
      </c>
      <c r="N48" s="392" t="s">
        <v>747</v>
      </c>
      <c r="O48" s="778">
        <f t="shared" si="1"/>
        <v>0</v>
      </c>
      <c r="P48" s="778"/>
      <c r="Q48" s="398"/>
      <c r="R48" s="407"/>
    </row>
    <row r="49" spans="2:25" ht="15" customHeight="1" x14ac:dyDescent="0.2">
      <c r="B49" s="397"/>
      <c r="C49" s="907"/>
      <c r="D49" s="908"/>
      <c r="E49" s="906"/>
      <c r="F49" s="556"/>
      <c r="G49" s="557"/>
      <c r="H49" s="392" t="s">
        <v>740</v>
      </c>
      <c r="I49" s="435">
        <f t="shared" si="0"/>
        <v>0</v>
      </c>
      <c r="J49" s="392" t="s">
        <v>747</v>
      </c>
      <c r="K49" s="540"/>
      <c r="L49" s="392" t="s">
        <v>747</v>
      </c>
      <c r="M49" s="390">
        <f t="shared" si="2"/>
        <v>0</v>
      </c>
      <c r="N49" s="392" t="s">
        <v>747</v>
      </c>
      <c r="O49" s="778">
        <f t="shared" si="1"/>
        <v>0</v>
      </c>
      <c r="P49" s="778"/>
      <c r="Q49" s="398"/>
      <c r="R49" s="407"/>
    </row>
    <row r="50" spans="2:25" ht="15" customHeight="1" x14ac:dyDescent="0.2">
      <c r="B50" s="397"/>
      <c r="C50" s="529"/>
      <c r="D50" s="529"/>
      <c r="E50" s="529"/>
      <c r="F50" s="529"/>
      <c r="G50" s="379"/>
      <c r="H50" s="379"/>
      <c r="I50" s="379"/>
      <c r="J50" s="379"/>
      <c r="K50" s="383"/>
      <c r="L50" s="383"/>
      <c r="M50" s="383"/>
      <c r="N50" s="383"/>
      <c r="O50" s="383"/>
      <c r="P50" s="383"/>
      <c r="Q50" s="398"/>
      <c r="R50" s="407"/>
    </row>
    <row r="51" spans="2:25" ht="20.100000000000001" customHeight="1" x14ac:dyDescent="0.2">
      <c r="B51" s="397"/>
      <c r="C51" s="689" t="s">
        <v>757</v>
      </c>
      <c r="D51" s="689"/>
      <c r="E51" s="689"/>
      <c r="F51" s="689"/>
      <c r="G51" s="689"/>
      <c r="H51" s="689"/>
      <c r="I51" s="689"/>
      <c r="J51" s="689"/>
      <c r="K51" s="689"/>
      <c r="L51" s="689"/>
      <c r="M51" s="689"/>
      <c r="N51" s="689"/>
      <c r="O51" s="689"/>
      <c r="P51" s="689"/>
      <c r="Q51" s="398"/>
    </row>
    <row r="52" spans="2:25" ht="5.0999999999999996" customHeight="1" x14ac:dyDescent="0.2">
      <c r="B52" s="397"/>
      <c r="C52" s="383"/>
      <c r="D52" s="383"/>
      <c r="E52" s="379"/>
      <c r="F52" s="383"/>
      <c r="G52" s="379"/>
      <c r="H52" s="379"/>
      <c r="I52" s="379"/>
      <c r="J52" s="379"/>
      <c r="K52" s="383"/>
      <c r="L52" s="383"/>
      <c r="M52" s="383"/>
      <c r="N52" s="383"/>
      <c r="O52" s="383"/>
      <c r="P52" s="383"/>
      <c r="Q52" s="398"/>
    </row>
    <row r="53" spans="2:25" ht="15" customHeight="1" x14ac:dyDescent="0.2">
      <c r="B53" s="397"/>
      <c r="C53" s="697" t="s">
        <v>49</v>
      </c>
      <c r="D53" s="698"/>
      <c r="E53" s="383"/>
      <c r="F53" s="383"/>
      <c r="I53" s="673" t="s">
        <v>750</v>
      </c>
      <c r="J53" s="673"/>
      <c r="K53" s="697" t="s">
        <v>752</v>
      </c>
      <c r="L53" s="698"/>
      <c r="M53" s="698"/>
      <c r="N53" s="696" t="s">
        <v>748</v>
      </c>
      <c r="O53" s="679"/>
      <c r="P53" s="679"/>
      <c r="Q53" s="398"/>
    </row>
    <row r="54" spans="2:25" s="385" customFormat="1" ht="15" customHeight="1" x14ac:dyDescent="0.2">
      <c r="B54" s="402"/>
      <c r="C54" s="693"/>
      <c r="D54" s="694"/>
      <c r="E54" s="695"/>
      <c r="F54" s="528"/>
      <c r="I54" s="409"/>
      <c r="J54" s="392" t="s">
        <v>751</v>
      </c>
      <c r="K54" s="790"/>
      <c r="L54" s="791"/>
      <c r="M54" s="553" t="s">
        <v>751</v>
      </c>
      <c r="N54" s="559"/>
      <c r="O54" s="779" t="s">
        <v>749</v>
      </c>
      <c r="P54" s="780"/>
      <c r="Q54" s="403"/>
    </row>
    <row r="55" spans="2:25" s="385" customFormat="1" ht="15" customHeight="1" x14ac:dyDescent="0.2">
      <c r="B55" s="402"/>
      <c r="C55" s="528"/>
      <c r="D55" s="528"/>
      <c r="E55" s="528"/>
      <c r="F55" s="529"/>
      <c r="K55" s="529"/>
      <c r="L55" s="529"/>
      <c r="M55" s="529"/>
      <c r="N55" s="529"/>
      <c r="O55" s="528"/>
      <c r="P55" s="528"/>
      <c r="Q55" s="403"/>
    </row>
    <row r="56" spans="2:25" ht="15" customHeight="1" x14ac:dyDescent="0.2">
      <c r="B56" s="397"/>
      <c r="C56" s="697" t="s">
        <v>675</v>
      </c>
      <c r="D56" s="698"/>
      <c r="E56"/>
      <c r="F56" s="529"/>
      <c r="G56" s="529"/>
      <c r="H56" s="383"/>
      <c r="I56" s="383"/>
      <c r="K56" s="777" t="s">
        <v>64</v>
      </c>
      <c r="L56" s="777"/>
      <c r="M56" s="777" t="s">
        <v>755</v>
      </c>
      <c r="N56" s="777"/>
      <c r="O56" s="679" t="s">
        <v>583</v>
      </c>
      <c r="P56" s="679"/>
      <c r="Q56" s="398"/>
      <c r="W56"/>
      <c r="X56"/>
      <c r="Y56"/>
    </row>
    <row r="57" spans="2:25" ht="15" customHeight="1" x14ac:dyDescent="0.2">
      <c r="B57" s="397"/>
      <c r="E57" s="383"/>
      <c r="F57" s="529"/>
      <c r="G57" s="383"/>
      <c r="H57" s="383"/>
      <c r="I57" s="383"/>
      <c r="K57" s="409"/>
      <c r="L57" s="553" t="s">
        <v>292</v>
      </c>
      <c r="M57" s="409"/>
      <c r="N57" s="553" t="s">
        <v>652</v>
      </c>
      <c r="O57" s="409"/>
      <c r="P57" s="392" t="s">
        <v>699</v>
      </c>
      <c r="Q57" s="398"/>
      <c r="W57"/>
      <c r="X57"/>
      <c r="Y57"/>
    </row>
    <row r="58" spans="2:25" ht="15" customHeight="1" x14ac:dyDescent="0.2">
      <c r="B58" s="397"/>
      <c r="E58" s="529"/>
      <c r="F58" s="529"/>
      <c r="G58" s="383"/>
      <c r="H58" s="383"/>
      <c r="I58" s="383"/>
      <c r="J58" s="549"/>
      <c r="K58" s="549"/>
      <c r="L58" s="549"/>
      <c r="M58" s="549"/>
      <c r="N58" s="549"/>
      <c r="O58" s="409"/>
      <c r="P58" s="392" t="s">
        <v>663</v>
      </c>
      <c r="Q58" s="398"/>
      <c r="S58"/>
      <c r="T58"/>
      <c r="U58"/>
      <c r="V58"/>
      <c r="W58"/>
      <c r="X58"/>
      <c r="Y58"/>
    </row>
    <row r="59" spans="2:25" ht="15" customHeight="1" x14ac:dyDescent="0.2">
      <c r="B59" s="397"/>
      <c r="C59" s="453"/>
      <c r="D59" s="453"/>
      <c r="E59" s="453"/>
      <c r="F59" s="417"/>
      <c r="G59" s="418"/>
      <c r="H59" s="418"/>
      <c r="I59" s="418"/>
      <c r="J59" s="550"/>
      <c r="K59" s="673" t="s">
        <v>780</v>
      </c>
      <c r="L59" s="673"/>
      <c r="M59" s="673" t="s">
        <v>770</v>
      </c>
      <c r="N59" s="673"/>
      <c r="Q59" s="398"/>
      <c r="W59"/>
      <c r="X59"/>
      <c r="Y59"/>
    </row>
    <row r="60" spans="2:25" ht="15" customHeight="1" x14ac:dyDescent="0.2">
      <c r="B60" s="397"/>
      <c r="C60" s="383"/>
      <c r="D60" s="383"/>
      <c r="E60" s="383"/>
      <c r="F60" s="383"/>
      <c r="G60" s="383"/>
      <c r="H60" s="383"/>
      <c r="I60" s="383"/>
      <c r="J60" s="549"/>
      <c r="K60" s="605">
        <v>8.48</v>
      </c>
      <c r="L60" s="553" t="s">
        <v>652</v>
      </c>
      <c r="M60" s="676">
        <v>1</v>
      </c>
      <c r="N60" s="676"/>
      <c r="Q60" s="398"/>
      <c r="W60"/>
      <c r="X60"/>
      <c r="Y60"/>
    </row>
    <row r="61" spans="2:25" ht="15" customHeight="1" x14ac:dyDescent="0.2">
      <c r="B61" s="397"/>
      <c r="C61" s="383"/>
      <c r="D61" s="383"/>
      <c r="E61" s="383"/>
      <c r="F61" s="383"/>
      <c r="G61" s="383"/>
      <c r="H61" s="383"/>
      <c r="I61" s="383"/>
      <c r="J61" s="549"/>
      <c r="K61" s="551"/>
      <c r="L61" s="551"/>
      <c r="M61" s="551"/>
      <c r="N61" s="551"/>
      <c r="O61" s="551"/>
      <c r="P61" s="551"/>
      <c r="Q61" s="398"/>
      <c r="S61"/>
      <c r="T61"/>
      <c r="U61"/>
      <c r="V61"/>
      <c r="W61"/>
      <c r="X61"/>
      <c r="Y61"/>
    </row>
    <row r="62" spans="2:25" ht="15" customHeight="1" x14ac:dyDescent="0.2">
      <c r="B62" s="397"/>
      <c r="C62" s="383"/>
      <c r="D62" s="383"/>
      <c r="E62" s="383"/>
      <c r="F62" s="383"/>
      <c r="G62" s="383"/>
      <c r="H62" s="383"/>
      <c r="I62" s="418"/>
      <c r="J62" s="550"/>
      <c r="K62" s="777" t="s">
        <v>753</v>
      </c>
      <c r="L62" s="777"/>
      <c r="M62" s="777" t="s">
        <v>693</v>
      </c>
      <c r="N62" s="777"/>
      <c r="O62" s="777" t="s">
        <v>693</v>
      </c>
      <c r="P62" s="777"/>
      <c r="Q62" s="398"/>
      <c r="S62"/>
      <c r="T62"/>
      <c r="U62"/>
      <c r="V62"/>
      <c r="W62"/>
      <c r="X62"/>
      <c r="Y62"/>
    </row>
    <row r="63" spans="2:25" ht="15" customHeight="1" x14ac:dyDescent="0.2">
      <c r="B63" s="397"/>
      <c r="C63" s="383"/>
      <c r="D63" s="383"/>
      <c r="E63" s="383"/>
      <c r="F63" s="383"/>
      <c r="G63" s="383"/>
      <c r="H63" s="383"/>
      <c r="I63" s="383"/>
      <c r="J63" s="549"/>
      <c r="K63" s="555">
        <f>(60*N54)/200</f>
        <v>0</v>
      </c>
      <c r="L63" s="553" t="s">
        <v>751</v>
      </c>
      <c r="M63" s="555">
        <f>SUM(K63,K54,I54)</f>
        <v>0</v>
      </c>
      <c r="N63" s="553" t="s">
        <v>751</v>
      </c>
      <c r="O63" s="555">
        <f>M63/60</f>
        <v>0</v>
      </c>
      <c r="P63" s="553" t="s">
        <v>754</v>
      </c>
      <c r="Q63" s="398"/>
      <c r="S63"/>
      <c r="T63"/>
      <c r="U63"/>
      <c r="V63"/>
      <c r="W63"/>
      <c r="X63"/>
      <c r="Y63"/>
    </row>
    <row r="64" spans="2:25" ht="15" customHeight="1" x14ac:dyDescent="0.2">
      <c r="B64" s="397"/>
      <c r="C64" s="383"/>
      <c r="D64" s="383"/>
      <c r="E64" s="383"/>
      <c r="F64" s="383"/>
      <c r="G64" s="383"/>
      <c r="H64" s="383"/>
      <c r="I64" s="383"/>
      <c r="J64" s="549"/>
      <c r="K64" s="551"/>
      <c r="L64" s="551"/>
      <c r="M64" s="551"/>
      <c r="N64" s="551"/>
      <c r="O64" s="550"/>
      <c r="P64" s="550"/>
      <c r="Q64" s="398"/>
      <c r="S64"/>
      <c r="T64"/>
      <c r="U64"/>
      <c r="V64"/>
      <c r="W64"/>
      <c r="X64"/>
      <c r="Y64"/>
    </row>
    <row r="65" spans="2:25" ht="15" customHeight="1" x14ac:dyDescent="0.2">
      <c r="B65" s="397"/>
      <c r="C65" s="383"/>
      <c r="D65" s="383"/>
      <c r="E65" s="383"/>
      <c r="F65" s="383"/>
      <c r="G65" s="383"/>
      <c r="H65" s="383"/>
      <c r="I65" s="379"/>
      <c r="J65" s="552"/>
      <c r="K65" s="777" t="s">
        <v>674</v>
      </c>
      <c r="L65" s="777"/>
      <c r="Q65" s="398"/>
      <c r="S65"/>
      <c r="T65"/>
      <c r="U65"/>
      <c r="V65"/>
      <c r="W65"/>
      <c r="X65"/>
      <c r="Y65"/>
    </row>
    <row r="66" spans="2:25" ht="15" customHeight="1" x14ac:dyDescent="0.2">
      <c r="B66" s="397"/>
      <c r="C66" s="383"/>
      <c r="D66" s="383"/>
      <c r="E66" s="383"/>
      <c r="F66" s="383"/>
      <c r="G66" s="383"/>
      <c r="H66" s="383"/>
      <c r="I66" s="379"/>
      <c r="J66" s="552"/>
      <c r="K66" s="555">
        <f>M57+O58/60</f>
        <v>0</v>
      </c>
      <c r="L66" s="553" t="s">
        <v>652</v>
      </c>
      <c r="Q66" s="398"/>
      <c r="S66"/>
      <c r="T66"/>
      <c r="U66"/>
      <c r="V66"/>
      <c r="W66"/>
      <c r="X66"/>
      <c r="Y66"/>
    </row>
    <row r="67" spans="2:25" ht="15" customHeight="1" x14ac:dyDescent="0.2">
      <c r="B67" s="397"/>
      <c r="C67" s="383"/>
      <c r="D67" s="383"/>
      <c r="E67" s="383"/>
      <c r="F67" s="383"/>
      <c r="G67" s="383"/>
      <c r="H67" s="383"/>
      <c r="I67" s="379"/>
      <c r="J67" s="552"/>
      <c r="K67" s="549"/>
      <c r="L67" s="549"/>
      <c r="M67" s="549"/>
      <c r="N67" s="549"/>
      <c r="O67" s="549"/>
      <c r="P67" s="549"/>
      <c r="Q67" s="398"/>
      <c r="S67"/>
      <c r="T67"/>
      <c r="U67"/>
      <c r="V67"/>
      <c r="W67"/>
      <c r="X67"/>
      <c r="Y67"/>
    </row>
    <row r="68" spans="2:25" ht="15" customHeight="1" x14ac:dyDescent="0.2">
      <c r="B68" s="397"/>
      <c r="C68" s="383"/>
      <c r="D68" s="383"/>
      <c r="E68" s="383"/>
      <c r="F68" s="383"/>
      <c r="G68" s="383"/>
      <c r="H68" s="383"/>
      <c r="I68" s="379"/>
      <c r="J68" s="552"/>
      <c r="K68" s="777" t="s">
        <v>648</v>
      </c>
      <c r="L68" s="777"/>
      <c r="M68" s="777" t="s">
        <v>650</v>
      </c>
      <c r="N68" s="777"/>
      <c r="O68" s="777" t="s">
        <v>666</v>
      </c>
      <c r="P68" s="777"/>
      <c r="Q68" s="398"/>
      <c r="S68"/>
      <c r="T68"/>
      <c r="U68"/>
      <c r="V68"/>
      <c r="W68"/>
      <c r="X68"/>
      <c r="Y68"/>
    </row>
    <row r="69" spans="2:25" ht="15" customHeight="1" x14ac:dyDescent="0.2">
      <c r="B69" s="397"/>
      <c r="C69" s="383"/>
      <c r="D69" s="383"/>
      <c r="E69" s="383"/>
      <c r="F69" s="383"/>
      <c r="G69" s="383"/>
      <c r="H69" s="383"/>
      <c r="I69" s="379"/>
      <c r="J69" s="552"/>
      <c r="K69" s="554">
        <f>IFERROR(INDEX(Tabela2[Perda Padrão de Processo],MATCH(C54,Tabela2[Descrição],0))*100,0)</f>
        <v>0</v>
      </c>
      <c r="L69" s="553" t="s">
        <v>292</v>
      </c>
      <c r="M69" s="554">
        <f>IFERROR(ROUND(K18*O57/O17/1000*100,2),0)</f>
        <v>0</v>
      </c>
      <c r="N69" s="553" t="s">
        <v>292</v>
      </c>
      <c r="O69" s="555">
        <f>SUM(K69,M69)</f>
        <v>0</v>
      </c>
      <c r="P69" s="553" t="s">
        <v>292</v>
      </c>
      <c r="Q69" s="398"/>
      <c r="S69"/>
      <c r="T69"/>
      <c r="U69"/>
      <c r="V69"/>
      <c r="W69"/>
      <c r="X69"/>
      <c r="Y69"/>
    </row>
    <row r="70" spans="2:25" ht="15" customHeight="1" x14ac:dyDescent="0.2">
      <c r="B70" s="397"/>
      <c r="C70" s="383"/>
      <c r="D70" s="383"/>
      <c r="E70" s="383"/>
      <c r="F70" s="383"/>
      <c r="G70" s="383"/>
      <c r="H70" s="383"/>
      <c r="I70" s="379"/>
      <c r="J70" s="552"/>
      <c r="K70" s="549"/>
      <c r="L70" s="549"/>
      <c r="M70" s="552"/>
      <c r="N70" s="549"/>
      <c r="O70" s="552"/>
      <c r="P70" s="552"/>
      <c r="Q70" s="398"/>
    </row>
    <row r="71" spans="2:25" ht="15" customHeight="1" x14ac:dyDescent="0.2">
      <c r="B71" s="397"/>
      <c r="C71" s="383"/>
      <c r="D71" s="383"/>
      <c r="E71" s="383"/>
      <c r="F71" s="383"/>
      <c r="G71" s="383"/>
      <c r="H71" s="383"/>
      <c r="I71" s="379"/>
      <c r="J71" s="552"/>
      <c r="K71" s="777" t="s">
        <v>654</v>
      </c>
      <c r="L71" s="777"/>
      <c r="M71" s="777" t="s">
        <v>651</v>
      </c>
      <c r="N71" s="777"/>
      <c r="Q71" s="398"/>
    </row>
    <row r="72" spans="2:25" ht="15" customHeight="1" x14ac:dyDescent="0.2">
      <c r="B72" s="397"/>
      <c r="C72" s="383"/>
      <c r="D72" s="383"/>
      <c r="E72" s="383"/>
      <c r="F72" s="383"/>
      <c r="G72" s="383"/>
      <c r="H72" s="383"/>
      <c r="I72" s="379"/>
      <c r="J72" s="552"/>
      <c r="K72" s="555">
        <f>IFERROR(K66*60/O17,0)</f>
        <v>0</v>
      </c>
      <c r="L72" s="553" t="s">
        <v>653</v>
      </c>
      <c r="M72" s="555">
        <f>IFERROR(M63/(K18)/60*1000*((1+(100-K57)/100)),0)</f>
        <v>0</v>
      </c>
      <c r="N72" s="553" t="s">
        <v>653</v>
      </c>
      <c r="Q72" s="398"/>
    </row>
    <row r="73" spans="2:25" ht="15" customHeight="1" x14ac:dyDescent="0.2">
      <c r="B73" s="397"/>
      <c r="C73" s="383"/>
      <c r="D73" s="383"/>
      <c r="E73" s="383"/>
      <c r="F73" s="383"/>
      <c r="G73" s="383"/>
      <c r="H73" s="383"/>
      <c r="I73" s="379"/>
      <c r="J73" s="552"/>
      <c r="K73" s="549"/>
      <c r="L73" s="549"/>
      <c r="M73" s="552"/>
      <c r="N73" s="549"/>
      <c r="O73" s="552"/>
      <c r="P73" s="552"/>
      <c r="Q73" s="398"/>
    </row>
    <row r="74" spans="2:25" ht="15" customHeight="1" x14ac:dyDescent="0.2">
      <c r="B74" s="397"/>
      <c r="C74" s="383"/>
      <c r="D74" s="383"/>
      <c r="E74" s="379"/>
      <c r="F74" s="383"/>
      <c r="G74" s="379"/>
      <c r="H74" s="379"/>
      <c r="I74" s="379"/>
      <c r="J74" s="552"/>
      <c r="K74" s="777" t="s">
        <v>655</v>
      </c>
      <c r="L74" s="777"/>
      <c r="M74" s="777" t="s">
        <v>655</v>
      </c>
      <c r="N74" s="777"/>
      <c r="O74" s="777" t="s">
        <v>657</v>
      </c>
      <c r="P74" s="777"/>
      <c r="Q74" s="398"/>
    </row>
    <row r="75" spans="2:25" ht="15" customHeight="1" x14ac:dyDescent="0.2">
      <c r="B75" s="397"/>
      <c r="C75" s="383"/>
      <c r="D75" s="383"/>
      <c r="E75" s="379"/>
      <c r="F75" s="383"/>
      <c r="G75" s="379"/>
      <c r="H75" s="379"/>
      <c r="I75" s="379"/>
      <c r="J75" s="552"/>
      <c r="K75" s="555">
        <f>IFERROR(M72*O17/60,0)</f>
        <v>0</v>
      </c>
      <c r="L75" s="553" t="s">
        <v>652</v>
      </c>
      <c r="M75" s="555">
        <f>IFERROR(K75/(K60*M60),0)</f>
        <v>0</v>
      </c>
      <c r="N75" s="553" t="s">
        <v>656</v>
      </c>
      <c r="O75" s="555">
        <f>IFERROR(((M72*O17/60)+K66)/(K60*M60),0)</f>
        <v>0</v>
      </c>
      <c r="P75" s="553" t="s">
        <v>656</v>
      </c>
      <c r="Q75" s="398"/>
    </row>
    <row r="76" spans="2:25" ht="15" customHeight="1" x14ac:dyDescent="0.2">
      <c r="B76" s="397"/>
      <c r="C76" s="383"/>
      <c r="D76" s="383"/>
      <c r="E76" s="379"/>
      <c r="F76" s="383"/>
      <c r="G76" s="379"/>
      <c r="H76" s="379"/>
      <c r="I76" s="379"/>
      <c r="J76" s="552"/>
      <c r="Q76" s="398"/>
    </row>
    <row r="77" spans="2:25" ht="15" customHeight="1" x14ac:dyDescent="0.2">
      <c r="B77" s="397"/>
      <c r="C77" s="383"/>
      <c r="D77" s="383"/>
      <c r="E77" s="379"/>
      <c r="F77" s="383"/>
      <c r="G77" s="379"/>
      <c r="H77" s="379"/>
      <c r="I77" s="379"/>
      <c r="J77" s="552"/>
      <c r="K77" s="700"/>
      <c r="L77" s="700"/>
      <c r="M77" s="700"/>
      <c r="N77" s="700"/>
      <c r="O77" s="700"/>
      <c r="P77" s="700"/>
      <c r="Q77" s="398"/>
    </row>
    <row r="78" spans="2:25" ht="15" customHeight="1" x14ac:dyDescent="0.2">
      <c r="B78" s="397"/>
      <c r="C78" s="383"/>
      <c r="D78" s="383"/>
      <c r="E78" s="379"/>
      <c r="F78" s="383"/>
      <c r="G78" s="379"/>
      <c r="H78" s="379"/>
      <c r="I78" s="379"/>
      <c r="J78" s="552"/>
      <c r="K78" s="700"/>
      <c r="L78" s="700"/>
      <c r="M78" s="700"/>
      <c r="N78" s="700"/>
      <c r="O78" s="700"/>
      <c r="P78" s="700"/>
      <c r="Q78" s="398"/>
    </row>
    <row r="79" spans="2:25" ht="15" customHeight="1" x14ac:dyDescent="0.2">
      <c r="B79" s="397"/>
      <c r="C79" s="535"/>
      <c r="D79" s="535"/>
      <c r="E79" s="535"/>
      <c r="F79" s="535"/>
      <c r="G79" s="535"/>
      <c r="H79" s="535"/>
      <c r="I79" s="535"/>
      <c r="J79" s="535"/>
      <c r="K79" s="535"/>
      <c r="L79" s="535"/>
      <c r="M79" s="535"/>
      <c r="N79" s="535"/>
      <c r="O79" s="535"/>
      <c r="P79" s="535"/>
      <c r="Q79" s="398"/>
    </row>
    <row r="80" spans="2:25" ht="15" customHeight="1" x14ac:dyDescent="0.2">
      <c r="B80" s="397"/>
      <c r="C80" s="529"/>
      <c r="D80" s="529"/>
      <c r="E80" s="529"/>
      <c r="F80" s="529"/>
      <c r="G80" s="529"/>
      <c r="H80" s="529"/>
      <c r="I80" s="529"/>
      <c r="J80" s="529"/>
      <c r="K80" s="529"/>
      <c r="L80" s="529"/>
      <c r="M80" s="529"/>
      <c r="N80" s="529"/>
      <c r="O80" s="529"/>
      <c r="P80" s="529"/>
      <c r="Q80" s="398"/>
    </row>
    <row r="81" spans="2:17" ht="15" customHeight="1" thickBot="1" x14ac:dyDescent="0.25">
      <c r="B81" s="404"/>
      <c r="C81" s="454"/>
      <c r="D81" s="454"/>
      <c r="E81" s="454"/>
      <c r="F81" s="454"/>
      <c r="G81" s="454"/>
      <c r="H81" s="454"/>
      <c r="I81" s="454"/>
      <c r="J81" s="454"/>
      <c r="K81" s="454"/>
      <c r="L81" s="454"/>
      <c r="M81" s="454"/>
      <c r="N81" s="454"/>
      <c r="O81" s="454"/>
      <c r="P81" s="454"/>
      <c r="Q81" s="406"/>
    </row>
    <row r="85" spans="2:17" x14ac:dyDescent="0.2">
      <c r="B85" s="665" t="s">
        <v>628</v>
      </c>
      <c r="C85" s="666"/>
      <c r="D85" s="668" t="s">
        <v>2</v>
      </c>
      <c r="E85" s="668"/>
      <c r="F85" s="668"/>
      <c r="G85" s="668"/>
      <c r="H85" s="668"/>
      <c r="I85" s="668"/>
      <c r="J85" s="668"/>
      <c r="K85" s="668"/>
      <c r="L85" s="668"/>
      <c r="M85" s="668" t="s">
        <v>629</v>
      </c>
      <c r="N85" s="668"/>
      <c r="O85" s="668"/>
      <c r="P85" s="665" t="s">
        <v>630</v>
      </c>
      <c r="Q85" s="666"/>
    </row>
    <row r="86" spans="2:17" x14ac:dyDescent="0.2">
      <c r="B86" s="665" t="s">
        <v>634</v>
      </c>
      <c r="C86" s="666"/>
      <c r="D86" s="667" t="s">
        <v>713</v>
      </c>
      <c r="E86" s="667"/>
      <c r="F86" s="667"/>
      <c r="G86" s="667"/>
      <c r="H86" s="667"/>
      <c r="I86" s="667"/>
      <c r="J86" s="667"/>
      <c r="K86" s="667"/>
      <c r="L86" s="667"/>
      <c r="M86" s="668" t="s">
        <v>635</v>
      </c>
      <c r="N86" s="668"/>
      <c r="O86" s="668"/>
      <c r="P86" s="669">
        <v>44469</v>
      </c>
      <c r="Q86" s="670"/>
    </row>
    <row r="87" spans="2:17" x14ac:dyDescent="0.2">
      <c r="B87" s="407"/>
      <c r="C87" s="407"/>
      <c r="D87" s="407"/>
      <c r="E87" s="407"/>
      <c r="F87" s="407"/>
      <c r="G87" s="407"/>
      <c r="H87" s="407"/>
      <c r="I87" s="407"/>
      <c r="J87" s="407"/>
      <c r="K87" s="407"/>
      <c r="L87" s="407"/>
      <c r="M87" s="407"/>
      <c r="N87" s="407"/>
      <c r="O87" s="407"/>
      <c r="P87" s="407"/>
      <c r="Q87" s="407"/>
    </row>
    <row r="88" spans="2:17" x14ac:dyDescent="0.2">
      <c r="B88" s="407"/>
      <c r="C88" s="407"/>
      <c r="D88" s="407"/>
      <c r="E88" s="407"/>
      <c r="F88" s="407"/>
      <c r="G88" s="407"/>
      <c r="H88" s="407"/>
      <c r="I88" s="407"/>
      <c r="J88" s="407"/>
      <c r="K88" s="407"/>
      <c r="L88" s="407"/>
      <c r="M88" s="407"/>
      <c r="N88" s="407"/>
      <c r="O88" s="407"/>
      <c r="P88" s="407"/>
      <c r="Q88" s="407"/>
    </row>
    <row r="89" spans="2:17" x14ac:dyDescent="0.2">
      <c r="B89" s="407"/>
      <c r="C89" s="407"/>
      <c r="D89" s="407"/>
      <c r="E89" s="407"/>
      <c r="F89" s="407"/>
      <c r="G89" s="407"/>
      <c r="H89" s="407"/>
      <c r="I89" s="407"/>
      <c r="J89" s="407"/>
      <c r="K89" s="407"/>
      <c r="L89" s="407"/>
      <c r="M89" s="407"/>
      <c r="N89" s="407"/>
      <c r="O89" s="407"/>
      <c r="P89" s="407"/>
      <c r="Q89" s="407"/>
    </row>
    <row r="90" spans="2:17" x14ac:dyDescent="0.2">
      <c r="B90" s="407"/>
      <c r="C90" s="407"/>
      <c r="D90" s="407"/>
      <c r="E90" s="407"/>
      <c r="F90" s="407"/>
      <c r="G90" s="407"/>
      <c r="H90" s="407"/>
      <c r="I90" s="407"/>
      <c r="J90" s="407"/>
      <c r="K90" s="407"/>
      <c r="L90" s="407"/>
      <c r="M90" s="407"/>
      <c r="N90" s="407"/>
      <c r="O90" s="407"/>
      <c r="P90" s="407"/>
      <c r="Q90" s="407"/>
    </row>
    <row r="91" spans="2:17" x14ac:dyDescent="0.2">
      <c r="B91" s="407"/>
      <c r="C91" s="407"/>
      <c r="D91" s="407"/>
      <c r="E91" s="407"/>
      <c r="F91" s="407"/>
      <c r="G91" s="407"/>
      <c r="H91" s="407"/>
      <c r="I91" s="407"/>
      <c r="J91" s="407"/>
      <c r="K91" s="407"/>
      <c r="L91" s="407"/>
      <c r="P91" s="407"/>
      <c r="Q91" s="407"/>
    </row>
    <row r="92" spans="2:17" x14ac:dyDescent="0.2">
      <c r="B92" s="407"/>
      <c r="C92" s="407"/>
      <c r="D92" s="407"/>
      <c r="E92" s="407"/>
      <c r="F92" s="407"/>
      <c r="G92" s="407"/>
      <c r="H92" s="407"/>
      <c r="I92" s="407"/>
      <c r="J92" s="407"/>
      <c r="K92" s="407"/>
      <c r="L92" s="407"/>
      <c r="P92" s="407"/>
      <c r="Q92" s="407"/>
    </row>
    <row r="93" spans="2:17" x14ac:dyDescent="0.2">
      <c r="B93" s="407"/>
      <c r="C93" s="407"/>
      <c r="D93" s="407"/>
      <c r="E93" s="407"/>
      <c r="F93" s="407"/>
      <c r="G93" s="407"/>
      <c r="H93" s="407"/>
      <c r="I93" s="407"/>
      <c r="J93" s="407"/>
      <c r="K93" s="407"/>
      <c r="L93" s="407"/>
      <c r="M93" s="407"/>
      <c r="N93" s="407"/>
      <c r="O93" s="407"/>
      <c r="P93" s="407"/>
      <c r="Q93" s="407"/>
    </row>
    <row r="94" spans="2:17" x14ac:dyDescent="0.2">
      <c r="B94" s="407"/>
      <c r="C94" s="407"/>
      <c r="D94" s="407"/>
      <c r="E94" s="407"/>
      <c r="F94" s="407"/>
      <c r="G94" s="407"/>
      <c r="H94" s="407"/>
      <c r="I94" s="407"/>
      <c r="J94" s="407"/>
      <c r="K94" s="407"/>
      <c r="L94" s="407"/>
      <c r="M94" s="407"/>
      <c r="N94" s="407"/>
      <c r="O94" s="407"/>
      <c r="P94" s="407"/>
      <c r="Q94" s="407"/>
    </row>
    <row r="95" spans="2:17" x14ac:dyDescent="0.2">
      <c r="B95" s="407"/>
      <c r="C95" s="407"/>
      <c r="D95" s="407"/>
      <c r="E95" s="407"/>
      <c r="F95" s="407"/>
      <c r="G95" s="407"/>
      <c r="H95" s="407"/>
      <c r="I95" s="407"/>
      <c r="J95" s="407"/>
      <c r="K95" s="407"/>
      <c r="L95" s="407"/>
      <c r="M95" s="407"/>
      <c r="N95" s="407"/>
      <c r="O95" s="407"/>
      <c r="P95" s="407"/>
      <c r="Q95" s="407"/>
    </row>
    <row r="96" spans="2:17" x14ac:dyDescent="0.2">
      <c r="B96" s="407"/>
      <c r="C96" s="407"/>
      <c r="D96" s="407"/>
      <c r="E96" s="407"/>
      <c r="F96" s="407"/>
      <c r="G96" s="407"/>
      <c r="H96" s="407"/>
      <c r="I96" s="407"/>
      <c r="J96" s="407"/>
      <c r="K96" s="407"/>
      <c r="L96" s="407"/>
      <c r="M96" s="407"/>
      <c r="N96" s="407"/>
      <c r="O96" s="407"/>
      <c r="P96" s="407"/>
      <c r="Q96" s="407"/>
    </row>
  </sheetData>
  <mergeCells count="114">
    <mergeCell ref="C48:D48"/>
    <mergeCell ref="C49:D49"/>
    <mergeCell ref="C38:D38"/>
    <mergeCell ref="C39:D39"/>
    <mergeCell ref="C40:D40"/>
    <mergeCell ref="C41:D41"/>
    <mergeCell ref="C42:D42"/>
    <mergeCell ref="C43:D43"/>
    <mergeCell ref="C27:D27"/>
    <mergeCell ref="C28:D28"/>
    <mergeCell ref="C29:D29"/>
    <mergeCell ref="C30:D30"/>
    <mergeCell ref="C31:D31"/>
    <mergeCell ref="C44:D44"/>
    <mergeCell ref="C45:D45"/>
    <mergeCell ref="C46:D46"/>
    <mergeCell ref="C47:D47"/>
    <mergeCell ref="C37:D37"/>
    <mergeCell ref="C53:D53"/>
    <mergeCell ref="O56:P56"/>
    <mergeCell ref="N53:P53"/>
    <mergeCell ref="C54:E54"/>
    <mergeCell ref="K53:M53"/>
    <mergeCell ref="K54:L54"/>
    <mergeCell ref="B86:C86"/>
    <mergeCell ref="D86:L86"/>
    <mergeCell ref="M86:O86"/>
    <mergeCell ref="P86:Q86"/>
    <mergeCell ref="K74:L74"/>
    <mergeCell ref="M74:N74"/>
    <mergeCell ref="O68:P68"/>
    <mergeCell ref="O74:P74"/>
    <mergeCell ref="K56:L56"/>
    <mergeCell ref="M71:N71"/>
    <mergeCell ref="K71:L71"/>
    <mergeCell ref="B85:C85"/>
    <mergeCell ref="D85:L85"/>
    <mergeCell ref="M85:O85"/>
    <mergeCell ref="P85:Q85"/>
    <mergeCell ref="K65:L65"/>
    <mergeCell ref="M68:N68"/>
    <mergeCell ref="C56:D56"/>
    <mergeCell ref="O2:P2"/>
    <mergeCell ref="C3:F5"/>
    <mergeCell ref="G3:P5"/>
    <mergeCell ref="C8:D8"/>
    <mergeCell ref="E8:F9"/>
    <mergeCell ref="H8:I8"/>
    <mergeCell ref="J8:L9"/>
    <mergeCell ref="N8:P8"/>
    <mergeCell ref="C51:P51"/>
    <mergeCell ref="C24:D24"/>
    <mergeCell ref="C20:D20"/>
    <mergeCell ref="C21:D21"/>
    <mergeCell ref="C15:P15"/>
    <mergeCell ref="C17:E17"/>
    <mergeCell ref="K17:L17"/>
    <mergeCell ref="O24:P24"/>
    <mergeCell ref="O25:P25"/>
    <mergeCell ref="O26:P26"/>
    <mergeCell ref="O27:P27"/>
    <mergeCell ref="O28:P28"/>
    <mergeCell ref="O29:P29"/>
    <mergeCell ref="O30:P30"/>
    <mergeCell ref="O31:P31"/>
    <mergeCell ref="O32:P32"/>
    <mergeCell ref="O40:P40"/>
    <mergeCell ref="O41:P41"/>
    <mergeCell ref="O42:P42"/>
    <mergeCell ref="O43:P43"/>
    <mergeCell ref="C11:D11"/>
    <mergeCell ref="E11:J11"/>
    <mergeCell ref="C12:D12"/>
    <mergeCell ref="E12:J12"/>
    <mergeCell ref="C13:D13"/>
    <mergeCell ref="E13:J13"/>
    <mergeCell ref="O33:P33"/>
    <mergeCell ref="O34:P34"/>
    <mergeCell ref="G24:H24"/>
    <mergeCell ref="K20:L20"/>
    <mergeCell ref="C23:P23"/>
    <mergeCell ref="C34:D34"/>
    <mergeCell ref="C35:D35"/>
    <mergeCell ref="C36:D36"/>
    <mergeCell ref="C26:D26"/>
    <mergeCell ref="O35:P35"/>
    <mergeCell ref="O36:P36"/>
    <mergeCell ref="O37:P37"/>
    <mergeCell ref="O38:P38"/>
    <mergeCell ref="O39:P39"/>
    <mergeCell ref="C19:E19"/>
    <mergeCell ref="M62:N62"/>
    <mergeCell ref="O62:P62"/>
    <mergeCell ref="M56:N56"/>
    <mergeCell ref="K68:L68"/>
    <mergeCell ref="K77:P78"/>
    <mergeCell ref="O44:P44"/>
    <mergeCell ref="O45:P45"/>
    <mergeCell ref="O46:P46"/>
    <mergeCell ref="O47:P47"/>
    <mergeCell ref="O48:P48"/>
    <mergeCell ref="O49:P49"/>
    <mergeCell ref="K62:L62"/>
    <mergeCell ref="K59:L59"/>
    <mergeCell ref="M59:N59"/>
    <mergeCell ref="M60:N60"/>
    <mergeCell ref="O54:P54"/>
    <mergeCell ref="I53:J53"/>
    <mergeCell ref="C25:D25"/>
    <mergeCell ref="I24:J24"/>
    <mergeCell ref="K24:L24"/>
    <mergeCell ref="M24:N24"/>
    <mergeCell ref="C32:D32"/>
    <mergeCell ref="C33:D33"/>
  </mergeCells>
  <conditionalFormatting sqref="O18:P18">
    <cfRule type="containsText" dxfId="67" priority="23" stopIfTrue="1" operator="containsText" text="FALSO">
      <formula>NOT(ISERROR(SEARCH("FALSO",O18)))</formula>
    </cfRule>
  </conditionalFormatting>
  <conditionalFormatting sqref="P20">
    <cfRule type="containsText" dxfId="66" priority="19" stopIfTrue="1" operator="containsText" text="FALSO">
      <formula>NOT(ISERROR(SEARCH("FALSO",P20)))</formula>
    </cfRule>
  </conditionalFormatting>
  <conditionalFormatting sqref="K18:L18">
    <cfRule type="containsText" dxfId="65" priority="17" stopIfTrue="1" operator="containsText" text="FALSO">
      <formula>NOT(ISERROR(SEARCH("FALSO",K18)))</formula>
    </cfRule>
  </conditionalFormatting>
  <conditionalFormatting sqref="P21">
    <cfRule type="containsText" dxfId="64" priority="5" stopIfTrue="1" operator="containsText" text="FALSO">
      <formula>NOT(ISERROR(SEARCH("FALSO",P21)))</formula>
    </cfRule>
  </conditionalFormatting>
  <conditionalFormatting sqref="K21:L21">
    <cfRule type="containsText" dxfId="63" priority="4" stopIfTrue="1" operator="containsText" text="FALSO">
      <formula>NOT(ISERROR(SEARCH("FALSO",K21)))</formula>
    </cfRule>
  </conditionalFormatting>
  <conditionalFormatting sqref="I19">
    <cfRule type="containsText" dxfId="62" priority="3" stopIfTrue="1" operator="containsText" text="FALSO">
      <formula>NOT(ISERROR(SEARCH("FALSO",I19)))</formula>
    </cfRule>
  </conditionalFormatting>
  <conditionalFormatting sqref="I20">
    <cfRule type="containsText" dxfId="61" priority="1" stopIfTrue="1" operator="containsText" text="FALSO">
      <formula>NOT(ISERROR(SEARCH("FALSO",I20)))</formula>
    </cfRule>
  </conditionalFormatting>
  <dataValidations count="6">
    <dataValidation type="list" allowBlank="1" showInputMessage="1" showErrorMessage="1" sqref="P20">
      <formula1>"Peça/mês,Ton/mês"</formula1>
    </dataValidation>
    <dataValidation allowBlank="1" showInputMessage="1" showErrorMessage="1" errorTitle="Erro" sqref="E52:F52 F59 O56 M74 K74 K62 N64 E16:F16 M62 O62"/>
    <dataValidation type="list" allowBlank="1" showInputMessage="1" showErrorMessage="1" sqref="I19">
      <formula1>"R$/PC,R$/Ton"</formula1>
    </dataValidation>
    <dataValidation type="list" allowBlank="1" showInputMessage="1" showErrorMessage="1" sqref="C54:E54">
      <formula1>CélulasDeSolda</formula1>
    </dataValidation>
    <dataValidation type="decimal" allowBlank="1" showInputMessage="1" showErrorMessage="1" errorTitle="Cronus" error="Valor inserido não corresponde a um número." sqref="K25:K49 E25:G49">
      <formula1>0</formula1>
      <formula2>99999</formula2>
    </dataValidation>
    <dataValidation type="decimal" allowBlank="1" showInputMessage="1" showErrorMessage="1" errorTitle="Cronus" error="Valor inserido não corresponde a um número." sqref="H19">
      <formula1>0</formula1>
      <formula2>99999</formula2>
    </dataValidation>
  </dataValidations>
  <pageMargins left="0.51" right="0.23622047244094491" top="0.31" bottom="0.74803149606299213" header="0.31496062992125984" footer="0.31496062992125984"/>
  <pageSetup paperSize="9" scale="6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Check Box 1">
              <controlPr defaultSize="0" autoFill="0" autoLine="0" autoPict="0">
                <anchor moveWithCells="1">
                  <from>
                    <xdr:col>4</xdr:col>
                    <xdr:colOff>219075</xdr:colOff>
                    <xdr:row>19</xdr:row>
                    <xdr:rowOff>9525</xdr:rowOff>
                  </from>
                  <to>
                    <xdr:col>4</xdr:col>
                    <xdr:colOff>466725</xdr:colOff>
                    <xdr:row>20</xdr:row>
                    <xdr:rowOff>0</xdr:rowOff>
                  </to>
                </anchor>
              </controlPr>
            </control>
          </mc:Choice>
        </mc:AlternateContent>
        <mc:AlternateContent xmlns:mc="http://schemas.openxmlformats.org/markup-compatibility/2006">
          <mc:Choice Requires="x14">
            <control shapeId="163847" r:id="rId5" name="Option Button 7">
              <controlPr defaultSize="0" autoFill="0" autoLine="0" autoPict="0">
                <anchor moveWithCells="1">
                  <from>
                    <xdr:col>5</xdr:col>
                    <xdr:colOff>0</xdr:colOff>
                    <xdr:row>16</xdr:row>
                    <xdr:rowOff>0</xdr:rowOff>
                  </from>
                  <to>
                    <xdr:col>5</xdr:col>
                    <xdr:colOff>619125</xdr:colOff>
                    <xdr:row>17</xdr:row>
                    <xdr:rowOff>0</xdr:rowOff>
                  </to>
                </anchor>
              </controlPr>
            </control>
          </mc:Choice>
        </mc:AlternateContent>
        <mc:AlternateContent xmlns:mc="http://schemas.openxmlformats.org/markup-compatibility/2006">
          <mc:Choice Requires="x14">
            <control shapeId="163869" r:id="rId6" name="Check Box 29">
              <controlPr defaultSize="0" autoFill="0" autoLine="0" autoPict="0">
                <anchor moveWithCells="1">
                  <from>
                    <xdr:col>4</xdr:col>
                    <xdr:colOff>219075</xdr:colOff>
                    <xdr:row>20</xdr:row>
                    <xdr:rowOff>9525</xdr:rowOff>
                  </from>
                  <to>
                    <xdr:col>4</xdr:col>
                    <xdr:colOff>466725</xdr:colOff>
                    <xdr:row>21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'Q:\Trabalhos em Andamento\Cristian Garcia\ESTUDOS CPV\[SIMULADOR DE MARGEM PARA ITEM PADRÃO (Versão 2.9).xlsx]Lista Mestre'!#REF!</xm:f>
          </x14:formula1>
          <xm:sqref>C16 C52</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3">
    <tabColor theme="4" tint="0.79998168889431442"/>
  </sheetPr>
  <dimension ref="A2:CF13"/>
  <sheetViews>
    <sheetView showGridLines="0" workbookViewId="0">
      <pane ySplit="5" topLeftCell="A6" activePane="bottomLeft" state="frozen"/>
      <selection activeCell="D8" sqref="D8"/>
      <selection pane="bottomLeft" activeCell="B6" sqref="B6"/>
    </sheetView>
  </sheetViews>
  <sheetFormatPr defaultRowHeight="12.75" x14ac:dyDescent="0.2"/>
  <cols>
    <col min="1" max="1" width="2.140625" style="2" customWidth="1"/>
    <col min="2" max="2" width="13.140625" style="2" customWidth="1"/>
    <col min="3" max="3" width="54.140625" style="2" customWidth="1"/>
    <col min="4" max="4" width="17.5703125" style="2" customWidth="1"/>
    <col min="5" max="6" width="13.5703125" style="2" customWidth="1"/>
    <col min="7" max="9" width="12.85546875" style="2" customWidth="1"/>
    <col min="10" max="11" width="22" style="2" customWidth="1"/>
    <col min="12" max="12" width="19.28515625" style="2" customWidth="1"/>
    <col min="13" max="13" width="20.5703125" style="2" customWidth="1"/>
    <col min="14" max="14" width="20.140625" style="2" customWidth="1"/>
    <col min="15" max="17" width="10.7109375" style="2" customWidth="1"/>
    <col min="18" max="18" width="17.140625" style="2" customWidth="1"/>
    <col min="19" max="19" width="19.85546875" style="2" customWidth="1"/>
    <col min="20" max="20" width="9.85546875" style="2" customWidth="1"/>
    <col min="21" max="21" width="24.7109375" style="2" customWidth="1"/>
    <col min="22" max="22" width="18.140625" style="2" customWidth="1"/>
    <col min="23" max="23" width="22.140625" style="2" customWidth="1"/>
    <col min="24" max="24" width="29.140625" style="2" customWidth="1"/>
    <col min="25" max="25" width="18.85546875" style="2" customWidth="1"/>
    <col min="26" max="26" width="6.85546875" style="2" customWidth="1"/>
    <col min="27" max="27" width="7.42578125" style="2" customWidth="1"/>
    <col min="28" max="28" width="16.140625" style="2" customWidth="1"/>
    <col min="29" max="29" width="17.28515625" style="2" customWidth="1"/>
    <col min="30" max="30" width="16" style="2" customWidth="1"/>
    <col min="31" max="31" width="10.5703125" style="2" customWidth="1"/>
    <col min="32" max="32" width="18.42578125" style="2" customWidth="1"/>
    <col min="33" max="34" width="15.28515625" style="2" customWidth="1"/>
    <col min="35" max="46" width="20.85546875" style="2" customWidth="1"/>
    <col min="47" max="47" width="12.140625" style="2" customWidth="1"/>
    <col min="48" max="48" width="16.42578125" style="2" customWidth="1"/>
    <col min="49" max="49" width="0.42578125" style="2" customWidth="1"/>
    <col min="50" max="50" width="13" style="2" customWidth="1"/>
    <col min="51" max="51" width="10.28515625" style="2" customWidth="1"/>
    <col min="52" max="52" width="26.85546875" style="2" customWidth="1"/>
    <col min="53" max="53" width="27.85546875" style="2" customWidth="1"/>
    <col min="54" max="54" width="10.28515625" style="2" customWidth="1"/>
    <col min="55" max="55" width="11.140625" style="2" customWidth="1"/>
    <col min="56" max="56" width="21.42578125" style="2" customWidth="1"/>
    <col min="57" max="58" width="9.140625" style="2"/>
    <col min="59" max="63" width="9.140625" style="2" customWidth="1"/>
    <col min="64" max="64" width="9.28515625" style="2" customWidth="1"/>
    <col min="65" max="65" width="22.85546875" style="2" customWidth="1"/>
    <col min="66" max="66" width="12.5703125" style="2" customWidth="1"/>
    <col min="67" max="81" width="9.140625" style="2" customWidth="1"/>
    <col min="82" max="82" width="1" style="2" customWidth="1"/>
    <col min="83" max="83" width="1.85546875" style="2" customWidth="1"/>
    <col min="84" max="16384" width="9.140625" style="2"/>
  </cols>
  <sheetData>
    <row r="2" spans="1:84" s="425" customFormat="1" x14ac:dyDescent="0.2">
      <c r="E2" s="425" t="s">
        <v>732</v>
      </c>
      <c r="G2" s="425" t="s">
        <v>732</v>
      </c>
      <c r="H2" s="425" t="s">
        <v>732</v>
      </c>
      <c r="I2" s="425" t="s">
        <v>732</v>
      </c>
      <c r="J2" s="425" t="s">
        <v>732</v>
      </c>
      <c r="K2" s="425" t="s">
        <v>732</v>
      </c>
      <c r="L2" s="425" t="s">
        <v>732</v>
      </c>
      <c r="M2" s="425" t="s">
        <v>732</v>
      </c>
      <c r="N2" s="425" t="s">
        <v>732</v>
      </c>
      <c r="O2" s="425" t="s">
        <v>732</v>
      </c>
      <c r="Q2" s="425" t="s">
        <v>732</v>
      </c>
      <c r="R2" s="425" t="s">
        <v>732</v>
      </c>
      <c r="S2" s="543" t="s">
        <v>732</v>
      </c>
      <c r="T2" s="214" t="s">
        <v>732</v>
      </c>
      <c r="U2" s="214" t="s">
        <v>732</v>
      </c>
      <c r="V2" s="214" t="s">
        <v>732</v>
      </c>
      <c r="W2" s="214" t="s">
        <v>732</v>
      </c>
      <c r="X2" s="214" t="s">
        <v>732</v>
      </c>
      <c r="Y2" s="214" t="s">
        <v>732</v>
      </c>
      <c r="Z2" s="214" t="s">
        <v>732</v>
      </c>
      <c r="AA2" s="214" t="s">
        <v>732</v>
      </c>
      <c r="AB2" s="214" t="s">
        <v>732</v>
      </c>
      <c r="AC2" s="214" t="s">
        <v>732</v>
      </c>
      <c r="AD2" s="214" t="s">
        <v>732</v>
      </c>
      <c r="AE2" s="214" t="s">
        <v>732</v>
      </c>
      <c r="AF2" s="214"/>
      <c r="AG2" s="214"/>
      <c r="AH2" s="214" t="s">
        <v>732</v>
      </c>
      <c r="AI2" s="214" t="s">
        <v>732</v>
      </c>
      <c r="AJ2" s="214" t="s">
        <v>732</v>
      </c>
      <c r="AK2" s="214" t="s">
        <v>732</v>
      </c>
      <c r="AL2" s="214" t="s">
        <v>732</v>
      </c>
      <c r="AM2" s="214" t="s">
        <v>732</v>
      </c>
      <c r="AN2" s="214" t="s">
        <v>732</v>
      </c>
      <c r="AO2" s="214" t="s">
        <v>732</v>
      </c>
      <c r="AP2" s="214" t="s">
        <v>732</v>
      </c>
      <c r="AQ2" s="214" t="s">
        <v>732</v>
      </c>
      <c r="AR2" s="214" t="s">
        <v>732</v>
      </c>
      <c r="AS2" s="214" t="s">
        <v>732</v>
      </c>
      <c r="AT2" s="214" t="s">
        <v>732</v>
      </c>
      <c r="AU2" s="425" t="s">
        <v>732</v>
      </c>
      <c r="BC2" s="425" t="s">
        <v>732</v>
      </c>
      <c r="BD2" s="425" t="s">
        <v>732</v>
      </c>
      <c r="BE2" s="425" t="s">
        <v>732</v>
      </c>
      <c r="BF2" s="425" t="s">
        <v>732</v>
      </c>
      <c r="BG2" s="425" t="s">
        <v>732</v>
      </c>
      <c r="CE2" s="425" t="s">
        <v>732</v>
      </c>
      <c r="CF2" s="425" t="s">
        <v>732</v>
      </c>
    </row>
    <row r="3" spans="1:84" ht="19.5" thickBot="1" x14ac:dyDescent="0.25">
      <c r="B3" s="733" t="s">
        <v>0</v>
      </c>
      <c r="C3" s="733"/>
      <c r="D3" s="733"/>
      <c r="E3" s="733"/>
      <c r="F3" s="733"/>
      <c r="G3" s="733"/>
      <c r="H3" s="733"/>
      <c r="I3" s="733"/>
      <c r="J3" s="733"/>
      <c r="K3" s="733"/>
      <c r="L3" s="733"/>
      <c r="M3" s="733"/>
      <c r="N3" s="733"/>
      <c r="O3" s="733"/>
      <c r="P3" s="733"/>
      <c r="Q3" s="733"/>
      <c r="R3" s="799"/>
      <c r="S3" s="800" t="s">
        <v>68</v>
      </c>
      <c r="T3" s="801"/>
      <c r="U3" s="801"/>
      <c r="V3" s="801"/>
      <c r="W3" s="801"/>
      <c r="X3" s="801"/>
      <c r="Y3" s="801"/>
      <c r="Z3" s="801"/>
      <c r="AA3" s="801"/>
      <c r="AB3" s="801"/>
      <c r="AC3" s="801"/>
      <c r="AD3" s="801"/>
      <c r="AE3" s="801"/>
      <c r="AF3" s="801"/>
      <c r="AG3" s="801"/>
      <c r="AH3" s="801"/>
      <c r="AI3" s="801"/>
      <c r="AJ3" s="801"/>
      <c r="AK3" s="801"/>
      <c r="AL3" s="801"/>
      <c r="AM3" s="801"/>
      <c r="AN3" s="801"/>
      <c r="AO3" s="801"/>
      <c r="AP3" s="801"/>
      <c r="AQ3" s="801"/>
      <c r="AR3" s="801"/>
      <c r="AS3" s="801"/>
      <c r="AT3" s="801"/>
      <c r="AV3" s="324" t="s">
        <v>94</v>
      </c>
      <c r="AW3" s="103"/>
      <c r="AX3" s="733" t="s">
        <v>67</v>
      </c>
      <c r="AY3" s="733"/>
      <c r="AZ3" s="733"/>
      <c r="BA3" s="733"/>
      <c r="BB3" s="733"/>
      <c r="BC3" s="733"/>
      <c r="BD3" s="733"/>
      <c r="BE3" s="733"/>
      <c r="BF3" s="733"/>
      <c r="BG3" s="733"/>
      <c r="BH3" s="733"/>
      <c r="BI3" s="733"/>
      <c r="BJ3" s="733"/>
      <c r="BK3" s="733"/>
      <c r="BL3" s="733"/>
      <c r="BM3" s="733"/>
      <c r="BN3" s="733"/>
      <c r="BO3" s="733"/>
      <c r="BP3" s="733"/>
      <c r="BQ3" s="733"/>
      <c r="BR3" s="733"/>
      <c r="BS3" s="733"/>
      <c r="BT3" s="733"/>
      <c r="BU3" s="733"/>
      <c r="BV3" s="733"/>
      <c r="BW3" s="733"/>
      <c r="BX3" s="733"/>
      <c r="BY3" s="733"/>
      <c r="BZ3" s="733"/>
      <c r="CA3" s="733"/>
      <c r="CB3" s="733"/>
      <c r="CC3" s="733"/>
      <c r="CD3" s="733"/>
    </row>
    <row r="4" spans="1:84" ht="18" customHeight="1" thickBot="1" x14ac:dyDescent="0.25">
      <c r="B4" s="814" t="s">
        <v>1</v>
      </c>
      <c r="C4" s="814" t="s">
        <v>2</v>
      </c>
      <c r="D4" s="798" t="s">
        <v>722</v>
      </c>
      <c r="E4" s="802" t="s">
        <v>526</v>
      </c>
      <c r="F4" s="803"/>
      <c r="G4" s="803"/>
      <c r="H4" s="803"/>
      <c r="I4" s="803"/>
      <c r="J4" s="803"/>
      <c r="K4" s="803"/>
      <c r="L4" s="803"/>
      <c r="M4" s="803"/>
      <c r="N4" s="804"/>
      <c r="O4" s="807" t="s">
        <v>723</v>
      </c>
      <c r="P4" s="798" t="s">
        <v>724</v>
      </c>
      <c r="Q4" s="796" t="s">
        <v>550</v>
      </c>
      <c r="R4" s="809" t="s">
        <v>579</v>
      </c>
      <c r="S4" s="810" t="s">
        <v>143</v>
      </c>
      <c r="T4" s="798" t="s">
        <v>49</v>
      </c>
      <c r="U4" s="796" t="s">
        <v>527</v>
      </c>
      <c r="V4" s="796" t="s">
        <v>528</v>
      </c>
      <c r="W4" s="796" t="s">
        <v>529</v>
      </c>
      <c r="X4" s="796" t="s">
        <v>530</v>
      </c>
      <c r="Y4" s="796" t="s">
        <v>531</v>
      </c>
      <c r="Z4" s="812" t="s">
        <v>532</v>
      </c>
      <c r="AA4" s="813"/>
      <c r="AB4" s="798" t="s">
        <v>584</v>
      </c>
      <c r="AC4" s="798" t="s">
        <v>602</v>
      </c>
      <c r="AD4" s="798" t="s">
        <v>603</v>
      </c>
      <c r="AE4" s="798" t="s">
        <v>585</v>
      </c>
      <c r="AF4" s="798" t="s">
        <v>586</v>
      </c>
      <c r="AG4" s="798" t="s">
        <v>587</v>
      </c>
      <c r="AH4" s="798" t="s">
        <v>588</v>
      </c>
      <c r="AI4" s="798" t="s">
        <v>589</v>
      </c>
      <c r="AJ4" s="798" t="s">
        <v>590</v>
      </c>
      <c r="AK4" s="798" t="s">
        <v>591</v>
      </c>
      <c r="AL4" s="798" t="s">
        <v>92</v>
      </c>
      <c r="AM4" s="798" t="s">
        <v>592</v>
      </c>
      <c r="AN4" s="798" t="s">
        <v>593</v>
      </c>
      <c r="AO4" s="796" t="s">
        <v>605</v>
      </c>
      <c r="AP4" s="796" t="s">
        <v>606</v>
      </c>
      <c r="AQ4" s="796" t="s">
        <v>607</v>
      </c>
      <c r="AR4" s="796" t="s">
        <v>608</v>
      </c>
      <c r="AS4" s="796" t="s">
        <v>609</v>
      </c>
      <c r="AT4" s="796" t="s">
        <v>610</v>
      </c>
      <c r="AV4" s="325" t="s">
        <v>103</v>
      </c>
      <c r="AW4" s="103"/>
      <c r="AX4" s="767" t="s">
        <v>39</v>
      </c>
      <c r="AY4" s="767"/>
      <c r="AZ4" s="767"/>
      <c r="BA4" s="767"/>
      <c r="BB4" s="767"/>
      <c r="BC4" s="795" t="s">
        <v>145</v>
      </c>
      <c r="BD4" s="795"/>
      <c r="BE4" s="795"/>
      <c r="BF4" s="795"/>
      <c r="BG4" s="795"/>
      <c r="BH4" s="792" t="s">
        <v>150</v>
      </c>
      <c r="BI4" s="793"/>
      <c r="BJ4" s="793"/>
      <c r="BK4" s="793"/>
      <c r="BL4" s="793"/>
      <c r="BM4" s="794"/>
      <c r="BN4" s="792" t="s">
        <v>144</v>
      </c>
      <c r="BO4" s="793"/>
      <c r="BP4" s="793"/>
      <c r="BQ4" s="793"/>
      <c r="BR4" s="794"/>
      <c r="BS4" s="792" t="s">
        <v>146</v>
      </c>
      <c r="BT4" s="793"/>
      <c r="BU4" s="793"/>
      <c r="BV4" s="794"/>
      <c r="BW4" s="792" t="s">
        <v>148</v>
      </c>
      <c r="BX4" s="793"/>
      <c r="BY4" s="793"/>
      <c r="BZ4" s="794"/>
      <c r="CA4" s="792" t="s">
        <v>70</v>
      </c>
      <c r="CB4" s="793"/>
      <c r="CC4" s="793"/>
      <c r="CD4" s="794"/>
    </row>
    <row r="5" spans="1:84" ht="21.75" customHeight="1" thickBot="1" x14ac:dyDescent="0.3">
      <c r="B5" s="814"/>
      <c r="C5" s="814"/>
      <c r="D5" s="798"/>
      <c r="E5" s="805"/>
      <c r="F5" s="679"/>
      <c r="G5" s="679"/>
      <c r="H5" s="679"/>
      <c r="I5" s="679"/>
      <c r="J5" s="679"/>
      <c r="K5" s="679"/>
      <c r="L5" s="679"/>
      <c r="M5" s="679"/>
      <c r="N5" s="806"/>
      <c r="O5" s="808"/>
      <c r="P5" s="798"/>
      <c r="Q5" s="797"/>
      <c r="R5" s="809"/>
      <c r="S5" s="811"/>
      <c r="T5" s="798"/>
      <c r="U5" s="797"/>
      <c r="V5" s="797"/>
      <c r="W5" s="797"/>
      <c r="X5" s="797"/>
      <c r="Y5" s="797"/>
      <c r="Z5" s="536" t="s">
        <v>80</v>
      </c>
      <c r="AA5" s="536" t="s">
        <v>44</v>
      </c>
      <c r="AB5" s="798"/>
      <c r="AC5" s="798"/>
      <c r="AD5" s="798"/>
      <c r="AE5" s="798"/>
      <c r="AF5" s="798"/>
      <c r="AG5" s="798"/>
      <c r="AH5" s="798"/>
      <c r="AI5" s="798"/>
      <c r="AJ5" s="798"/>
      <c r="AK5" s="798"/>
      <c r="AL5" s="798"/>
      <c r="AM5" s="798"/>
      <c r="AN5" s="798"/>
      <c r="AO5" s="797"/>
      <c r="AP5" s="797"/>
      <c r="AQ5" s="797"/>
      <c r="AR5" s="797"/>
      <c r="AS5" s="797"/>
      <c r="AT5" s="797"/>
      <c r="AV5" s="325" t="s">
        <v>95</v>
      </c>
      <c r="AW5" s="103"/>
      <c r="AX5" s="325" t="s">
        <v>49</v>
      </c>
      <c r="AY5" s="325" t="s">
        <v>50</v>
      </c>
      <c r="AZ5" s="105" t="s">
        <v>220</v>
      </c>
      <c r="BA5" s="105" t="s">
        <v>221</v>
      </c>
      <c r="BB5" s="325" t="s">
        <v>64</v>
      </c>
      <c r="BC5" s="517" t="s">
        <v>49</v>
      </c>
      <c r="BD5" s="517" t="s">
        <v>50</v>
      </c>
      <c r="BE5" s="517" t="s">
        <v>61</v>
      </c>
      <c r="BF5" s="517" t="s">
        <v>64</v>
      </c>
      <c r="BG5" s="517" t="s">
        <v>533</v>
      </c>
      <c r="BH5" s="325" t="s">
        <v>49</v>
      </c>
      <c r="BI5" s="325" t="s">
        <v>50</v>
      </c>
      <c r="BJ5" s="325" t="s">
        <v>61</v>
      </c>
      <c r="BK5" s="325" t="s">
        <v>64</v>
      </c>
      <c r="BL5" s="325" t="s">
        <v>72</v>
      </c>
      <c r="BM5" s="325" t="s">
        <v>153</v>
      </c>
      <c r="BN5" s="325" t="s">
        <v>49</v>
      </c>
      <c r="BO5" s="325" t="s">
        <v>50</v>
      </c>
      <c r="BP5" s="325" t="s">
        <v>61</v>
      </c>
      <c r="BQ5" s="325" t="s">
        <v>64</v>
      </c>
      <c r="BR5" s="325" t="s">
        <v>72</v>
      </c>
      <c r="BS5" s="325" t="s">
        <v>49</v>
      </c>
      <c r="BT5" s="325" t="s">
        <v>50</v>
      </c>
      <c r="BU5" s="325" t="s">
        <v>61</v>
      </c>
      <c r="BV5" s="325" t="s">
        <v>72</v>
      </c>
      <c r="BW5" s="325" t="s">
        <v>49</v>
      </c>
      <c r="BX5" s="325" t="s">
        <v>50</v>
      </c>
      <c r="BY5" s="325" t="s">
        <v>61</v>
      </c>
      <c r="BZ5" s="325" t="s">
        <v>72</v>
      </c>
      <c r="CA5" s="325" t="s">
        <v>49</v>
      </c>
      <c r="CB5" s="325" t="s">
        <v>50</v>
      </c>
      <c r="CC5" s="325" t="s">
        <v>61</v>
      </c>
      <c r="CD5" s="325" t="s">
        <v>72</v>
      </c>
    </row>
    <row r="6" spans="1:84" s="425" customFormat="1" ht="37.5" customHeight="1" thickBot="1" x14ac:dyDescent="0.25">
      <c r="A6" s="515">
        <v>1000</v>
      </c>
      <c r="B6" s="377"/>
      <c r="C6" s="377"/>
      <c r="D6" s="538">
        <f>F11</f>
        <v>40</v>
      </c>
      <c r="E6" s="510" t="s">
        <v>534</v>
      </c>
      <c r="F6" s="510" t="s">
        <v>549</v>
      </c>
      <c r="G6" s="511" t="s">
        <v>535</v>
      </c>
      <c r="H6" s="512" t="s">
        <v>548</v>
      </c>
      <c r="I6" s="512" t="s">
        <v>546</v>
      </c>
      <c r="J6" s="512" t="s">
        <v>536</v>
      </c>
      <c r="K6" s="512" t="s">
        <v>537</v>
      </c>
      <c r="L6" s="512" t="s">
        <v>538</v>
      </c>
      <c r="M6" s="512" t="s">
        <v>539</v>
      </c>
      <c r="N6" s="512" t="s">
        <v>540</v>
      </c>
      <c r="O6" s="429">
        <f>IFERROR(ROUNDUP(P6,0),0)</f>
        <v>25</v>
      </c>
      <c r="P6" s="327">
        <f>1000/D6</f>
        <v>25</v>
      </c>
      <c r="Q6" s="429">
        <f>IFERROR(R6*1000/D6,0)</f>
        <v>0</v>
      </c>
      <c r="R6" s="534"/>
      <c r="S6" s="544" t="s">
        <v>547</v>
      </c>
      <c r="T6" s="545" t="s">
        <v>541</v>
      </c>
      <c r="U6" s="533"/>
      <c r="V6" s="532">
        <f>(60*U6)/200</f>
        <v>0</v>
      </c>
      <c r="W6" s="533"/>
      <c r="X6" s="533"/>
      <c r="Y6" s="533"/>
      <c r="Z6" s="533"/>
      <c r="AA6" s="533"/>
      <c r="AB6" s="532">
        <f>Y6+AA6/60</f>
        <v>0</v>
      </c>
      <c r="AC6" s="532">
        <f>SUM(V6:X6)</f>
        <v>0</v>
      </c>
      <c r="AD6" s="532">
        <f>AC6/60</f>
        <v>0</v>
      </c>
      <c r="AE6" s="533">
        <v>80</v>
      </c>
      <c r="AF6" s="331" t="e">
        <f>(W6-#REF!*#REF!)/W6*100</f>
        <v>#REF!</v>
      </c>
      <c r="AG6" s="333" t="e">
        <f>(D6*#REF!*Z6/1000)/1000/R6*100</f>
        <v>#REF!</v>
      </c>
      <c r="AH6" s="532" t="e">
        <f>(D6*Z6)/1000/R6*100</f>
        <v>#DIV/0!</v>
      </c>
      <c r="AI6" s="532">
        <f>AC6/(D6)/60*1000*((1+(100-AE6)/100))</f>
        <v>0</v>
      </c>
      <c r="AJ6" s="532" t="e">
        <f>AB6*60/R6</f>
        <v>#DIV/0!</v>
      </c>
      <c r="AK6" s="546"/>
      <c r="AL6" s="546"/>
      <c r="AM6" s="532">
        <f>(AI6*R6)/60+AB6</f>
        <v>0</v>
      </c>
      <c r="AN6" s="532" t="e">
        <f>AM6/(AK6*AL6)</f>
        <v>#DIV/0!</v>
      </c>
      <c r="AO6" s="547"/>
      <c r="AP6" s="547"/>
      <c r="AQ6" s="532" t="e">
        <f>#REF!/100*AP6</f>
        <v>#REF!</v>
      </c>
      <c r="AR6" s="532" t="e">
        <f>AJ6/60*AO6</f>
        <v>#DIV/0!</v>
      </c>
      <c r="AS6" s="532">
        <f>AI6/60*AO6</f>
        <v>0</v>
      </c>
      <c r="AT6" s="532" t="e">
        <f>AQ6+AR6+AS6</f>
        <v>#REF!</v>
      </c>
      <c r="AV6" s="344">
        <v>0.6</v>
      </c>
      <c r="AW6" s="516"/>
      <c r="AX6" s="343" t="s">
        <v>57</v>
      </c>
      <c r="AY6" s="343">
        <v>10</v>
      </c>
      <c r="AZ6" s="345">
        <v>4</v>
      </c>
      <c r="BA6" s="345">
        <v>30</v>
      </c>
      <c r="BB6" s="343">
        <v>50</v>
      </c>
      <c r="BC6" s="442" t="s">
        <v>541</v>
      </c>
      <c r="BD6" s="442">
        <v>1.5</v>
      </c>
      <c r="BE6" s="442">
        <f>15/60</f>
        <v>0.25</v>
      </c>
      <c r="BF6" s="442">
        <v>80</v>
      </c>
      <c r="BG6" s="442">
        <v>0.5</v>
      </c>
      <c r="BH6" s="343" t="s">
        <v>413</v>
      </c>
      <c r="BI6" s="343">
        <v>1</v>
      </c>
      <c r="BJ6" s="343">
        <f>15/60</f>
        <v>0.25</v>
      </c>
      <c r="BK6" s="343">
        <v>65</v>
      </c>
      <c r="BL6" s="343">
        <v>50</v>
      </c>
      <c r="BM6" s="343">
        <v>2.5</v>
      </c>
      <c r="BN6" s="343" t="s">
        <v>412</v>
      </c>
      <c r="BO6" s="343"/>
      <c r="BP6" s="343">
        <v>0.25</v>
      </c>
      <c r="BQ6" s="343">
        <v>70</v>
      </c>
      <c r="BR6" s="343">
        <v>50</v>
      </c>
      <c r="BS6" s="343" t="s">
        <v>411</v>
      </c>
      <c r="BT6" s="343"/>
      <c r="BU6" s="344">
        <v>0.35</v>
      </c>
      <c r="BV6" s="345">
        <v>100</v>
      </c>
      <c r="BW6" s="343" t="s">
        <v>69</v>
      </c>
      <c r="BX6" s="343">
        <v>3</v>
      </c>
      <c r="BY6" s="343">
        <v>1</v>
      </c>
      <c r="BZ6" s="343"/>
      <c r="CA6" s="343" t="s">
        <v>542</v>
      </c>
      <c r="CB6" s="343"/>
      <c r="CC6" s="343">
        <v>0.5</v>
      </c>
      <c r="CD6" s="343"/>
    </row>
    <row r="7" spans="1:84" ht="18" customHeight="1" thickTop="1" thickBot="1" x14ac:dyDescent="0.25">
      <c r="E7" s="513"/>
      <c r="F7" s="335">
        <f>G7*H7</f>
        <v>20</v>
      </c>
      <c r="G7" s="357">
        <v>10</v>
      </c>
      <c r="H7" s="357">
        <v>2</v>
      </c>
      <c r="I7" s="466">
        <f>IFERROR(1000/G7,0)</f>
        <v>100</v>
      </c>
      <c r="J7" s="457" t="s">
        <v>543</v>
      </c>
      <c r="K7" s="466">
        <f>IFERROR(J7*I7,0)</f>
        <v>0</v>
      </c>
      <c r="L7" s="458" t="s">
        <v>543</v>
      </c>
      <c r="M7" s="466">
        <f>IFERROR(H7*G7/$D6,0)</f>
        <v>0.5</v>
      </c>
      <c r="N7" s="466">
        <f>IF(K7&gt;0,PRODUCT(K7,M7),PRODUCT(L7,M7))</f>
        <v>0.5</v>
      </c>
      <c r="S7" s="548"/>
      <c r="T7" s="167"/>
      <c r="U7" s="167" t="s">
        <v>665</v>
      </c>
      <c r="V7" s="167"/>
      <c r="W7" s="167" t="s">
        <v>665</v>
      </c>
      <c r="X7" s="167"/>
      <c r="Y7" s="167"/>
      <c r="Z7" s="167" t="s">
        <v>665</v>
      </c>
      <c r="AA7" s="167" t="s">
        <v>665</v>
      </c>
      <c r="AB7" s="167" t="s">
        <v>665</v>
      </c>
      <c r="AC7" s="167" t="s">
        <v>665</v>
      </c>
      <c r="AD7" s="167" t="s">
        <v>665</v>
      </c>
      <c r="AE7" s="167" t="s">
        <v>665</v>
      </c>
      <c r="AF7" s="167" t="s">
        <v>665</v>
      </c>
      <c r="AG7" s="167" t="s">
        <v>665</v>
      </c>
      <c r="AH7" s="167" t="s">
        <v>665</v>
      </c>
      <c r="AI7" s="167" t="s">
        <v>665</v>
      </c>
      <c r="AJ7" s="167" t="s">
        <v>665</v>
      </c>
      <c r="AK7" s="167" t="s">
        <v>665</v>
      </c>
      <c r="AL7" s="167" t="s">
        <v>665</v>
      </c>
      <c r="AM7" s="167" t="s">
        <v>665</v>
      </c>
      <c r="AN7" s="167" t="s">
        <v>665</v>
      </c>
      <c r="AO7" s="167"/>
      <c r="AP7" s="167"/>
      <c r="AQ7" s="167"/>
      <c r="AR7" s="167"/>
      <c r="AS7" s="167"/>
      <c r="AT7" s="167"/>
      <c r="AV7" s="106">
        <v>0.75</v>
      </c>
      <c r="AW7" s="103"/>
      <c r="AX7" s="103"/>
      <c r="AY7" s="326"/>
      <c r="AZ7" s="103"/>
      <c r="BA7" s="103"/>
      <c r="BB7" s="103"/>
      <c r="BC7" s="442" t="s">
        <v>543</v>
      </c>
      <c r="BD7" s="442">
        <v>1.5</v>
      </c>
      <c r="BE7" s="442">
        <f>15/60</f>
        <v>0.25</v>
      </c>
      <c r="BF7" s="442">
        <v>80</v>
      </c>
      <c r="BG7" s="442">
        <v>50</v>
      </c>
      <c r="BH7" s="103"/>
      <c r="BI7" s="103"/>
      <c r="BJ7" s="103"/>
      <c r="BK7" s="103"/>
      <c r="BL7" s="103"/>
      <c r="BM7" s="103"/>
      <c r="BN7" s="103"/>
      <c r="BO7" s="103"/>
      <c r="BP7" s="103"/>
      <c r="BQ7" s="103"/>
      <c r="BR7" s="103"/>
      <c r="BS7" s="107" t="s">
        <v>410</v>
      </c>
      <c r="BT7" s="107"/>
      <c r="BU7" s="106">
        <v>1</v>
      </c>
      <c r="BV7" s="108">
        <v>50</v>
      </c>
      <c r="BW7" s="107" t="s">
        <v>186</v>
      </c>
      <c r="BX7" s="107">
        <v>3</v>
      </c>
      <c r="BY7" s="107">
        <v>0.5</v>
      </c>
      <c r="BZ7" s="107">
        <v>400</v>
      </c>
      <c r="CA7" s="103"/>
      <c r="CB7" s="103"/>
      <c r="CC7" s="103"/>
      <c r="CD7" s="103"/>
    </row>
    <row r="8" spans="1:84" ht="18" customHeight="1" thickTop="1" thickBot="1" x14ac:dyDescent="0.25">
      <c r="E8" s="513"/>
      <c r="F8" s="335">
        <f>G8*H8</f>
        <v>20</v>
      </c>
      <c r="G8" s="357">
        <v>20</v>
      </c>
      <c r="H8" s="357">
        <v>1</v>
      </c>
      <c r="I8" s="466">
        <f>IFERROR(1000/G8,0)</f>
        <v>50</v>
      </c>
      <c r="J8" s="457" t="s">
        <v>543</v>
      </c>
      <c r="K8" s="466">
        <f>IFERROR(J8*I8,0)</f>
        <v>0</v>
      </c>
      <c r="L8" s="357" t="s">
        <v>544</v>
      </c>
      <c r="M8" s="466">
        <f>IFERROR(H8*G8/$D6,0)</f>
        <v>0.5</v>
      </c>
      <c r="N8" s="466">
        <f>IF(K8&gt;0,PRODUCT(K8,M8),PRODUCT(L8,M8))</f>
        <v>0.5</v>
      </c>
      <c r="S8" s="548"/>
      <c r="T8" s="167"/>
      <c r="U8" s="167"/>
      <c r="V8" s="167"/>
      <c r="W8" s="167"/>
      <c r="X8" s="167"/>
      <c r="Y8" s="167"/>
      <c r="Z8" s="167"/>
      <c r="AA8" s="167"/>
      <c r="AB8" s="167"/>
      <c r="AC8" s="167"/>
      <c r="AD8" s="167"/>
      <c r="AE8" s="167"/>
      <c r="AF8" s="167"/>
      <c r="AG8" s="167"/>
      <c r="AH8" s="167"/>
      <c r="AI8" s="167"/>
      <c r="AJ8" s="167"/>
      <c r="AK8" s="167"/>
      <c r="AL8" s="167"/>
      <c r="AM8" s="167"/>
      <c r="AN8" s="167"/>
      <c r="AO8" s="167"/>
      <c r="AP8" s="167"/>
      <c r="AQ8" s="167"/>
      <c r="AR8" s="167"/>
      <c r="AS8" s="167"/>
      <c r="AT8" s="167"/>
      <c r="AV8" s="106"/>
      <c r="AW8" s="103"/>
      <c r="AX8" s="103"/>
      <c r="AY8" s="326"/>
      <c r="AZ8" s="103"/>
      <c r="BA8" s="103"/>
      <c r="BB8" s="103"/>
      <c r="BC8" s="442"/>
      <c r="BD8" s="442"/>
      <c r="BE8" s="442"/>
      <c r="BF8" s="442"/>
      <c r="BG8" s="442"/>
      <c r="BH8" s="103"/>
      <c r="BI8" s="103"/>
      <c r="BJ8" s="103"/>
      <c r="BK8" s="103"/>
      <c r="BL8" s="103"/>
      <c r="BM8" s="103"/>
      <c r="BN8" s="103"/>
      <c r="BO8" s="103"/>
      <c r="BP8" s="103"/>
      <c r="BQ8" s="103"/>
      <c r="BR8" s="103"/>
      <c r="BS8" s="107"/>
      <c r="BT8" s="107"/>
      <c r="BU8" s="106"/>
      <c r="BV8" s="108"/>
      <c r="BW8" s="107"/>
      <c r="BX8" s="107"/>
      <c r="BY8" s="107"/>
      <c r="BZ8" s="107"/>
      <c r="CA8" s="103"/>
      <c r="CB8" s="103"/>
      <c r="CC8" s="103"/>
      <c r="CD8" s="103"/>
    </row>
    <row r="9" spans="1:84" ht="18" customHeight="1" thickTop="1" thickBot="1" x14ac:dyDescent="0.25">
      <c r="E9" s="513"/>
      <c r="F9" s="335">
        <f>G9*H9</f>
        <v>0</v>
      </c>
      <c r="G9" s="357">
        <v>0</v>
      </c>
      <c r="H9" s="357">
        <v>0</v>
      </c>
      <c r="I9" s="466">
        <f>IFERROR(1000/G9,0)</f>
        <v>0</v>
      </c>
      <c r="J9" s="457" t="s">
        <v>543</v>
      </c>
      <c r="K9" s="466">
        <f>IFERROR(J9*I9,0)</f>
        <v>0</v>
      </c>
      <c r="L9" s="357" t="s">
        <v>543</v>
      </c>
      <c r="M9" s="466">
        <f>IFERROR(H9*G9/$D6,0)</f>
        <v>0</v>
      </c>
      <c r="N9" s="466">
        <f>IF(K9&gt;0,PRODUCT(K9,M9),PRODUCT(L9,M9))</f>
        <v>0</v>
      </c>
      <c r="AV9" s="106"/>
      <c r="AW9" s="103"/>
      <c r="AX9" s="103"/>
      <c r="AY9" s="326"/>
      <c r="AZ9" s="103"/>
      <c r="BA9" s="103"/>
      <c r="BB9" s="103"/>
      <c r="BC9" s="442"/>
      <c r="BD9" s="442"/>
      <c r="BE9" s="442"/>
      <c r="BF9" s="442"/>
      <c r="BG9" s="442"/>
      <c r="BH9" s="103"/>
      <c r="BI9" s="103"/>
      <c r="BJ9" s="103"/>
      <c r="BK9" s="103"/>
      <c r="BL9" s="103"/>
      <c r="BM9" s="103"/>
      <c r="BN9" s="103"/>
      <c r="BO9" s="103"/>
      <c r="BP9" s="103"/>
      <c r="BQ9" s="103"/>
      <c r="BR9" s="103"/>
      <c r="BS9" s="107"/>
      <c r="BT9" s="107"/>
      <c r="BU9" s="106"/>
      <c r="BV9" s="108"/>
      <c r="BW9" s="107"/>
      <c r="BX9" s="107"/>
      <c r="BY9" s="107"/>
      <c r="BZ9" s="107"/>
      <c r="CA9" s="103"/>
      <c r="CB9" s="103"/>
      <c r="CC9" s="103"/>
      <c r="CD9" s="103"/>
    </row>
    <row r="10" spans="1:84" ht="14.25" thickTop="1" thickBot="1" x14ac:dyDescent="0.25">
      <c r="E10" s="513"/>
      <c r="F10" s="335">
        <f>G10*H10</f>
        <v>0</v>
      </c>
      <c r="G10" s="357">
        <v>0</v>
      </c>
      <c r="H10" s="357">
        <v>0</v>
      </c>
      <c r="I10" s="466">
        <f>IFERROR(1000/G10,0)</f>
        <v>0</v>
      </c>
      <c r="J10" s="457" t="s">
        <v>543</v>
      </c>
      <c r="K10" s="466">
        <f>IFERROR(J10*I10,0)</f>
        <v>0</v>
      </c>
      <c r="L10" s="357" t="s">
        <v>543</v>
      </c>
      <c r="M10" s="466">
        <f>IFERROR(H10*G10/$D6,0)</f>
        <v>0</v>
      </c>
      <c r="N10" s="466">
        <f>IF(K10&gt;0,PRODUCT(K10,M10),PRODUCT(L10,M10))</f>
        <v>0</v>
      </c>
      <c r="AU10" s="336"/>
      <c r="AV10" s="106">
        <v>0.95</v>
      </c>
      <c r="AW10" s="103"/>
      <c r="AX10" s="107" t="s">
        <v>89</v>
      </c>
      <c r="AY10" s="107">
        <v>0</v>
      </c>
      <c r="AZ10" s="107">
        <v>0</v>
      </c>
      <c r="BA10" s="114"/>
      <c r="BB10" s="109"/>
      <c r="BC10" s="442"/>
      <c r="BD10" s="442"/>
      <c r="BE10" s="442"/>
      <c r="BF10" s="442"/>
      <c r="BG10" s="442"/>
      <c r="BH10" s="103"/>
      <c r="BI10" s="103"/>
      <c r="BJ10" s="103"/>
      <c r="BK10" s="103"/>
      <c r="BL10" s="103"/>
      <c r="BM10" s="103"/>
      <c r="BN10" s="792" t="s">
        <v>81</v>
      </c>
      <c r="BO10" s="793"/>
      <c r="BP10" s="794"/>
      <c r="BQ10" s="103"/>
      <c r="BR10" s="103"/>
      <c r="BS10" s="792" t="s">
        <v>81</v>
      </c>
      <c r="BT10" s="794"/>
      <c r="BU10" s="103"/>
      <c r="BV10" s="103"/>
      <c r="BW10" s="792" t="s">
        <v>81</v>
      </c>
      <c r="BX10" s="794"/>
      <c r="BY10" s="103"/>
      <c r="BZ10" s="103"/>
      <c r="CA10" s="792" t="s">
        <v>81</v>
      </c>
      <c r="CB10" s="794"/>
      <c r="CC10" s="103"/>
      <c r="CD10" s="103"/>
    </row>
    <row r="11" spans="1:84" ht="18.75" x14ac:dyDescent="0.25">
      <c r="F11" s="541">
        <f>SUM(F7:F10)</f>
        <v>40</v>
      </c>
      <c r="L11" s="514"/>
      <c r="M11" s="514" t="s">
        <v>545</v>
      </c>
      <c r="N11" s="503">
        <f>SUM(N7:N10)</f>
        <v>1</v>
      </c>
      <c r="AU11" s="337"/>
      <c r="AV11" s="106">
        <v>1.2</v>
      </c>
      <c r="AW11" s="103"/>
      <c r="AX11" s="767" t="s">
        <v>109</v>
      </c>
      <c r="AY11" s="767"/>
      <c r="AZ11" s="767"/>
      <c r="BA11" s="767"/>
      <c r="BB11" s="767"/>
      <c r="BC11" s="733" t="s">
        <v>81</v>
      </c>
      <c r="BD11" s="733"/>
      <c r="BE11" s="103"/>
      <c r="BF11" s="103"/>
      <c r="BG11" s="103"/>
      <c r="BH11" s="103"/>
      <c r="BI11" s="103"/>
      <c r="BJ11" s="103"/>
      <c r="BK11" s="103"/>
      <c r="BL11" s="103"/>
      <c r="BM11" s="103"/>
      <c r="BN11" s="107" t="s">
        <v>160</v>
      </c>
      <c r="BO11" s="107">
        <v>1</v>
      </c>
      <c r="BP11" s="107">
        <v>0</v>
      </c>
      <c r="BQ11" s="103"/>
      <c r="BR11" s="103"/>
      <c r="BS11" s="107" t="s">
        <v>82</v>
      </c>
      <c r="BT11" s="107">
        <v>90</v>
      </c>
      <c r="BU11" s="103"/>
      <c r="BV11" s="103"/>
      <c r="BW11" s="107" t="s">
        <v>82</v>
      </c>
      <c r="BX11" s="107">
        <v>70</v>
      </c>
      <c r="BY11" s="103"/>
      <c r="BZ11" s="103"/>
      <c r="CA11" s="107" t="s">
        <v>82</v>
      </c>
      <c r="CB11" s="107">
        <v>85</v>
      </c>
      <c r="CC11" s="103"/>
      <c r="CD11" s="103"/>
    </row>
    <row r="12" spans="1:84" x14ac:dyDescent="0.2">
      <c r="E12" s="50"/>
      <c r="F12" s="50"/>
      <c r="G12" s="50"/>
      <c r="H12" s="50"/>
      <c r="I12" s="50"/>
      <c r="J12" s="50"/>
      <c r="K12" s="50"/>
      <c r="L12" s="50"/>
      <c r="M12" s="50"/>
      <c r="N12" s="50"/>
      <c r="O12" s="50"/>
      <c r="AV12" s="106"/>
      <c r="AW12" s="103"/>
      <c r="AX12" s="325"/>
      <c r="AY12" s="325"/>
      <c r="AZ12" s="325"/>
      <c r="BA12" s="325"/>
      <c r="BB12" s="325"/>
      <c r="BC12" s="442"/>
      <c r="BD12" s="442"/>
      <c r="BE12" s="103"/>
      <c r="BF12" s="103"/>
      <c r="BG12" s="103"/>
      <c r="BH12" s="103"/>
      <c r="BI12" s="103"/>
      <c r="BJ12" s="103"/>
      <c r="BK12" s="103"/>
      <c r="BL12" s="103"/>
      <c r="BM12" s="103"/>
      <c r="BN12" s="107"/>
      <c r="BO12" s="107"/>
      <c r="BP12" s="107"/>
      <c r="BQ12" s="103"/>
      <c r="BR12" s="103"/>
      <c r="BS12" s="107"/>
      <c r="BT12" s="107"/>
      <c r="BU12" s="103"/>
      <c r="BV12" s="103"/>
      <c r="BW12" s="107"/>
      <c r="BX12" s="107"/>
      <c r="BY12" s="103"/>
      <c r="BZ12" s="103"/>
      <c r="CA12" s="107"/>
      <c r="CB12" s="107"/>
      <c r="CC12" s="103"/>
      <c r="CD12" s="103"/>
    </row>
    <row r="13" spans="1:84" x14ac:dyDescent="0.2">
      <c r="D13" s="338"/>
    </row>
  </sheetData>
  <mergeCells count="51">
    <mergeCell ref="B3:R3"/>
    <mergeCell ref="S3:AT3"/>
    <mergeCell ref="AX3:CD3"/>
    <mergeCell ref="E4:N5"/>
    <mergeCell ref="O4:O5"/>
    <mergeCell ref="AD4:AD5"/>
    <mergeCell ref="R4:R5"/>
    <mergeCell ref="S4:S5"/>
    <mergeCell ref="T4:T5"/>
    <mergeCell ref="P4:P5"/>
    <mergeCell ref="Z4:AA4"/>
    <mergeCell ref="AB4:AB5"/>
    <mergeCell ref="AC4:AC5"/>
    <mergeCell ref="B4:B5"/>
    <mergeCell ref="C4:C5"/>
    <mergeCell ref="D4:D5"/>
    <mergeCell ref="Q4:Q5"/>
    <mergeCell ref="AG4:AG5"/>
    <mergeCell ref="AH4:AH5"/>
    <mergeCell ref="AI4:AI5"/>
    <mergeCell ref="AJ4:AJ5"/>
    <mergeCell ref="U4:U5"/>
    <mergeCell ref="V4:V5"/>
    <mergeCell ref="W4:W5"/>
    <mergeCell ref="X4:X5"/>
    <mergeCell ref="Y4:Y5"/>
    <mergeCell ref="AK4:AK5"/>
    <mergeCell ref="AP4:AP5"/>
    <mergeCell ref="AE4:AE5"/>
    <mergeCell ref="AN4:AN5"/>
    <mergeCell ref="AO4:AO5"/>
    <mergeCell ref="AF4:AF5"/>
    <mergeCell ref="AL4:AL5"/>
    <mergeCell ref="AM4:AM5"/>
    <mergeCell ref="BW4:BZ4"/>
    <mergeCell ref="CA4:CD4"/>
    <mergeCell ref="BN10:BP10"/>
    <mergeCell ref="BS10:BT10"/>
    <mergeCell ref="BW10:BX10"/>
    <mergeCell ref="CA10:CB10"/>
    <mergeCell ref="AQ4:AQ5"/>
    <mergeCell ref="AR4:AR5"/>
    <mergeCell ref="AS4:AS5"/>
    <mergeCell ref="AT4:AT5"/>
    <mergeCell ref="AX4:BB4"/>
    <mergeCell ref="AX11:BB11"/>
    <mergeCell ref="BC11:BD11"/>
    <mergeCell ref="BH4:BM4"/>
    <mergeCell ref="BN4:BR4"/>
    <mergeCell ref="BS4:BV4"/>
    <mergeCell ref="BC4:BG4"/>
  </mergeCells>
  <conditionalFormatting sqref="AQ6:AT12 AM6:AM12 AH6:AH12 AD6:AD12">
    <cfRule type="cellIs" dxfId="60" priority="7" operator="equal">
      <formula>0</formula>
    </cfRule>
  </conditionalFormatting>
  <conditionalFormatting sqref="AO6:AP6 AC7:AD9 S7:S12 AB7:AB12 V7:Y12 AQ6:AT12 AM6:AN12 S6:T6 V6 Z6:AD6 AE6:AJ12 AK6:AL6">
    <cfRule type="containsErrors" dxfId="59" priority="6">
      <formula>ISERROR(S6)</formula>
    </cfRule>
  </conditionalFormatting>
  <conditionalFormatting sqref="U10:U12">
    <cfRule type="cellIs" dxfId="58" priority="5" operator="equal">
      <formula>0</formula>
    </cfRule>
  </conditionalFormatting>
  <conditionalFormatting sqref="O6:Q6">
    <cfRule type="cellIs" dxfId="57" priority="3" operator="equal">
      <formula>0</formula>
    </cfRule>
    <cfRule type="containsErrors" dxfId="56" priority="4">
      <formula>ISERROR(O6)</formula>
    </cfRule>
  </conditionalFormatting>
  <conditionalFormatting sqref="L7">
    <cfRule type="cellIs" dxfId="55" priority="1" operator="equal">
      <formula>0</formula>
    </cfRule>
    <cfRule type="containsErrors" dxfId="54" priority="2">
      <formula>ISERROR(L7)</formula>
    </cfRule>
  </conditionalFormatting>
  <dataValidations disablePrompts="1" count="6">
    <dataValidation type="list" allowBlank="1" showInputMessage="1" showErrorMessage="1" sqref="T6">
      <formula1>$BC$6:$BC$10</formula1>
    </dataValidation>
    <dataValidation type="list" allowBlank="1" showInputMessage="1" showErrorMessage="1" sqref="T7:T9">
      <formula1>$BH$6</formula1>
    </dataValidation>
    <dataValidation type="list" allowBlank="1" showInputMessage="1" showErrorMessage="1" sqref="T10">
      <formula1>$BS$6:$BS$7</formula1>
    </dataValidation>
    <dataValidation type="list" allowBlank="1" showInputMessage="1" showErrorMessage="1" sqref="T11:T12">
      <formula1>$CA$6</formula1>
    </dataValidation>
    <dataValidation operator="greaterThanOrEqual" allowBlank="1" sqref="U6:U9"/>
    <dataValidation operator="greaterThanOrEqual" allowBlank="1" showInputMessage="1" promptTitle="Sucata de Processo" prompt="Sucata referente a furações, rasgos, corte em ângulo etc." sqref="U10:U12"/>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tabColor theme="1"/>
  </sheetPr>
  <dimension ref="D2:N48"/>
  <sheetViews>
    <sheetView showGridLines="0" showRowColHeaders="0" tabSelected="1" zoomScaleNormal="100" workbookViewId="0">
      <selection activeCell="D5" sqref="D5"/>
    </sheetView>
  </sheetViews>
  <sheetFormatPr defaultRowHeight="12.75" x14ac:dyDescent="0.2"/>
  <cols>
    <col min="1" max="3" width="13.85546875" style="379" customWidth="1"/>
    <col min="4" max="4" width="15.7109375" style="379" customWidth="1"/>
    <col min="5" max="5" width="3.7109375" style="379" customWidth="1"/>
    <col min="6" max="6" width="15.7109375" style="379" customWidth="1"/>
    <col min="7" max="8" width="3.7109375" style="379" customWidth="1"/>
    <col min="9" max="10" width="11.140625" style="379" customWidth="1"/>
    <col min="11" max="11" width="5.7109375" style="379" customWidth="1"/>
    <col min="12" max="13" width="11.140625" style="379" customWidth="1"/>
    <col min="14" max="14" width="3.7109375" style="379" customWidth="1"/>
    <col min="15" max="16384" width="9.140625" style="379"/>
  </cols>
  <sheetData>
    <row r="2" spans="4:14" ht="12.75" customHeight="1" x14ac:dyDescent="0.2">
      <c r="D2" s="815" t="s">
        <v>714</v>
      </c>
      <c r="E2" s="816"/>
      <c r="F2" s="816"/>
      <c r="G2" s="817"/>
      <c r="H2" s="815" t="s">
        <v>824</v>
      </c>
      <c r="I2" s="816"/>
      <c r="J2" s="816"/>
      <c r="K2" s="816"/>
      <c r="L2" s="816"/>
      <c r="M2" s="816"/>
      <c r="N2" s="817"/>
    </row>
    <row r="3" spans="4:14" ht="12.75" customHeight="1" x14ac:dyDescent="0.2">
      <c r="D3" s="815"/>
      <c r="E3" s="816"/>
      <c r="F3" s="816"/>
      <c r="G3" s="817"/>
      <c r="H3" s="815"/>
      <c r="I3" s="816"/>
      <c r="J3" s="816"/>
      <c r="K3" s="816"/>
      <c r="L3" s="816"/>
      <c r="M3" s="816"/>
      <c r="N3" s="817"/>
    </row>
    <row r="4" spans="4:14" x14ac:dyDescent="0.2">
      <c r="D4" s="636" t="s">
        <v>819</v>
      </c>
      <c r="E4" s="637"/>
      <c r="F4" s="638" t="s">
        <v>820</v>
      </c>
      <c r="G4" s="381"/>
      <c r="H4" s="380"/>
      <c r="I4" s="380"/>
      <c r="J4" s="380"/>
      <c r="K4" s="380"/>
      <c r="L4" s="380"/>
      <c r="M4" s="380"/>
      <c r="N4" s="381"/>
    </row>
    <row r="5" spans="4:14" x14ac:dyDescent="0.2">
      <c r="D5" s="633"/>
      <c r="E5" s="380"/>
      <c r="F5" s="635"/>
      <c r="G5" s="381"/>
      <c r="H5" s="380"/>
      <c r="I5" s="380"/>
      <c r="J5" s="380"/>
      <c r="K5" s="380"/>
      <c r="L5" s="380"/>
      <c r="M5" s="380"/>
      <c r="N5" s="381"/>
    </row>
    <row r="6" spans="4:14" x14ac:dyDescent="0.2">
      <c r="D6" s="633"/>
      <c r="E6" s="380"/>
      <c r="F6" s="635"/>
      <c r="G6" s="381"/>
      <c r="H6" s="380"/>
      <c r="I6" s="380"/>
      <c r="J6" s="380"/>
      <c r="K6" s="380"/>
      <c r="L6" s="380"/>
      <c r="M6" s="380"/>
      <c r="N6" s="381"/>
    </row>
    <row r="7" spans="4:14" x14ac:dyDescent="0.2">
      <c r="D7" s="382"/>
      <c r="E7" s="380"/>
      <c r="F7" s="635"/>
      <c r="G7" s="381"/>
      <c r="H7" s="380"/>
      <c r="I7" s="380"/>
      <c r="J7" s="380"/>
      <c r="K7" s="380"/>
      <c r="L7" s="380"/>
      <c r="M7" s="380"/>
      <c r="N7" s="381"/>
    </row>
    <row r="8" spans="4:14" x14ac:dyDescent="0.2">
      <c r="D8" s="382"/>
      <c r="E8" s="380"/>
      <c r="F8" s="634"/>
      <c r="G8" s="381"/>
      <c r="H8" s="380"/>
      <c r="I8" s="380"/>
      <c r="J8" s="380"/>
      <c r="K8" s="380"/>
      <c r="L8" s="380"/>
      <c r="M8" s="380"/>
      <c r="N8" s="381"/>
    </row>
    <row r="9" spans="4:14" x14ac:dyDescent="0.2">
      <c r="D9" s="382"/>
      <c r="E9" s="380"/>
      <c r="F9" s="634"/>
      <c r="G9" s="381"/>
      <c r="H9" s="380"/>
      <c r="I9" s="380"/>
      <c r="J9" s="380"/>
      <c r="K9" s="380"/>
      <c r="L9" s="380"/>
      <c r="M9" s="380"/>
      <c r="N9" s="381"/>
    </row>
    <row r="10" spans="4:14" x14ac:dyDescent="0.2">
      <c r="D10" s="382"/>
      <c r="E10" s="380"/>
      <c r="F10" s="634"/>
      <c r="G10" s="381"/>
      <c r="H10" s="380"/>
      <c r="I10" s="380"/>
      <c r="J10" s="380"/>
      <c r="K10" s="380"/>
      <c r="L10" s="380"/>
      <c r="M10" s="380"/>
      <c r="N10" s="381"/>
    </row>
    <row r="11" spans="4:14" x14ac:dyDescent="0.2">
      <c r="D11" s="382"/>
      <c r="E11" s="380"/>
      <c r="F11" s="634"/>
      <c r="G11" s="381"/>
      <c r="H11" s="380"/>
      <c r="I11" s="380"/>
      <c r="J11" s="380"/>
      <c r="K11" s="380"/>
      <c r="L11" s="380"/>
      <c r="M11" s="380"/>
      <c r="N11" s="381"/>
    </row>
    <row r="12" spans="4:14" x14ac:dyDescent="0.2">
      <c r="D12" s="382"/>
      <c r="E12" s="380"/>
      <c r="F12" s="634"/>
      <c r="G12" s="381"/>
      <c r="H12" s="380"/>
      <c r="I12" s="380"/>
      <c r="J12" s="380"/>
      <c r="K12" s="380"/>
      <c r="L12" s="380"/>
      <c r="M12" s="380"/>
      <c r="N12" s="381"/>
    </row>
    <row r="13" spans="4:14" x14ac:dyDescent="0.2">
      <c r="D13" s="382"/>
      <c r="E13" s="380"/>
      <c r="F13" s="634"/>
      <c r="G13" s="381"/>
      <c r="H13" s="380"/>
      <c r="I13" s="380"/>
      <c r="J13" s="380"/>
      <c r="K13" s="380"/>
      <c r="L13" s="380"/>
      <c r="M13" s="380"/>
      <c r="N13" s="381"/>
    </row>
    <row r="14" spans="4:14" x14ac:dyDescent="0.2">
      <c r="D14" s="382"/>
      <c r="E14" s="380"/>
      <c r="F14" s="634"/>
      <c r="G14" s="381"/>
      <c r="H14" s="380"/>
      <c r="I14" s="380"/>
      <c r="J14" s="380"/>
      <c r="K14" s="380"/>
      <c r="L14" s="380"/>
      <c r="M14" s="380"/>
      <c r="N14" s="381"/>
    </row>
    <row r="15" spans="4:14" x14ac:dyDescent="0.2">
      <c r="D15" s="382"/>
      <c r="E15" s="380"/>
      <c r="F15" s="634"/>
      <c r="G15" s="381"/>
      <c r="H15" s="380"/>
      <c r="I15" s="380"/>
      <c r="J15" s="380"/>
      <c r="K15" s="380"/>
      <c r="L15" s="380"/>
      <c r="M15" s="380"/>
      <c r="N15" s="381"/>
    </row>
    <row r="16" spans="4:14" x14ac:dyDescent="0.2">
      <c r="D16" s="382"/>
      <c r="E16" s="380"/>
      <c r="F16" s="634"/>
      <c r="G16" s="381"/>
      <c r="H16" s="380"/>
      <c r="I16" s="380"/>
      <c r="J16" s="380"/>
      <c r="K16" s="380"/>
      <c r="L16" s="380"/>
      <c r="M16" s="380"/>
      <c r="N16" s="381"/>
    </row>
    <row r="17" spans="4:14" x14ac:dyDescent="0.2">
      <c r="D17" s="382"/>
      <c r="E17" s="380"/>
      <c r="F17" s="634"/>
      <c r="G17" s="381"/>
      <c r="H17" s="380"/>
      <c r="I17" s="380"/>
      <c r="J17" s="380"/>
      <c r="K17" s="380"/>
      <c r="L17" s="380"/>
      <c r="M17" s="380"/>
      <c r="N17" s="381"/>
    </row>
    <row r="18" spans="4:14" x14ac:dyDescent="0.2">
      <c r="D18" s="382"/>
      <c r="E18" s="380"/>
      <c r="F18" s="634"/>
      <c r="G18" s="381"/>
      <c r="H18" s="380"/>
      <c r="I18" s="380"/>
      <c r="J18" s="380"/>
      <c r="K18" s="380"/>
      <c r="L18" s="380"/>
      <c r="M18" s="380"/>
      <c r="N18" s="381"/>
    </row>
    <row r="19" spans="4:14" x14ac:dyDescent="0.2">
      <c r="D19" s="382"/>
      <c r="E19" s="380"/>
      <c r="F19" s="634"/>
      <c r="G19" s="381"/>
      <c r="H19" s="380"/>
      <c r="I19" s="380"/>
      <c r="J19" s="380"/>
      <c r="K19" s="380"/>
      <c r="L19" s="380"/>
      <c r="M19" s="380"/>
      <c r="N19" s="381"/>
    </row>
    <row r="20" spans="4:14" x14ac:dyDescent="0.2">
      <c r="D20" s="382"/>
      <c r="E20" s="380"/>
      <c r="F20" s="634"/>
      <c r="G20" s="381"/>
      <c r="H20" s="380"/>
      <c r="I20" s="380"/>
      <c r="J20" s="380"/>
      <c r="K20" s="380"/>
      <c r="L20" s="380"/>
      <c r="M20" s="380"/>
      <c r="N20" s="381"/>
    </row>
    <row r="21" spans="4:14" x14ac:dyDescent="0.2">
      <c r="D21" s="382"/>
      <c r="E21" s="380"/>
      <c r="F21" s="634"/>
      <c r="G21" s="381"/>
      <c r="H21" s="380"/>
      <c r="I21" s="380"/>
      <c r="J21" s="380"/>
      <c r="K21" s="380"/>
      <c r="L21" s="380"/>
      <c r="M21" s="380"/>
      <c r="N21" s="381"/>
    </row>
    <row r="22" spans="4:14" x14ac:dyDescent="0.2">
      <c r="D22" s="382"/>
      <c r="E22" s="380"/>
      <c r="F22" s="634"/>
      <c r="G22" s="381"/>
      <c r="H22" s="380"/>
      <c r="I22" s="380"/>
      <c r="J22" s="380"/>
      <c r="K22" s="380"/>
      <c r="L22" s="380"/>
      <c r="M22" s="380"/>
      <c r="N22" s="381"/>
    </row>
    <row r="23" spans="4:14" x14ac:dyDescent="0.2">
      <c r="D23"/>
      <c r="E23"/>
      <c r="F23"/>
      <c r="G23"/>
      <c r="H23"/>
      <c r="I23"/>
      <c r="J23"/>
      <c r="K23"/>
      <c r="L23"/>
      <c r="M23"/>
      <c r="N23"/>
    </row>
    <row r="24" spans="4:14" x14ac:dyDescent="0.2">
      <c r="D24"/>
      <c r="E24"/>
      <c r="F24"/>
      <c r="G24"/>
      <c r="H24"/>
      <c r="I24"/>
      <c r="J24"/>
      <c r="K24"/>
      <c r="L24"/>
      <c r="M24"/>
      <c r="N24"/>
    </row>
    <row r="25" spans="4:14" x14ac:dyDescent="0.2">
      <c r="D25"/>
      <c r="E25"/>
      <c r="F25"/>
      <c r="G25"/>
      <c r="H25"/>
      <c r="I25"/>
      <c r="J25"/>
      <c r="K25"/>
      <c r="L25"/>
      <c r="M25"/>
      <c r="N25"/>
    </row>
    <row r="26" spans="4:14" x14ac:dyDescent="0.2">
      <c r="D26"/>
      <c r="E26"/>
      <c r="F26"/>
      <c r="G26"/>
      <c r="H26"/>
      <c r="I26"/>
      <c r="J26"/>
      <c r="K26"/>
      <c r="L26"/>
      <c r="M26"/>
      <c r="N26"/>
    </row>
    <row r="27" spans="4:14" x14ac:dyDescent="0.2">
      <c r="D27"/>
      <c r="E27"/>
      <c r="F27"/>
      <c r="G27"/>
      <c r="H27"/>
      <c r="I27"/>
      <c r="J27"/>
      <c r="K27"/>
      <c r="L27"/>
      <c r="M27"/>
      <c r="N27"/>
    </row>
    <row r="28" spans="4:14" x14ac:dyDescent="0.2">
      <c r="D28"/>
      <c r="E28"/>
      <c r="F28"/>
      <c r="G28"/>
      <c r="H28"/>
      <c r="I28"/>
      <c r="J28"/>
      <c r="K28"/>
      <c r="L28"/>
      <c r="M28"/>
      <c r="N28"/>
    </row>
    <row r="29" spans="4:14" x14ac:dyDescent="0.2">
      <c r="D29"/>
      <c r="E29"/>
      <c r="F29"/>
      <c r="G29"/>
      <c r="H29"/>
      <c r="I29"/>
      <c r="J29"/>
      <c r="K29"/>
      <c r="L29"/>
      <c r="M29"/>
      <c r="N29"/>
    </row>
    <row r="31" spans="4:14" x14ac:dyDescent="0.2">
      <c r="H31" s="650"/>
    </row>
    <row r="32" spans="4:14" x14ac:dyDescent="0.2">
      <c r="H32" s="650"/>
    </row>
    <row r="33" spans="8:8" x14ac:dyDescent="0.2">
      <c r="H33" s="650"/>
    </row>
    <row r="34" spans="8:8" x14ac:dyDescent="0.2">
      <c r="H34" s="650"/>
    </row>
    <row r="35" spans="8:8" x14ac:dyDescent="0.2">
      <c r="H35" s="650"/>
    </row>
    <row r="36" spans="8:8" x14ac:dyDescent="0.2">
      <c r="H36" s="650"/>
    </row>
    <row r="37" spans="8:8" x14ac:dyDescent="0.2">
      <c r="H37" s="650"/>
    </row>
    <row r="38" spans="8:8" x14ac:dyDescent="0.2">
      <c r="H38" s="650"/>
    </row>
    <row r="39" spans="8:8" x14ac:dyDescent="0.2">
      <c r="H39" s="650"/>
    </row>
    <row r="40" spans="8:8" x14ac:dyDescent="0.2">
      <c r="H40" s="650"/>
    </row>
    <row r="41" spans="8:8" x14ac:dyDescent="0.2">
      <c r="H41" s="650"/>
    </row>
    <row r="42" spans="8:8" x14ac:dyDescent="0.2">
      <c r="H42" s="650"/>
    </row>
    <row r="43" spans="8:8" x14ac:dyDescent="0.2">
      <c r="H43" s="650"/>
    </row>
    <row r="44" spans="8:8" x14ac:dyDescent="0.2">
      <c r="H44" s="650"/>
    </row>
    <row r="45" spans="8:8" x14ac:dyDescent="0.2">
      <c r="H45" s="650"/>
    </row>
    <row r="46" spans="8:8" x14ac:dyDescent="0.2">
      <c r="H46" s="650"/>
    </row>
    <row r="47" spans="8:8" x14ac:dyDescent="0.2">
      <c r="H47" s="650"/>
    </row>
    <row r="48" spans="8:8" x14ac:dyDescent="0.2">
      <c r="H48" s="650"/>
    </row>
  </sheetData>
  <mergeCells count="2">
    <mergeCell ref="D2:G3"/>
    <mergeCell ref="H2:N3"/>
  </mergeCells>
  <pageMargins left="0.511811024" right="0.511811024" top="0.78740157499999996" bottom="0.78740157499999996" header="0.31496062000000002" footer="0.31496062000000002"/>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tabColor theme="1"/>
  </sheetPr>
  <dimension ref="A1:BG1974"/>
  <sheetViews>
    <sheetView showGridLines="0" workbookViewId="0">
      <selection activeCell="D10" sqref="D10"/>
    </sheetView>
  </sheetViews>
  <sheetFormatPr defaultRowHeight="12.75" x14ac:dyDescent="0.2"/>
  <cols>
    <col min="1" max="1" width="13.42578125" style="141" bestFit="1" customWidth="1"/>
    <col min="2" max="2" width="12.7109375" customWidth="1"/>
    <col min="3" max="3" width="29.140625" style="141" bestFit="1" customWidth="1"/>
    <col min="4" max="4" width="14.7109375" style="141" bestFit="1" customWidth="1"/>
    <col min="5" max="5" width="29.42578125" style="141" bestFit="1" customWidth="1"/>
    <col min="6" max="6" width="14.28515625" style="141" customWidth="1"/>
    <col min="7" max="10" width="11.28515625" style="141" customWidth="1"/>
    <col min="11" max="11" width="12.7109375" style="141" customWidth="1"/>
    <col min="12" max="12" width="17.28515625" style="141" bestFit="1" customWidth="1"/>
    <col min="13" max="13" width="18.5703125" style="141" bestFit="1" customWidth="1"/>
    <col min="14" max="14" width="14.5703125" style="141" customWidth="1"/>
    <col min="15" max="15" width="12.28515625" style="535" bestFit="1" customWidth="1"/>
    <col min="16" max="16" width="17" style="535" bestFit="1" customWidth="1"/>
    <col min="17" max="17" width="17.28515625" style="535" bestFit="1" customWidth="1"/>
    <col min="18" max="18" width="17.5703125" style="535" customWidth="1"/>
    <col min="19" max="21" width="18.28515625" style="535" customWidth="1"/>
    <col min="22" max="22" width="14.28515625" style="535" customWidth="1"/>
    <col min="23" max="23" width="17.5703125" style="535" customWidth="1"/>
    <col min="24" max="24" width="4.5703125" style="141" customWidth="1"/>
    <col min="25" max="25" width="41.42578125" style="141" bestFit="1" customWidth="1"/>
    <col min="26" max="26" width="29" style="141" bestFit="1" customWidth="1"/>
    <col min="27" max="27" width="3.42578125" style="535" customWidth="1"/>
    <col min="28" max="28" width="29.28515625" style="535" bestFit="1" customWidth="1"/>
    <col min="29" max="29" width="21.42578125" style="535" bestFit="1" customWidth="1"/>
    <col min="30" max="30" width="18.85546875" style="535" bestFit="1" customWidth="1"/>
    <col min="31" max="32" width="18.85546875" style="535" customWidth="1"/>
    <col min="33" max="33" width="10.85546875" style="167" bestFit="1" customWidth="1"/>
    <col min="34" max="34" width="9.140625" style="167" customWidth="1"/>
    <col min="35" max="35" width="9.85546875" style="167" bestFit="1" customWidth="1"/>
    <col min="36" max="36" width="11.5703125" style="167" bestFit="1" customWidth="1"/>
    <col min="37" max="16384" width="9.140625" style="141"/>
  </cols>
  <sheetData>
    <row r="1" spans="1:59" s="632" customFormat="1" ht="66" customHeight="1" x14ac:dyDescent="0.2">
      <c r="A1" s="658" t="s">
        <v>49</v>
      </c>
      <c r="B1" s="658" t="s">
        <v>814</v>
      </c>
      <c r="C1" s="658" t="s">
        <v>2</v>
      </c>
      <c r="D1" s="658" t="s">
        <v>2818</v>
      </c>
      <c r="E1" s="658" t="s">
        <v>2819</v>
      </c>
      <c r="F1" s="658" t="s">
        <v>668</v>
      </c>
      <c r="G1" s="658" t="s">
        <v>709</v>
      </c>
      <c r="H1" s="658" t="s">
        <v>710</v>
      </c>
      <c r="I1" s="658" t="s">
        <v>711</v>
      </c>
      <c r="J1" s="658" t="s">
        <v>61</v>
      </c>
      <c r="K1" s="658" t="s">
        <v>2820</v>
      </c>
      <c r="L1" s="658" t="s">
        <v>2821</v>
      </c>
      <c r="M1" s="658" t="s">
        <v>2822</v>
      </c>
      <c r="N1" s="658" t="s">
        <v>2920</v>
      </c>
      <c r="O1" s="658" t="s">
        <v>2922</v>
      </c>
      <c r="P1" s="658" t="s">
        <v>2916</v>
      </c>
      <c r="Q1" s="658" t="s">
        <v>2921</v>
      </c>
      <c r="R1" s="658" t="s">
        <v>2924</v>
      </c>
      <c r="S1" s="658" t="s">
        <v>2925</v>
      </c>
      <c r="T1" s="658" t="s">
        <v>2926</v>
      </c>
      <c r="U1" s="658" t="s">
        <v>2917</v>
      </c>
      <c r="V1" s="658" t="s">
        <v>2918</v>
      </c>
      <c r="W1" s="658" t="s">
        <v>2919</v>
      </c>
      <c r="Y1" s="659" t="s">
        <v>2816</v>
      </c>
      <c r="Z1" s="659" t="s">
        <v>2817</v>
      </c>
      <c r="AA1" s="652"/>
      <c r="AB1" s="659" t="s">
        <v>2927</v>
      </c>
      <c r="AC1" s="658" t="s">
        <v>2928</v>
      </c>
      <c r="AD1" s="658" t="s">
        <v>2931</v>
      </c>
      <c r="AE1" s="658" t="s">
        <v>2930</v>
      </c>
      <c r="AF1" s="658" t="s">
        <v>2933</v>
      </c>
      <c r="AG1" s="652"/>
      <c r="AH1" s="818" t="s">
        <v>94</v>
      </c>
      <c r="AI1" s="818"/>
      <c r="AJ1" s="818"/>
    </row>
    <row r="2" spans="1:59" s="632" customFormat="1" ht="12.75" customHeight="1" x14ac:dyDescent="0.2">
      <c r="A2" s="654" t="s">
        <v>2823</v>
      </c>
      <c r="B2" s="654" t="s">
        <v>418</v>
      </c>
      <c r="C2" s="654" t="s">
        <v>2824</v>
      </c>
      <c r="D2" s="653"/>
      <c r="E2" s="653" t="s">
        <v>2825</v>
      </c>
      <c r="F2" s="654"/>
      <c r="G2" s="655">
        <v>0.65</v>
      </c>
      <c r="H2" s="655">
        <v>0.65</v>
      </c>
      <c r="I2" s="655">
        <v>0.65</v>
      </c>
      <c r="J2" s="656">
        <v>1.0416666666666666E-2</v>
      </c>
      <c r="K2" s="656"/>
      <c r="L2" s="655"/>
      <c r="M2" s="657">
        <v>1.4999999999999999E-2</v>
      </c>
      <c r="N2" s="656"/>
      <c r="O2" s="656"/>
      <c r="P2" s="656"/>
      <c r="Q2" s="656"/>
      <c r="R2" s="656">
        <v>4.1666666666666664E-2</v>
      </c>
      <c r="S2" s="656">
        <v>4.1666666666666664E-2</v>
      </c>
      <c r="T2" s="656">
        <v>4.1666666666666664E-2</v>
      </c>
      <c r="U2" s="662">
        <v>1</v>
      </c>
      <c r="V2" s="662">
        <v>0</v>
      </c>
      <c r="W2" s="662">
        <v>0</v>
      </c>
      <c r="X2" s="535"/>
      <c r="Y2" s="1" t="s">
        <v>835</v>
      </c>
      <c r="Z2" s="1" t="s">
        <v>836</v>
      </c>
      <c r="AA2" s="657"/>
      <c r="AB2" s="641" t="str">
        <f t="array" ref="AB2">IFERROR(INDEX(Tabela2[Descrição],SMALL(IF(Tabela2[Tipo de Operação]="After Operation",ROW(Tabela2[Tipo de Operação])-1),ROW(AB1))),"-")</f>
        <v>Corte Reto 6</v>
      </c>
      <c r="AC2" s="641" t="str">
        <f t="array" ref="AC2">IFERROR(INDEX(Tabela2[Descrição],SMALL(IF(Tabela2[Tipo de Operação]="Célula de Solda",ROW(Tabela2[Tipo de Operação])-1),ROW(AB1))),"-")</f>
        <v>Célula de Solda 1</v>
      </c>
      <c r="AD2" s="641" t="str">
        <f t="array" ref="AD2">IFERROR(INDEX(Tabela2[Descrição],SMALL(IF(Tabela2[Tipo de Operação]="Tubos Conformação Convencional",ROW(Tabela2[Tipo de Operação])-1),ROW(AB1))),"-")</f>
        <v>Formadora 1</v>
      </c>
      <c r="AE2" s="641" t="str">
        <f t="array" ref="AE2">IFERROR(INDEX(Tabela2[Descrição],SMALL(IF(Tabela2[Tipo de Operação]="Direct Forming",ROW(Tabela2[Tipo de Operação])-1),ROW(AB1))),"-")</f>
        <v>Formadora 7</v>
      </c>
      <c r="AF2" s="558" t="str">
        <f t="array" ref="AF2">IFERROR(INDEX(Tabela2[Descrição],SMALL(IF(Tabela2[Tipo de Operação]="Conformação Perfis",ROW(Tabela2[Tipo de Operação])-1),ROW(AB1))),"-")</f>
        <v>Perfiladeira 1</v>
      </c>
      <c r="AG2" s="652"/>
      <c r="AH2" s="818" t="s">
        <v>96</v>
      </c>
      <c r="AI2" s="818"/>
      <c r="AJ2" s="818"/>
    </row>
    <row r="3" spans="1:59" s="658" customFormat="1" ht="12" customHeight="1" x14ac:dyDescent="0.2">
      <c r="A3" s="654" t="s">
        <v>2826</v>
      </c>
      <c r="B3" s="654" t="s">
        <v>551</v>
      </c>
      <c r="C3" s="654" t="s">
        <v>2827</v>
      </c>
      <c r="D3" s="653"/>
      <c r="E3" s="653" t="s">
        <v>2825</v>
      </c>
      <c r="F3" s="654"/>
      <c r="G3" s="655">
        <v>0.65</v>
      </c>
      <c r="H3" s="655">
        <v>0.65</v>
      </c>
      <c r="I3" s="655">
        <v>0.65</v>
      </c>
      <c r="J3" s="656">
        <v>1.0416666666666666E-2</v>
      </c>
      <c r="K3" s="656"/>
      <c r="L3" s="655"/>
      <c r="M3" s="657">
        <v>0.01</v>
      </c>
      <c r="N3" s="656"/>
      <c r="O3" s="656"/>
      <c r="P3" s="656"/>
      <c r="Q3" s="656"/>
      <c r="R3" s="656">
        <v>4.1666666666666664E-2</v>
      </c>
      <c r="S3" s="656">
        <v>4.1666666666666664E-2</v>
      </c>
      <c r="T3" s="656">
        <v>4.1666666666666664E-2</v>
      </c>
      <c r="U3" s="662">
        <v>1</v>
      </c>
      <c r="V3" s="662">
        <v>0</v>
      </c>
      <c r="W3" s="662">
        <v>0</v>
      </c>
      <c r="X3" s="535"/>
      <c r="Y3" s="1" t="s">
        <v>837</v>
      </c>
      <c r="Z3" s="1" t="s">
        <v>836</v>
      </c>
      <c r="AA3" s="657"/>
      <c r="AB3" s="641" t="str">
        <f t="array" ref="AB3">IFERROR(INDEX(Tabela2[Descrição],SMALL(IF(Tabela2[Tipo de Operação]="After Operation",ROW(Tabela2[Tipo de Operação])-1),ROW(AB2))),"-")</f>
        <v>Corte Reto 7</v>
      </c>
      <c r="AC3" s="641" t="str">
        <f t="array" ref="AC3">IFERROR(INDEX(Tabela2[Descrição],SMALL(IF(Tabela2[Tipo de Operação]="Célula de Solda",ROW(Tabela2[Tipo de Operação])-1),ROW(AB2))),"-")</f>
        <v>Célula de Solda 2</v>
      </c>
      <c r="AD3" s="641" t="str">
        <f t="array" ref="AD3">IFERROR(INDEX(Tabela2[Descrição],SMALL(IF(Tabela2[Tipo de Operação]="Tubos Conformação Convencional",ROW(Tabela2[Tipo de Operação])-1),ROW(AB2))),"-")</f>
        <v>Formadora 2</v>
      </c>
      <c r="AE3" s="641" t="str">
        <f t="array" ref="AE3">IFERROR(INDEX(Tabela2[Descrição],SMALL(IF(Tabela2[Tipo de Operação]="Direct Forming",ROW(Tabela2[Tipo de Operação])-1),ROW(AB2))),"-")</f>
        <v>-</v>
      </c>
      <c r="AF3" s="558" t="str">
        <f t="array" ref="AF3">IFERROR(INDEX(Tabela2[Descrição],SMALL(IF(Tabela2[Tipo de Operação]="Conformação Perfis",ROW(Tabela2[Tipo de Operação])-1),ROW(AB2))),"-")</f>
        <v>Perfiladeira 2</v>
      </c>
      <c r="AH3" s="658" t="s">
        <v>95</v>
      </c>
      <c r="AI3" s="658" t="s">
        <v>97</v>
      </c>
      <c r="AJ3" s="658" t="s">
        <v>98</v>
      </c>
      <c r="BG3" s="658">
        <v>1</v>
      </c>
    </row>
    <row r="4" spans="1:59" ht="12" customHeight="1" x14ac:dyDescent="0.2">
      <c r="A4" s="654" t="s">
        <v>2828</v>
      </c>
      <c r="B4" s="654" t="s">
        <v>51</v>
      </c>
      <c r="C4" s="654" t="s">
        <v>637</v>
      </c>
      <c r="D4" s="653" t="s">
        <v>51</v>
      </c>
      <c r="E4" s="653" t="s">
        <v>2829</v>
      </c>
      <c r="F4" s="654">
        <v>1</v>
      </c>
      <c r="G4" s="655"/>
      <c r="H4" s="655">
        <v>0.7</v>
      </c>
      <c r="I4" s="655"/>
      <c r="J4" s="656">
        <v>6.25E-2</v>
      </c>
      <c r="K4" s="656"/>
      <c r="L4" s="655"/>
      <c r="M4" s="657">
        <v>2.9000000000000001E-2</v>
      </c>
      <c r="N4" s="656"/>
      <c r="O4" s="656"/>
      <c r="P4" s="656"/>
      <c r="Q4" s="656"/>
      <c r="R4" s="656">
        <v>4.1666666666666664E-2</v>
      </c>
      <c r="S4" s="656">
        <v>4.1666666666666664E-2</v>
      </c>
      <c r="T4" s="656">
        <v>4.1666666666666664E-2</v>
      </c>
      <c r="U4" s="662">
        <v>1</v>
      </c>
      <c r="V4" s="662">
        <v>0</v>
      </c>
      <c r="W4" s="662">
        <v>0</v>
      </c>
      <c r="Y4" s="1" t="s">
        <v>838</v>
      </c>
      <c r="Z4" s="1" t="s">
        <v>839</v>
      </c>
      <c r="AA4" s="657"/>
      <c r="AB4" s="641" t="str">
        <f t="array" ref="AB4">IFERROR(INDEX(Tabela2[Descrição],SMALL(IF(Tabela2[Tipo de Operação]="After Operation",ROW(Tabela2[Tipo de Operação])-1),ROW(AB3))),"-")</f>
        <v>Subcontratação 0581</v>
      </c>
      <c r="AC4" s="641" t="str">
        <f t="array" ref="AC4">IFERROR(INDEX(Tabela2[Descrição],SMALL(IF(Tabela2[Tipo de Operação]="Célula de Solda",ROW(Tabela2[Tipo de Operação])-1),ROW(AB3))),"-")</f>
        <v>Célula de Solda 3</v>
      </c>
      <c r="AD4" s="641" t="str">
        <f t="array" ref="AD4">IFERROR(INDEX(Tabela2[Descrição],SMALL(IF(Tabela2[Tipo de Operação]="Tubos Conformação Convencional",ROW(Tabela2[Tipo de Operação])-1),ROW(AB3))),"-")</f>
        <v>Formadora 3</v>
      </c>
      <c r="AE4" s="641" t="str">
        <f t="array" ref="AE4">IFERROR(INDEX(Tabela2[Descrição],SMALL(IF(Tabela2[Tipo de Operação]="Direct Forming",ROW(Tabela2[Tipo de Operação])-1),ROW(AB3))),"-")</f>
        <v>-</v>
      </c>
      <c r="AF4" s="558" t="str">
        <f t="array" ref="AF4">IFERROR(INDEX(Tabela2[Descrição],SMALL(IF(Tabela2[Tipo de Operação]="Conformação Perfis",ROW(Tabela2[Tipo de Operação])-1),ROW(AB3))),"-")</f>
        <v>Perfiladeira 3</v>
      </c>
      <c r="AG4" s="535"/>
      <c r="AH4" s="358">
        <v>0.6</v>
      </c>
      <c r="AI4" s="358">
        <v>9.5299999999999994</v>
      </c>
      <c r="AJ4" s="358" t="s">
        <v>10</v>
      </c>
    </row>
    <row r="5" spans="1:59" x14ac:dyDescent="0.2">
      <c r="A5" s="654" t="s">
        <v>2830</v>
      </c>
      <c r="B5" s="654" t="s">
        <v>52</v>
      </c>
      <c r="C5" s="654" t="s">
        <v>638</v>
      </c>
      <c r="D5" s="653" t="s">
        <v>52</v>
      </c>
      <c r="E5" s="653" t="s">
        <v>2829</v>
      </c>
      <c r="F5" s="654">
        <v>2</v>
      </c>
      <c r="G5" s="655"/>
      <c r="H5" s="655">
        <v>0.7</v>
      </c>
      <c r="I5" s="655"/>
      <c r="J5" s="656">
        <v>0.10416666666666667</v>
      </c>
      <c r="K5" s="656"/>
      <c r="L5" s="655"/>
      <c r="M5" s="657">
        <v>3.2000000000000001E-2</v>
      </c>
      <c r="N5" s="656"/>
      <c r="O5" s="656"/>
      <c r="P5" s="656"/>
      <c r="Q5" s="656"/>
      <c r="R5" s="656">
        <v>4.1666666666666664E-2</v>
      </c>
      <c r="S5" s="656">
        <v>4.1666666666666664E-2</v>
      </c>
      <c r="T5" s="656">
        <v>4.1666666666666664E-2</v>
      </c>
      <c r="U5" s="662">
        <v>1</v>
      </c>
      <c r="V5" s="662">
        <v>0</v>
      </c>
      <c r="W5" s="662">
        <v>0</v>
      </c>
      <c r="Y5" s="1" t="s">
        <v>840</v>
      </c>
      <c r="Z5" s="1" t="s">
        <v>841</v>
      </c>
      <c r="AA5" s="657"/>
      <c r="AB5" s="641" t="str">
        <f t="array" ref="AB5">IFERROR(INDEX(Tabela2[Descrição],SMALL(IF(Tabela2[Tipo de Operação]="After Operation",ROW(Tabela2[Tipo de Operação])-1),ROW(AB4))),"-")</f>
        <v>Acessórios Purlins 1</v>
      </c>
      <c r="AC5" s="641" t="str">
        <f t="array" ref="AC5">IFERROR(INDEX(Tabela2[Descrição],SMALL(IF(Tabela2[Tipo de Operação]="Célula de Solda",ROW(Tabela2[Tipo de Operação])-1),ROW(AB4))),"-")</f>
        <v>-</v>
      </c>
      <c r="AD5" s="641" t="str">
        <f t="array" ref="AD5">IFERROR(INDEX(Tabela2[Descrição],SMALL(IF(Tabela2[Tipo de Operação]="Tubos Conformação Convencional",ROW(Tabela2[Tipo de Operação])-1),ROW(AB4))),"-")</f>
        <v>Formadora 4</v>
      </c>
      <c r="AE5" s="641" t="str">
        <f t="array" ref="AE5">IFERROR(INDEX(Tabela2[Descrição],SMALL(IF(Tabela2[Tipo de Operação]="Direct Forming",ROW(Tabela2[Tipo de Operação])-1),ROW(AB4))),"-")</f>
        <v>-</v>
      </c>
      <c r="AF5" s="558" t="str">
        <f t="array" ref="AF5">IFERROR(INDEX(Tabela2[Descrição],SMALL(IF(Tabela2[Tipo de Operação]="Conformação Perfis",ROW(Tabela2[Tipo de Operação])-1),ROW(AB4))),"-")</f>
        <v>-</v>
      </c>
      <c r="AG5" s="535"/>
      <c r="AH5" s="358">
        <v>0.75</v>
      </c>
      <c r="AI5" s="358">
        <v>10</v>
      </c>
      <c r="AJ5" s="358" t="s">
        <v>116</v>
      </c>
    </row>
    <row r="6" spans="1:59" x14ac:dyDescent="0.2">
      <c r="A6" s="654" t="s">
        <v>2831</v>
      </c>
      <c r="B6" s="654" t="s">
        <v>53</v>
      </c>
      <c r="C6" s="654" t="s">
        <v>639</v>
      </c>
      <c r="D6" s="653" t="s">
        <v>53</v>
      </c>
      <c r="E6" s="653" t="s">
        <v>2829</v>
      </c>
      <c r="F6" s="654">
        <v>3</v>
      </c>
      <c r="G6" s="655"/>
      <c r="H6" s="655">
        <v>0.7</v>
      </c>
      <c r="I6" s="655"/>
      <c r="J6" s="656">
        <v>0.10416666666666667</v>
      </c>
      <c r="K6" s="656"/>
      <c r="L6" s="655"/>
      <c r="M6" s="657">
        <v>4.4999999999999998E-2</v>
      </c>
      <c r="N6" s="656"/>
      <c r="O6" s="656"/>
      <c r="P6" s="656"/>
      <c r="Q6" s="656"/>
      <c r="R6" s="656">
        <v>4.1666666666666664E-2</v>
      </c>
      <c r="S6" s="656">
        <v>4.1666666666666664E-2</v>
      </c>
      <c r="T6" s="656">
        <v>4.1666666666666664E-2</v>
      </c>
      <c r="U6" s="662">
        <v>1</v>
      </c>
      <c r="V6" s="662">
        <v>0</v>
      </c>
      <c r="W6" s="662">
        <v>0</v>
      </c>
      <c r="Y6" s="1" t="s">
        <v>842</v>
      </c>
      <c r="Z6" s="1" t="s">
        <v>843</v>
      </c>
      <c r="AA6" s="657"/>
      <c r="AB6" s="641" t="str">
        <f t="array" ref="AB6">IFERROR(INDEX(Tabela2[Descrição],SMALL(IF(Tabela2[Tipo de Operação]="After Operation",ROW(Tabela2[Tipo de Operação])-1),ROW(AB5))),"-")</f>
        <v>Corte Reto C5</v>
      </c>
      <c r="AC6" s="641" t="str">
        <f t="array" ref="AC6">IFERROR(INDEX(Tabela2[Descrição],SMALL(IF(Tabela2[Tipo de Operação]="Célula de Solda",ROW(Tabela2[Tipo de Operação])-1),ROW(AB5))),"-")</f>
        <v>-</v>
      </c>
      <c r="AD6" s="641" t="str">
        <f t="array" ref="AD6">IFERROR(INDEX(Tabela2[Descrição],SMALL(IF(Tabela2[Tipo de Operação]="Tubos Conformação Convencional",ROW(Tabela2[Tipo de Operação])-1),ROW(AB5))),"-")</f>
        <v>Formadora 5</v>
      </c>
      <c r="AE6" s="641" t="str">
        <f t="array" ref="AE6">IFERROR(INDEX(Tabela2[Descrição],SMALL(IF(Tabela2[Tipo de Operação]="Direct Forming",ROW(Tabela2[Tipo de Operação])-1),ROW(AB5))),"-")</f>
        <v>-</v>
      </c>
      <c r="AF6" s="558" t="str">
        <f t="array" ref="AF6">IFERROR(INDEX(Tabela2[Descrição],SMALL(IF(Tabela2[Tipo de Operação]="Conformação Perfis",ROW(Tabela2[Tipo de Operação])-1),ROW(AB5))),"-")</f>
        <v>-</v>
      </c>
      <c r="AG6" s="535"/>
      <c r="AH6" s="358">
        <v>0.9</v>
      </c>
      <c r="AI6" s="358">
        <v>12</v>
      </c>
      <c r="AJ6" s="358" t="s">
        <v>116</v>
      </c>
    </row>
    <row r="7" spans="1:59" x14ac:dyDescent="0.2">
      <c r="A7" s="654" t="s">
        <v>2832</v>
      </c>
      <c r="B7" s="654" t="s">
        <v>54</v>
      </c>
      <c r="C7" s="654" t="s">
        <v>640</v>
      </c>
      <c r="D7" s="653" t="s">
        <v>54</v>
      </c>
      <c r="E7" s="653" t="s">
        <v>2829</v>
      </c>
      <c r="F7" s="654">
        <v>4</v>
      </c>
      <c r="G7" s="655"/>
      <c r="H7" s="655">
        <v>0.7</v>
      </c>
      <c r="I7" s="655"/>
      <c r="J7" s="656">
        <v>9.9999999999999992E-2</v>
      </c>
      <c r="K7" s="656"/>
      <c r="L7" s="655"/>
      <c r="M7" s="657">
        <v>3.6999999999999998E-2</v>
      </c>
      <c r="N7" s="656"/>
      <c r="O7" s="656"/>
      <c r="P7" s="656"/>
      <c r="Q7" s="656"/>
      <c r="R7" s="656">
        <v>4.1666666666666664E-2</v>
      </c>
      <c r="S7" s="656">
        <v>4.1666666666666664E-2</v>
      </c>
      <c r="T7" s="656">
        <v>4.1666666666666664E-2</v>
      </c>
      <c r="U7" s="662">
        <v>1</v>
      </c>
      <c r="V7" s="662">
        <v>0</v>
      </c>
      <c r="W7" s="662">
        <v>0</v>
      </c>
      <c r="Y7" s="1" t="s">
        <v>844</v>
      </c>
      <c r="Z7" s="1" t="s">
        <v>845</v>
      </c>
      <c r="AA7" s="657"/>
      <c r="AB7" s="401" t="str">
        <f t="array" ref="AB7">IFERROR(INDEX(Tabela2[Descrição],SMALL(IF(Tabela2[Tipo de Operação]="After Operation",ROW(Tabela2[Tipo de Operação])-1),ROW(AB6))),"-")</f>
        <v>Célula John Deere 1</v>
      </c>
      <c r="AC7" s="641" t="str">
        <f t="array" ref="AC7">IFERROR(INDEX(Tabela2[Descrição],SMALL(IF(Tabela2[Tipo de Operação]="Célula de Solda",ROW(Tabela2[Tipo de Operação])-1),ROW(AB6))),"-")</f>
        <v>-</v>
      </c>
      <c r="AD7" s="641" t="str">
        <f t="array" ref="AD7">IFERROR(INDEX(Tabela2[Descrição],SMALL(IF(Tabela2[Tipo de Operação]="Tubos Conformação Convencional",ROW(Tabela2[Tipo de Operação])-1),ROW(AB6))),"-")</f>
        <v>Formadora 6</v>
      </c>
      <c r="AE7" s="641" t="str">
        <f t="array" ref="AE7">IFERROR(INDEX(Tabela2[Descrição],SMALL(IF(Tabela2[Tipo de Operação]="Direct Forming",ROW(Tabela2[Tipo de Operação])-1),ROW(AB6))),"-")</f>
        <v>-</v>
      </c>
      <c r="AF7" s="558" t="str">
        <f t="array" ref="AF7">IFERROR(INDEX(Tabela2[Descrição],SMALL(IF(Tabela2[Tipo de Operação]="Conformação Perfis",ROW(Tabela2[Tipo de Operação])-1),ROW(AB6))),"-")</f>
        <v>-</v>
      </c>
      <c r="AG7" s="535"/>
      <c r="AH7" s="358">
        <v>0.95</v>
      </c>
      <c r="AI7" s="358">
        <v>12.7</v>
      </c>
      <c r="AJ7" s="358" t="s">
        <v>11</v>
      </c>
    </row>
    <row r="8" spans="1:59" x14ac:dyDescent="0.2">
      <c r="A8" s="654" t="s">
        <v>2833</v>
      </c>
      <c r="B8" s="654" t="s">
        <v>55</v>
      </c>
      <c r="C8" s="654" t="s">
        <v>641</v>
      </c>
      <c r="D8" s="653" t="s">
        <v>55</v>
      </c>
      <c r="E8" s="653" t="s">
        <v>2829</v>
      </c>
      <c r="F8" s="654">
        <v>5</v>
      </c>
      <c r="G8" s="655"/>
      <c r="H8" s="655">
        <v>0.65</v>
      </c>
      <c r="I8" s="655"/>
      <c r="J8" s="656">
        <v>0.25</v>
      </c>
      <c r="K8" s="656"/>
      <c r="L8" s="655"/>
      <c r="M8" s="657">
        <v>0.06</v>
      </c>
      <c r="N8" s="656"/>
      <c r="O8" s="656"/>
      <c r="P8" s="656"/>
      <c r="Q8" s="656"/>
      <c r="R8" s="656">
        <v>4.1666666666666664E-2</v>
      </c>
      <c r="S8" s="656">
        <v>4.1666666666666664E-2</v>
      </c>
      <c r="T8" s="656">
        <v>4.1666666666666664E-2</v>
      </c>
      <c r="U8" s="662">
        <v>1</v>
      </c>
      <c r="V8" s="662">
        <v>0</v>
      </c>
      <c r="W8" s="662">
        <v>0</v>
      </c>
      <c r="Y8" s="1" t="s">
        <v>846</v>
      </c>
      <c r="Z8" s="1" t="s">
        <v>836</v>
      </c>
      <c r="AA8" s="657"/>
      <c r="AB8" s="641" t="str">
        <f t="array" ref="AB8">IFERROR(INDEX(Tabela2[Descrição],SMALL(IF(Tabela2[Tipo de Operação]="After Operation",ROW(Tabela2[Tipo de Operação])-1),ROW(AB7))),"-")</f>
        <v>Corte Laser 1</v>
      </c>
      <c r="AC8" s="641" t="str">
        <f t="array" ref="AC8">IFERROR(INDEX(Tabela2[Descrição],SMALL(IF(Tabela2[Tipo de Operação]="Célula de Solda",ROW(Tabela2[Tipo de Operação])-1),ROW(AB7))),"-")</f>
        <v>-</v>
      </c>
      <c r="AD8" s="641" t="str">
        <f t="array" ref="AD8">IFERROR(INDEX(Tabela2[Descrição],SMALL(IF(Tabela2[Tipo de Operação]="Tubos Conformação Convencional",ROW(Tabela2[Tipo de Operação])-1),ROW(AB7))),"-")</f>
        <v>-</v>
      </c>
      <c r="AE8" s="641" t="str">
        <f t="array" ref="AE8">IFERROR(INDEX(Tabela2[Descrição],SMALL(IF(Tabela2[Tipo de Operação]="Direct Forming",ROW(Tabela2[Tipo de Operação])-1),ROW(AB7))),"-")</f>
        <v>-</v>
      </c>
      <c r="AF8" s="558" t="str">
        <f t="array" ref="AF8">IFERROR(INDEX(Tabela2[Descrição],SMALL(IF(Tabela2[Tipo de Operação]="Conformação Perfis",ROW(Tabela2[Tipo de Operação])-1),ROW(AB7))),"-")</f>
        <v>-</v>
      </c>
      <c r="AG8" s="535"/>
      <c r="AH8" s="358">
        <v>1.06</v>
      </c>
      <c r="AI8" s="358">
        <v>15.88</v>
      </c>
      <c r="AJ8" s="358" t="s">
        <v>12</v>
      </c>
    </row>
    <row r="9" spans="1:59" x14ac:dyDescent="0.2">
      <c r="A9" s="654" t="s">
        <v>2834</v>
      </c>
      <c r="B9" s="654" t="s">
        <v>56</v>
      </c>
      <c r="C9" s="654" t="s">
        <v>642</v>
      </c>
      <c r="D9" s="653" t="s">
        <v>56</v>
      </c>
      <c r="E9" s="653" t="s">
        <v>2829</v>
      </c>
      <c r="F9" s="654">
        <v>6</v>
      </c>
      <c r="G9" s="655"/>
      <c r="H9" s="655">
        <v>0.7</v>
      </c>
      <c r="I9" s="655"/>
      <c r="J9" s="656">
        <v>0.10416666666666667</v>
      </c>
      <c r="K9" s="656"/>
      <c r="L9" s="655"/>
      <c r="M9" s="657">
        <v>0.02</v>
      </c>
      <c r="N9" s="656"/>
      <c r="O9" s="656"/>
      <c r="P9" s="656"/>
      <c r="Q9" s="656"/>
      <c r="R9" s="656">
        <v>4.1666666666666664E-2</v>
      </c>
      <c r="S9" s="656">
        <v>4.1666666666666664E-2</v>
      </c>
      <c r="T9" s="656">
        <v>4.1666666666666664E-2</v>
      </c>
      <c r="U9" s="662">
        <v>1</v>
      </c>
      <c r="V9" s="662">
        <v>0</v>
      </c>
      <c r="W9" s="662">
        <v>0</v>
      </c>
      <c r="Y9" s="1" t="s">
        <v>847</v>
      </c>
      <c r="Z9" s="1" t="s">
        <v>836</v>
      </c>
      <c r="AA9" s="657"/>
      <c r="AB9" s="641" t="str">
        <f t="array" ref="AB9">IFERROR(INDEX(Tabela2[Descrição],SMALL(IF(Tabela2[Tipo de Operação]="After Operation",ROW(Tabela2[Tipo de Operação])-1),ROW(AB8))),"-")</f>
        <v>Corte Laser 2</v>
      </c>
      <c r="AC9" s="641" t="str">
        <f t="array" ref="AC9">IFERROR(INDEX(Tabela2[Descrição],SMALL(IF(Tabela2[Tipo de Operação]="Célula de Solda",ROW(Tabela2[Tipo de Operação])-1),ROW(AB8))),"-")</f>
        <v>-</v>
      </c>
      <c r="AD9" s="641" t="str">
        <f t="array" ref="AD9">IFERROR(INDEX(Tabela2[Descrição],SMALL(IF(Tabela2[Tipo de Operação]="Tubos Conformação Convencional",ROW(Tabela2[Tipo de Operação])-1),ROW(AB8))),"-")</f>
        <v>-</v>
      </c>
      <c r="AE9" s="641" t="str">
        <f t="array" ref="AE9">IFERROR(INDEX(Tabela2[Descrição],SMALL(IF(Tabela2[Tipo de Operação]="Direct Forming",ROW(Tabela2[Tipo de Operação])-1),ROW(AB8))),"-")</f>
        <v>-</v>
      </c>
      <c r="AF9" s="558" t="str">
        <f t="array" ref="AF9">IFERROR(INDEX(Tabela2[Descrição],SMALL(IF(Tabela2[Tipo de Operação]="Conformação Perfis",ROW(Tabela2[Tipo de Operação])-1),ROW(AB8))),"-")</f>
        <v>-</v>
      </c>
      <c r="AG9" s="535"/>
      <c r="AH9" s="358">
        <v>1.2</v>
      </c>
      <c r="AI9" s="358">
        <v>19.05</v>
      </c>
      <c r="AJ9" s="358" t="s">
        <v>13</v>
      </c>
    </row>
    <row r="10" spans="1:59" x14ac:dyDescent="0.2">
      <c r="A10" s="654" t="s">
        <v>2835</v>
      </c>
      <c r="B10" s="654" t="s">
        <v>59</v>
      </c>
      <c r="C10" s="654" t="s">
        <v>643</v>
      </c>
      <c r="D10" s="653" t="s">
        <v>59</v>
      </c>
      <c r="E10" s="653" t="s">
        <v>2836</v>
      </c>
      <c r="F10" s="654">
        <v>8</v>
      </c>
      <c r="G10" s="655"/>
      <c r="H10" s="655">
        <v>0.7</v>
      </c>
      <c r="I10" s="655"/>
      <c r="J10" s="656"/>
      <c r="K10" s="656">
        <v>2.0833333333333332E-2</v>
      </c>
      <c r="L10" s="655"/>
      <c r="M10" s="657">
        <v>1.7999999999999999E-2</v>
      </c>
      <c r="N10" s="656">
        <v>8.3333333333333329E-2</v>
      </c>
      <c r="O10" s="656">
        <v>0.16666666666666666</v>
      </c>
      <c r="P10" s="656">
        <v>0.25</v>
      </c>
      <c r="Q10" s="656"/>
      <c r="R10" s="656">
        <v>4.1666666666666664E-2</v>
      </c>
      <c r="S10" s="656">
        <v>4.1666666666666664E-2</v>
      </c>
      <c r="T10" s="656">
        <v>4.1666666666666664E-2</v>
      </c>
      <c r="U10" s="662">
        <v>1</v>
      </c>
      <c r="V10" s="662">
        <v>0</v>
      </c>
      <c r="W10" s="662">
        <v>0</v>
      </c>
      <c r="Y10" s="1" t="s">
        <v>848</v>
      </c>
      <c r="Z10" s="1" t="s">
        <v>845</v>
      </c>
      <c r="AA10" s="657"/>
      <c r="AB10" s="641" t="str">
        <f t="array" ref="AB10">IFERROR(INDEX(Tabela2[Descrição],SMALL(IF(Tabela2[Tipo de Operação]="After Operation",ROW(Tabela2[Tipo de Operação])-1),ROW(AB9))),"-")</f>
        <v>Corte Laser 3</v>
      </c>
      <c r="AC10" s="641" t="str">
        <f t="array" ref="AC10">IFERROR(INDEX(Tabela2[Descrição],SMALL(IF(Tabela2[Tipo de Operação]="Célula de Solda",ROW(Tabela2[Tipo de Operação])-1),ROW(AB9))),"-")</f>
        <v>-</v>
      </c>
      <c r="AD10" s="641" t="str">
        <f t="array" ref="AD10">IFERROR(INDEX(Tabela2[Descrição],SMALL(IF(Tabela2[Tipo de Operação]="Tubos Conformação Convencional",ROW(Tabela2[Tipo de Operação])-1),ROW(AB9))),"-")</f>
        <v>-</v>
      </c>
      <c r="AE10" s="641" t="str">
        <f t="array" ref="AE10">IFERROR(INDEX(Tabela2[Descrição],SMALL(IF(Tabela2[Tipo de Operação]="Direct Forming",ROW(Tabela2[Tipo de Operação])-1),ROW(AB9))),"-")</f>
        <v>-</v>
      </c>
      <c r="AF10" s="558" t="str">
        <f t="array" ref="AF10">IFERROR(INDEX(Tabela2[Descrição],SMALL(IF(Tabela2[Tipo de Operação]="Conformação Perfis",ROW(Tabela2[Tipo de Operação])-1),ROW(AB9))),"-")</f>
        <v>-</v>
      </c>
      <c r="AG10" s="535"/>
      <c r="AH10" s="358">
        <v>1.25</v>
      </c>
      <c r="AI10" s="358">
        <v>20.65</v>
      </c>
      <c r="AJ10" s="358" t="s">
        <v>116</v>
      </c>
    </row>
    <row r="11" spans="1:59" x14ac:dyDescent="0.2">
      <c r="A11" s="654" t="s">
        <v>2837</v>
      </c>
      <c r="B11" s="654" t="s">
        <v>60</v>
      </c>
      <c r="C11" s="654" t="s">
        <v>644</v>
      </c>
      <c r="D11" s="653" t="s">
        <v>60</v>
      </c>
      <c r="E11" s="653" t="s">
        <v>2836</v>
      </c>
      <c r="F11" s="654">
        <v>9</v>
      </c>
      <c r="G11" s="655"/>
      <c r="H11" s="655">
        <v>0.7</v>
      </c>
      <c r="I11" s="655"/>
      <c r="J11" s="656"/>
      <c r="K11" s="656">
        <v>2.0833333333333332E-2</v>
      </c>
      <c r="L11" s="655"/>
      <c r="M11" s="657">
        <v>1.7999999999999999E-2</v>
      </c>
      <c r="N11" s="656"/>
      <c r="O11" s="656"/>
      <c r="P11" s="656"/>
      <c r="Q11" s="656">
        <v>2.0833333333333332E-2</v>
      </c>
      <c r="R11" s="656">
        <v>4.1666666666666664E-2</v>
      </c>
      <c r="S11" s="656">
        <v>4.1666666666666664E-2</v>
      </c>
      <c r="T11" s="656">
        <v>4.1666666666666664E-2</v>
      </c>
      <c r="U11" s="662">
        <v>1</v>
      </c>
      <c r="V11" s="662">
        <v>0</v>
      </c>
      <c r="W11" s="662">
        <v>0</v>
      </c>
      <c r="Y11" s="1" t="s">
        <v>849</v>
      </c>
      <c r="Z11" s="1" t="s">
        <v>836</v>
      </c>
      <c r="AA11" s="657"/>
      <c r="AB11" s="641" t="str">
        <f t="array" ref="AB11">IFERROR(INDEX(Tabela2[Descrição],SMALL(IF(Tabela2[Tipo de Operação]="After Operation",ROW(Tabela2[Tipo de Operação])-1),ROW(AB10))),"-")</f>
        <v>Corte Laser 4</v>
      </c>
      <c r="AC11" s="641" t="str">
        <f t="array" ref="AC11">IFERROR(INDEX(Tabela2[Descrição],SMALL(IF(Tabela2[Tipo de Operação]="Célula de Solda",ROW(Tabela2[Tipo de Operação])-1),ROW(AB10))),"-")</f>
        <v>-</v>
      </c>
      <c r="AD11" s="641" t="str">
        <f t="array" ref="AD11">IFERROR(INDEX(Tabela2[Descrição],SMALL(IF(Tabela2[Tipo de Operação]="Tubos Conformação Convencional",ROW(Tabela2[Tipo de Operação])-1),ROW(AB10))),"-")</f>
        <v>-</v>
      </c>
      <c r="AE11" s="641" t="str">
        <f t="array" ref="AE11">IFERROR(INDEX(Tabela2[Descrição],SMALL(IF(Tabela2[Tipo de Operação]="Direct Forming",ROW(Tabela2[Tipo de Operação])-1),ROW(AB10))),"-")</f>
        <v>-</v>
      </c>
      <c r="AF11" s="558" t="str">
        <f t="array" ref="AF11">IFERROR(INDEX(Tabela2[Descrição],SMALL(IF(Tabela2[Tipo de Operação]="Conformação Perfis",ROW(Tabela2[Tipo de Operação])-1),ROW(AB10))),"-")</f>
        <v>-</v>
      </c>
      <c r="AG11" s="535"/>
      <c r="AH11" s="358">
        <v>1.5</v>
      </c>
      <c r="AI11" s="358">
        <v>22.22</v>
      </c>
      <c r="AJ11" s="358" t="s">
        <v>14</v>
      </c>
    </row>
    <row r="12" spans="1:59" x14ac:dyDescent="0.2">
      <c r="A12" s="654" t="s">
        <v>2838</v>
      </c>
      <c r="B12" s="654" t="s">
        <v>815</v>
      </c>
      <c r="C12" s="654" t="s">
        <v>645</v>
      </c>
      <c r="D12" s="653" t="s">
        <v>815</v>
      </c>
      <c r="E12" s="653" t="s">
        <v>2836</v>
      </c>
      <c r="F12" s="654">
        <v>10</v>
      </c>
      <c r="G12" s="655"/>
      <c r="H12" s="655">
        <v>0.7</v>
      </c>
      <c r="I12" s="655"/>
      <c r="J12" s="656"/>
      <c r="K12" s="656">
        <v>2.0833333333333332E-2</v>
      </c>
      <c r="L12" s="655"/>
      <c r="M12" s="657">
        <v>1.7999999999999999E-2</v>
      </c>
      <c r="N12" s="656"/>
      <c r="O12" s="656"/>
      <c r="P12" s="656"/>
      <c r="Q12" s="656">
        <v>2.0833333333333332E-2</v>
      </c>
      <c r="R12" s="656">
        <v>4.1666666666666664E-2</v>
      </c>
      <c r="S12" s="656">
        <v>4.1666666666666664E-2</v>
      </c>
      <c r="T12" s="656">
        <v>4.1666666666666664E-2</v>
      </c>
      <c r="U12" s="662">
        <v>1</v>
      </c>
      <c r="V12" s="662">
        <v>0</v>
      </c>
      <c r="W12" s="662">
        <v>0</v>
      </c>
      <c r="Y12" s="1" t="s">
        <v>850</v>
      </c>
      <c r="Z12" s="1" t="s">
        <v>851</v>
      </c>
      <c r="AA12" s="657"/>
      <c r="AB12" s="641" t="str">
        <f t="array" ref="AB12">IFERROR(INDEX(Tabela2[Descrição],SMALL(IF(Tabela2[Tipo de Operação]="After Operation",ROW(Tabela2[Tipo de Operação])-1),ROW(AB11))),"-")</f>
        <v>Célula de Operações Especiais 1</v>
      </c>
      <c r="AC12" s="641" t="str">
        <f t="array" ref="AC12">IFERROR(INDEX(Tabela2[Descrição],SMALL(IF(Tabela2[Tipo de Operação]="Célula de Solda",ROW(Tabela2[Tipo de Operação])-1),ROW(AB11))),"-")</f>
        <v>-</v>
      </c>
      <c r="AD12" s="641" t="str">
        <f t="array" ref="AD12">IFERROR(INDEX(Tabela2[Descrição],SMALL(IF(Tabela2[Tipo de Operação]="Tubos Conformação Convencional",ROW(Tabela2[Tipo de Operação])-1),ROW(AB11))),"-")</f>
        <v>-</v>
      </c>
      <c r="AE12" s="641" t="str">
        <f t="array" ref="AE12">IFERROR(INDEX(Tabela2[Descrição],SMALL(IF(Tabela2[Tipo de Operação]="Direct Forming",ROW(Tabela2[Tipo de Operação])-1),ROW(AB11))),"-")</f>
        <v>-</v>
      </c>
      <c r="AF12" s="558" t="str">
        <f t="array" ref="AF12">IFERROR(INDEX(Tabela2[Descrição],SMALL(IF(Tabela2[Tipo de Operação]="Conformação Perfis",ROW(Tabela2[Tipo de Operação])-1),ROW(AB11))),"-")</f>
        <v>-</v>
      </c>
      <c r="AG12" s="535"/>
      <c r="AH12" s="358">
        <v>1.45</v>
      </c>
      <c r="AI12" s="358"/>
      <c r="AJ12" s="358"/>
    </row>
    <row r="13" spans="1:59" x14ac:dyDescent="0.2">
      <c r="A13" s="654" t="s">
        <v>2839</v>
      </c>
      <c r="B13" s="654" t="s">
        <v>2840</v>
      </c>
      <c r="C13" s="654" t="s">
        <v>2841</v>
      </c>
      <c r="D13" s="653"/>
      <c r="E13" s="653" t="s">
        <v>2842</v>
      </c>
      <c r="F13" s="654"/>
      <c r="G13" s="655"/>
      <c r="H13" s="655"/>
      <c r="I13" s="655"/>
      <c r="J13" s="656"/>
      <c r="K13" s="656"/>
      <c r="L13" s="655"/>
      <c r="M13" s="657"/>
      <c r="N13" s="656"/>
      <c r="O13" s="656"/>
      <c r="P13" s="656"/>
      <c r="Q13" s="656"/>
      <c r="R13" s="656">
        <v>4.1666666666666664E-2</v>
      </c>
      <c r="S13" s="656">
        <v>4.1666666666666664E-2</v>
      </c>
      <c r="T13" s="656">
        <v>4.1666666666666664E-2</v>
      </c>
      <c r="U13" s="662">
        <v>1</v>
      </c>
      <c r="V13" s="662">
        <v>0</v>
      </c>
      <c r="W13" s="662">
        <v>0</v>
      </c>
      <c r="Y13" s="1" t="s">
        <v>852</v>
      </c>
      <c r="Z13" s="1" t="s">
        <v>853</v>
      </c>
      <c r="AA13" s="657"/>
      <c r="AB13" s="641" t="str">
        <f t="array" ref="AB13">IFERROR(INDEX(Tabela2[Descrição],SMALL(IF(Tabela2[Tipo de Operação]="After Operation",ROW(Tabela2[Tipo de Operação])-1),ROW(AB12))),"-")</f>
        <v>Calandra Tauring 1</v>
      </c>
      <c r="AC13" s="641" t="str">
        <f t="array" ref="AC13">IFERROR(INDEX(Tabela2[Descrição],SMALL(IF(Tabela2[Tipo de Operação]="Célula de Solda",ROW(Tabela2[Tipo de Operação])-1),ROW(AB12))),"-")</f>
        <v>-</v>
      </c>
      <c r="AD13" s="641" t="str">
        <f t="array" ref="AD13">IFERROR(INDEX(Tabela2[Descrição],SMALL(IF(Tabela2[Tipo de Operação]="Tubos Conformação Convencional",ROW(Tabela2[Tipo de Operação])-1),ROW(AB12))),"-")</f>
        <v>-</v>
      </c>
      <c r="AE13" s="641" t="str">
        <f t="array" ref="AE13">IFERROR(INDEX(Tabela2[Descrição],SMALL(IF(Tabela2[Tipo de Operação]="Direct Forming",ROW(Tabela2[Tipo de Operação])-1),ROW(AB12))),"-")</f>
        <v>-</v>
      </c>
      <c r="AF13" s="558" t="str">
        <f t="array" ref="AF13">IFERROR(INDEX(Tabela2[Descrição],SMALL(IF(Tabela2[Tipo de Operação]="Conformação Perfis",ROW(Tabela2[Tipo de Operação])-1),ROW(AB12))),"-")</f>
        <v>-</v>
      </c>
      <c r="AG13" s="535"/>
      <c r="AH13" s="358">
        <v>1.55</v>
      </c>
      <c r="AI13" s="358">
        <v>25.4</v>
      </c>
      <c r="AJ13" s="358" t="s">
        <v>15</v>
      </c>
    </row>
    <row r="14" spans="1:59" x14ac:dyDescent="0.2">
      <c r="A14" s="654" t="s">
        <v>2843</v>
      </c>
      <c r="B14" s="654" t="s">
        <v>2844</v>
      </c>
      <c r="C14" s="654" t="s">
        <v>2845</v>
      </c>
      <c r="D14" s="653"/>
      <c r="E14" s="653" t="s">
        <v>2842</v>
      </c>
      <c r="F14" s="654"/>
      <c r="G14" s="655"/>
      <c r="H14" s="655"/>
      <c r="I14" s="655"/>
      <c r="J14" s="656"/>
      <c r="K14" s="656"/>
      <c r="L14" s="655"/>
      <c r="M14" s="657"/>
      <c r="N14" s="656"/>
      <c r="O14" s="656"/>
      <c r="P14" s="656"/>
      <c r="Q14" s="656"/>
      <c r="R14" s="656">
        <v>4.1666666666666664E-2</v>
      </c>
      <c r="S14" s="656">
        <v>4.1666666666666664E-2</v>
      </c>
      <c r="T14" s="656">
        <v>4.1666666666666664E-2</v>
      </c>
      <c r="U14" s="662">
        <v>1</v>
      </c>
      <c r="V14" s="662">
        <v>0</v>
      </c>
      <c r="W14" s="662">
        <v>0</v>
      </c>
      <c r="Y14" s="1" t="s">
        <v>854</v>
      </c>
      <c r="Z14" s="1" t="s">
        <v>851</v>
      </c>
      <c r="AA14" s="657"/>
      <c r="AB14" s="401" t="str">
        <f t="array" ref="AB14">IFERROR(INDEX(Tabela2[Descrição],SMALL(IF(Tabela2[Tipo de Operação]="After Operation",ROW(Tabela2[Tipo de Operação])-1),ROW(AB13))),"-")</f>
        <v>Calandra Calfran 2</v>
      </c>
      <c r="AC14" s="641" t="str">
        <f t="array" ref="AC14">IFERROR(INDEX(Tabela2[Descrição],SMALL(IF(Tabela2[Tipo de Operação]="Célula de Solda",ROW(Tabela2[Tipo de Operação])-1),ROW(AB13))),"-")</f>
        <v>-</v>
      </c>
      <c r="AD14" s="641" t="str">
        <f t="array" ref="AD14">IFERROR(INDEX(Tabela2[Descrição],SMALL(IF(Tabela2[Tipo de Operação]="Tubos Conformação Convencional",ROW(Tabela2[Tipo de Operação])-1),ROW(AB13))),"-")</f>
        <v>-</v>
      </c>
      <c r="AE14" s="641" t="str">
        <f t="array" ref="AE14">IFERROR(INDEX(Tabela2[Descrição],SMALL(IF(Tabela2[Tipo de Operação]="Direct Forming",ROW(Tabela2[Tipo de Operação])-1),ROW(AB13))),"-")</f>
        <v>-</v>
      </c>
      <c r="AF14" s="558" t="str">
        <f t="array" ref="AF14">IFERROR(INDEX(Tabela2[Descrição],SMALL(IF(Tabela2[Tipo de Operação]="Conformação Perfis",ROW(Tabela2[Tipo de Operação])-1),ROW(AB13))),"-")</f>
        <v>-</v>
      </c>
      <c r="AG14" s="535"/>
      <c r="AH14" s="358">
        <v>1.8</v>
      </c>
      <c r="AI14" s="358">
        <v>28.57</v>
      </c>
      <c r="AJ14" s="358" t="s">
        <v>16</v>
      </c>
    </row>
    <row r="15" spans="1:59" x14ac:dyDescent="0.2">
      <c r="A15" s="654" t="s">
        <v>2846</v>
      </c>
      <c r="B15" s="654" t="s">
        <v>2847</v>
      </c>
      <c r="C15" s="654" t="s">
        <v>2848</v>
      </c>
      <c r="D15" s="653"/>
      <c r="E15" s="653" t="s">
        <v>2825</v>
      </c>
      <c r="F15" s="654"/>
      <c r="G15" s="655"/>
      <c r="H15" s="655"/>
      <c r="I15" s="655"/>
      <c r="J15" s="656">
        <v>0</v>
      </c>
      <c r="K15" s="656"/>
      <c r="L15" s="655"/>
      <c r="M15" s="657"/>
      <c r="N15" s="656"/>
      <c r="O15" s="656"/>
      <c r="P15" s="656"/>
      <c r="Q15" s="656"/>
      <c r="R15" s="656">
        <v>4.1666666666666664E-2</v>
      </c>
      <c r="S15" s="656">
        <v>4.1666666666666664E-2</v>
      </c>
      <c r="T15" s="656">
        <v>4.1666666666666664E-2</v>
      </c>
      <c r="U15" s="662">
        <v>1</v>
      </c>
      <c r="V15" s="662">
        <v>0</v>
      </c>
      <c r="W15" s="662">
        <v>0</v>
      </c>
      <c r="Y15" s="1" t="s">
        <v>855</v>
      </c>
      <c r="Z15" s="1" t="s">
        <v>845</v>
      </c>
      <c r="AA15" s="657"/>
      <c r="AB15" s="641" t="str">
        <f t="array" ref="AB15">IFERROR(INDEX(Tabela2[Descrição],SMALL(IF(Tabela2[Tipo de Operação]="After Operation",ROW(Tabela2[Tipo de Operação])-1),ROW(AB14))),"-")</f>
        <v>Dobra Tubos CNC 1</v>
      </c>
      <c r="AC15" s="641" t="str">
        <f t="array" ref="AC15">IFERROR(INDEX(Tabela2[Descrição],SMALL(IF(Tabela2[Tipo de Operação]="Célula de Solda",ROW(Tabela2[Tipo de Operação])-1),ROW(AB14))),"-")</f>
        <v>-</v>
      </c>
      <c r="AD15" s="641" t="str">
        <f t="array" ref="AD15">IFERROR(INDEX(Tabela2[Descrição],SMALL(IF(Tabela2[Tipo de Operação]="Tubos Conformação Convencional",ROW(Tabela2[Tipo de Operação])-1),ROW(AB14))),"-")</f>
        <v>-</v>
      </c>
      <c r="AE15" s="641" t="str">
        <f t="array" ref="AE15">IFERROR(INDEX(Tabela2[Descrição],SMALL(IF(Tabela2[Tipo de Operação]="Direct Forming",ROW(Tabela2[Tipo de Operação])-1),ROW(AB14))),"-")</f>
        <v>-</v>
      </c>
      <c r="AF15" s="558" t="str">
        <f t="array" ref="AF15">IFERROR(INDEX(Tabela2[Descrição],SMALL(IF(Tabela2[Tipo de Operação]="Conformação Perfis",ROW(Tabela2[Tipo de Operação])-1),ROW(AB14))),"-")</f>
        <v>-</v>
      </c>
      <c r="AG15" s="535"/>
      <c r="AH15" s="358">
        <v>1.9</v>
      </c>
      <c r="AI15" s="358">
        <v>31.75</v>
      </c>
      <c r="AJ15" s="358" t="s">
        <v>17</v>
      </c>
    </row>
    <row r="16" spans="1:59" x14ac:dyDescent="0.2">
      <c r="A16" s="654" t="s">
        <v>2849</v>
      </c>
      <c r="B16" s="654" t="s">
        <v>2850</v>
      </c>
      <c r="C16" s="654" t="s">
        <v>2851</v>
      </c>
      <c r="D16" s="653"/>
      <c r="E16" s="653" t="s">
        <v>2825</v>
      </c>
      <c r="F16" s="654"/>
      <c r="G16" s="655"/>
      <c r="H16" s="655"/>
      <c r="I16" s="655"/>
      <c r="J16" s="656">
        <v>0</v>
      </c>
      <c r="K16" s="656"/>
      <c r="L16" s="655"/>
      <c r="M16" s="657"/>
      <c r="N16" s="656"/>
      <c r="O16" s="656"/>
      <c r="P16" s="656"/>
      <c r="Q16" s="656"/>
      <c r="R16" s="656">
        <v>4.1666666666666664E-2</v>
      </c>
      <c r="S16" s="656">
        <v>4.1666666666666664E-2</v>
      </c>
      <c r="T16" s="656">
        <v>4.1666666666666664E-2</v>
      </c>
      <c r="U16" s="662">
        <v>1</v>
      </c>
      <c r="V16" s="662">
        <v>0</v>
      </c>
      <c r="W16" s="662">
        <v>0</v>
      </c>
      <c r="Y16" s="1" t="s">
        <v>856</v>
      </c>
      <c r="Z16" s="1" t="s">
        <v>841</v>
      </c>
      <c r="AA16" s="657"/>
      <c r="AB16" s="641" t="str">
        <f t="array" ref="AB16">IFERROR(INDEX(Tabela2[Descrição],SMALL(IF(Tabela2[Tipo de Operação]="After Operation",ROW(Tabela2[Tipo de Operação])-1),ROW(AB15))),"-")</f>
        <v>Dobra Tubos CNC 2</v>
      </c>
      <c r="AC16" s="641" t="str">
        <f t="array" ref="AC16">IFERROR(INDEX(Tabela2[Descrição],SMALL(IF(Tabela2[Tipo de Operação]="Célula de Solda",ROW(Tabela2[Tipo de Operação])-1),ROW(AB15))),"-")</f>
        <v>-</v>
      </c>
      <c r="AD16" s="641" t="str">
        <f t="array" ref="AD16">IFERROR(INDEX(Tabela2[Descrição],SMALL(IF(Tabela2[Tipo de Operação]="Tubos Conformação Convencional",ROW(Tabela2[Tipo de Operação])-1),ROW(AB15))),"-")</f>
        <v>-</v>
      </c>
      <c r="AE16" s="641" t="str">
        <f t="array" ref="AE16">IFERROR(INDEX(Tabela2[Descrição],SMALL(IF(Tabela2[Tipo de Operação]="Direct Forming",ROW(Tabela2[Tipo de Operação])-1),ROW(AB15))),"-")</f>
        <v>-</v>
      </c>
      <c r="AF16" s="558" t="str">
        <f t="array" ref="AF16">IFERROR(INDEX(Tabela2[Descrição],SMALL(IF(Tabela2[Tipo de Operação]="Conformação Perfis",ROW(Tabela2[Tipo de Operação])-1),ROW(AB15))),"-")</f>
        <v>-</v>
      </c>
      <c r="AG16" s="535"/>
      <c r="AH16" s="358">
        <v>1.95</v>
      </c>
      <c r="AI16" s="358">
        <v>33.4</v>
      </c>
      <c r="AJ16" s="358" t="s">
        <v>116</v>
      </c>
    </row>
    <row r="17" spans="1:36" x14ac:dyDescent="0.2">
      <c r="A17" s="654" t="s">
        <v>2852</v>
      </c>
      <c r="B17" s="654" t="s">
        <v>413</v>
      </c>
      <c r="C17" s="654" t="s">
        <v>2853</v>
      </c>
      <c r="D17" s="653"/>
      <c r="E17" s="653" t="s">
        <v>2825</v>
      </c>
      <c r="F17" s="654"/>
      <c r="G17" s="655">
        <v>0.65</v>
      </c>
      <c r="H17" s="655">
        <v>0.65</v>
      </c>
      <c r="I17" s="655">
        <v>0.65</v>
      </c>
      <c r="J17" s="656">
        <v>1.0416666666666666E-2</v>
      </c>
      <c r="K17" s="656"/>
      <c r="L17" s="655"/>
      <c r="M17" s="657">
        <v>0.01</v>
      </c>
      <c r="N17" s="656"/>
      <c r="O17" s="656"/>
      <c r="P17" s="656"/>
      <c r="Q17" s="656"/>
      <c r="R17" s="656">
        <v>4.1666666666666664E-2</v>
      </c>
      <c r="S17" s="656">
        <v>4.1666666666666664E-2</v>
      </c>
      <c r="T17" s="656">
        <v>4.1666666666666664E-2</v>
      </c>
      <c r="U17" s="662">
        <v>1</v>
      </c>
      <c r="V17" s="662">
        <v>0</v>
      </c>
      <c r="W17" s="662">
        <v>0</v>
      </c>
      <c r="Y17" s="1" t="s">
        <v>857</v>
      </c>
      <c r="Z17" s="1" t="s">
        <v>836</v>
      </c>
      <c r="AA17" s="657"/>
      <c r="AB17" s="401" t="str">
        <f t="array" ref="AB17">IFERROR(INDEX(Tabela2[Descrição],SMALL(IF(Tabela2[Tipo de Operação]="After Operation",ROW(Tabela2[Tipo de Operação])-1),ROW(AB16))),"-")</f>
        <v>Laser 3D 1</v>
      </c>
      <c r="AC17" s="641" t="str">
        <f t="array" ref="AC17">IFERROR(INDEX(Tabela2[Descrição],SMALL(IF(Tabela2[Tipo de Operação]="Célula de Solda",ROW(Tabela2[Tipo de Operação])-1),ROW(AB16))),"-")</f>
        <v>-</v>
      </c>
      <c r="AD17" s="641" t="str">
        <f t="array" ref="AD17">IFERROR(INDEX(Tabela2[Descrição],SMALL(IF(Tabela2[Tipo de Operação]="Tubos Conformação Convencional",ROW(Tabela2[Tipo de Operação])-1),ROW(AB16))),"-")</f>
        <v>-</v>
      </c>
      <c r="AE17" s="641" t="str">
        <f t="array" ref="AE17">IFERROR(INDEX(Tabela2[Descrição],SMALL(IF(Tabela2[Tipo de Operação]="Direct Forming",ROW(Tabela2[Tipo de Operação])-1),ROW(AB16))),"-")</f>
        <v>-</v>
      </c>
      <c r="AF17" s="558" t="str">
        <f t="array" ref="AF17">IFERROR(INDEX(Tabela2[Descrição],SMALL(IF(Tabela2[Tipo de Operação]="Conformação Perfis",ROW(Tabela2[Tipo de Operação])-1),ROW(AB16))),"-")</f>
        <v>-</v>
      </c>
      <c r="AG17" s="535"/>
      <c r="AH17" s="358">
        <v>2</v>
      </c>
      <c r="AI17" s="358">
        <v>33.700000000000003</v>
      </c>
      <c r="AJ17" s="358" t="s">
        <v>116</v>
      </c>
    </row>
    <row r="18" spans="1:36" x14ac:dyDescent="0.2">
      <c r="A18" s="654" t="s">
        <v>2854</v>
      </c>
      <c r="B18" s="654" t="s">
        <v>2855</v>
      </c>
      <c r="C18" s="654" t="s">
        <v>2856</v>
      </c>
      <c r="D18" s="653"/>
      <c r="E18" s="653" t="s">
        <v>2825</v>
      </c>
      <c r="F18" s="654"/>
      <c r="G18" s="655"/>
      <c r="H18" s="655"/>
      <c r="I18" s="655"/>
      <c r="J18" s="656">
        <v>0</v>
      </c>
      <c r="K18" s="656"/>
      <c r="L18" s="655"/>
      <c r="M18" s="657"/>
      <c r="N18" s="656"/>
      <c r="O18" s="656"/>
      <c r="P18" s="656"/>
      <c r="Q18" s="656"/>
      <c r="R18" s="656">
        <v>4.1666666666666664E-2</v>
      </c>
      <c r="S18" s="656">
        <v>4.1666666666666664E-2</v>
      </c>
      <c r="T18" s="656">
        <v>4.1666666666666664E-2</v>
      </c>
      <c r="U18" s="662">
        <v>1</v>
      </c>
      <c r="V18" s="662">
        <v>0</v>
      </c>
      <c r="W18" s="662">
        <v>0</v>
      </c>
      <c r="Y18" s="1" t="s">
        <v>858</v>
      </c>
      <c r="Z18" s="1" t="s">
        <v>836</v>
      </c>
      <c r="AA18" s="657"/>
      <c r="AB18" s="641" t="str">
        <f t="array" ref="AB18">IFERROR(INDEX(Tabela2[Descrição],SMALL(IF(Tabela2[Tipo de Operação]="After Operation",ROW(Tabela2[Tipo de Operação])-1),ROW(AB17))),"-")</f>
        <v>Laser 3D 2</v>
      </c>
      <c r="AC18" s="641" t="str">
        <f t="array" ref="AC18">IFERROR(INDEX(Tabela2[Descrição],SMALL(IF(Tabela2[Tipo de Operação]="Célula de Solda",ROW(Tabela2[Tipo de Operação])-1),ROW(AB17))),"-")</f>
        <v>-</v>
      </c>
      <c r="AD18" s="641" t="str">
        <f t="array" ref="AD18">IFERROR(INDEX(Tabela2[Descrição],SMALL(IF(Tabela2[Tipo de Operação]="Tubos Conformação Convencional",ROW(Tabela2[Tipo de Operação])-1),ROW(AB17))),"-")</f>
        <v>-</v>
      </c>
      <c r="AE18" s="641" t="str">
        <f t="array" ref="AE18">IFERROR(INDEX(Tabela2[Descrição],SMALL(IF(Tabela2[Tipo de Operação]="Direct Forming",ROW(Tabela2[Tipo de Operação])-1),ROW(AB17))),"-")</f>
        <v>-</v>
      </c>
      <c r="AF18" s="558" t="str">
        <f t="array" ref="AF18">IFERROR(INDEX(Tabela2[Descrição],SMALL(IF(Tabela2[Tipo de Operação]="Conformação Perfis",ROW(Tabela2[Tipo de Operação])-1),ROW(AB17))),"-")</f>
        <v>-</v>
      </c>
      <c r="AG18" s="535"/>
      <c r="AH18" s="358">
        <v>2.25</v>
      </c>
      <c r="AI18" s="358">
        <v>34.93</v>
      </c>
      <c r="AJ18" s="358" t="s">
        <v>18</v>
      </c>
    </row>
    <row r="19" spans="1:36" x14ac:dyDescent="0.2">
      <c r="A19" s="654" t="s">
        <v>2857</v>
      </c>
      <c r="B19" s="654" t="s">
        <v>411</v>
      </c>
      <c r="C19" s="654" t="s">
        <v>2858</v>
      </c>
      <c r="D19" s="653"/>
      <c r="E19" s="653" t="s">
        <v>2825</v>
      </c>
      <c r="F19" s="654"/>
      <c r="G19" s="655">
        <v>0.9</v>
      </c>
      <c r="H19" s="655">
        <v>0.8</v>
      </c>
      <c r="I19" s="655">
        <v>0.8</v>
      </c>
      <c r="J19" s="656">
        <v>1.4583333333333332E-2</v>
      </c>
      <c r="K19" s="656"/>
      <c r="L19" s="655"/>
      <c r="M19" s="657"/>
      <c r="N19" s="656"/>
      <c r="O19" s="656"/>
      <c r="P19" s="656"/>
      <c r="Q19" s="656"/>
      <c r="R19" s="656">
        <v>4.1666666666666664E-2</v>
      </c>
      <c r="S19" s="656">
        <v>4.1666666666666664E-2</v>
      </c>
      <c r="T19" s="656">
        <v>4.1666666666666664E-2</v>
      </c>
      <c r="U19" s="662">
        <v>1</v>
      </c>
      <c r="V19" s="662">
        <v>0</v>
      </c>
      <c r="W19" s="662">
        <v>0</v>
      </c>
      <c r="Y19" s="1" t="s">
        <v>859</v>
      </c>
      <c r="Z19" s="1" t="s">
        <v>836</v>
      </c>
      <c r="AA19" s="657"/>
      <c r="AB19" s="641" t="str">
        <f t="array" ref="AB19">IFERROR(INDEX(Tabela2[Descrição],SMALL(IF(Tabela2[Tipo de Operação]="After Operation",ROW(Tabela2[Tipo de Operação])-1),ROW(AB18))),"-")</f>
        <v>Multidobra 1</v>
      </c>
      <c r="AC19" s="641" t="str">
        <f t="array" ref="AC19">IFERROR(INDEX(Tabela2[Descrição],SMALL(IF(Tabela2[Tipo de Operação]="Célula de Solda",ROW(Tabela2[Tipo de Operação])-1),ROW(AB18))),"-")</f>
        <v>-</v>
      </c>
      <c r="AD19" s="641" t="str">
        <f t="array" ref="AD19">IFERROR(INDEX(Tabela2[Descrição],SMALL(IF(Tabela2[Tipo de Operação]="Tubos Conformação Convencional",ROW(Tabela2[Tipo de Operação])-1),ROW(AB18))),"-")</f>
        <v>-</v>
      </c>
      <c r="AE19" s="641" t="str">
        <f t="array" ref="AE19">IFERROR(INDEX(Tabela2[Descrição],SMALL(IF(Tabela2[Tipo de Operação]="Direct Forming",ROW(Tabela2[Tipo de Operação])-1),ROW(AB18))),"-")</f>
        <v>-</v>
      </c>
      <c r="AF19" s="558" t="str">
        <f t="array" ref="AF19">IFERROR(INDEX(Tabela2[Descrição],SMALL(IF(Tabela2[Tipo de Operação]="Conformação Perfis",ROW(Tabela2[Tipo de Operação])-1),ROW(AB18))),"-")</f>
        <v>-</v>
      </c>
      <c r="AG19" s="535"/>
      <c r="AH19" s="358">
        <v>2.2999999999999998</v>
      </c>
      <c r="AI19" s="358">
        <v>38.1</v>
      </c>
      <c r="AJ19" s="358" t="s">
        <v>19</v>
      </c>
    </row>
    <row r="20" spans="1:36" x14ac:dyDescent="0.2">
      <c r="A20" s="654" t="s">
        <v>2859</v>
      </c>
      <c r="B20" s="654" t="s">
        <v>410</v>
      </c>
      <c r="C20" s="654" t="s">
        <v>2860</v>
      </c>
      <c r="D20" s="653"/>
      <c r="E20" s="653" t="s">
        <v>2825</v>
      </c>
      <c r="F20" s="654"/>
      <c r="G20" s="655">
        <v>0.9</v>
      </c>
      <c r="H20" s="655">
        <v>0.8</v>
      </c>
      <c r="I20" s="655">
        <v>0.8</v>
      </c>
      <c r="J20" s="656">
        <v>4.1666666666666664E-2</v>
      </c>
      <c r="K20" s="656"/>
      <c r="L20" s="655"/>
      <c r="M20" s="657"/>
      <c r="N20" s="656"/>
      <c r="O20" s="656"/>
      <c r="P20" s="656"/>
      <c r="Q20" s="656"/>
      <c r="R20" s="656">
        <v>4.1666666666666664E-2</v>
      </c>
      <c r="S20" s="656">
        <v>4.1666666666666664E-2</v>
      </c>
      <c r="T20" s="656">
        <v>4.1666666666666664E-2</v>
      </c>
      <c r="U20" s="662">
        <v>1</v>
      </c>
      <c r="V20" s="662">
        <v>0</v>
      </c>
      <c r="W20" s="662">
        <v>0</v>
      </c>
      <c r="Y20" s="1" t="s">
        <v>860</v>
      </c>
      <c r="Z20" s="1" t="s">
        <v>845</v>
      </c>
      <c r="AA20" s="657"/>
      <c r="AB20" s="641" t="str">
        <f t="array" ref="AB20">IFERROR(INDEX(Tabela2[Descrição],SMALL(IF(Tabela2[Tipo de Operação]="After Operation",ROW(Tabela2[Tipo de Operação])-1),ROW(AB19))),"-")</f>
        <v>Subcontratação 0582</v>
      </c>
      <c r="AC20" s="641" t="str">
        <f t="array" ref="AC20">IFERROR(INDEX(Tabela2[Descrição],SMALL(IF(Tabela2[Tipo de Operação]="Célula de Solda",ROW(Tabela2[Tipo de Operação])-1),ROW(AB19))),"-")</f>
        <v>-</v>
      </c>
      <c r="AD20" s="641" t="str">
        <f t="array" ref="AD20">IFERROR(INDEX(Tabela2[Descrição],SMALL(IF(Tabela2[Tipo de Operação]="Tubos Conformação Convencional",ROW(Tabela2[Tipo de Operação])-1),ROW(AB19))),"-")</f>
        <v>-</v>
      </c>
      <c r="AE20" s="641" t="str">
        <f t="array" ref="AE20">IFERROR(INDEX(Tabela2[Descrição],SMALL(IF(Tabela2[Tipo de Operação]="Direct Forming",ROW(Tabela2[Tipo de Operação])-1),ROW(AB19))),"-")</f>
        <v>-</v>
      </c>
      <c r="AF20" s="558" t="str">
        <f t="array" ref="AF20">IFERROR(INDEX(Tabela2[Descrição],SMALL(IF(Tabela2[Tipo de Operação]="Conformação Perfis",ROW(Tabela2[Tipo de Operação])-1),ROW(AB19))),"-")</f>
        <v>-</v>
      </c>
      <c r="AG20" s="535"/>
      <c r="AH20" s="358">
        <v>2.65</v>
      </c>
      <c r="AI20" s="358">
        <v>41.27</v>
      </c>
      <c r="AJ20" s="358" t="s">
        <v>20</v>
      </c>
    </row>
    <row r="21" spans="1:36" x14ac:dyDescent="0.2">
      <c r="A21" s="654" t="s">
        <v>2861</v>
      </c>
      <c r="B21" s="654" t="s">
        <v>2862</v>
      </c>
      <c r="C21" s="654" t="s">
        <v>2863</v>
      </c>
      <c r="D21" s="653"/>
      <c r="E21" s="653" t="s">
        <v>2825</v>
      </c>
      <c r="F21" s="654"/>
      <c r="G21" s="655">
        <v>0.9</v>
      </c>
      <c r="H21" s="655">
        <v>0.8</v>
      </c>
      <c r="I21" s="655">
        <v>0.8</v>
      </c>
      <c r="J21" s="656">
        <v>4.1666666666666664E-2</v>
      </c>
      <c r="K21" s="656"/>
      <c r="L21" s="655"/>
      <c r="M21" s="657"/>
      <c r="N21" s="656"/>
      <c r="O21" s="656"/>
      <c r="P21" s="656"/>
      <c r="Q21" s="656"/>
      <c r="R21" s="656">
        <v>4.1666666666666664E-2</v>
      </c>
      <c r="S21" s="656">
        <v>4.1666666666666664E-2</v>
      </c>
      <c r="T21" s="656">
        <v>4.1666666666666664E-2</v>
      </c>
      <c r="U21" s="662">
        <v>1</v>
      </c>
      <c r="V21" s="662">
        <v>0</v>
      </c>
      <c r="W21" s="662">
        <v>0</v>
      </c>
      <c r="Y21" s="1" t="s">
        <v>861</v>
      </c>
      <c r="Z21" s="1" t="s">
        <v>845</v>
      </c>
      <c r="AA21" s="657"/>
      <c r="AB21" s="641" t="str">
        <f t="array" ref="AB21">IFERROR(INDEX(Tabela2[Descrição],SMALL(IF(Tabela2[Tipo de Operação]="After Operation",ROW(Tabela2[Tipo de Operação])-1),ROW(AB20))),"-")</f>
        <v>-</v>
      </c>
      <c r="AC21" s="641" t="str">
        <f t="array" ref="AC21">IFERROR(INDEX(Tabela2[Descrição],SMALL(IF(Tabela2[Tipo de Operação]="Célula de Solda",ROW(Tabela2[Tipo de Operação])-1),ROW(AB20))),"-")</f>
        <v>-</v>
      </c>
      <c r="AD21" s="641" t="str">
        <f t="array" ref="AD21">IFERROR(INDEX(Tabela2[Descrição],SMALL(IF(Tabela2[Tipo de Operação]="Tubos Conformação Convencional",ROW(Tabela2[Tipo de Operação])-1),ROW(AB20))),"-")</f>
        <v>-</v>
      </c>
      <c r="AE21" s="641" t="str">
        <f t="array" ref="AE21">IFERROR(INDEX(Tabela2[Descrição],SMALL(IF(Tabela2[Tipo de Operação]="Direct Forming",ROW(Tabela2[Tipo de Operação])-1),ROW(AB20))),"-")</f>
        <v>-</v>
      </c>
      <c r="AF21" s="558" t="str">
        <f t="array" ref="AF21">IFERROR(INDEX(Tabela2[Descrição],SMALL(IF(Tabela2[Tipo de Operação]="Conformação Perfis",ROW(Tabela2[Tipo de Operação])-1),ROW(AB20))),"-")</f>
        <v>-</v>
      </c>
      <c r="AG21" s="535"/>
      <c r="AH21" s="358">
        <v>2.7</v>
      </c>
      <c r="AI21" s="358">
        <v>42.2</v>
      </c>
      <c r="AJ21" s="358" t="s">
        <v>116</v>
      </c>
    </row>
    <row r="22" spans="1:36" x14ac:dyDescent="0.2">
      <c r="A22" s="654" t="s">
        <v>2864</v>
      </c>
      <c r="B22" s="654" t="s">
        <v>2865</v>
      </c>
      <c r="C22" s="654" t="s">
        <v>2866</v>
      </c>
      <c r="D22" s="653"/>
      <c r="E22" s="653" t="s">
        <v>2825</v>
      </c>
      <c r="F22" s="654"/>
      <c r="G22" s="655">
        <v>0.9</v>
      </c>
      <c r="H22" s="655">
        <v>0.8</v>
      </c>
      <c r="I22" s="655">
        <v>0.8</v>
      </c>
      <c r="J22" s="656">
        <v>4.1666666666666664E-2</v>
      </c>
      <c r="K22" s="656"/>
      <c r="L22" s="655"/>
      <c r="M22" s="657"/>
      <c r="N22" s="656"/>
      <c r="O22" s="656"/>
      <c r="P22" s="656"/>
      <c r="Q22" s="656"/>
      <c r="R22" s="656">
        <v>4.1666666666666664E-2</v>
      </c>
      <c r="S22" s="656">
        <v>4.1666666666666664E-2</v>
      </c>
      <c r="T22" s="656">
        <v>4.1666666666666664E-2</v>
      </c>
      <c r="U22" s="662">
        <v>1</v>
      </c>
      <c r="V22" s="662">
        <v>0</v>
      </c>
      <c r="W22" s="662">
        <v>0</v>
      </c>
      <c r="Y22" s="1" t="s">
        <v>862</v>
      </c>
      <c r="Z22" s="1" t="s">
        <v>843</v>
      </c>
      <c r="AA22" s="657"/>
      <c r="AB22" s="641" t="str">
        <f t="array" ref="AB22">IFERROR(INDEX(Tabela2[Descrição],SMALL(IF(Tabela2[Tipo de Operação]="After Operation",ROW(Tabela2[Tipo de Operação])-1),ROW(AB21))),"-")</f>
        <v>-</v>
      </c>
      <c r="AC22" s="641" t="str">
        <f t="array" ref="AC22">IFERROR(INDEX(Tabela2[Descrição],SMALL(IF(Tabela2[Tipo de Operação]="Célula de Solda",ROW(Tabela2[Tipo de Operação])-1),ROW(AB21))),"-")</f>
        <v>-</v>
      </c>
      <c r="AD22" s="641" t="str">
        <f t="array" ref="AD22">IFERROR(INDEX(Tabela2[Descrição],SMALL(IF(Tabela2[Tipo de Operação]="Tubos Conformação Convencional",ROW(Tabela2[Tipo de Operação])-1),ROW(AB21))),"-")</f>
        <v>-</v>
      </c>
      <c r="AE22" s="641" t="str">
        <f t="array" ref="AE22">IFERROR(INDEX(Tabela2[Descrição],SMALL(IF(Tabela2[Tipo de Operação]="Direct Forming",ROW(Tabela2[Tipo de Operação])-1),ROW(AB21))),"-")</f>
        <v>-</v>
      </c>
      <c r="AF22" s="558" t="str">
        <f t="array" ref="AF22">IFERROR(INDEX(Tabela2[Descrição],SMALL(IF(Tabela2[Tipo de Operação]="Conformação Perfis",ROW(Tabela2[Tipo de Operação])-1),ROW(AB21))),"-")</f>
        <v>-</v>
      </c>
      <c r="AG22" s="535"/>
      <c r="AH22" s="358">
        <v>3</v>
      </c>
      <c r="AI22" s="358">
        <v>42.4</v>
      </c>
      <c r="AJ22" s="358" t="s">
        <v>116</v>
      </c>
    </row>
    <row r="23" spans="1:36" x14ac:dyDescent="0.2">
      <c r="A23" s="654" t="s">
        <v>2867</v>
      </c>
      <c r="B23" s="654" t="s">
        <v>407</v>
      </c>
      <c r="C23" s="654" t="s">
        <v>2868</v>
      </c>
      <c r="D23" s="653"/>
      <c r="E23" s="653" t="s">
        <v>2825</v>
      </c>
      <c r="F23" s="654"/>
      <c r="G23" s="655">
        <v>0.9</v>
      </c>
      <c r="H23" s="655">
        <v>0.8</v>
      </c>
      <c r="I23" s="655">
        <v>0.8</v>
      </c>
      <c r="J23" s="656">
        <v>2.0833333333333332E-2</v>
      </c>
      <c r="K23" s="656"/>
      <c r="L23" s="655"/>
      <c r="M23" s="657"/>
      <c r="N23" s="656"/>
      <c r="O23" s="656"/>
      <c r="P23" s="656"/>
      <c r="Q23" s="656"/>
      <c r="R23" s="656">
        <v>4.1666666666666664E-2</v>
      </c>
      <c r="S23" s="656">
        <v>4.1666666666666664E-2</v>
      </c>
      <c r="T23" s="656">
        <v>4.1666666666666664E-2</v>
      </c>
      <c r="U23" s="662">
        <v>1</v>
      </c>
      <c r="V23" s="662">
        <v>0</v>
      </c>
      <c r="W23" s="662">
        <v>0</v>
      </c>
      <c r="Y23" s="1" t="s">
        <v>863</v>
      </c>
      <c r="Z23" s="1" t="s">
        <v>845</v>
      </c>
      <c r="AA23" s="657"/>
      <c r="AB23" s="641" t="str">
        <f t="array" ref="AB23">IFERROR(INDEX(Tabela2[Descrição],SMALL(IF(Tabela2[Tipo de Operação]="After Operation",ROW(Tabela2[Tipo de Operação])-1),ROW(AB22))),"-")</f>
        <v>-</v>
      </c>
      <c r="AC23" s="641" t="str">
        <f t="array" ref="AC23">IFERROR(INDEX(Tabela2[Descrição],SMALL(IF(Tabela2[Tipo de Operação]="Célula de Solda",ROW(Tabela2[Tipo de Operação])-1),ROW(AB22))),"-")</f>
        <v>-</v>
      </c>
      <c r="AD23" s="641" t="str">
        <f t="array" ref="AD23">IFERROR(INDEX(Tabela2[Descrição],SMALL(IF(Tabela2[Tipo de Operação]="Tubos Conformação Convencional",ROW(Tabela2[Tipo de Operação])-1),ROW(AB22))),"-")</f>
        <v>-</v>
      </c>
      <c r="AE23" s="641" t="str">
        <f t="array" ref="AE23">IFERROR(INDEX(Tabela2[Descrição],SMALL(IF(Tabela2[Tipo de Operação]="Direct Forming",ROW(Tabela2[Tipo de Operação])-1),ROW(AB22))),"-")</f>
        <v>-</v>
      </c>
      <c r="AF23" s="558" t="str">
        <f t="array" ref="AF23">IFERROR(INDEX(Tabela2[Descrição],SMALL(IF(Tabela2[Tipo de Operação]="Conformação Perfis",ROW(Tabela2[Tipo de Operação])-1),ROW(AB22))),"-")</f>
        <v>-</v>
      </c>
      <c r="AG23" s="535"/>
      <c r="AH23" s="358">
        <v>3.35</v>
      </c>
      <c r="AI23" s="358">
        <v>44.45</v>
      </c>
      <c r="AJ23" s="358" t="s">
        <v>21</v>
      </c>
    </row>
    <row r="24" spans="1:36" x14ac:dyDescent="0.2">
      <c r="A24" s="654" t="s">
        <v>2869</v>
      </c>
      <c r="B24" s="654" t="s">
        <v>541</v>
      </c>
      <c r="C24" s="654" t="s">
        <v>2870</v>
      </c>
      <c r="D24" s="653" t="s">
        <v>833</v>
      </c>
      <c r="E24" s="653" t="s">
        <v>2929</v>
      </c>
      <c r="F24" s="654"/>
      <c r="G24" s="655"/>
      <c r="H24" s="655"/>
      <c r="I24" s="655"/>
      <c r="J24" s="656">
        <v>0</v>
      </c>
      <c r="K24" s="656"/>
      <c r="L24" s="655"/>
      <c r="M24" s="657">
        <v>0.01</v>
      </c>
      <c r="N24" s="656"/>
      <c r="O24" s="656"/>
      <c r="P24" s="656"/>
      <c r="Q24" s="656"/>
      <c r="R24" s="656">
        <v>4.1666666666666664E-2</v>
      </c>
      <c r="S24" s="656">
        <v>4.1666666666666664E-2</v>
      </c>
      <c r="T24" s="656">
        <v>4.1666666666666664E-2</v>
      </c>
      <c r="U24" s="662">
        <v>1</v>
      </c>
      <c r="V24" s="662">
        <v>0</v>
      </c>
      <c r="W24" s="662">
        <v>0</v>
      </c>
      <c r="Y24" s="1" t="s">
        <v>864</v>
      </c>
      <c r="Z24" s="1" t="s">
        <v>845</v>
      </c>
      <c r="AA24" s="657"/>
      <c r="AB24" s="641" t="str">
        <f t="array" ref="AB24">IFERROR(INDEX(Tabela2[Descrição],SMALL(IF(Tabela2[Tipo de Operação]="After Operation",ROW(Tabela2[Tipo de Operação])-1),ROW(AB23))),"-")</f>
        <v>-</v>
      </c>
      <c r="AC24" s="641" t="str">
        <f t="array" ref="AC24">IFERROR(INDEX(Tabela2[Descrição],SMALL(IF(Tabela2[Tipo de Operação]="Célula de Solda",ROW(Tabela2[Tipo de Operação])-1),ROW(AB23))),"-")</f>
        <v>-</v>
      </c>
      <c r="AD24" s="641" t="str">
        <f t="array" ref="AD24">IFERROR(INDEX(Tabela2[Descrição],SMALL(IF(Tabela2[Tipo de Operação]="Tubos Conformação Convencional",ROW(Tabela2[Tipo de Operação])-1),ROW(AB23))),"-")</f>
        <v>-</v>
      </c>
      <c r="AE24" s="641" t="str">
        <f t="array" ref="AE24">IFERROR(INDEX(Tabela2[Descrição],SMALL(IF(Tabela2[Tipo de Operação]="Direct Forming",ROW(Tabela2[Tipo de Operação])-1),ROW(AB23))),"-")</f>
        <v>-</v>
      </c>
      <c r="AF24" s="558" t="str">
        <f t="array" ref="AF24">IFERROR(INDEX(Tabela2[Descrição],SMALL(IF(Tabela2[Tipo de Operação]="Conformação Perfis",ROW(Tabela2[Tipo de Operação])-1),ROW(AB23))),"-")</f>
        <v>-</v>
      </c>
      <c r="AG24" s="535"/>
      <c r="AH24" s="358">
        <v>3.75</v>
      </c>
      <c r="AI24" s="358">
        <v>47.62</v>
      </c>
      <c r="AJ24" s="358" t="s">
        <v>22</v>
      </c>
    </row>
    <row r="25" spans="1:36" x14ac:dyDescent="0.2">
      <c r="A25" s="654" t="s">
        <v>2871</v>
      </c>
      <c r="B25" s="654" t="s">
        <v>2872</v>
      </c>
      <c r="C25" s="654" t="s">
        <v>2873</v>
      </c>
      <c r="D25" s="653" t="s">
        <v>834</v>
      </c>
      <c r="E25" s="653" t="s">
        <v>2929</v>
      </c>
      <c r="F25" s="654"/>
      <c r="G25" s="655"/>
      <c r="H25" s="655"/>
      <c r="I25" s="655"/>
      <c r="J25" s="656">
        <v>0</v>
      </c>
      <c r="K25" s="656"/>
      <c r="L25" s="655"/>
      <c r="M25" s="657">
        <v>0.01</v>
      </c>
      <c r="N25" s="656"/>
      <c r="O25" s="656"/>
      <c r="P25" s="656"/>
      <c r="Q25" s="656"/>
      <c r="R25" s="656">
        <v>4.1666666666666664E-2</v>
      </c>
      <c r="S25" s="656">
        <v>4.1666666666666664E-2</v>
      </c>
      <c r="T25" s="656">
        <v>4.1666666666666664E-2</v>
      </c>
      <c r="U25" s="662">
        <v>1</v>
      </c>
      <c r="V25" s="662">
        <v>0</v>
      </c>
      <c r="W25" s="662">
        <v>0</v>
      </c>
      <c r="Y25" s="1" t="s">
        <v>865</v>
      </c>
      <c r="Z25" s="1" t="s">
        <v>845</v>
      </c>
      <c r="AA25" s="657"/>
      <c r="AB25" s="641" t="str">
        <f t="array" ref="AB25">IFERROR(INDEX(Tabela2[Descrição],SMALL(IF(Tabela2[Tipo de Operação]="After Operation",ROW(Tabela2[Tipo de Operação])-1),ROW(AB24))),"-")</f>
        <v>-</v>
      </c>
      <c r="AC25" s="641" t="str">
        <f t="array" ref="AC25">IFERROR(INDEX(Tabela2[Descrição],SMALL(IF(Tabela2[Tipo de Operação]="Célula de Solda",ROW(Tabela2[Tipo de Operação])-1),ROW(AB24))),"-")</f>
        <v>-</v>
      </c>
      <c r="AD25" s="641" t="str">
        <f t="array" ref="AD25">IFERROR(INDEX(Tabela2[Descrição],SMALL(IF(Tabela2[Tipo de Operação]="Tubos Conformação Convencional",ROW(Tabela2[Tipo de Operação])-1),ROW(AB24))),"-")</f>
        <v>-</v>
      </c>
      <c r="AE25" s="641" t="str">
        <f t="array" ref="AE25">IFERROR(INDEX(Tabela2[Descrição],SMALL(IF(Tabela2[Tipo de Operação]="Direct Forming",ROW(Tabela2[Tipo de Operação])-1),ROW(AB24))),"-")</f>
        <v>-</v>
      </c>
      <c r="AF25" s="558" t="str">
        <f t="array" ref="AF25">IFERROR(INDEX(Tabela2[Descrição],SMALL(IF(Tabela2[Tipo de Operação]="Conformação Perfis",ROW(Tabela2[Tipo de Operação])-1),ROW(AB24))),"-")</f>
        <v>-</v>
      </c>
      <c r="AG25" s="535"/>
      <c r="AH25" s="358">
        <v>4.25</v>
      </c>
      <c r="AI25" s="358">
        <v>48.3</v>
      </c>
      <c r="AJ25" s="358" t="s">
        <v>116</v>
      </c>
    </row>
    <row r="26" spans="1:36" x14ac:dyDescent="0.2">
      <c r="A26" s="654" t="s">
        <v>2874</v>
      </c>
      <c r="B26" s="654" t="s">
        <v>2875</v>
      </c>
      <c r="C26" s="654" t="s">
        <v>2876</v>
      </c>
      <c r="D26" s="653" t="s">
        <v>834</v>
      </c>
      <c r="E26" s="653" t="s">
        <v>2929</v>
      </c>
      <c r="F26" s="654"/>
      <c r="G26" s="655"/>
      <c r="H26" s="655"/>
      <c r="I26" s="655"/>
      <c r="J26" s="656">
        <v>0</v>
      </c>
      <c r="K26" s="656"/>
      <c r="L26" s="655"/>
      <c r="M26" s="657">
        <v>0.01</v>
      </c>
      <c r="N26" s="656"/>
      <c r="O26" s="656"/>
      <c r="P26" s="656"/>
      <c r="Q26" s="656"/>
      <c r="R26" s="656">
        <v>4.1666666666666664E-2</v>
      </c>
      <c r="S26" s="656">
        <v>4.1666666666666664E-2</v>
      </c>
      <c r="T26" s="656">
        <v>4.1666666666666664E-2</v>
      </c>
      <c r="U26" s="662">
        <v>1</v>
      </c>
      <c r="V26" s="662">
        <v>0</v>
      </c>
      <c r="W26" s="662">
        <v>0</v>
      </c>
      <c r="Y26" s="1" t="s">
        <v>866</v>
      </c>
      <c r="Z26" s="1" t="s">
        <v>845</v>
      </c>
      <c r="AA26" s="657"/>
      <c r="AB26" s="641" t="str">
        <f t="array" ref="AB26">IFERROR(INDEX(Tabela2[Descrição],SMALL(IF(Tabela2[Tipo de Operação]="After Operation",ROW(Tabela2[Tipo de Operação])-1),ROW(AB25))),"-")</f>
        <v>-</v>
      </c>
      <c r="AC26" s="641" t="str">
        <f t="array" ref="AC26">IFERROR(INDEX(Tabela2[Descrição],SMALL(IF(Tabela2[Tipo de Operação]="Célula de Solda",ROW(Tabela2[Tipo de Operação])-1),ROW(AB25))),"-")</f>
        <v>-</v>
      </c>
      <c r="AD26" s="641" t="str">
        <f t="array" ref="AD26">IFERROR(INDEX(Tabela2[Descrição],SMALL(IF(Tabela2[Tipo de Operação]="Tubos Conformação Convencional",ROW(Tabela2[Tipo de Operação])-1),ROW(AB25))),"-")</f>
        <v>-</v>
      </c>
      <c r="AE26" s="641" t="str">
        <f t="array" ref="AE26">IFERROR(INDEX(Tabela2[Descrição],SMALL(IF(Tabela2[Tipo de Operação]="Direct Forming",ROW(Tabela2[Tipo de Operação])-1),ROW(AB25))),"-")</f>
        <v>-</v>
      </c>
      <c r="AF26" s="558" t="str">
        <f t="array" ref="AF26">IFERROR(INDEX(Tabela2[Descrição],SMALL(IF(Tabela2[Tipo de Operação]="Conformação Perfis",ROW(Tabela2[Tipo de Operação])-1),ROW(AB25))),"-")</f>
        <v>-</v>
      </c>
      <c r="AG26" s="535"/>
      <c r="AH26" s="358">
        <v>4.5</v>
      </c>
      <c r="AI26" s="358">
        <v>50.8</v>
      </c>
      <c r="AJ26" s="358" t="s">
        <v>23</v>
      </c>
    </row>
    <row r="27" spans="1:36" x14ac:dyDescent="0.2">
      <c r="A27" s="654" t="s">
        <v>2877</v>
      </c>
      <c r="B27" s="654" t="s">
        <v>2878</v>
      </c>
      <c r="C27" s="654" t="s">
        <v>2879</v>
      </c>
      <c r="D27" s="653"/>
      <c r="E27" s="653" t="s">
        <v>2825</v>
      </c>
      <c r="F27" s="654"/>
      <c r="G27" s="655">
        <v>0.9</v>
      </c>
      <c r="H27" s="655">
        <v>0.8</v>
      </c>
      <c r="I27" s="655">
        <v>0.8</v>
      </c>
      <c r="J27" s="656">
        <v>3.125E-2</v>
      </c>
      <c r="K27" s="656"/>
      <c r="L27" s="655"/>
      <c r="M27" s="657"/>
      <c r="N27" s="656"/>
      <c r="O27" s="656"/>
      <c r="P27" s="656"/>
      <c r="Q27" s="656"/>
      <c r="R27" s="656">
        <v>4.1666666666666664E-2</v>
      </c>
      <c r="S27" s="656">
        <v>4.1666666666666664E-2</v>
      </c>
      <c r="T27" s="656">
        <v>4.1666666666666664E-2</v>
      </c>
      <c r="U27" s="662">
        <v>1</v>
      </c>
      <c r="V27" s="662">
        <v>0</v>
      </c>
      <c r="W27" s="662">
        <v>0</v>
      </c>
      <c r="Y27" s="1" t="s">
        <v>867</v>
      </c>
      <c r="Z27" s="1" t="s">
        <v>841</v>
      </c>
      <c r="AA27" s="657"/>
      <c r="AB27" s="641" t="str">
        <f t="array" ref="AB27">IFERROR(INDEX(Tabela2[Descrição],SMALL(IF(Tabela2[Tipo de Operação]="After Operation",ROW(Tabela2[Tipo de Operação])-1),ROW(AB26))),"-")</f>
        <v>-</v>
      </c>
      <c r="AC27" s="641" t="str">
        <f t="array" ref="AC27">IFERROR(INDEX(Tabela2[Descrição],SMALL(IF(Tabela2[Tipo de Operação]="Célula de Solda",ROW(Tabela2[Tipo de Operação])-1),ROW(AB26))),"-")</f>
        <v>-</v>
      </c>
      <c r="AD27" s="641" t="str">
        <f t="array" ref="AD27">IFERROR(INDEX(Tabela2[Descrição],SMALL(IF(Tabela2[Tipo de Operação]="Tubos Conformação Convencional",ROW(Tabela2[Tipo de Operação])-1),ROW(AB26))),"-")</f>
        <v>-</v>
      </c>
      <c r="AE27" s="641" t="str">
        <f t="array" ref="AE27">IFERROR(INDEX(Tabela2[Descrição],SMALL(IF(Tabela2[Tipo de Operação]="Direct Forming",ROW(Tabela2[Tipo de Operação])-1),ROW(AB26))),"-")</f>
        <v>-</v>
      </c>
      <c r="AF27" s="558" t="str">
        <f t="array" ref="AF27">IFERROR(INDEX(Tabela2[Descrição],SMALL(IF(Tabela2[Tipo de Operação]="Conformação Perfis",ROW(Tabela2[Tipo de Operação])-1),ROW(AB26))),"-")</f>
        <v>-</v>
      </c>
      <c r="AG27" s="535"/>
      <c r="AH27" s="358">
        <v>4.75</v>
      </c>
      <c r="AI27" s="358">
        <v>53.97</v>
      </c>
      <c r="AJ27" s="358" t="s">
        <v>99</v>
      </c>
    </row>
    <row r="28" spans="1:36" x14ac:dyDescent="0.2">
      <c r="A28" s="654" t="s">
        <v>2880</v>
      </c>
      <c r="B28" s="654" t="s">
        <v>2881</v>
      </c>
      <c r="C28" s="654" t="s">
        <v>2882</v>
      </c>
      <c r="D28" s="653"/>
      <c r="E28" s="653" t="s">
        <v>2825</v>
      </c>
      <c r="F28" s="654"/>
      <c r="G28" s="655">
        <v>0.9</v>
      </c>
      <c r="H28" s="655">
        <v>0.8</v>
      </c>
      <c r="I28" s="655">
        <v>0.8</v>
      </c>
      <c r="J28" s="656">
        <v>3.125E-2</v>
      </c>
      <c r="K28" s="656"/>
      <c r="L28" s="655"/>
      <c r="M28" s="657"/>
      <c r="N28" s="656"/>
      <c r="O28" s="656"/>
      <c r="P28" s="656"/>
      <c r="Q28" s="656"/>
      <c r="R28" s="656">
        <v>4.1666666666666664E-2</v>
      </c>
      <c r="S28" s="656">
        <v>4.1666666666666664E-2</v>
      </c>
      <c r="T28" s="656">
        <v>4.1666666666666664E-2</v>
      </c>
      <c r="U28" s="662">
        <v>1</v>
      </c>
      <c r="V28" s="662">
        <v>0</v>
      </c>
      <c r="W28" s="662">
        <v>0</v>
      </c>
      <c r="Y28" s="1" t="s">
        <v>868</v>
      </c>
      <c r="Z28" s="1" t="s">
        <v>836</v>
      </c>
      <c r="AA28" s="657"/>
      <c r="AB28" s="641" t="str">
        <f t="array" ref="AB28">IFERROR(INDEX(Tabela2[Descrição],SMALL(IF(Tabela2[Tipo de Operação]="After Operation",ROW(Tabela2[Tipo de Operação])-1),ROW(AB27))),"-")</f>
        <v>-</v>
      </c>
      <c r="AC28" s="641" t="str">
        <f t="array" ref="AC28">IFERROR(INDEX(Tabela2[Descrição],SMALL(IF(Tabela2[Tipo de Operação]="Célula de Solda",ROW(Tabela2[Tipo de Operação])-1),ROW(AB27))),"-")</f>
        <v>-</v>
      </c>
      <c r="AD28" s="641" t="str">
        <f t="array" ref="AD28">IFERROR(INDEX(Tabela2[Descrição],SMALL(IF(Tabela2[Tipo de Operação]="Tubos Conformação Convencional",ROW(Tabela2[Tipo de Operação])-1),ROW(AB27))),"-")</f>
        <v>-</v>
      </c>
      <c r="AE28" s="641" t="str">
        <f t="array" ref="AE28">IFERROR(INDEX(Tabela2[Descrição],SMALL(IF(Tabela2[Tipo de Operação]="Direct Forming",ROW(Tabela2[Tipo de Operação])-1),ROW(AB27))),"-")</f>
        <v>-</v>
      </c>
      <c r="AF28" s="558" t="str">
        <f t="array" ref="AF28">IFERROR(INDEX(Tabela2[Descrição],SMALL(IF(Tabela2[Tipo de Operação]="Conformação Perfis",ROW(Tabela2[Tipo de Operação])-1),ROW(AB27))),"-")</f>
        <v>-</v>
      </c>
      <c r="AG28" s="535"/>
      <c r="AH28" s="358">
        <v>5</v>
      </c>
      <c r="AI28" s="358">
        <v>57.15</v>
      </c>
      <c r="AJ28" s="358" t="s">
        <v>24</v>
      </c>
    </row>
    <row r="29" spans="1:36" x14ac:dyDescent="0.2">
      <c r="A29" s="654" t="s">
        <v>2883</v>
      </c>
      <c r="B29" s="654" t="s">
        <v>408</v>
      </c>
      <c r="C29" s="654" t="s">
        <v>2884</v>
      </c>
      <c r="D29" s="653"/>
      <c r="E29" s="653" t="s">
        <v>2825</v>
      </c>
      <c r="F29" s="654"/>
      <c r="G29" s="655">
        <v>0.7</v>
      </c>
      <c r="H29" s="655">
        <v>0.65</v>
      </c>
      <c r="I29" s="655">
        <v>0.6</v>
      </c>
      <c r="J29" s="656">
        <v>4.1666666666666664E-2</v>
      </c>
      <c r="K29" s="656"/>
      <c r="L29" s="655"/>
      <c r="M29" s="657">
        <v>0.03</v>
      </c>
      <c r="N29" s="656"/>
      <c r="O29" s="656"/>
      <c r="P29" s="656"/>
      <c r="Q29" s="656"/>
      <c r="R29" s="656">
        <v>4.1666666666666664E-2</v>
      </c>
      <c r="S29" s="656">
        <v>4.1666666666666664E-2</v>
      </c>
      <c r="T29" s="656">
        <v>4.1666666666666664E-2</v>
      </c>
      <c r="U29" s="662">
        <v>1</v>
      </c>
      <c r="V29" s="662">
        <v>0</v>
      </c>
      <c r="W29" s="662">
        <v>0</v>
      </c>
      <c r="Y29" s="1" t="s">
        <v>869</v>
      </c>
      <c r="Z29" s="1" t="s">
        <v>836</v>
      </c>
      <c r="AA29" s="657"/>
      <c r="AB29" s="663" t="str">
        <f t="array" ref="AB29">IFERROR(INDEX(Tabela2[Descrição],SMALL(IF(Tabela2[Tipo de Operação]="After Operation",ROW(Tabela2[Tipo de Operação])-1),ROW(AB28))),"-")</f>
        <v>-</v>
      </c>
      <c r="AC29" s="641" t="str">
        <f t="array" ref="AC29">IFERROR(INDEX(Tabela2[Descrição],SMALL(IF(Tabela2[Tipo de Operação]="Célula de Solda",ROW(Tabela2[Tipo de Operação])-1),ROW(AB28))),"-")</f>
        <v>-</v>
      </c>
      <c r="AD29" s="641" t="str">
        <f t="array" ref="AD29">IFERROR(INDEX(Tabela2[Descrição],SMALL(IF(Tabela2[Tipo de Operação]="Tubos Conformação Convencional",ROW(Tabela2[Tipo de Operação])-1),ROW(AB28))),"-")</f>
        <v>-</v>
      </c>
      <c r="AE29" s="641" t="str">
        <f t="array" ref="AE29">IFERROR(INDEX(Tabela2[Descrição],SMALL(IF(Tabela2[Tipo de Operação]="Direct Forming",ROW(Tabela2[Tipo de Operação])-1),ROW(AB28))),"-")</f>
        <v>-</v>
      </c>
      <c r="AF29" s="558" t="str">
        <f t="array" ref="AF29">IFERROR(INDEX(Tabela2[Descrição],SMALL(IF(Tabela2[Tipo de Operação]="Conformação Perfis",ROW(Tabela2[Tipo de Operação])-1),ROW(AB28))),"-")</f>
        <v>-</v>
      </c>
      <c r="AG29" s="535"/>
      <c r="AH29" s="358">
        <v>5.4</v>
      </c>
      <c r="AI29" s="358">
        <v>60.3</v>
      </c>
      <c r="AJ29" s="358" t="s">
        <v>25</v>
      </c>
    </row>
    <row r="30" spans="1:36" x14ac:dyDescent="0.2">
      <c r="A30" s="654" t="s">
        <v>2885</v>
      </c>
      <c r="B30" s="654" t="s">
        <v>409</v>
      </c>
      <c r="C30" s="654" t="s">
        <v>2886</v>
      </c>
      <c r="D30" s="653"/>
      <c r="E30" s="653" t="s">
        <v>2825</v>
      </c>
      <c r="F30" s="654"/>
      <c r="G30" s="655">
        <v>0.7</v>
      </c>
      <c r="H30" s="655">
        <v>0.65</v>
      </c>
      <c r="I30" s="655">
        <v>0.6</v>
      </c>
      <c r="J30" s="656">
        <v>4.1666666666666664E-2</v>
      </c>
      <c r="K30" s="656"/>
      <c r="L30" s="655"/>
      <c r="M30" s="657">
        <v>0.03</v>
      </c>
      <c r="N30" s="656"/>
      <c r="O30" s="656"/>
      <c r="P30" s="656"/>
      <c r="Q30" s="656"/>
      <c r="R30" s="656">
        <v>4.1666666666666664E-2</v>
      </c>
      <c r="S30" s="656">
        <v>4.1666666666666664E-2</v>
      </c>
      <c r="T30" s="656">
        <v>4.1666666666666664E-2</v>
      </c>
      <c r="U30" s="662">
        <v>1</v>
      </c>
      <c r="V30" s="662">
        <v>0</v>
      </c>
      <c r="W30" s="662">
        <v>0</v>
      </c>
      <c r="Y30" s="1" t="s">
        <v>870</v>
      </c>
      <c r="Z30" s="1" t="s">
        <v>841</v>
      </c>
      <c r="AA30" s="657"/>
      <c r="AB30" s="401" t="str">
        <f t="array" ref="AB30">IFERROR(INDEX(Tabela2[Descrição],SMALL(IF(Tabela2[Tipo de Operação]="After Operation",ROW(Tabela2[Tipo de Operação])-1),ROW(AB29))),"-")</f>
        <v>-</v>
      </c>
      <c r="AC30" s="641" t="str">
        <f t="array" ref="AC30">IFERROR(INDEX(Tabela2[Descrição],SMALL(IF(Tabela2[Tipo de Operação]="Célula de Solda",ROW(Tabela2[Tipo de Operação])-1),ROW(AB29))),"-")</f>
        <v>-</v>
      </c>
      <c r="AD30" s="641" t="str">
        <f t="array" ref="AD30">IFERROR(INDEX(Tabela2[Descrição],SMALL(IF(Tabela2[Tipo de Operação]="Tubos Conformação Convencional",ROW(Tabela2[Tipo de Operação])-1),ROW(AB29))),"-")</f>
        <v>-</v>
      </c>
      <c r="AE30" s="641" t="str">
        <f t="array" ref="AE30">IFERROR(INDEX(Tabela2[Descrição],SMALL(IF(Tabela2[Tipo de Operação]="Direct Forming",ROW(Tabela2[Tipo de Operação])-1),ROW(AB29))),"-")</f>
        <v>-</v>
      </c>
      <c r="AF30" s="558" t="str">
        <f t="array" ref="AF30">IFERROR(INDEX(Tabela2[Descrição],SMALL(IF(Tabela2[Tipo de Operação]="Conformação Perfis",ROW(Tabela2[Tipo de Operação])-1),ROW(AB29))),"-")</f>
        <v>-</v>
      </c>
      <c r="AG30" s="535"/>
      <c r="AH30" s="358">
        <v>6.3</v>
      </c>
      <c r="AI30" s="358">
        <v>63.5</v>
      </c>
      <c r="AJ30" s="358" t="s">
        <v>26</v>
      </c>
    </row>
    <row r="31" spans="1:36" x14ac:dyDescent="0.2">
      <c r="A31" s="654" t="s">
        <v>2887</v>
      </c>
      <c r="B31" s="654" t="s">
        <v>552</v>
      </c>
      <c r="C31" s="654" t="s">
        <v>2888</v>
      </c>
      <c r="D31" s="653"/>
      <c r="E31" s="653" t="s">
        <v>2825</v>
      </c>
      <c r="F31" s="654"/>
      <c r="G31" s="655">
        <v>0.75</v>
      </c>
      <c r="H31" s="655">
        <v>0.7</v>
      </c>
      <c r="I31" s="655">
        <v>0.65</v>
      </c>
      <c r="J31" s="656">
        <v>4.1666666666666664E-2</v>
      </c>
      <c r="K31" s="656"/>
      <c r="L31" s="655"/>
      <c r="M31" s="657"/>
      <c r="N31" s="656"/>
      <c r="O31" s="656"/>
      <c r="P31" s="656"/>
      <c r="Q31" s="656"/>
      <c r="R31" s="656">
        <v>4.1666666666666664E-2</v>
      </c>
      <c r="S31" s="656">
        <v>4.1666666666666664E-2</v>
      </c>
      <c r="T31" s="656">
        <v>4.1666666666666664E-2</v>
      </c>
      <c r="U31" s="662">
        <v>1</v>
      </c>
      <c r="V31" s="662">
        <v>0</v>
      </c>
      <c r="W31" s="662">
        <v>0</v>
      </c>
      <c r="Y31" s="1" t="s">
        <v>871</v>
      </c>
      <c r="Z31" s="1" t="s">
        <v>845</v>
      </c>
      <c r="AA31" s="657"/>
      <c r="AB31" s="641" t="str">
        <f t="array" ref="AB31">IFERROR(INDEX(Tabela2[Descrição],SMALL(IF(Tabela2[Tipo de Operação]="After Operation",ROW(Tabela2[Tipo de Operação])-1),ROW(AB30))),"-")</f>
        <v>-</v>
      </c>
      <c r="AC31" s="641" t="str">
        <f t="array" ref="AC31">IFERROR(INDEX(Tabela2[Descrição],SMALL(IF(Tabela2[Tipo de Operação]="Célula de Solda",ROW(Tabela2[Tipo de Operação])-1),ROW(AB30))),"-")</f>
        <v>-</v>
      </c>
      <c r="AD31" s="641" t="str">
        <f t="array" ref="AD31">IFERROR(INDEX(Tabela2[Descrição],SMALL(IF(Tabela2[Tipo de Operação]="Tubos Conformação Convencional",ROW(Tabela2[Tipo de Operação])-1),ROW(AB30))),"-")</f>
        <v>-</v>
      </c>
      <c r="AE31" s="641" t="str">
        <f t="array" ref="AE31">IFERROR(INDEX(Tabela2[Descrição],SMALL(IF(Tabela2[Tipo de Operação]="Direct Forming",ROW(Tabela2[Tipo de Operação])-1),ROW(AB30))),"-")</f>
        <v>-</v>
      </c>
      <c r="AF31" s="558" t="str">
        <f t="array" ref="AF31">IFERROR(INDEX(Tabela2[Descrição],SMALL(IF(Tabela2[Tipo de Operação]="Conformação Perfis",ROW(Tabela2[Tipo de Operação])-1),ROW(AB30))),"-")</f>
        <v>-</v>
      </c>
      <c r="AG31" s="535"/>
      <c r="AH31" s="358">
        <v>7.3</v>
      </c>
      <c r="AI31" s="358">
        <v>70</v>
      </c>
      <c r="AJ31" s="358" t="s">
        <v>116</v>
      </c>
    </row>
    <row r="32" spans="1:36" x14ac:dyDescent="0.2">
      <c r="A32" s="654" t="s">
        <v>2889</v>
      </c>
      <c r="B32" s="654" t="s">
        <v>2890</v>
      </c>
      <c r="C32" s="654" t="s">
        <v>2891</v>
      </c>
      <c r="D32" s="653"/>
      <c r="E32" s="653" t="s">
        <v>2825</v>
      </c>
      <c r="F32" s="654"/>
      <c r="G32" s="655"/>
      <c r="H32" s="655"/>
      <c r="I32" s="655"/>
      <c r="J32" s="656">
        <v>4.1666666666666664E-2</v>
      </c>
      <c r="K32" s="656"/>
      <c r="L32" s="655"/>
      <c r="M32" s="657"/>
      <c r="N32" s="656"/>
      <c r="O32" s="656"/>
      <c r="P32" s="656"/>
      <c r="Q32" s="656"/>
      <c r="R32" s="656">
        <v>4.1666666666666664E-2</v>
      </c>
      <c r="S32" s="656">
        <v>4.1666666666666664E-2</v>
      </c>
      <c r="T32" s="656">
        <v>4.1666666666666664E-2</v>
      </c>
      <c r="U32" s="662">
        <v>1</v>
      </c>
      <c r="V32" s="662">
        <v>0</v>
      </c>
      <c r="W32" s="662">
        <v>0</v>
      </c>
      <c r="Y32" s="1" t="s">
        <v>872</v>
      </c>
      <c r="Z32" s="1" t="s">
        <v>845</v>
      </c>
      <c r="AA32" s="657"/>
      <c r="AB32" s="641" t="str">
        <f t="array" ref="AB32">IFERROR(INDEX(Tabela2[Descrição],SMALL(IF(Tabela2[Tipo de Operação]="After Operation",ROW(Tabela2[Tipo de Operação])-1),ROW(AB31))),"-")</f>
        <v>-</v>
      </c>
      <c r="AC32" s="641" t="str">
        <f t="array" ref="AC32">IFERROR(INDEX(Tabela2[Descrição],SMALL(IF(Tabela2[Tipo de Operação]="Célula de Solda",ROW(Tabela2[Tipo de Operação])-1),ROW(AB31))),"-")</f>
        <v>-</v>
      </c>
      <c r="AD32" s="641" t="str">
        <f t="array" ref="AD32">IFERROR(INDEX(Tabela2[Descrição],SMALL(IF(Tabela2[Tipo de Operação]="Tubos Conformação Convencional",ROW(Tabela2[Tipo de Operação])-1),ROW(AB31))),"-")</f>
        <v>-</v>
      </c>
      <c r="AE32" s="641" t="str">
        <f t="array" ref="AE32">IFERROR(INDEX(Tabela2[Descrição],SMALL(IF(Tabela2[Tipo de Operação]="Direct Forming",ROW(Tabela2[Tipo de Operação])-1),ROW(AB31))),"-")</f>
        <v>-</v>
      </c>
      <c r="AF32" s="558" t="str">
        <f t="array" ref="AF32">IFERROR(INDEX(Tabela2[Descrição],SMALL(IF(Tabela2[Tipo de Operação]="Conformação Perfis",ROW(Tabela2[Tipo de Operação])-1),ROW(AB31))),"-")</f>
        <v>-</v>
      </c>
      <c r="AG32" s="535"/>
      <c r="AH32" s="358">
        <v>8</v>
      </c>
      <c r="AI32" s="358">
        <v>73.03</v>
      </c>
      <c r="AJ32" s="358" t="s">
        <v>100</v>
      </c>
    </row>
    <row r="33" spans="1:36" x14ac:dyDescent="0.2">
      <c r="A33" s="654" t="s">
        <v>2892</v>
      </c>
      <c r="B33" s="654" t="s">
        <v>57</v>
      </c>
      <c r="C33" s="654" t="s">
        <v>646</v>
      </c>
      <c r="D33" s="653" t="s">
        <v>57</v>
      </c>
      <c r="E33" s="653" t="s">
        <v>2893</v>
      </c>
      <c r="F33" s="654">
        <v>7</v>
      </c>
      <c r="G33" s="655"/>
      <c r="H33" s="655">
        <v>0.5</v>
      </c>
      <c r="I33" s="655"/>
      <c r="J33" s="656"/>
      <c r="K33" s="656">
        <v>2.7777777777777779E-3</v>
      </c>
      <c r="L33" s="656">
        <v>2.0833333333333332E-2</v>
      </c>
      <c r="M33" s="657">
        <v>0.1</v>
      </c>
      <c r="N33" s="656"/>
      <c r="O33" s="656"/>
      <c r="P33" s="656"/>
      <c r="Q33" s="656">
        <v>2.0833333333333332E-2</v>
      </c>
      <c r="R33" s="656">
        <v>4.1666666666666664E-2</v>
      </c>
      <c r="S33" s="656">
        <v>4.1666666666666664E-2</v>
      </c>
      <c r="T33" s="656">
        <v>4.1666666666666664E-2</v>
      </c>
      <c r="U33" s="662">
        <v>1</v>
      </c>
      <c r="V33" s="662">
        <v>0</v>
      </c>
      <c r="W33" s="662">
        <v>0</v>
      </c>
      <c r="Y33" s="1" t="s">
        <v>873</v>
      </c>
      <c r="Z33" s="1" t="s">
        <v>845</v>
      </c>
      <c r="AA33" s="657"/>
      <c r="AB33" s="641" t="str">
        <f t="array" ref="AB33">IFERROR(INDEX(Tabela2[Descrição],SMALL(IF(Tabela2[Tipo de Operação]="After Operation",ROW(Tabela2[Tipo de Operação])-1),ROW(AB32))),"-")</f>
        <v>-</v>
      </c>
      <c r="AC33" s="641" t="str">
        <f t="array" ref="AC33">IFERROR(INDEX(Tabela2[Descrição],SMALL(IF(Tabela2[Tipo de Operação]="Célula de Solda",ROW(Tabela2[Tipo de Operação])-1),ROW(AB32))),"-")</f>
        <v>-</v>
      </c>
      <c r="AD33" s="641" t="str">
        <f t="array" ref="AD33">IFERROR(INDEX(Tabela2[Descrição],SMALL(IF(Tabela2[Tipo de Operação]="Tubos Conformação Convencional",ROW(Tabela2[Tipo de Operação])-1),ROW(AB32))),"-")</f>
        <v>-</v>
      </c>
      <c r="AE33" s="641" t="str">
        <f t="array" ref="AE33">IFERROR(INDEX(Tabela2[Descrição],SMALL(IF(Tabela2[Tipo de Operação]="Direct Forming",ROW(Tabela2[Tipo de Operação])-1),ROW(AB32))),"-")</f>
        <v>-</v>
      </c>
      <c r="AF33" s="558" t="str">
        <f t="array" ref="AF33">IFERROR(INDEX(Tabela2[Descrição],SMALL(IF(Tabela2[Tipo de Operação]="Conformação Perfis",ROW(Tabela2[Tipo de Operação])-1),ROW(AB32))),"-")</f>
        <v>-</v>
      </c>
      <c r="AG33" s="535"/>
      <c r="AH33" s="358">
        <v>8.18</v>
      </c>
      <c r="AI33" s="358">
        <v>76.099999999999994</v>
      </c>
      <c r="AJ33" s="358" t="s">
        <v>116</v>
      </c>
    </row>
    <row r="34" spans="1:36" x14ac:dyDescent="0.2">
      <c r="A34" s="654" t="s">
        <v>2894</v>
      </c>
      <c r="B34" s="654" t="s">
        <v>2895</v>
      </c>
      <c r="C34" s="654" t="s">
        <v>2896</v>
      </c>
      <c r="D34" s="653"/>
      <c r="E34" s="653" t="s">
        <v>2825</v>
      </c>
      <c r="F34" s="654"/>
      <c r="G34" s="655"/>
      <c r="H34" s="655"/>
      <c r="I34" s="655"/>
      <c r="J34" s="656">
        <v>4.1666666666666664E-2</v>
      </c>
      <c r="K34" s="656"/>
      <c r="L34" s="655"/>
      <c r="M34" s="657"/>
      <c r="N34" s="656"/>
      <c r="O34" s="656"/>
      <c r="P34" s="656"/>
      <c r="Q34" s="656"/>
      <c r="R34" s="656">
        <v>4.1666666666666664E-2</v>
      </c>
      <c r="S34" s="656">
        <v>4.1666666666666664E-2</v>
      </c>
      <c r="T34" s="656">
        <v>4.1666666666666664E-2</v>
      </c>
      <c r="U34" s="662">
        <v>1</v>
      </c>
      <c r="V34" s="662">
        <v>0</v>
      </c>
      <c r="W34" s="662">
        <v>0</v>
      </c>
      <c r="Y34" s="1" t="s">
        <v>874</v>
      </c>
      <c r="Z34" s="1" t="s">
        <v>845</v>
      </c>
      <c r="AA34" s="657"/>
      <c r="AB34" s="641" t="str">
        <f t="array" ref="AB34">IFERROR(INDEX(Tabela2[Descrição],SMALL(IF(Tabela2[Tipo de Operação]="After Operation",ROW(Tabela2[Tipo de Operação])-1),ROW(AB33))),"-")</f>
        <v>-</v>
      </c>
      <c r="AC34" s="641" t="str">
        <f t="array" ref="AC34">IFERROR(INDEX(Tabela2[Descrição],SMALL(IF(Tabela2[Tipo de Operação]="Célula de Solda",ROW(Tabela2[Tipo de Operação])-1),ROW(AB33))),"-")</f>
        <v>-</v>
      </c>
      <c r="AD34" s="641" t="str">
        <f t="array" ref="AD34">IFERROR(INDEX(Tabela2[Descrição],SMALL(IF(Tabela2[Tipo de Operação]="Tubos Conformação Convencional",ROW(Tabela2[Tipo de Operação])-1),ROW(AB33))),"-")</f>
        <v>-</v>
      </c>
      <c r="AE34" s="641" t="str">
        <f t="array" ref="AE34">IFERROR(INDEX(Tabela2[Descrição],SMALL(IF(Tabela2[Tipo de Operação]="Direct Forming",ROW(Tabela2[Tipo de Operação])-1),ROW(AB33))),"-")</f>
        <v>-</v>
      </c>
      <c r="AF34" s="558" t="str">
        <f t="array" ref="AF34">IFERROR(INDEX(Tabela2[Descrição],SMALL(IF(Tabela2[Tipo de Operação]="Conformação Perfis",ROW(Tabela2[Tipo de Operação])-1),ROW(AB33))),"-")</f>
        <v>-</v>
      </c>
      <c r="AG34" s="535"/>
      <c r="AH34" s="358">
        <v>8.56</v>
      </c>
      <c r="AI34" s="358">
        <v>76.2</v>
      </c>
      <c r="AJ34" s="358" t="s">
        <v>27</v>
      </c>
    </row>
    <row r="35" spans="1:36" x14ac:dyDescent="0.2">
      <c r="A35" s="654" t="s">
        <v>2897</v>
      </c>
      <c r="B35" s="654" t="s">
        <v>2898</v>
      </c>
      <c r="C35" s="654" t="s">
        <v>2899</v>
      </c>
      <c r="D35" s="653"/>
      <c r="E35" s="653" t="s">
        <v>2932</v>
      </c>
      <c r="F35" s="654"/>
      <c r="G35" s="655"/>
      <c r="H35" s="655"/>
      <c r="I35" s="655"/>
      <c r="J35" s="656">
        <v>4.1666666666666664E-2</v>
      </c>
      <c r="K35" s="656"/>
      <c r="L35" s="655"/>
      <c r="M35" s="657"/>
      <c r="N35" s="656"/>
      <c r="O35" s="656"/>
      <c r="P35" s="656"/>
      <c r="Q35" s="656"/>
      <c r="R35" s="656">
        <v>4.1666666666666664E-2</v>
      </c>
      <c r="S35" s="656">
        <v>4.1666666666666664E-2</v>
      </c>
      <c r="T35" s="656">
        <v>4.1666666666666664E-2</v>
      </c>
      <c r="U35" s="662">
        <v>1</v>
      </c>
      <c r="V35" s="662">
        <v>0</v>
      </c>
      <c r="W35" s="662">
        <v>0</v>
      </c>
      <c r="Y35" s="1" t="s">
        <v>875</v>
      </c>
      <c r="Z35" s="1" t="s">
        <v>845</v>
      </c>
      <c r="AA35" s="657"/>
      <c r="AB35" s="641" t="str">
        <f t="array" ref="AB35">IFERROR(INDEX(Tabela2[Descrição],SMALL(IF(Tabela2[Tipo de Operação]="After Operation",ROW(Tabela2[Tipo de Operação])-1),ROW(AB34))),"-")</f>
        <v>-</v>
      </c>
      <c r="AC35" s="641" t="str">
        <f t="array" ref="AC35">IFERROR(INDEX(Tabela2[Descrição],SMALL(IF(Tabela2[Tipo de Operação]="Célula de Solda",ROW(Tabela2[Tipo de Operação])-1),ROW(AB34))),"-")</f>
        <v>-</v>
      </c>
      <c r="AD35" s="641" t="str">
        <f t="array" ref="AD35">IFERROR(INDEX(Tabela2[Descrição],SMALL(IF(Tabela2[Tipo de Operação]="Tubos Conformação Convencional",ROW(Tabela2[Tipo de Operação])-1),ROW(AB34))),"-")</f>
        <v>-</v>
      </c>
      <c r="AE35" s="641" t="str">
        <f t="array" ref="AE35">IFERROR(INDEX(Tabela2[Descrição],SMALL(IF(Tabela2[Tipo de Operação]="Direct Forming",ROW(Tabela2[Tipo de Operação])-1),ROW(AB34))),"-")</f>
        <v>-</v>
      </c>
      <c r="AF35" s="558" t="str">
        <f t="array" ref="AF35">IFERROR(INDEX(Tabela2[Descrição],SMALL(IF(Tabela2[Tipo de Operação]="Conformação Perfis",ROW(Tabela2[Tipo de Operação])-1),ROW(AB34))),"-")</f>
        <v>-</v>
      </c>
      <c r="AG35" s="535"/>
      <c r="AI35" s="358">
        <v>80</v>
      </c>
      <c r="AJ35" s="358" t="s">
        <v>116</v>
      </c>
    </row>
    <row r="36" spans="1:36" x14ac:dyDescent="0.2">
      <c r="A36" s="654" t="s">
        <v>2900</v>
      </c>
      <c r="B36" s="654" t="s">
        <v>2901</v>
      </c>
      <c r="C36" s="654" t="s">
        <v>2902</v>
      </c>
      <c r="D36" s="653"/>
      <c r="E36" s="653" t="s">
        <v>2903</v>
      </c>
      <c r="F36" s="654"/>
      <c r="G36" s="655"/>
      <c r="H36" s="655"/>
      <c r="I36" s="655"/>
      <c r="J36" s="656"/>
      <c r="K36" s="656"/>
      <c r="L36" s="655"/>
      <c r="M36" s="657"/>
      <c r="N36" s="656"/>
      <c r="O36" s="656"/>
      <c r="P36" s="656"/>
      <c r="Q36" s="656"/>
      <c r="R36" s="656">
        <v>4.1666666666666664E-2</v>
      </c>
      <c r="S36" s="656">
        <v>4.1666666666666664E-2</v>
      </c>
      <c r="T36" s="656">
        <v>4.1666666666666664E-2</v>
      </c>
      <c r="U36" s="662">
        <v>1</v>
      </c>
      <c r="V36" s="662">
        <v>0</v>
      </c>
      <c r="W36" s="662">
        <v>0</v>
      </c>
      <c r="Y36" s="1" t="s">
        <v>876</v>
      </c>
      <c r="Z36" s="1" t="s">
        <v>845</v>
      </c>
      <c r="AA36" s="657"/>
      <c r="AB36" s="663" t="str">
        <f t="array" ref="AB36">IFERROR(INDEX(Tabela2[Descrição],SMALL(IF(Tabela2[Tipo de Operação]="After Operation",ROW(Tabela2[Tipo de Operação])-1),ROW(AB35))),"-")</f>
        <v>-</v>
      </c>
      <c r="AC36" s="641" t="str">
        <f t="array" ref="AC36">IFERROR(INDEX(Tabela2[Descrição],SMALL(IF(Tabela2[Tipo de Operação]="Célula de Solda",ROW(Tabela2[Tipo de Operação])-1),ROW(AB35))),"-")</f>
        <v>-</v>
      </c>
      <c r="AD36" s="641" t="str">
        <f t="array" ref="AD36">IFERROR(INDEX(Tabela2[Descrição],SMALL(IF(Tabela2[Tipo de Operação]="Tubos Conformação Convencional",ROW(Tabela2[Tipo de Operação])-1),ROW(AB35))),"-")</f>
        <v>-</v>
      </c>
      <c r="AE36" s="641" t="str">
        <f t="array" ref="AE36">IFERROR(INDEX(Tabela2[Descrição],SMALL(IF(Tabela2[Tipo de Operação]="Direct Forming",ROW(Tabela2[Tipo de Operação])-1),ROW(AB35))),"-")</f>
        <v>-</v>
      </c>
      <c r="AF36" s="558" t="str">
        <f t="array" ref="AF36">IFERROR(INDEX(Tabela2[Descrição],SMALL(IF(Tabela2[Tipo de Operação]="Conformação Perfis",ROW(Tabela2[Tipo de Operação])-1),ROW(AB35))),"-")</f>
        <v>-</v>
      </c>
      <c r="AG36" s="535"/>
      <c r="AI36" s="358">
        <v>82.55</v>
      </c>
      <c r="AJ36" s="358" t="s">
        <v>28</v>
      </c>
    </row>
    <row r="37" spans="1:36" x14ac:dyDescent="0.2">
      <c r="A37" s="654" t="s">
        <v>2904</v>
      </c>
      <c r="B37" s="654" t="s">
        <v>2905</v>
      </c>
      <c r="C37" s="654" t="s">
        <v>2906</v>
      </c>
      <c r="D37" s="653"/>
      <c r="E37" s="653" t="s">
        <v>2903</v>
      </c>
      <c r="F37" s="654"/>
      <c r="G37" s="655"/>
      <c r="H37" s="655"/>
      <c r="I37" s="655"/>
      <c r="J37" s="656"/>
      <c r="K37" s="656"/>
      <c r="L37" s="655"/>
      <c r="M37" s="657"/>
      <c r="N37" s="656"/>
      <c r="O37" s="656"/>
      <c r="P37" s="656"/>
      <c r="Q37" s="656"/>
      <c r="R37" s="656">
        <v>4.1666666666666664E-2</v>
      </c>
      <c r="S37" s="656">
        <v>4.1666666666666664E-2</v>
      </c>
      <c r="T37" s="656">
        <v>4.1666666666666664E-2</v>
      </c>
      <c r="U37" s="662">
        <v>1</v>
      </c>
      <c r="V37" s="662">
        <v>0</v>
      </c>
      <c r="W37" s="662">
        <v>0</v>
      </c>
      <c r="Y37" s="1" t="s">
        <v>877</v>
      </c>
      <c r="Z37" s="1" t="s">
        <v>845</v>
      </c>
      <c r="AA37" s="657"/>
      <c r="AB37" s="641" t="str">
        <f t="array" ref="AB37">IFERROR(INDEX(Tabela2[Descrição],SMALL(IF(Tabela2[Tipo de Operação]="After Operation",ROW(Tabela2[Tipo de Operação])-1),ROW(AB36))),"-")</f>
        <v>-</v>
      </c>
      <c r="AC37" s="558" t="str">
        <f t="array" ref="AC37">IFERROR(INDEX(Tabela2[Descrição],SMALL(IF(Tabela2[Tipo de Operação]="Célula de Solda",ROW(Tabela2[Tipo de Operação])-1),ROW(AB36))),"-")</f>
        <v>-</v>
      </c>
      <c r="AD37" s="641" t="str">
        <f t="array" ref="AD37">IFERROR(INDEX(Tabela2[Descrição],SMALL(IF(Tabela2[Tipo de Operação]="Tubos Conformação Convencional",ROW(Tabela2[Tipo de Operação])-1),ROW(AB36))),"-")</f>
        <v>-</v>
      </c>
      <c r="AE37" s="641" t="str">
        <f t="array" ref="AE37">IFERROR(INDEX(Tabela2[Descrição],SMALL(IF(Tabela2[Tipo de Operação]="Direct Forming",ROW(Tabela2[Tipo de Operação])-1),ROW(AB36))),"-")</f>
        <v>-</v>
      </c>
      <c r="AF37" s="558" t="str">
        <f t="array" ref="AF37">IFERROR(INDEX(Tabela2[Descrição],SMALL(IF(Tabela2[Tipo de Operação]="Conformação Perfis",ROW(Tabela2[Tipo de Operação])-1),ROW(AB36))),"-")</f>
        <v>-</v>
      </c>
      <c r="AG37" s="535"/>
      <c r="AI37" s="358">
        <v>88.9</v>
      </c>
      <c r="AJ37" s="358" t="s">
        <v>29</v>
      </c>
    </row>
    <row r="38" spans="1:36" x14ac:dyDescent="0.2">
      <c r="A38" s="654" t="s">
        <v>2907</v>
      </c>
      <c r="B38" s="654" t="s">
        <v>2908</v>
      </c>
      <c r="C38" s="654" t="s">
        <v>2909</v>
      </c>
      <c r="D38" s="653"/>
      <c r="E38" s="653" t="s">
        <v>2903</v>
      </c>
      <c r="F38" s="654"/>
      <c r="G38" s="655"/>
      <c r="H38" s="655"/>
      <c r="I38" s="655"/>
      <c r="J38" s="656"/>
      <c r="K38" s="656"/>
      <c r="L38" s="655"/>
      <c r="M38" s="657"/>
      <c r="N38" s="656"/>
      <c r="O38" s="656"/>
      <c r="P38" s="656"/>
      <c r="Q38" s="656"/>
      <c r="R38" s="656">
        <v>4.1666666666666664E-2</v>
      </c>
      <c r="S38" s="656">
        <v>4.1666666666666664E-2</v>
      </c>
      <c r="T38" s="656">
        <v>4.1666666666666664E-2</v>
      </c>
      <c r="U38" s="662">
        <v>1</v>
      </c>
      <c r="V38" s="662">
        <v>0</v>
      </c>
      <c r="W38" s="662">
        <v>0</v>
      </c>
      <c r="Y38" s="1" t="s">
        <v>878</v>
      </c>
      <c r="Z38" s="1" t="s">
        <v>845</v>
      </c>
      <c r="AA38" s="657"/>
      <c r="AB38" s="641" t="str">
        <f t="array" ref="AB38">IFERROR(INDEX(Tabela2[Descrição],SMALL(IF(Tabela2[Tipo de Operação]="After Operation",ROW(Tabela2[Tipo de Operação])-1),ROW(AB37))),"-")</f>
        <v>-</v>
      </c>
      <c r="AC38" s="558" t="str">
        <f t="array" ref="AC38">IFERROR(INDEX(Tabela2[Descrição],SMALL(IF(Tabela2[Tipo de Operação]="Célula de Solda",ROW(Tabela2[Tipo de Operação])-1),ROW(AB37))),"-")</f>
        <v>-</v>
      </c>
      <c r="AD38" s="641" t="str">
        <f t="array" ref="AD38">IFERROR(INDEX(Tabela2[Descrição],SMALL(IF(Tabela2[Tipo de Operação]="Tubos Conformação Convencional",ROW(Tabela2[Tipo de Operação])-1),ROW(AB37))),"-")</f>
        <v>-</v>
      </c>
      <c r="AE38" s="641" t="str">
        <f t="array" ref="AE38">IFERROR(INDEX(Tabela2[Descrição],SMALL(IF(Tabela2[Tipo de Operação]="Direct Forming",ROW(Tabela2[Tipo de Operação])-1),ROW(AB37))),"-")</f>
        <v>-</v>
      </c>
      <c r="AF38" s="558" t="str">
        <f t="array" ref="AF38">IFERROR(INDEX(Tabela2[Descrição],SMALL(IF(Tabela2[Tipo de Operação]="Conformação Perfis",ROW(Tabela2[Tipo de Operação])-1),ROW(AB37))),"-")</f>
        <v>-</v>
      </c>
      <c r="AG38" s="535"/>
      <c r="AI38" s="358">
        <v>95.25</v>
      </c>
      <c r="AJ38" s="358" t="s">
        <v>101</v>
      </c>
    </row>
    <row r="39" spans="1:36" x14ac:dyDescent="0.2">
      <c r="A39" s="654" t="s">
        <v>2910</v>
      </c>
      <c r="B39" s="654" t="s">
        <v>2911</v>
      </c>
      <c r="C39" s="654" t="s">
        <v>2912</v>
      </c>
      <c r="D39" s="653"/>
      <c r="E39" s="653" t="s">
        <v>2825</v>
      </c>
      <c r="F39" s="654"/>
      <c r="G39" s="655"/>
      <c r="H39" s="655"/>
      <c r="I39" s="655"/>
      <c r="J39" s="656">
        <v>0</v>
      </c>
      <c r="K39" s="656"/>
      <c r="L39" s="655"/>
      <c r="M39" s="657"/>
      <c r="N39" s="656"/>
      <c r="O39" s="656"/>
      <c r="P39" s="656"/>
      <c r="Q39" s="656"/>
      <c r="R39" s="656">
        <v>4.1666666666666664E-2</v>
      </c>
      <c r="S39" s="656">
        <v>4.1666666666666664E-2</v>
      </c>
      <c r="T39" s="656">
        <v>4.1666666666666664E-2</v>
      </c>
      <c r="U39" s="662">
        <v>1</v>
      </c>
      <c r="V39" s="662">
        <v>0</v>
      </c>
      <c r="W39" s="662">
        <v>0</v>
      </c>
      <c r="Y39" s="1" t="s">
        <v>879</v>
      </c>
      <c r="Z39" s="1" t="s">
        <v>845</v>
      </c>
      <c r="AA39" s="657"/>
      <c r="AB39" s="641" t="str">
        <f t="array" ref="AB39">IFERROR(INDEX(Tabela2[Descrição],SMALL(IF(Tabela2[Tipo de Operação]="After Operation",ROW(Tabela2[Tipo de Operação])-1),ROW(AB38))),"-")</f>
        <v>-</v>
      </c>
      <c r="AC39" s="558" t="str">
        <f t="array" ref="AC39">IFERROR(INDEX(Tabela2[Descrição],SMALL(IF(Tabela2[Tipo de Operação]="Célula de Solda",ROW(Tabela2[Tipo de Operação])-1),ROW(AB38))),"-")</f>
        <v>-</v>
      </c>
      <c r="AD39" s="641" t="str">
        <f t="array" ref="AD39">IFERROR(INDEX(Tabela2[Descrição],SMALL(IF(Tabela2[Tipo de Operação]="Tubos Conformação Convencional",ROW(Tabela2[Tipo de Operação])-1),ROW(AB38))),"-")</f>
        <v>-</v>
      </c>
      <c r="AE39" s="641" t="str">
        <f t="array" ref="AE39">IFERROR(INDEX(Tabela2[Descrição],SMALL(IF(Tabela2[Tipo de Operação]="Direct Forming",ROW(Tabela2[Tipo de Operação])-1),ROW(AB38))),"-")</f>
        <v>-</v>
      </c>
      <c r="AF39" s="558" t="str">
        <f t="array" ref="AF39">IFERROR(INDEX(Tabela2[Descrição],SMALL(IF(Tabela2[Tipo de Operação]="Conformação Perfis",ROW(Tabela2[Tipo de Operação])-1),ROW(AB38))),"-")</f>
        <v>-</v>
      </c>
      <c r="AG39" s="535"/>
      <c r="AI39" s="358">
        <v>101.6</v>
      </c>
      <c r="AJ39" s="358" t="s">
        <v>30</v>
      </c>
    </row>
    <row r="40" spans="1:36" x14ac:dyDescent="0.2">
      <c r="A40" s="654" t="s">
        <v>2913</v>
      </c>
      <c r="B40" s="654" t="s">
        <v>2913</v>
      </c>
      <c r="C40" s="654" t="s">
        <v>2914</v>
      </c>
      <c r="D40" s="653"/>
      <c r="E40" s="653"/>
      <c r="F40" s="654"/>
      <c r="G40" s="655"/>
      <c r="H40" s="655"/>
      <c r="I40" s="655"/>
      <c r="J40" s="656"/>
      <c r="K40" s="656"/>
      <c r="L40" s="655"/>
      <c r="M40" s="657"/>
      <c r="N40" s="656"/>
      <c r="O40" s="656"/>
      <c r="P40" s="656"/>
      <c r="Q40" s="656"/>
      <c r="R40" s="656">
        <v>4.1666666666666664E-2</v>
      </c>
      <c r="S40" s="656">
        <v>4.1666666666666664E-2</v>
      </c>
      <c r="T40" s="656">
        <v>4.1666666666666664E-2</v>
      </c>
      <c r="U40" s="662">
        <v>1</v>
      </c>
      <c r="V40" s="662">
        <v>0</v>
      </c>
      <c r="W40" s="662">
        <v>0</v>
      </c>
      <c r="Y40" s="1" t="s">
        <v>880</v>
      </c>
      <c r="Z40" s="1" t="s">
        <v>845</v>
      </c>
      <c r="AA40" s="657"/>
      <c r="AB40" s="641" t="str">
        <f t="array" ref="AB40">IFERROR(INDEX(Tabela2[Descrição],SMALL(IF(Tabela2[Tipo de Operação]="After Operation",ROW(Tabela2[Tipo de Operação])-1),ROW(AB39))),"-")</f>
        <v>-</v>
      </c>
      <c r="AC40" s="558" t="str">
        <f t="array" ref="AC40">IFERROR(INDEX(Tabela2[Descrição],SMALL(IF(Tabela2[Tipo de Operação]="Célula de Solda",ROW(Tabela2[Tipo de Operação])-1),ROW(AB39))),"-")</f>
        <v>-</v>
      </c>
      <c r="AD40" s="641" t="str">
        <f t="array" ref="AD40">IFERROR(INDEX(Tabela2[Descrição],SMALL(IF(Tabela2[Tipo de Operação]="Tubos Conformação Convencional",ROW(Tabela2[Tipo de Operação])-1),ROW(AB39))),"-")</f>
        <v>-</v>
      </c>
      <c r="AE40" s="641" t="str">
        <f t="array" ref="AE40">IFERROR(INDEX(Tabela2[Descrição],SMALL(IF(Tabela2[Tipo de Operação]="Direct Forming",ROW(Tabela2[Tipo de Operação])-1),ROW(AB39))),"-")</f>
        <v>-</v>
      </c>
      <c r="AF40" s="558" t="str">
        <f t="array" ref="AF40">IFERROR(INDEX(Tabela2[Descrição],SMALL(IF(Tabela2[Tipo de Operação]="Conformação Perfis",ROW(Tabela2[Tipo de Operação])-1),ROW(AB39))),"-")</f>
        <v>-</v>
      </c>
      <c r="AG40" s="535"/>
      <c r="AI40" s="358">
        <v>111.13</v>
      </c>
      <c r="AJ40" s="358" t="s">
        <v>113</v>
      </c>
    </row>
    <row r="41" spans="1:36" x14ac:dyDescent="0.2">
      <c r="A41" s="654" t="s">
        <v>2915</v>
      </c>
      <c r="B41" s="654" t="s">
        <v>2915</v>
      </c>
      <c r="C41" s="654" t="s">
        <v>2914</v>
      </c>
      <c r="D41" s="653"/>
      <c r="E41" s="653"/>
      <c r="F41" s="654"/>
      <c r="G41" s="655"/>
      <c r="H41" s="655"/>
      <c r="I41" s="655"/>
      <c r="J41" s="656"/>
      <c r="K41" s="656"/>
      <c r="L41" s="655"/>
      <c r="M41" s="657"/>
      <c r="N41" s="656"/>
      <c r="O41" s="656"/>
      <c r="P41" s="656"/>
      <c r="Q41" s="656"/>
      <c r="R41" s="656">
        <v>4.1666666666666664E-2</v>
      </c>
      <c r="S41" s="656">
        <v>4.1666666666666664E-2</v>
      </c>
      <c r="T41" s="656">
        <v>4.1666666666666664E-2</v>
      </c>
      <c r="U41" s="662">
        <v>1</v>
      </c>
      <c r="V41" s="662">
        <v>0</v>
      </c>
      <c r="W41" s="662">
        <v>0</v>
      </c>
      <c r="Y41" s="1" t="s">
        <v>881</v>
      </c>
      <c r="Z41" s="1" t="s">
        <v>845</v>
      </c>
      <c r="AA41" s="657"/>
      <c r="AB41" s="663" t="str">
        <f t="array" ref="AB41">IFERROR(INDEX(Tabela2[Descrição],SMALL(IF(Tabela2[Tipo de Operação]="After Operation",ROW(Tabela2[Tipo de Operação])-1),ROW(AB40))),"-")</f>
        <v>-</v>
      </c>
      <c r="AC41" s="664" t="str">
        <f t="array" ref="AC41">IFERROR(INDEX(Tabela2[Descrição],SMALL(IF(Tabela2[Tipo de Operação]="Célula de Solda",ROW(Tabela2[Tipo de Operação])-1),ROW(AB40))),"-")</f>
        <v>-</v>
      </c>
      <c r="AD41" s="641" t="str">
        <f t="array" ref="AD41">IFERROR(INDEX(Tabela2[Descrição],SMALL(IF(Tabela2[Tipo de Operação]="Tubos Conformação Convencional",ROW(Tabela2[Tipo de Operação])-1),ROW(AB40))),"-")</f>
        <v>-</v>
      </c>
      <c r="AE41" s="641" t="str">
        <f t="array" ref="AE41">IFERROR(INDEX(Tabela2[Descrição],SMALL(IF(Tabela2[Tipo de Operação]="Direct Forming",ROW(Tabela2[Tipo de Operação])-1),ROW(AB40))),"-")</f>
        <v>-</v>
      </c>
      <c r="AF41" s="558" t="str">
        <f t="array" ref="AF41">IFERROR(INDEX(Tabela2[Descrição],SMALL(IF(Tabela2[Tipo de Operação]="Conformação Perfis",ROW(Tabela2[Tipo de Operação])-1),ROW(AB40))),"-")</f>
        <v>-</v>
      </c>
      <c r="AG41" s="535"/>
      <c r="AI41" s="358">
        <v>114.3</v>
      </c>
      <c r="AJ41" s="358" t="s">
        <v>31</v>
      </c>
    </row>
    <row r="42" spans="1:36" x14ac:dyDescent="0.2">
      <c r="Y42" s="1" t="s">
        <v>882</v>
      </c>
      <c r="Z42" s="1" t="s">
        <v>845</v>
      </c>
      <c r="AA42" s="657"/>
      <c r="AB42" s="657"/>
      <c r="AC42" s="657"/>
      <c r="AD42" s="657"/>
      <c r="AE42" s="657"/>
      <c r="AF42" s="657"/>
      <c r="AG42" s="535"/>
      <c r="AI42" s="358">
        <v>122</v>
      </c>
      <c r="AJ42" s="358" t="s">
        <v>115</v>
      </c>
    </row>
    <row r="43" spans="1:36" x14ac:dyDescent="0.2">
      <c r="Y43" s="1" t="s">
        <v>883</v>
      </c>
      <c r="Z43" s="1" t="s">
        <v>845</v>
      </c>
      <c r="AA43" s="657"/>
      <c r="AB43" s="657"/>
      <c r="AC43" s="657"/>
      <c r="AD43" s="657"/>
      <c r="AE43" s="657"/>
      <c r="AF43" s="657"/>
      <c r="AG43" s="535"/>
      <c r="AI43" s="358">
        <v>123.83</v>
      </c>
      <c r="AJ43" s="358" t="s">
        <v>114</v>
      </c>
    </row>
    <row r="44" spans="1:36" x14ac:dyDescent="0.2">
      <c r="Y44" s="1" t="s">
        <v>884</v>
      </c>
      <c r="Z44" s="1" t="s">
        <v>845</v>
      </c>
      <c r="AG44" s="358" t="s">
        <v>32</v>
      </c>
      <c r="AJ44" s="358">
        <v>127</v>
      </c>
    </row>
    <row r="45" spans="1:36" x14ac:dyDescent="0.2">
      <c r="Y45" s="1" t="s">
        <v>885</v>
      </c>
      <c r="Z45" s="1" t="s">
        <v>845</v>
      </c>
      <c r="AG45" s="358" t="s">
        <v>33</v>
      </c>
      <c r="AJ45" s="358">
        <v>139.69999999999999</v>
      </c>
    </row>
    <row r="46" spans="1:36" x14ac:dyDescent="0.2">
      <c r="Y46" s="1" t="s">
        <v>886</v>
      </c>
      <c r="Z46" s="1" t="s">
        <v>845</v>
      </c>
      <c r="AG46" s="358" t="s">
        <v>34</v>
      </c>
      <c r="AJ46" s="358">
        <v>152.4</v>
      </c>
    </row>
    <row r="47" spans="1:36" x14ac:dyDescent="0.2">
      <c r="Y47" s="1" t="s">
        <v>887</v>
      </c>
      <c r="Z47" s="1" t="s">
        <v>845</v>
      </c>
      <c r="AG47" s="358" t="s">
        <v>116</v>
      </c>
      <c r="AJ47" s="358">
        <v>165.1</v>
      </c>
    </row>
    <row r="48" spans="1:36" x14ac:dyDescent="0.2">
      <c r="Y48" s="1" t="s">
        <v>888</v>
      </c>
      <c r="Z48" s="1" t="s">
        <v>841</v>
      </c>
      <c r="AG48" s="358" t="s">
        <v>35</v>
      </c>
      <c r="AJ48" s="358">
        <v>168.3</v>
      </c>
    </row>
    <row r="49" spans="25:36" x14ac:dyDescent="0.2">
      <c r="Y49" s="1" t="s">
        <v>889</v>
      </c>
      <c r="Z49" s="1" t="s">
        <v>836</v>
      </c>
      <c r="AG49" s="358" t="s">
        <v>36</v>
      </c>
      <c r="AJ49" s="358">
        <v>193.7</v>
      </c>
    </row>
    <row r="50" spans="25:36" x14ac:dyDescent="0.2">
      <c r="Y50" s="1" t="s">
        <v>890</v>
      </c>
      <c r="Z50" s="1" t="s">
        <v>836</v>
      </c>
      <c r="AG50" s="358" t="s">
        <v>37</v>
      </c>
      <c r="AJ50" s="358">
        <v>219.1</v>
      </c>
    </row>
    <row r="51" spans="25:36" x14ac:dyDescent="0.2">
      <c r="Y51" s="1" t="s">
        <v>891</v>
      </c>
      <c r="Z51" s="1" t="s">
        <v>836</v>
      </c>
      <c r="AG51" s="358" t="s">
        <v>38</v>
      </c>
      <c r="AJ51" s="358">
        <v>273.05</v>
      </c>
    </row>
    <row r="52" spans="25:36" x14ac:dyDescent="0.2">
      <c r="Y52" s="1" t="s">
        <v>892</v>
      </c>
      <c r="Z52" s="1" t="s">
        <v>836</v>
      </c>
    </row>
    <row r="53" spans="25:36" x14ac:dyDescent="0.2">
      <c r="Y53" s="1" t="s">
        <v>893</v>
      </c>
      <c r="Z53" s="1" t="s">
        <v>836</v>
      </c>
    </row>
    <row r="54" spans="25:36" x14ac:dyDescent="0.2">
      <c r="Y54" s="1" t="s">
        <v>894</v>
      </c>
      <c r="Z54" s="1" t="s">
        <v>836</v>
      </c>
    </row>
    <row r="55" spans="25:36" x14ac:dyDescent="0.2">
      <c r="Y55" s="1" t="s">
        <v>895</v>
      </c>
      <c r="Z55" s="1" t="s">
        <v>836</v>
      </c>
    </row>
    <row r="56" spans="25:36" x14ac:dyDescent="0.2">
      <c r="Y56" s="1" t="s">
        <v>896</v>
      </c>
      <c r="Z56" s="1" t="s">
        <v>836</v>
      </c>
    </row>
    <row r="57" spans="25:36" x14ac:dyDescent="0.2">
      <c r="Y57" s="1" t="s">
        <v>897</v>
      </c>
      <c r="Z57" s="1" t="s">
        <v>836</v>
      </c>
    </row>
    <row r="58" spans="25:36" x14ac:dyDescent="0.2">
      <c r="Y58" s="1" t="s">
        <v>898</v>
      </c>
      <c r="Z58" s="1" t="s">
        <v>836</v>
      </c>
    </row>
    <row r="59" spans="25:36" x14ac:dyDescent="0.2">
      <c r="Y59" s="1" t="s">
        <v>899</v>
      </c>
      <c r="Z59" s="1" t="s">
        <v>836</v>
      </c>
    </row>
    <row r="60" spans="25:36" x14ac:dyDescent="0.2">
      <c r="Y60" s="1" t="s">
        <v>900</v>
      </c>
      <c r="Z60" s="1" t="s">
        <v>836</v>
      </c>
    </row>
    <row r="61" spans="25:36" x14ac:dyDescent="0.2">
      <c r="Y61" s="1" t="s">
        <v>901</v>
      </c>
      <c r="Z61" s="1" t="s">
        <v>845</v>
      </c>
    </row>
    <row r="62" spans="25:36" x14ac:dyDescent="0.2">
      <c r="Y62" s="1" t="s">
        <v>902</v>
      </c>
      <c r="Z62" s="1" t="s">
        <v>843</v>
      </c>
    </row>
    <row r="63" spans="25:36" x14ac:dyDescent="0.2">
      <c r="Y63" s="1" t="s">
        <v>903</v>
      </c>
      <c r="Z63" s="1" t="s">
        <v>836</v>
      </c>
    </row>
    <row r="64" spans="25:36" x14ac:dyDescent="0.2">
      <c r="Y64" s="1" t="s">
        <v>904</v>
      </c>
      <c r="Z64" s="1" t="s">
        <v>841</v>
      </c>
    </row>
    <row r="65" spans="25:26" x14ac:dyDescent="0.2">
      <c r="Y65" s="1" t="s">
        <v>905</v>
      </c>
      <c r="Z65" s="1" t="s">
        <v>836</v>
      </c>
    </row>
    <row r="66" spans="25:26" x14ac:dyDescent="0.2">
      <c r="Y66" s="1" t="s">
        <v>906</v>
      </c>
      <c r="Z66" s="1" t="s">
        <v>836</v>
      </c>
    </row>
    <row r="67" spans="25:26" x14ac:dyDescent="0.2">
      <c r="Y67" s="1" t="s">
        <v>907</v>
      </c>
      <c r="Z67" s="1" t="s">
        <v>836</v>
      </c>
    </row>
    <row r="68" spans="25:26" x14ac:dyDescent="0.2">
      <c r="Y68" s="1" t="s">
        <v>908</v>
      </c>
      <c r="Z68" s="1" t="s">
        <v>836</v>
      </c>
    </row>
    <row r="69" spans="25:26" x14ac:dyDescent="0.2">
      <c r="Y69" s="1" t="s">
        <v>909</v>
      </c>
      <c r="Z69" s="1" t="s">
        <v>841</v>
      </c>
    </row>
    <row r="70" spans="25:26" x14ac:dyDescent="0.2">
      <c r="Y70" s="1" t="s">
        <v>910</v>
      </c>
      <c r="Z70" s="1" t="s">
        <v>836</v>
      </c>
    </row>
    <row r="71" spans="25:26" x14ac:dyDescent="0.2">
      <c r="Y71" s="1" t="s">
        <v>911</v>
      </c>
      <c r="Z71" s="1" t="s">
        <v>836</v>
      </c>
    </row>
    <row r="72" spans="25:26" x14ac:dyDescent="0.2">
      <c r="Y72" s="1" t="s">
        <v>912</v>
      </c>
      <c r="Z72" s="1" t="s">
        <v>845</v>
      </c>
    </row>
    <row r="73" spans="25:26" x14ac:dyDescent="0.2">
      <c r="Y73" s="1" t="s">
        <v>913</v>
      </c>
      <c r="Z73" s="1" t="s">
        <v>851</v>
      </c>
    </row>
    <row r="74" spans="25:26" x14ac:dyDescent="0.2">
      <c r="Y74" s="1" t="s">
        <v>914</v>
      </c>
      <c r="Z74" s="1" t="s">
        <v>851</v>
      </c>
    </row>
    <row r="75" spans="25:26" x14ac:dyDescent="0.2">
      <c r="Y75" s="1" t="s">
        <v>915</v>
      </c>
      <c r="Z75" s="1" t="s">
        <v>841</v>
      </c>
    </row>
    <row r="76" spans="25:26" x14ac:dyDescent="0.2">
      <c r="Y76" s="1" t="s">
        <v>916</v>
      </c>
      <c r="Z76" s="1" t="s">
        <v>836</v>
      </c>
    </row>
    <row r="77" spans="25:26" x14ac:dyDescent="0.2">
      <c r="Y77" s="1" t="s">
        <v>917</v>
      </c>
      <c r="Z77" s="1" t="s">
        <v>851</v>
      </c>
    </row>
    <row r="78" spans="25:26" x14ac:dyDescent="0.2">
      <c r="Y78" s="1" t="s">
        <v>918</v>
      </c>
      <c r="Z78" s="1" t="s">
        <v>851</v>
      </c>
    </row>
    <row r="79" spans="25:26" x14ac:dyDescent="0.2">
      <c r="Y79" s="1" t="s">
        <v>919</v>
      </c>
      <c r="Z79" s="1" t="s">
        <v>836</v>
      </c>
    </row>
    <row r="80" spans="25:26" x14ac:dyDescent="0.2">
      <c r="Y80" s="1" t="s">
        <v>920</v>
      </c>
      <c r="Z80" s="1" t="s">
        <v>851</v>
      </c>
    </row>
    <row r="81" spans="25:26" x14ac:dyDescent="0.2">
      <c r="Y81" s="1" t="s">
        <v>921</v>
      </c>
      <c r="Z81" s="1" t="s">
        <v>836</v>
      </c>
    </row>
    <row r="82" spans="25:26" x14ac:dyDescent="0.2">
      <c r="Y82" s="1" t="s">
        <v>922</v>
      </c>
      <c r="Z82" s="1" t="s">
        <v>836</v>
      </c>
    </row>
    <row r="83" spans="25:26" x14ac:dyDescent="0.2">
      <c r="Y83" s="1" t="s">
        <v>923</v>
      </c>
      <c r="Z83" s="1" t="s">
        <v>836</v>
      </c>
    </row>
    <row r="84" spans="25:26" x14ac:dyDescent="0.2">
      <c r="Y84" s="1" t="s">
        <v>924</v>
      </c>
      <c r="Z84" s="1" t="s">
        <v>836</v>
      </c>
    </row>
    <row r="85" spans="25:26" x14ac:dyDescent="0.2">
      <c r="Y85" s="1" t="s">
        <v>925</v>
      </c>
      <c r="Z85" s="1" t="s">
        <v>851</v>
      </c>
    </row>
    <row r="86" spans="25:26" x14ac:dyDescent="0.2">
      <c r="Y86" s="1" t="s">
        <v>926</v>
      </c>
      <c r="Z86" s="1" t="s">
        <v>836</v>
      </c>
    </row>
    <row r="87" spans="25:26" x14ac:dyDescent="0.2">
      <c r="Y87" s="1" t="s">
        <v>927</v>
      </c>
      <c r="Z87" s="1" t="s">
        <v>836</v>
      </c>
    </row>
    <row r="88" spans="25:26" x14ac:dyDescent="0.2">
      <c r="Y88" s="1" t="s">
        <v>928</v>
      </c>
      <c r="Z88" s="1" t="s">
        <v>841</v>
      </c>
    </row>
    <row r="89" spans="25:26" x14ac:dyDescent="0.2">
      <c r="Y89" s="1" t="s">
        <v>929</v>
      </c>
      <c r="Z89" s="1" t="s">
        <v>845</v>
      </c>
    </row>
    <row r="90" spans="25:26" x14ac:dyDescent="0.2">
      <c r="Y90" s="1" t="s">
        <v>930</v>
      </c>
      <c r="Z90" s="1" t="s">
        <v>836</v>
      </c>
    </row>
    <row r="91" spans="25:26" x14ac:dyDescent="0.2">
      <c r="Y91" s="1" t="s">
        <v>931</v>
      </c>
      <c r="Z91" s="1" t="s">
        <v>836</v>
      </c>
    </row>
    <row r="92" spans="25:26" x14ac:dyDescent="0.2">
      <c r="Y92" s="1" t="s">
        <v>932</v>
      </c>
      <c r="Z92" s="1" t="s">
        <v>836</v>
      </c>
    </row>
    <row r="93" spans="25:26" x14ac:dyDescent="0.2">
      <c r="Y93" s="1" t="s">
        <v>933</v>
      </c>
      <c r="Z93" s="1" t="s">
        <v>839</v>
      </c>
    </row>
    <row r="94" spans="25:26" x14ac:dyDescent="0.2">
      <c r="Y94" s="1" t="s">
        <v>934</v>
      </c>
      <c r="Z94" s="1" t="s">
        <v>836</v>
      </c>
    </row>
    <row r="95" spans="25:26" x14ac:dyDescent="0.2">
      <c r="Y95" s="1" t="s">
        <v>935</v>
      </c>
      <c r="Z95" s="1" t="s">
        <v>841</v>
      </c>
    </row>
    <row r="96" spans="25:26" x14ac:dyDescent="0.2">
      <c r="Y96" s="1" t="s">
        <v>936</v>
      </c>
      <c r="Z96" s="1" t="s">
        <v>836</v>
      </c>
    </row>
    <row r="97" spans="25:26" x14ac:dyDescent="0.2">
      <c r="Y97" s="1" t="s">
        <v>937</v>
      </c>
      <c r="Z97" s="1" t="s">
        <v>843</v>
      </c>
    </row>
    <row r="98" spans="25:26" x14ac:dyDescent="0.2">
      <c r="Y98" s="1" t="s">
        <v>938</v>
      </c>
      <c r="Z98" s="1" t="s">
        <v>836</v>
      </c>
    </row>
    <row r="99" spans="25:26" x14ac:dyDescent="0.2">
      <c r="Y99" s="1" t="s">
        <v>939</v>
      </c>
      <c r="Z99" s="1" t="s">
        <v>836</v>
      </c>
    </row>
    <row r="100" spans="25:26" x14ac:dyDescent="0.2">
      <c r="Y100" s="1" t="s">
        <v>940</v>
      </c>
      <c r="Z100" s="1" t="s">
        <v>836</v>
      </c>
    </row>
    <row r="101" spans="25:26" x14ac:dyDescent="0.2">
      <c r="Y101" s="1" t="s">
        <v>941</v>
      </c>
      <c r="Z101" s="1" t="s">
        <v>845</v>
      </c>
    </row>
    <row r="102" spans="25:26" x14ac:dyDescent="0.2">
      <c r="Y102" s="1" t="s">
        <v>942</v>
      </c>
      <c r="Z102" s="1" t="s">
        <v>836</v>
      </c>
    </row>
    <row r="103" spans="25:26" x14ac:dyDescent="0.2">
      <c r="Y103" s="1" t="s">
        <v>943</v>
      </c>
      <c r="Z103" s="1" t="s">
        <v>836</v>
      </c>
    </row>
    <row r="104" spans="25:26" x14ac:dyDescent="0.2">
      <c r="Y104" s="1" t="s">
        <v>944</v>
      </c>
      <c r="Z104" s="1" t="s">
        <v>836</v>
      </c>
    </row>
    <row r="105" spans="25:26" x14ac:dyDescent="0.2">
      <c r="Y105" s="1" t="s">
        <v>945</v>
      </c>
      <c r="Z105" s="1" t="s">
        <v>836</v>
      </c>
    </row>
    <row r="106" spans="25:26" x14ac:dyDescent="0.2">
      <c r="Y106" s="1" t="s">
        <v>946</v>
      </c>
      <c r="Z106" s="1" t="s">
        <v>836</v>
      </c>
    </row>
    <row r="107" spans="25:26" x14ac:dyDescent="0.2">
      <c r="Y107" s="1" t="s">
        <v>947</v>
      </c>
      <c r="Z107" s="1" t="s">
        <v>836</v>
      </c>
    </row>
    <row r="108" spans="25:26" x14ac:dyDescent="0.2">
      <c r="Y108" s="1" t="s">
        <v>948</v>
      </c>
      <c r="Z108" s="1" t="s">
        <v>836</v>
      </c>
    </row>
    <row r="109" spans="25:26" x14ac:dyDescent="0.2">
      <c r="Y109" s="1" t="s">
        <v>949</v>
      </c>
      <c r="Z109" s="1" t="s">
        <v>836</v>
      </c>
    </row>
    <row r="110" spans="25:26" x14ac:dyDescent="0.2">
      <c r="Y110" s="1" t="s">
        <v>950</v>
      </c>
      <c r="Z110" s="1" t="s">
        <v>836</v>
      </c>
    </row>
    <row r="111" spans="25:26" x14ac:dyDescent="0.2">
      <c r="Y111" s="1" t="s">
        <v>951</v>
      </c>
      <c r="Z111" s="1" t="s">
        <v>836</v>
      </c>
    </row>
    <row r="112" spans="25:26" x14ac:dyDescent="0.2">
      <c r="Y112" s="1" t="s">
        <v>952</v>
      </c>
      <c r="Z112" s="1" t="s">
        <v>836</v>
      </c>
    </row>
    <row r="113" spans="25:26" x14ac:dyDescent="0.2">
      <c r="Y113" s="1" t="s">
        <v>953</v>
      </c>
      <c r="Z113" s="1" t="s">
        <v>843</v>
      </c>
    </row>
    <row r="114" spans="25:26" x14ac:dyDescent="0.2">
      <c r="Y114" s="1" t="s">
        <v>954</v>
      </c>
      <c r="Z114" s="1" t="s">
        <v>836</v>
      </c>
    </row>
    <row r="115" spans="25:26" x14ac:dyDescent="0.2">
      <c r="Y115" s="1" t="s">
        <v>955</v>
      </c>
      <c r="Z115" s="1" t="s">
        <v>836</v>
      </c>
    </row>
    <row r="116" spans="25:26" x14ac:dyDescent="0.2">
      <c r="Y116" s="1" t="s">
        <v>956</v>
      </c>
      <c r="Z116" s="1" t="s">
        <v>851</v>
      </c>
    </row>
    <row r="117" spans="25:26" x14ac:dyDescent="0.2">
      <c r="Y117" s="1" t="s">
        <v>957</v>
      </c>
      <c r="Z117" s="1" t="s">
        <v>845</v>
      </c>
    </row>
    <row r="118" spans="25:26" x14ac:dyDescent="0.2">
      <c r="Y118" s="1" t="s">
        <v>958</v>
      </c>
      <c r="Z118" s="1" t="s">
        <v>836</v>
      </c>
    </row>
    <row r="119" spans="25:26" x14ac:dyDescent="0.2">
      <c r="Y119" s="1" t="s">
        <v>959</v>
      </c>
      <c r="Z119" s="1" t="s">
        <v>851</v>
      </c>
    </row>
    <row r="120" spans="25:26" x14ac:dyDescent="0.2">
      <c r="Y120" s="1" t="s">
        <v>960</v>
      </c>
      <c r="Z120" s="1" t="s">
        <v>836</v>
      </c>
    </row>
    <row r="121" spans="25:26" x14ac:dyDescent="0.2">
      <c r="Y121" s="1" t="s">
        <v>961</v>
      </c>
      <c r="Z121" s="1" t="s">
        <v>841</v>
      </c>
    </row>
    <row r="122" spans="25:26" x14ac:dyDescent="0.2">
      <c r="Y122" s="1" t="s">
        <v>962</v>
      </c>
      <c r="Z122" s="1" t="s">
        <v>845</v>
      </c>
    </row>
    <row r="123" spans="25:26" x14ac:dyDescent="0.2">
      <c r="Y123" s="1" t="s">
        <v>963</v>
      </c>
      <c r="Z123" s="1" t="s">
        <v>836</v>
      </c>
    </row>
    <row r="124" spans="25:26" x14ac:dyDescent="0.2">
      <c r="Y124" s="1" t="s">
        <v>964</v>
      </c>
      <c r="Z124" s="1" t="s">
        <v>965</v>
      </c>
    </row>
    <row r="125" spans="25:26" x14ac:dyDescent="0.2">
      <c r="Y125" s="1" t="s">
        <v>966</v>
      </c>
      <c r="Z125" s="1" t="s">
        <v>836</v>
      </c>
    </row>
    <row r="126" spans="25:26" x14ac:dyDescent="0.2">
      <c r="Y126" s="1" t="s">
        <v>967</v>
      </c>
      <c r="Z126" s="1" t="s">
        <v>845</v>
      </c>
    </row>
    <row r="127" spans="25:26" x14ac:dyDescent="0.2">
      <c r="Y127" s="1" t="s">
        <v>968</v>
      </c>
      <c r="Z127" s="1" t="s">
        <v>836</v>
      </c>
    </row>
    <row r="128" spans="25:26" x14ac:dyDescent="0.2">
      <c r="Y128" s="1" t="s">
        <v>969</v>
      </c>
      <c r="Z128" s="1" t="s">
        <v>851</v>
      </c>
    </row>
    <row r="129" spans="25:26" x14ac:dyDescent="0.2">
      <c r="Y129" s="1" t="s">
        <v>970</v>
      </c>
      <c r="Z129" s="1" t="s">
        <v>836</v>
      </c>
    </row>
    <row r="130" spans="25:26" x14ac:dyDescent="0.2">
      <c r="Y130" s="1" t="s">
        <v>971</v>
      </c>
      <c r="Z130" s="1" t="s">
        <v>836</v>
      </c>
    </row>
    <row r="131" spans="25:26" x14ac:dyDescent="0.2">
      <c r="Y131" s="1" t="s">
        <v>972</v>
      </c>
      <c r="Z131" s="1" t="s">
        <v>836</v>
      </c>
    </row>
    <row r="132" spans="25:26" x14ac:dyDescent="0.2">
      <c r="Y132" s="1" t="s">
        <v>973</v>
      </c>
      <c r="Z132" s="1" t="s">
        <v>841</v>
      </c>
    </row>
    <row r="133" spans="25:26" x14ac:dyDescent="0.2">
      <c r="Y133" s="1" t="s">
        <v>974</v>
      </c>
      <c r="Z133" s="1" t="s">
        <v>836</v>
      </c>
    </row>
    <row r="134" spans="25:26" x14ac:dyDescent="0.2">
      <c r="Y134" s="1" t="s">
        <v>975</v>
      </c>
      <c r="Z134" s="1" t="s">
        <v>841</v>
      </c>
    </row>
    <row r="135" spans="25:26" x14ac:dyDescent="0.2">
      <c r="Y135" s="1" t="s">
        <v>976</v>
      </c>
      <c r="Z135" s="1" t="s">
        <v>836</v>
      </c>
    </row>
    <row r="136" spans="25:26" x14ac:dyDescent="0.2">
      <c r="Y136" s="1" t="s">
        <v>977</v>
      </c>
      <c r="Z136" s="1" t="s">
        <v>836</v>
      </c>
    </row>
    <row r="137" spans="25:26" x14ac:dyDescent="0.2">
      <c r="Y137" s="1" t="s">
        <v>978</v>
      </c>
      <c r="Z137" s="1" t="s">
        <v>836</v>
      </c>
    </row>
    <row r="138" spans="25:26" x14ac:dyDescent="0.2">
      <c r="Y138" s="1" t="s">
        <v>979</v>
      </c>
      <c r="Z138" s="1" t="s">
        <v>836</v>
      </c>
    </row>
    <row r="139" spans="25:26" x14ac:dyDescent="0.2">
      <c r="Y139" s="1" t="s">
        <v>980</v>
      </c>
      <c r="Z139" s="1" t="s">
        <v>836</v>
      </c>
    </row>
    <row r="140" spans="25:26" x14ac:dyDescent="0.2">
      <c r="Y140" s="1" t="s">
        <v>981</v>
      </c>
      <c r="Z140" s="1" t="s">
        <v>836</v>
      </c>
    </row>
    <row r="141" spans="25:26" x14ac:dyDescent="0.2">
      <c r="Y141" s="1" t="s">
        <v>982</v>
      </c>
      <c r="Z141" s="1" t="s">
        <v>836</v>
      </c>
    </row>
    <row r="142" spans="25:26" x14ac:dyDescent="0.2">
      <c r="Y142" s="1" t="s">
        <v>983</v>
      </c>
      <c r="Z142" s="1" t="s">
        <v>836</v>
      </c>
    </row>
    <row r="143" spans="25:26" x14ac:dyDescent="0.2">
      <c r="Y143" s="1" t="s">
        <v>984</v>
      </c>
      <c r="Z143" s="1" t="s">
        <v>836</v>
      </c>
    </row>
    <row r="144" spans="25:26" x14ac:dyDescent="0.2">
      <c r="Y144" s="1" t="s">
        <v>985</v>
      </c>
      <c r="Z144" s="1" t="s">
        <v>836</v>
      </c>
    </row>
    <row r="145" spans="25:26" x14ac:dyDescent="0.2">
      <c r="Y145" s="1" t="s">
        <v>986</v>
      </c>
      <c r="Z145" s="1" t="s">
        <v>836</v>
      </c>
    </row>
    <row r="146" spans="25:26" x14ac:dyDescent="0.2">
      <c r="Y146" s="1" t="s">
        <v>987</v>
      </c>
      <c r="Z146" s="1" t="s">
        <v>845</v>
      </c>
    </row>
    <row r="147" spans="25:26" x14ac:dyDescent="0.2">
      <c r="Y147" s="1" t="s">
        <v>988</v>
      </c>
      <c r="Z147" s="1" t="s">
        <v>836</v>
      </c>
    </row>
    <row r="148" spans="25:26" x14ac:dyDescent="0.2">
      <c r="Y148" s="1" t="s">
        <v>989</v>
      </c>
      <c r="Z148" s="1" t="s">
        <v>836</v>
      </c>
    </row>
    <row r="149" spans="25:26" x14ac:dyDescent="0.2">
      <c r="Y149" s="1" t="s">
        <v>990</v>
      </c>
      <c r="Z149" s="1" t="s">
        <v>841</v>
      </c>
    </row>
    <row r="150" spans="25:26" x14ac:dyDescent="0.2">
      <c r="Y150" s="1" t="s">
        <v>991</v>
      </c>
      <c r="Z150" s="1" t="s">
        <v>836</v>
      </c>
    </row>
    <row r="151" spans="25:26" x14ac:dyDescent="0.2">
      <c r="Y151" s="1" t="s">
        <v>992</v>
      </c>
      <c r="Z151" s="1" t="s">
        <v>836</v>
      </c>
    </row>
    <row r="152" spans="25:26" x14ac:dyDescent="0.2">
      <c r="Y152" s="1" t="s">
        <v>993</v>
      </c>
      <c r="Z152" s="1" t="s">
        <v>836</v>
      </c>
    </row>
    <row r="153" spans="25:26" x14ac:dyDescent="0.2">
      <c r="Y153" s="1" t="s">
        <v>994</v>
      </c>
      <c r="Z153" s="1" t="s">
        <v>851</v>
      </c>
    </row>
    <row r="154" spans="25:26" x14ac:dyDescent="0.2">
      <c r="Y154" s="1" t="s">
        <v>995</v>
      </c>
      <c r="Z154" s="1" t="s">
        <v>845</v>
      </c>
    </row>
    <row r="155" spans="25:26" x14ac:dyDescent="0.2">
      <c r="Y155" s="1" t="s">
        <v>996</v>
      </c>
      <c r="Z155" s="1" t="s">
        <v>997</v>
      </c>
    </row>
    <row r="156" spans="25:26" x14ac:dyDescent="0.2">
      <c r="Y156" s="1" t="s">
        <v>998</v>
      </c>
      <c r="Z156" s="1" t="s">
        <v>843</v>
      </c>
    </row>
    <row r="157" spans="25:26" x14ac:dyDescent="0.2">
      <c r="Y157" s="1" t="s">
        <v>999</v>
      </c>
      <c r="Z157" s="1" t="s">
        <v>843</v>
      </c>
    </row>
    <row r="158" spans="25:26" x14ac:dyDescent="0.2">
      <c r="Y158" s="1" t="s">
        <v>1000</v>
      </c>
      <c r="Z158" s="1" t="s">
        <v>841</v>
      </c>
    </row>
    <row r="159" spans="25:26" x14ac:dyDescent="0.2">
      <c r="Y159" s="1" t="s">
        <v>1001</v>
      </c>
      <c r="Z159" s="1" t="s">
        <v>836</v>
      </c>
    </row>
    <row r="160" spans="25:26" x14ac:dyDescent="0.2">
      <c r="Y160" s="1" t="s">
        <v>1002</v>
      </c>
      <c r="Z160" s="1" t="s">
        <v>845</v>
      </c>
    </row>
    <row r="161" spans="25:26" x14ac:dyDescent="0.2">
      <c r="Y161" s="1" t="s">
        <v>1003</v>
      </c>
      <c r="Z161" s="1" t="s">
        <v>845</v>
      </c>
    </row>
    <row r="162" spans="25:26" x14ac:dyDescent="0.2">
      <c r="Y162" s="1" t="s">
        <v>1004</v>
      </c>
      <c r="Z162" s="1" t="s">
        <v>836</v>
      </c>
    </row>
    <row r="163" spans="25:26" x14ac:dyDescent="0.2">
      <c r="Y163" s="1" t="s">
        <v>1005</v>
      </c>
      <c r="Z163" s="1" t="s">
        <v>836</v>
      </c>
    </row>
    <row r="164" spans="25:26" x14ac:dyDescent="0.2">
      <c r="Y164" s="1" t="s">
        <v>1006</v>
      </c>
      <c r="Z164" s="1" t="s">
        <v>836</v>
      </c>
    </row>
    <row r="165" spans="25:26" x14ac:dyDescent="0.2">
      <c r="Y165" s="1" t="s">
        <v>1007</v>
      </c>
      <c r="Z165" s="1" t="s">
        <v>836</v>
      </c>
    </row>
    <row r="166" spans="25:26" x14ac:dyDescent="0.2">
      <c r="Y166" s="1" t="s">
        <v>1008</v>
      </c>
      <c r="Z166" s="1" t="s">
        <v>836</v>
      </c>
    </row>
    <row r="167" spans="25:26" x14ac:dyDescent="0.2">
      <c r="Y167" s="1" t="s">
        <v>1009</v>
      </c>
      <c r="Z167" s="1" t="s">
        <v>836</v>
      </c>
    </row>
    <row r="168" spans="25:26" x14ac:dyDescent="0.2">
      <c r="Y168" s="1" t="s">
        <v>1010</v>
      </c>
      <c r="Z168" s="1" t="s">
        <v>836</v>
      </c>
    </row>
    <row r="169" spans="25:26" x14ac:dyDescent="0.2">
      <c r="Y169" s="1" t="s">
        <v>1011</v>
      </c>
      <c r="Z169" s="1" t="s">
        <v>836</v>
      </c>
    </row>
    <row r="170" spans="25:26" x14ac:dyDescent="0.2">
      <c r="Y170" s="1" t="s">
        <v>1012</v>
      </c>
      <c r="Z170" s="1" t="s">
        <v>836</v>
      </c>
    </row>
    <row r="171" spans="25:26" x14ac:dyDescent="0.2">
      <c r="Y171" s="1" t="s">
        <v>1013</v>
      </c>
      <c r="Z171" s="1" t="s">
        <v>841</v>
      </c>
    </row>
    <row r="172" spans="25:26" x14ac:dyDescent="0.2">
      <c r="Y172" s="1" t="s">
        <v>1014</v>
      </c>
      <c r="Z172" s="1" t="s">
        <v>845</v>
      </c>
    </row>
    <row r="173" spans="25:26" x14ac:dyDescent="0.2">
      <c r="Y173" s="1" t="s">
        <v>1015</v>
      </c>
      <c r="Z173" s="1" t="s">
        <v>839</v>
      </c>
    </row>
    <row r="174" spans="25:26" x14ac:dyDescent="0.2">
      <c r="Y174" s="1" t="s">
        <v>1016</v>
      </c>
      <c r="Z174" s="1" t="s">
        <v>965</v>
      </c>
    </row>
    <row r="175" spans="25:26" x14ac:dyDescent="0.2">
      <c r="Y175" s="1" t="s">
        <v>1017</v>
      </c>
      <c r="Z175" s="1" t="s">
        <v>836</v>
      </c>
    </row>
    <row r="176" spans="25:26" x14ac:dyDescent="0.2">
      <c r="Y176" s="1" t="s">
        <v>1018</v>
      </c>
      <c r="Z176" s="1" t="s">
        <v>845</v>
      </c>
    </row>
    <row r="177" spans="25:26" x14ac:dyDescent="0.2">
      <c r="Y177" s="1" t="s">
        <v>1019</v>
      </c>
      <c r="Z177" s="1" t="s">
        <v>843</v>
      </c>
    </row>
    <row r="178" spans="25:26" x14ac:dyDescent="0.2">
      <c r="Y178" s="1" t="s">
        <v>1020</v>
      </c>
      <c r="Z178" s="1" t="s">
        <v>851</v>
      </c>
    </row>
    <row r="179" spans="25:26" x14ac:dyDescent="0.2">
      <c r="Y179" s="1" t="s">
        <v>1021</v>
      </c>
      <c r="Z179" s="1" t="s">
        <v>839</v>
      </c>
    </row>
    <row r="180" spans="25:26" x14ac:dyDescent="0.2">
      <c r="Y180" s="1" t="s">
        <v>1022</v>
      </c>
      <c r="Z180" s="1" t="s">
        <v>836</v>
      </c>
    </row>
    <row r="181" spans="25:26" x14ac:dyDescent="0.2">
      <c r="Y181" s="1" t="s">
        <v>1023</v>
      </c>
      <c r="Z181" s="1" t="s">
        <v>836</v>
      </c>
    </row>
    <row r="182" spans="25:26" x14ac:dyDescent="0.2">
      <c r="Y182" s="1" t="s">
        <v>1024</v>
      </c>
      <c r="Z182" s="1" t="s">
        <v>836</v>
      </c>
    </row>
    <row r="183" spans="25:26" x14ac:dyDescent="0.2">
      <c r="Y183" s="1" t="s">
        <v>1025</v>
      </c>
      <c r="Z183" s="1" t="s">
        <v>845</v>
      </c>
    </row>
    <row r="184" spans="25:26" x14ac:dyDescent="0.2">
      <c r="Y184" s="1" t="s">
        <v>1026</v>
      </c>
      <c r="Z184" s="1" t="s">
        <v>853</v>
      </c>
    </row>
    <row r="185" spans="25:26" x14ac:dyDescent="0.2">
      <c r="Y185" s="1" t="s">
        <v>1027</v>
      </c>
      <c r="Z185" s="1" t="s">
        <v>841</v>
      </c>
    </row>
    <row r="186" spans="25:26" x14ac:dyDescent="0.2">
      <c r="Y186" s="1" t="s">
        <v>1028</v>
      </c>
      <c r="Z186" s="1" t="s">
        <v>836</v>
      </c>
    </row>
    <row r="187" spans="25:26" x14ac:dyDescent="0.2">
      <c r="Y187" s="1" t="s">
        <v>1029</v>
      </c>
      <c r="Z187" s="1" t="s">
        <v>841</v>
      </c>
    </row>
    <row r="188" spans="25:26" x14ac:dyDescent="0.2">
      <c r="Y188" s="1" t="s">
        <v>1030</v>
      </c>
      <c r="Z188" s="1" t="s">
        <v>836</v>
      </c>
    </row>
    <row r="189" spans="25:26" x14ac:dyDescent="0.2">
      <c r="Y189" s="1" t="s">
        <v>1031</v>
      </c>
      <c r="Z189" s="1" t="s">
        <v>836</v>
      </c>
    </row>
    <row r="190" spans="25:26" x14ac:dyDescent="0.2">
      <c r="Y190" s="1" t="s">
        <v>1032</v>
      </c>
      <c r="Z190" s="1" t="s">
        <v>851</v>
      </c>
    </row>
    <row r="191" spans="25:26" x14ac:dyDescent="0.2">
      <c r="Y191" s="1" t="s">
        <v>1033</v>
      </c>
      <c r="Z191" s="1" t="s">
        <v>836</v>
      </c>
    </row>
    <row r="192" spans="25:26" x14ac:dyDescent="0.2">
      <c r="Y192" s="1" t="s">
        <v>1034</v>
      </c>
      <c r="Z192" s="1" t="s">
        <v>845</v>
      </c>
    </row>
    <row r="193" spans="25:26" x14ac:dyDescent="0.2">
      <c r="Y193" s="1" t="s">
        <v>1035</v>
      </c>
      <c r="Z193" s="1" t="s">
        <v>841</v>
      </c>
    </row>
    <row r="194" spans="25:26" x14ac:dyDescent="0.2">
      <c r="Y194" s="1" t="s">
        <v>1036</v>
      </c>
      <c r="Z194" s="1" t="s">
        <v>836</v>
      </c>
    </row>
    <row r="195" spans="25:26" x14ac:dyDescent="0.2">
      <c r="Y195" s="1" t="s">
        <v>1037</v>
      </c>
      <c r="Z195" s="1" t="s">
        <v>836</v>
      </c>
    </row>
    <row r="196" spans="25:26" x14ac:dyDescent="0.2">
      <c r="Y196" s="1" t="s">
        <v>1038</v>
      </c>
      <c r="Z196" s="1" t="s">
        <v>836</v>
      </c>
    </row>
    <row r="197" spans="25:26" x14ac:dyDescent="0.2">
      <c r="Y197" s="1" t="s">
        <v>1039</v>
      </c>
      <c r="Z197" s="1" t="s">
        <v>841</v>
      </c>
    </row>
    <row r="198" spans="25:26" x14ac:dyDescent="0.2">
      <c r="Y198" s="1" t="s">
        <v>1040</v>
      </c>
      <c r="Z198" s="1" t="s">
        <v>836</v>
      </c>
    </row>
    <row r="199" spans="25:26" x14ac:dyDescent="0.2">
      <c r="Y199" s="1" t="s">
        <v>1041</v>
      </c>
      <c r="Z199" s="1" t="s">
        <v>836</v>
      </c>
    </row>
    <row r="200" spans="25:26" x14ac:dyDescent="0.2">
      <c r="Y200" s="1" t="s">
        <v>1042</v>
      </c>
      <c r="Z200" s="1" t="s">
        <v>836</v>
      </c>
    </row>
    <row r="201" spans="25:26" x14ac:dyDescent="0.2">
      <c r="Y201" s="1" t="s">
        <v>1043</v>
      </c>
      <c r="Z201" s="1" t="s">
        <v>841</v>
      </c>
    </row>
    <row r="202" spans="25:26" x14ac:dyDescent="0.2">
      <c r="Y202" s="1" t="s">
        <v>1044</v>
      </c>
      <c r="Z202" s="1" t="s">
        <v>836</v>
      </c>
    </row>
    <row r="203" spans="25:26" x14ac:dyDescent="0.2">
      <c r="Y203" s="1" t="s">
        <v>1045</v>
      </c>
      <c r="Z203" s="1" t="s">
        <v>851</v>
      </c>
    </row>
    <row r="204" spans="25:26" x14ac:dyDescent="0.2">
      <c r="Y204" s="1" t="s">
        <v>1046</v>
      </c>
      <c r="Z204" s="1" t="s">
        <v>851</v>
      </c>
    </row>
    <row r="205" spans="25:26" x14ac:dyDescent="0.2">
      <c r="Y205" s="1" t="s">
        <v>1047</v>
      </c>
      <c r="Z205" s="1" t="s">
        <v>836</v>
      </c>
    </row>
    <row r="206" spans="25:26" x14ac:dyDescent="0.2">
      <c r="Y206" s="1" t="s">
        <v>1048</v>
      </c>
      <c r="Z206" s="1" t="s">
        <v>841</v>
      </c>
    </row>
    <row r="207" spans="25:26" x14ac:dyDescent="0.2">
      <c r="Y207" s="1" t="s">
        <v>1049</v>
      </c>
      <c r="Z207" s="1" t="s">
        <v>841</v>
      </c>
    </row>
    <row r="208" spans="25:26" x14ac:dyDescent="0.2">
      <c r="Y208" s="1" t="s">
        <v>1050</v>
      </c>
      <c r="Z208" s="1" t="s">
        <v>836</v>
      </c>
    </row>
    <row r="209" spans="25:26" x14ac:dyDescent="0.2">
      <c r="Y209" s="1" t="s">
        <v>1051</v>
      </c>
      <c r="Z209" s="1" t="s">
        <v>836</v>
      </c>
    </row>
    <row r="210" spans="25:26" x14ac:dyDescent="0.2">
      <c r="Y210" s="1" t="s">
        <v>1052</v>
      </c>
      <c r="Z210" s="1" t="s">
        <v>841</v>
      </c>
    </row>
    <row r="211" spans="25:26" x14ac:dyDescent="0.2">
      <c r="Y211" s="1" t="s">
        <v>1053</v>
      </c>
      <c r="Z211" s="1" t="s">
        <v>841</v>
      </c>
    </row>
    <row r="212" spans="25:26" x14ac:dyDescent="0.2">
      <c r="Y212" s="1" t="s">
        <v>1054</v>
      </c>
      <c r="Z212" s="1" t="s">
        <v>836</v>
      </c>
    </row>
    <row r="213" spans="25:26" x14ac:dyDescent="0.2">
      <c r="Y213" s="1" t="s">
        <v>1055</v>
      </c>
      <c r="Z213" s="1" t="s">
        <v>841</v>
      </c>
    </row>
    <row r="214" spans="25:26" x14ac:dyDescent="0.2">
      <c r="Y214" s="1" t="s">
        <v>1056</v>
      </c>
      <c r="Z214" s="1" t="s">
        <v>841</v>
      </c>
    </row>
    <row r="215" spans="25:26" x14ac:dyDescent="0.2">
      <c r="Y215" s="1" t="s">
        <v>1057</v>
      </c>
      <c r="Z215" s="1" t="s">
        <v>845</v>
      </c>
    </row>
    <row r="216" spans="25:26" x14ac:dyDescent="0.2">
      <c r="Y216" s="1" t="s">
        <v>1058</v>
      </c>
      <c r="Z216" s="1" t="s">
        <v>845</v>
      </c>
    </row>
    <row r="217" spans="25:26" x14ac:dyDescent="0.2">
      <c r="Y217" s="1" t="s">
        <v>1059</v>
      </c>
      <c r="Z217" s="1" t="s">
        <v>836</v>
      </c>
    </row>
    <row r="218" spans="25:26" x14ac:dyDescent="0.2">
      <c r="Y218" s="1" t="s">
        <v>1060</v>
      </c>
      <c r="Z218" s="1" t="s">
        <v>836</v>
      </c>
    </row>
    <row r="219" spans="25:26" x14ac:dyDescent="0.2">
      <c r="Y219" s="1" t="s">
        <v>1061</v>
      </c>
      <c r="Z219" s="1" t="s">
        <v>836</v>
      </c>
    </row>
    <row r="220" spans="25:26" x14ac:dyDescent="0.2">
      <c r="Y220" s="1" t="s">
        <v>1062</v>
      </c>
      <c r="Z220" s="1" t="s">
        <v>836</v>
      </c>
    </row>
    <row r="221" spans="25:26" x14ac:dyDescent="0.2">
      <c r="Y221" s="1" t="s">
        <v>1063</v>
      </c>
      <c r="Z221" s="1" t="s">
        <v>836</v>
      </c>
    </row>
    <row r="222" spans="25:26" x14ac:dyDescent="0.2">
      <c r="Y222" s="1" t="s">
        <v>1064</v>
      </c>
      <c r="Z222" s="1" t="s">
        <v>836</v>
      </c>
    </row>
    <row r="223" spans="25:26" x14ac:dyDescent="0.2">
      <c r="Y223" s="1" t="s">
        <v>1065</v>
      </c>
      <c r="Z223" s="1" t="s">
        <v>851</v>
      </c>
    </row>
    <row r="224" spans="25:26" x14ac:dyDescent="0.2">
      <c r="Y224" s="1" t="s">
        <v>1066</v>
      </c>
      <c r="Z224" s="1" t="s">
        <v>843</v>
      </c>
    </row>
    <row r="225" spans="25:26" x14ac:dyDescent="0.2">
      <c r="Y225" s="1" t="s">
        <v>1067</v>
      </c>
      <c r="Z225" s="1" t="s">
        <v>836</v>
      </c>
    </row>
    <row r="226" spans="25:26" x14ac:dyDescent="0.2">
      <c r="Y226" s="1" t="s">
        <v>1068</v>
      </c>
      <c r="Z226" s="1" t="s">
        <v>841</v>
      </c>
    </row>
    <row r="227" spans="25:26" x14ac:dyDescent="0.2">
      <c r="Y227" s="1" t="s">
        <v>1069</v>
      </c>
      <c r="Z227" s="1" t="s">
        <v>836</v>
      </c>
    </row>
    <row r="228" spans="25:26" x14ac:dyDescent="0.2">
      <c r="Y228" s="1" t="s">
        <v>1070</v>
      </c>
      <c r="Z228" s="1" t="s">
        <v>845</v>
      </c>
    </row>
    <row r="229" spans="25:26" x14ac:dyDescent="0.2">
      <c r="Y229" s="1" t="s">
        <v>1071</v>
      </c>
      <c r="Z229" s="1" t="s">
        <v>843</v>
      </c>
    </row>
    <row r="230" spans="25:26" x14ac:dyDescent="0.2">
      <c r="Y230" s="1" t="s">
        <v>1072</v>
      </c>
      <c r="Z230" s="1" t="s">
        <v>845</v>
      </c>
    </row>
    <row r="231" spans="25:26" x14ac:dyDescent="0.2">
      <c r="Y231" s="1" t="s">
        <v>1073</v>
      </c>
      <c r="Z231" s="1" t="s">
        <v>841</v>
      </c>
    </row>
    <row r="232" spans="25:26" x14ac:dyDescent="0.2">
      <c r="Y232" s="1" t="s">
        <v>1074</v>
      </c>
      <c r="Z232" s="1" t="s">
        <v>836</v>
      </c>
    </row>
    <row r="233" spans="25:26" x14ac:dyDescent="0.2">
      <c r="Y233" s="1" t="s">
        <v>1075</v>
      </c>
      <c r="Z233" s="1" t="s">
        <v>851</v>
      </c>
    </row>
    <row r="234" spans="25:26" x14ac:dyDescent="0.2">
      <c r="Y234" s="1" t="s">
        <v>1076</v>
      </c>
      <c r="Z234" s="1" t="s">
        <v>836</v>
      </c>
    </row>
    <row r="235" spans="25:26" x14ac:dyDescent="0.2">
      <c r="Y235" s="1" t="s">
        <v>1077</v>
      </c>
      <c r="Z235" s="1" t="s">
        <v>843</v>
      </c>
    </row>
    <row r="236" spans="25:26" x14ac:dyDescent="0.2">
      <c r="Y236" s="1" t="s">
        <v>1078</v>
      </c>
      <c r="Z236" s="1" t="s">
        <v>836</v>
      </c>
    </row>
    <row r="237" spans="25:26" x14ac:dyDescent="0.2">
      <c r="Y237" s="1" t="s">
        <v>1079</v>
      </c>
      <c r="Z237" s="1" t="s">
        <v>841</v>
      </c>
    </row>
    <row r="238" spans="25:26" x14ac:dyDescent="0.2">
      <c r="Y238" s="1" t="s">
        <v>1080</v>
      </c>
      <c r="Z238" s="1" t="s">
        <v>845</v>
      </c>
    </row>
    <row r="239" spans="25:26" x14ac:dyDescent="0.2">
      <c r="Y239" s="1" t="s">
        <v>1081</v>
      </c>
      <c r="Z239" s="1" t="s">
        <v>851</v>
      </c>
    </row>
    <row r="240" spans="25:26" x14ac:dyDescent="0.2">
      <c r="Y240" s="1" t="s">
        <v>1082</v>
      </c>
      <c r="Z240" s="1" t="s">
        <v>841</v>
      </c>
    </row>
    <row r="241" spans="25:26" x14ac:dyDescent="0.2">
      <c r="Y241" s="1" t="s">
        <v>1083</v>
      </c>
      <c r="Z241" s="1" t="s">
        <v>836</v>
      </c>
    </row>
    <row r="242" spans="25:26" x14ac:dyDescent="0.2">
      <c r="Y242" s="1" t="s">
        <v>1084</v>
      </c>
      <c r="Z242" s="1" t="s">
        <v>836</v>
      </c>
    </row>
    <row r="243" spans="25:26" x14ac:dyDescent="0.2">
      <c r="Y243" s="1" t="s">
        <v>1085</v>
      </c>
      <c r="Z243" s="1" t="s">
        <v>839</v>
      </c>
    </row>
    <row r="244" spans="25:26" x14ac:dyDescent="0.2">
      <c r="Y244" s="1" t="s">
        <v>1086</v>
      </c>
      <c r="Z244" s="1" t="s">
        <v>836</v>
      </c>
    </row>
    <row r="245" spans="25:26" x14ac:dyDescent="0.2">
      <c r="Y245" s="1" t="s">
        <v>1087</v>
      </c>
      <c r="Z245" s="1" t="s">
        <v>836</v>
      </c>
    </row>
    <row r="246" spans="25:26" x14ac:dyDescent="0.2">
      <c r="Y246" s="1" t="s">
        <v>1088</v>
      </c>
      <c r="Z246" s="1" t="s">
        <v>845</v>
      </c>
    </row>
    <row r="247" spans="25:26" x14ac:dyDescent="0.2">
      <c r="Y247" s="1" t="s">
        <v>1089</v>
      </c>
      <c r="Z247" s="1" t="s">
        <v>845</v>
      </c>
    </row>
    <row r="248" spans="25:26" x14ac:dyDescent="0.2">
      <c r="Y248" s="1" t="s">
        <v>1090</v>
      </c>
      <c r="Z248" s="1" t="s">
        <v>836</v>
      </c>
    </row>
    <row r="249" spans="25:26" x14ac:dyDescent="0.2">
      <c r="Y249" s="1" t="s">
        <v>1091</v>
      </c>
      <c r="Z249" s="1" t="s">
        <v>836</v>
      </c>
    </row>
    <row r="250" spans="25:26" x14ac:dyDescent="0.2">
      <c r="Y250" s="1" t="s">
        <v>1092</v>
      </c>
      <c r="Z250" s="1" t="s">
        <v>843</v>
      </c>
    </row>
    <row r="251" spans="25:26" x14ac:dyDescent="0.2">
      <c r="Y251" s="1" t="s">
        <v>1093</v>
      </c>
      <c r="Z251" s="1" t="s">
        <v>839</v>
      </c>
    </row>
    <row r="252" spans="25:26" x14ac:dyDescent="0.2">
      <c r="Y252" s="1" t="s">
        <v>1094</v>
      </c>
      <c r="Z252" s="1" t="s">
        <v>836</v>
      </c>
    </row>
    <row r="253" spans="25:26" x14ac:dyDescent="0.2">
      <c r="Y253" s="1" t="s">
        <v>1095</v>
      </c>
      <c r="Z253" s="1" t="s">
        <v>836</v>
      </c>
    </row>
    <row r="254" spans="25:26" x14ac:dyDescent="0.2">
      <c r="Y254" s="1" t="s">
        <v>1096</v>
      </c>
      <c r="Z254" s="1" t="s">
        <v>836</v>
      </c>
    </row>
    <row r="255" spans="25:26" x14ac:dyDescent="0.2">
      <c r="Y255" s="1" t="s">
        <v>1097</v>
      </c>
      <c r="Z255" s="1" t="s">
        <v>836</v>
      </c>
    </row>
    <row r="256" spans="25:26" x14ac:dyDescent="0.2">
      <c r="Y256" s="1" t="s">
        <v>1098</v>
      </c>
      <c r="Z256" s="1" t="s">
        <v>845</v>
      </c>
    </row>
    <row r="257" spans="25:26" x14ac:dyDescent="0.2">
      <c r="Y257" s="1" t="s">
        <v>1099</v>
      </c>
      <c r="Z257" s="1" t="s">
        <v>836</v>
      </c>
    </row>
    <row r="258" spans="25:26" x14ac:dyDescent="0.2">
      <c r="Y258" s="1" t="s">
        <v>1100</v>
      </c>
      <c r="Z258" s="1" t="s">
        <v>836</v>
      </c>
    </row>
    <row r="259" spans="25:26" x14ac:dyDescent="0.2">
      <c r="Y259" s="1" t="s">
        <v>1101</v>
      </c>
      <c r="Z259" s="1" t="s">
        <v>836</v>
      </c>
    </row>
    <row r="260" spans="25:26" x14ac:dyDescent="0.2">
      <c r="Y260" s="1" t="s">
        <v>1102</v>
      </c>
      <c r="Z260" s="1" t="s">
        <v>836</v>
      </c>
    </row>
    <row r="261" spans="25:26" x14ac:dyDescent="0.2">
      <c r="Y261" s="1" t="s">
        <v>1103</v>
      </c>
      <c r="Z261" s="1" t="s">
        <v>841</v>
      </c>
    </row>
    <row r="262" spans="25:26" x14ac:dyDescent="0.2">
      <c r="Y262" s="1" t="s">
        <v>1104</v>
      </c>
      <c r="Z262" s="1" t="s">
        <v>853</v>
      </c>
    </row>
    <row r="263" spans="25:26" x14ac:dyDescent="0.2">
      <c r="Y263" s="1" t="s">
        <v>1105</v>
      </c>
      <c r="Z263" s="1" t="s">
        <v>836</v>
      </c>
    </row>
    <row r="264" spans="25:26" x14ac:dyDescent="0.2">
      <c r="Y264" s="1" t="s">
        <v>1106</v>
      </c>
      <c r="Z264" s="1" t="s">
        <v>836</v>
      </c>
    </row>
    <row r="265" spans="25:26" x14ac:dyDescent="0.2">
      <c r="Y265" s="1" t="s">
        <v>1107</v>
      </c>
      <c r="Z265" s="1" t="s">
        <v>836</v>
      </c>
    </row>
    <row r="266" spans="25:26" x14ac:dyDescent="0.2">
      <c r="Y266" s="1" t="s">
        <v>1108</v>
      </c>
      <c r="Z266" s="1" t="s">
        <v>845</v>
      </c>
    </row>
    <row r="267" spans="25:26" x14ac:dyDescent="0.2">
      <c r="Y267" s="1" t="s">
        <v>1109</v>
      </c>
      <c r="Z267" s="1" t="s">
        <v>845</v>
      </c>
    </row>
    <row r="268" spans="25:26" x14ac:dyDescent="0.2">
      <c r="Y268" s="1" t="s">
        <v>1110</v>
      </c>
      <c r="Z268" s="1" t="s">
        <v>836</v>
      </c>
    </row>
    <row r="269" spans="25:26" x14ac:dyDescent="0.2">
      <c r="Y269" s="1" t="s">
        <v>1111</v>
      </c>
      <c r="Z269" s="1" t="s">
        <v>841</v>
      </c>
    </row>
    <row r="270" spans="25:26" x14ac:dyDescent="0.2">
      <c r="Y270" s="1" t="s">
        <v>1112</v>
      </c>
      <c r="Z270" s="1" t="s">
        <v>836</v>
      </c>
    </row>
    <row r="271" spans="25:26" x14ac:dyDescent="0.2">
      <c r="Y271" s="1" t="s">
        <v>1113</v>
      </c>
      <c r="Z271" s="1" t="s">
        <v>836</v>
      </c>
    </row>
    <row r="272" spans="25:26" x14ac:dyDescent="0.2">
      <c r="Y272" s="1" t="s">
        <v>1114</v>
      </c>
      <c r="Z272" s="1" t="s">
        <v>836</v>
      </c>
    </row>
    <row r="273" spans="25:26" x14ac:dyDescent="0.2">
      <c r="Y273" s="1" t="s">
        <v>1115</v>
      </c>
      <c r="Z273" s="1" t="s">
        <v>845</v>
      </c>
    </row>
    <row r="274" spans="25:26" x14ac:dyDescent="0.2">
      <c r="Y274" s="1" t="s">
        <v>1116</v>
      </c>
      <c r="Z274" s="1" t="s">
        <v>836</v>
      </c>
    </row>
    <row r="275" spans="25:26" x14ac:dyDescent="0.2">
      <c r="Y275" s="1" t="s">
        <v>1117</v>
      </c>
      <c r="Z275" s="1" t="s">
        <v>841</v>
      </c>
    </row>
    <row r="276" spans="25:26" x14ac:dyDescent="0.2">
      <c r="Y276" s="1" t="s">
        <v>1118</v>
      </c>
      <c r="Z276" s="1" t="s">
        <v>836</v>
      </c>
    </row>
    <row r="277" spans="25:26" x14ac:dyDescent="0.2">
      <c r="Y277" s="1" t="s">
        <v>1119</v>
      </c>
      <c r="Z277" s="1" t="s">
        <v>836</v>
      </c>
    </row>
    <row r="278" spans="25:26" x14ac:dyDescent="0.2">
      <c r="Y278" s="1" t="s">
        <v>1120</v>
      </c>
      <c r="Z278" s="1" t="s">
        <v>839</v>
      </c>
    </row>
    <row r="279" spans="25:26" x14ac:dyDescent="0.2">
      <c r="Y279" s="1" t="s">
        <v>1121</v>
      </c>
      <c r="Z279" s="1" t="s">
        <v>841</v>
      </c>
    </row>
    <row r="280" spans="25:26" x14ac:dyDescent="0.2">
      <c r="Y280" s="1" t="s">
        <v>1122</v>
      </c>
      <c r="Z280" s="1" t="s">
        <v>836</v>
      </c>
    </row>
    <row r="281" spans="25:26" x14ac:dyDescent="0.2">
      <c r="Y281" s="1" t="s">
        <v>1123</v>
      </c>
      <c r="Z281" s="1" t="s">
        <v>845</v>
      </c>
    </row>
    <row r="282" spans="25:26" x14ac:dyDescent="0.2">
      <c r="Y282" s="1" t="s">
        <v>1124</v>
      </c>
      <c r="Z282" s="1" t="s">
        <v>836</v>
      </c>
    </row>
    <row r="283" spans="25:26" x14ac:dyDescent="0.2">
      <c r="Y283" s="1" t="s">
        <v>1125</v>
      </c>
      <c r="Z283" s="1" t="s">
        <v>841</v>
      </c>
    </row>
    <row r="284" spans="25:26" x14ac:dyDescent="0.2">
      <c r="Y284" s="1" t="s">
        <v>1126</v>
      </c>
      <c r="Z284" s="1" t="s">
        <v>965</v>
      </c>
    </row>
    <row r="285" spans="25:26" x14ac:dyDescent="0.2">
      <c r="Y285" s="1" t="s">
        <v>1127</v>
      </c>
      <c r="Z285" s="1" t="s">
        <v>836</v>
      </c>
    </row>
    <row r="286" spans="25:26" x14ac:dyDescent="0.2">
      <c r="Y286" s="1" t="s">
        <v>1128</v>
      </c>
      <c r="Z286" s="1" t="s">
        <v>843</v>
      </c>
    </row>
    <row r="287" spans="25:26" x14ac:dyDescent="0.2">
      <c r="Y287" s="1" t="s">
        <v>1129</v>
      </c>
      <c r="Z287" s="1" t="s">
        <v>839</v>
      </c>
    </row>
    <row r="288" spans="25:26" x14ac:dyDescent="0.2">
      <c r="Y288" s="1" t="s">
        <v>1130</v>
      </c>
      <c r="Z288" s="1" t="s">
        <v>841</v>
      </c>
    </row>
    <row r="289" spans="25:26" x14ac:dyDescent="0.2">
      <c r="Y289" s="1" t="s">
        <v>1131</v>
      </c>
      <c r="Z289" s="1" t="s">
        <v>841</v>
      </c>
    </row>
    <row r="290" spans="25:26" x14ac:dyDescent="0.2">
      <c r="Y290" s="1" t="s">
        <v>1132</v>
      </c>
      <c r="Z290" s="1" t="s">
        <v>836</v>
      </c>
    </row>
    <row r="291" spans="25:26" x14ac:dyDescent="0.2">
      <c r="Y291" s="1" t="s">
        <v>1133</v>
      </c>
      <c r="Z291" s="1" t="s">
        <v>845</v>
      </c>
    </row>
    <row r="292" spans="25:26" x14ac:dyDescent="0.2">
      <c r="Y292" s="1" t="s">
        <v>1134</v>
      </c>
      <c r="Z292" s="1" t="s">
        <v>836</v>
      </c>
    </row>
    <row r="293" spans="25:26" x14ac:dyDescent="0.2">
      <c r="Y293" s="1" t="s">
        <v>1135</v>
      </c>
      <c r="Z293" s="1" t="s">
        <v>851</v>
      </c>
    </row>
    <row r="294" spans="25:26" x14ac:dyDescent="0.2">
      <c r="Y294" s="1" t="s">
        <v>1136</v>
      </c>
      <c r="Z294" s="1" t="s">
        <v>841</v>
      </c>
    </row>
    <row r="295" spans="25:26" x14ac:dyDescent="0.2">
      <c r="Y295" s="1" t="s">
        <v>1137</v>
      </c>
      <c r="Z295" s="1" t="s">
        <v>836</v>
      </c>
    </row>
    <row r="296" spans="25:26" x14ac:dyDescent="0.2">
      <c r="Y296" s="1" t="s">
        <v>1138</v>
      </c>
      <c r="Z296" s="1" t="s">
        <v>851</v>
      </c>
    </row>
    <row r="297" spans="25:26" x14ac:dyDescent="0.2">
      <c r="Y297" s="1" t="s">
        <v>1139</v>
      </c>
      <c r="Z297" s="1" t="s">
        <v>836</v>
      </c>
    </row>
    <row r="298" spans="25:26" x14ac:dyDescent="0.2">
      <c r="Y298" s="1" t="s">
        <v>1140</v>
      </c>
      <c r="Z298" s="1" t="s">
        <v>839</v>
      </c>
    </row>
    <row r="299" spans="25:26" x14ac:dyDescent="0.2">
      <c r="Y299" s="1" t="s">
        <v>1141</v>
      </c>
      <c r="Z299" s="1" t="s">
        <v>997</v>
      </c>
    </row>
    <row r="300" spans="25:26" x14ac:dyDescent="0.2">
      <c r="Y300" s="1" t="s">
        <v>1142</v>
      </c>
      <c r="Z300" s="1" t="s">
        <v>836</v>
      </c>
    </row>
    <row r="301" spans="25:26" x14ac:dyDescent="0.2">
      <c r="Y301" s="1" t="s">
        <v>1143</v>
      </c>
      <c r="Z301" s="1" t="s">
        <v>836</v>
      </c>
    </row>
    <row r="302" spans="25:26" x14ac:dyDescent="0.2">
      <c r="Y302" s="1" t="s">
        <v>1144</v>
      </c>
      <c r="Z302" s="1" t="s">
        <v>836</v>
      </c>
    </row>
    <row r="303" spans="25:26" x14ac:dyDescent="0.2">
      <c r="Y303" s="1" t="s">
        <v>1145</v>
      </c>
      <c r="Z303" s="1" t="s">
        <v>836</v>
      </c>
    </row>
    <row r="304" spans="25:26" x14ac:dyDescent="0.2">
      <c r="Y304" s="1" t="s">
        <v>1146</v>
      </c>
      <c r="Z304" s="1" t="s">
        <v>841</v>
      </c>
    </row>
    <row r="305" spans="25:26" x14ac:dyDescent="0.2">
      <c r="Y305" s="1" t="s">
        <v>1147</v>
      </c>
      <c r="Z305" s="1" t="s">
        <v>997</v>
      </c>
    </row>
    <row r="306" spans="25:26" x14ac:dyDescent="0.2">
      <c r="Y306" s="1" t="s">
        <v>1148</v>
      </c>
      <c r="Z306" s="1" t="s">
        <v>851</v>
      </c>
    </row>
    <row r="307" spans="25:26" x14ac:dyDescent="0.2">
      <c r="Y307" s="1" t="s">
        <v>1149</v>
      </c>
      <c r="Z307" s="1" t="s">
        <v>839</v>
      </c>
    </row>
    <row r="308" spans="25:26" x14ac:dyDescent="0.2">
      <c r="Y308" s="1" t="s">
        <v>1150</v>
      </c>
      <c r="Z308" s="1" t="s">
        <v>836</v>
      </c>
    </row>
    <row r="309" spans="25:26" x14ac:dyDescent="0.2">
      <c r="Y309" s="1" t="s">
        <v>1151</v>
      </c>
      <c r="Z309" s="1" t="s">
        <v>965</v>
      </c>
    </row>
    <row r="310" spans="25:26" x14ac:dyDescent="0.2">
      <c r="Y310" s="1" t="s">
        <v>1152</v>
      </c>
      <c r="Z310" s="1" t="s">
        <v>836</v>
      </c>
    </row>
    <row r="311" spans="25:26" x14ac:dyDescent="0.2">
      <c r="Y311" s="1" t="s">
        <v>1153</v>
      </c>
      <c r="Z311" s="1" t="s">
        <v>841</v>
      </c>
    </row>
    <row r="312" spans="25:26" x14ac:dyDescent="0.2">
      <c r="Y312" s="1" t="s">
        <v>1154</v>
      </c>
      <c r="Z312" s="1" t="s">
        <v>965</v>
      </c>
    </row>
    <row r="313" spans="25:26" x14ac:dyDescent="0.2">
      <c r="Y313" s="1" t="s">
        <v>1155</v>
      </c>
      <c r="Z313" s="1" t="s">
        <v>845</v>
      </c>
    </row>
    <row r="314" spans="25:26" x14ac:dyDescent="0.2">
      <c r="Y314" s="1" t="s">
        <v>1156</v>
      </c>
      <c r="Z314" s="1" t="s">
        <v>836</v>
      </c>
    </row>
    <row r="315" spans="25:26" x14ac:dyDescent="0.2">
      <c r="Y315" s="1" t="s">
        <v>1157</v>
      </c>
      <c r="Z315" s="1" t="s">
        <v>836</v>
      </c>
    </row>
    <row r="316" spans="25:26" x14ac:dyDescent="0.2">
      <c r="Y316" s="1" t="s">
        <v>1158</v>
      </c>
      <c r="Z316" s="1" t="s">
        <v>836</v>
      </c>
    </row>
    <row r="317" spans="25:26" x14ac:dyDescent="0.2">
      <c r="Y317" s="1" t="s">
        <v>1159</v>
      </c>
      <c r="Z317" s="1" t="s">
        <v>836</v>
      </c>
    </row>
    <row r="318" spans="25:26" x14ac:dyDescent="0.2">
      <c r="Y318" s="1" t="s">
        <v>1160</v>
      </c>
      <c r="Z318" s="1" t="s">
        <v>839</v>
      </c>
    </row>
    <row r="319" spans="25:26" x14ac:dyDescent="0.2">
      <c r="Y319" s="1" t="s">
        <v>1161</v>
      </c>
      <c r="Z319" s="1" t="s">
        <v>851</v>
      </c>
    </row>
    <row r="320" spans="25:26" x14ac:dyDescent="0.2">
      <c r="Y320" s="1" t="s">
        <v>1162</v>
      </c>
      <c r="Z320" s="1" t="s">
        <v>836</v>
      </c>
    </row>
    <row r="321" spans="25:26" x14ac:dyDescent="0.2">
      <c r="Y321" s="1" t="s">
        <v>1163</v>
      </c>
      <c r="Z321" s="1" t="s">
        <v>836</v>
      </c>
    </row>
    <row r="322" spans="25:26" x14ac:dyDescent="0.2">
      <c r="Y322" s="1" t="s">
        <v>1164</v>
      </c>
      <c r="Z322" s="1" t="s">
        <v>851</v>
      </c>
    </row>
    <row r="323" spans="25:26" x14ac:dyDescent="0.2">
      <c r="Y323" s="1" t="s">
        <v>1165</v>
      </c>
      <c r="Z323" s="1" t="s">
        <v>851</v>
      </c>
    </row>
    <row r="324" spans="25:26" x14ac:dyDescent="0.2">
      <c r="Y324" s="1" t="s">
        <v>1166</v>
      </c>
      <c r="Z324" s="1" t="s">
        <v>836</v>
      </c>
    </row>
    <row r="325" spans="25:26" x14ac:dyDescent="0.2">
      <c r="Y325" s="1" t="s">
        <v>1167</v>
      </c>
      <c r="Z325" s="1" t="s">
        <v>836</v>
      </c>
    </row>
    <row r="326" spans="25:26" x14ac:dyDescent="0.2">
      <c r="Y326" s="1" t="s">
        <v>1168</v>
      </c>
      <c r="Z326" s="1" t="s">
        <v>836</v>
      </c>
    </row>
    <row r="327" spans="25:26" x14ac:dyDescent="0.2">
      <c r="Y327" s="1" t="s">
        <v>1169</v>
      </c>
      <c r="Z327" s="1" t="s">
        <v>836</v>
      </c>
    </row>
    <row r="328" spans="25:26" x14ac:dyDescent="0.2">
      <c r="Y328" s="1" t="s">
        <v>1170</v>
      </c>
      <c r="Z328" s="1" t="s">
        <v>843</v>
      </c>
    </row>
    <row r="329" spans="25:26" x14ac:dyDescent="0.2">
      <c r="Y329" s="1" t="s">
        <v>1171</v>
      </c>
      <c r="Z329" s="1" t="s">
        <v>836</v>
      </c>
    </row>
    <row r="330" spans="25:26" x14ac:dyDescent="0.2">
      <c r="Y330" s="1" t="s">
        <v>1172</v>
      </c>
      <c r="Z330" s="1" t="s">
        <v>845</v>
      </c>
    </row>
    <row r="331" spans="25:26" x14ac:dyDescent="0.2">
      <c r="Y331" s="1" t="s">
        <v>1173</v>
      </c>
      <c r="Z331" s="1" t="s">
        <v>836</v>
      </c>
    </row>
    <row r="332" spans="25:26" x14ac:dyDescent="0.2">
      <c r="Y332" s="1" t="s">
        <v>1174</v>
      </c>
      <c r="Z332" s="1" t="s">
        <v>845</v>
      </c>
    </row>
    <row r="333" spans="25:26" x14ac:dyDescent="0.2">
      <c r="Y333" s="1" t="s">
        <v>1175</v>
      </c>
      <c r="Z333" s="1" t="s">
        <v>851</v>
      </c>
    </row>
    <row r="334" spans="25:26" x14ac:dyDescent="0.2">
      <c r="Y334" s="1" t="s">
        <v>1176</v>
      </c>
      <c r="Z334" s="1" t="s">
        <v>836</v>
      </c>
    </row>
    <row r="335" spans="25:26" x14ac:dyDescent="0.2">
      <c r="Y335" s="1" t="s">
        <v>1177</v>
      </c>
      <c r="Z335" s="1" t="s">
        <v>836</v>
      </c>
    </row>
    <row r="336" spans="25:26" x14ac:dyDescent="0.2">
      <c r="Y336" s="1" t="s">
        <v>1178</v>
      </c>
      <c r="Z336" s="1" t="s">
        <v>839</v>
      </c>
    </row>
    <row r="337" spans="25:26" x14ac:dyDescent="0.2">
      <c r="Y337" s="1" t="s">
        <v>1179</v>
      </c>
      <c r="Z337" s="1" t="s">
        <v>845</v>
      </c>
    </row>
    <row r="338" spans="25:26" x14ac:dyDescent="0.2">
      <c r="Y338" s="1" t="s">
        <v>1180</v>
      </c>
      <c r="Z338" s="1" t="s">
        <v>843</v>
      </c>
    </row>
    <row r="339" spans="25:26" x14ac:dyDescent="0.2">
      <c r="Y339" s="1" t="s">
        <v>1181</v>
      </c>
      <c r="Z339" s="1" t="s">
        <v>836</v>
      </c>
    </row>
    <row r="340" spans="25:26" x14ac:dyDescent="0.2">
      <c r="Y340" s="1" t="s">
        <v>1182</v>
      </c>
      <c r="Z340" s="1" t="s">
        <v>839</v>
      </c>
    </row>
    <row r="341" spans="25:26" x14ac:dyDescent="0.2">
      <c r="Y341" s="1" t="s">
        <v>1183</v>
      </c>
      <c r="Z341" s="1" t="s">
        <v>845</v>
      </c>
    </row>
    <row r="342" spans="25:26" x14ac:dyDescent="0.2">
      <c r="Y342" s="1" t="s">
        <v>1184</v>
      </c>
      <c r="Z342" s="1" t="s">
        <v>845</v>
      </c>
    </row>
    <row r="343" spans="25:26" x14ac:dyDescent="0.2">
      <c r="Y343" s="1" t="s">
        <v>1185</v>
      </c>
      <c r="Z343" s="1" t="s">
        <v>841</v>
      </c>
    </row>
    <row r="344" spans="25:26" x14ac:dyDescent="0.2">
      <c r="Y344" s="1" t="s">
        <v>1186</v>
      </c>
      <c r="Z344" s="1" t="s">
        <v>836</v>
      </c>
    </row>
    <row r="345" spans="25:26" x14ac:dyDescent="0.2">
      <c r="Y345" s="1" t="s">
        <v>1187</v>
      </c>
      <c r="Z345" s="1" t="s">
        <v>845</v>
      </c>
    </row>
    <row r="346" spans="25:26" x14ac:dyDescent="0.2">
      <c r="Y346" s="1" t="s">
        <v>1188</v>
      </c>
      <c r="Z346" s="1" t="s">
        <v>845</v>
      </c>
    </row>
    <row r="347" spans="25:26" x14ac:dyDescent="0.2">
      <c r="Y347" s="1" t="s">
        <v>1189</v>
      </c>
      <c r="Z347" s="1" t="s">
        <v>845</v>
      </c>
    </row>
    <row r="348" spans="25:26" x14ac:dyDescent="0.2">
      <c r="Y348" s="1" t="s">
        <v>1190</v>
      </c>
      <c r="Z348" s="1" t="s">
        <v>845</v>
      </c>
    </row>
    <row r="349" spans="25:26" x14ac:dyDescent="0.2">
      <c r="Y349" s="1" t="s">
        <v>1191</v>
      </c>
      <c r="Z349" s="1" t="s">
        <v>836</v>
      </c>
    </row>
    <row r="350" spans="25:26" x14ac:dyDescent="0.2">
      <c r="Y350" s="1" t="s">
        <v>1192</v>
      </c>
      <c r="Z350" s="1" t="s">
        <v>836</v>
      </c>
    </row>
    <row r="351" spans="25:26" x14ac:dyDescent="0.2">
      <c r="Y351" s="1" t="s">
        <v>1193</v>
      </c>
      <c r="Z351" s="1" t="s">
        <v>836</v>
      </c>
    </row>
    <row r="352" spans="25:26" x14ac:dyDescent="0.2">
      <c r="Y352" s="1" t="s">
        <v>1194</v>
      </c>
      <c r="Z352" s="1" t="s">
        <v>836</v>
      </c>
    </row>
    <row r="353" spans="25:26" x14ac:dyDescent="0.2">
      <c r="Y353" s="1" t="s">
        <v>1195</v>
      </c>
      <c r="Z353" s="1" t="s">
        <v>851</v>
      </c>
    </row>
    <row r="354" spans="25:26" x14ac:dyDescent="0.2">
      <c r="Y354" s="1" t="s">
        <v>1196</v>
      </c>
      <c r="Z354" s="1" t="s">
        <v>841</v>
      </c>
    </row>
    <row r="355" spans="25:26" x14ac:dyDescent="0.2">
      <c r="Y355" s="1" t="s">
        <v>1197</v>
      </c>
      <c r="Z355" s="1" t="s">
        <v>836</v>
      </c>
    </row>
    <row r="356" spans="25:26" x14ac:dyDescent="0.2">
      <c r="Y356" s="1" t="s">
        <v>1198</v>
      </c>
      <c r="Z356" s="1" t="s">
        <v>836</v>
      </c>
    </row>
    <row r="357" spans="25:26" x14ac:dyDescent="0.2">
      <c r="Y357" s="1" t="s">
        <v>1199</v>
      </c>
      <c r="Z357" s="1" t="s">
        <v>843</v>
      </c>
    </row>
    <row r="358" spans="25:26" x14ac:dyDescent="0.2">
      <c r="Y358" s="1" t="s">
        <v>1200</v>
      </c>
      <c r="Z358" s="1" t="s">
        <v>997</v>
      </c>
    </row>
    <row r="359" spans="25:26" x14ac:dyDescent="0.2">
      <c r="Y359" s="1" t="s">
        <v>1201</v>
      </c>
      <c r="Z359" s="1" t="s">
        <v>836</v>
      </c>
    </row>
    <row r="360" spans="25:26" x14ac:dyDescent="0.2">
      <c r="Y360" s="1" t="s">
        <v>1202</v>
      </c>
      <c r="Z360" s="1" t="s">
        <v>841</v>
      </c>
    </row>
    <row r="361" spans="25:26" x14ac:dyDescent="0.2">
      <c r="Y361" s="1" t="s">
        <v>1203</v>
      </c>
      <c r="Z361" s="1" t="s">
        <v>839</v>
      </c>
    </row>
    <row r="362" spans="25:26" x14ac:dyDescent="0.2">
      <c r="Y362" s="1" t="s">
        <v>1204</v>
      </c>
      <c r="Z362" s="1" t="s">
        <v>839</v>
      </c>
    </row>
    <row r="363" spans="25:26" x14ac:dyDescent="0.2">
      <c r="Y363" s="1" t="s">
        <v>1205</v>
      </c>
      <c r="Z363" s="1" t="s">
        <v>841</v>
      </c>
    </row>
    <row r="364" spans="25:26" x14ac:dyDescent="0.2">
      <c r="Y364" s="1" t="s">
        <v>1206</v>
      </c>
      <c r="Z364" s="1" t="s">
        <v>836</v>
      </c>
    </row>
    <row r="365" spans="25:26" x14ac:dyDescent="0.2">
      <c r="Y365" s="1" t="s">
        <v>1207</v>
      </c>
      <c r="Z365" s="1" t="s">
        <v>843</v>
      </c>
    </row>
    <row r="366" spans="25:26" x14ac:dyDescent="0.2">
      <c r="Y366" s="1" t="s">
        <v>1208</v>
      </c>
      <c r="Z366" s="1" t="s">
        <v>841</v>
      </c>
    </row>
    <row r="367" spans="25:26" x14ac:dyDescent="0.2">
      <c r="Y367" s="1" t="s">
        <v>1209</v>
      </c>
      <c r="Z367" s="1" t="s">
        <v>851</v>
      </c>
    </row>
    <row r="368" spans="25:26" x14ac:dyDescent="0.2">
      <c r="Y368" s="1" t="s">
        <v>1210</v>
      </c>
      <c r="Z368" s="1" t="s">
        <v>836</v>
      </c>
    </row>
    <row r="369" spans="25:26" x14ac:dyDescent="0.2">
      <c r="Y369" s="1" t="s">
        <v>1211</v>
      </c>
      <c r="Z369" s="1" t="s">
        <v>841</v>
      </c>
    </row>
    <row r="370" spans="25:26" x14ac:dyDescent="0.2">
      <c r="Y370" s="1" t="s">
        <v>1212</v>
      </c>
      <c r="Z370" s="1" t="s">
        <v>836</v>
      </c>
    </row>
    <row r="371" spans="25:26" x14ac:dyDescent="0.2">
      <c r="Y371" s="1" t="s">
        <v>1213</v>
      </c>
      <c r="Z371" s="1" t="s">
        <v>836</v>
      </c>
    </row>
    <row r="372" spans="25:26" x14ac:dyDescent="0.2">
      <c r="Y372" s="1" t="s">
        <v>1214</v>
      </c>
      <c r="Z372" s="1" t="s">
        <v>836</v>
      </c>
    </row>
    <row r="373" spans="25:26" x14ac:dyDescent="0.2">
      <c r="Y373" s="1" t="s">
        <v>1215</v>
      </c>
      <c r="Z373" s="1" t="s">
        <v>836</v>
      </c>
    </row>
    <row r="374" spans="25:26" x14ac:dyDescent="0.2">
      <c r="Y374" s="1" t="s">
        <v>1216</v>
      </c>
      <c r="Z374" s="1" t="s">
        <v>845</v>
      </c>
    </row>
    <row r="375" spans="25:26" x14ac:dyDescent="0.2">
      <c r="Y375" s="1" t="s">
        <v>1217</v>
      </c>
      <c r="Z375" s="1" t="s">
        <v>836</v>
      </c>
    </row>
    <row r="376" spans="25:26" x14ac:dyDescent="0.2">
      <c r="Y376" s="1" t="s">
        <v>1218</v>
      </c>
      <c r="Z376" s="1" t="s">
        <v>841</v>
      </c>
    </row>
    <row r="377" spans="25:26" x14ac:dyDescent="0.2">
      <c r="Y377" s="1" t="s">
        <v>1219</v>
      </c>
      <c r="Z377" s="1" t="s">
        <v>836</v>
      </c>
    </row>
    <row r="378" spans="25:26" x14ac:dyDescent="0.2">
      <c r="Y378" s="1" t="s">
        <v>1220</v>
      </c>
      <c r="Z378" s="1" t="s">
        <v>836</v>
      </c>
    </row>
    <row r="379" spans="25:26" x14ac:dyDescent="0.2">
      <c r="Y379" s="1" t="s">
        <v>1221</v>
      </c>
      <c r="Z379" s="1" t="s">
        <v>836</v>
      </c>
    </row>
    <row r="380" spans="25:26" x14ac:dyDescent="0.2">
      <c r="Y380" s="1" t="s">
        <v>1222</v>
      </c>
      <c r="Z380" s="1" t="s">
        <v>836</v>
      </c>
    </row>
    <row r="381" spans="25:26" x14ac:dyDescent="0.2">
      <c r="Y381" s="1" t="s">
        <v>1223</v>
      </c>
      <c r="Z381" s="1" t="s">
        <v>836</v>
      </c>
    </row>
    <row r="382" spans="25:26" x14ac:dyDescent="0.2">
      <c r="Y382" s="1" t="s">
        <v>1224</v>
      </c>
      <c r="Z382" s="1" t="s">
        <v>836</v>
      </c>
    </row>
    <row r="383" spans="25:26" x14ac:dyDescent="0.2">
      <c r="Y383" s="1" t="s">
        <v>1225</v>
      </c>
      <c r="Z383" s="1" t="s">
        <v>836</v>
      </c>
    </row>
    <row r="384" spans="25:26" x14ac:dyDescent="0.2">
      <c r="Y384" s="1" t="s">
        <v>1226</v>
      </c>
      <c r="Z384" s="1" t="s">
        <v>836</v>
      </c>
    </row>
    <row r="385" spans="25:26" x14ac:dyDescent="0.2">
      <c r="Y385" s="1" t="s">
        <v>1227</v>
      </c>
      <c r="Z385" s="1" t="s">
        <v>836</v>
      </c>
    </row>
    <row r="386" spans="25:26" x14ac:dyDescent="0.2">
      <c r="Y386" s="1" t="s">
        <v>1228</v>
      </c>
      <c r="Z386" s="1" t="s">
        <v>851</v>
      </c>
    </row>
    <row r="387" spans="25:26" x14ac:dyDescent="0.2">
      <c r="Y387" s="1" t="s">
        <v>1229</v>
      </c>
      <c r="Z387" s="1" t="s">
        <v>851</v>
      </c>
    </row>
    <row r="388" spans="25:26" x14ac:dyDescent="0.2">
      <c r="Y388" s="1" t="s">
        <v>1230</v>
      </c>
      <c r="Z388" s="1" t="s">
        <v>851</v>
      </c>
    </row>
    <row r="389" spans="25:26" x14ac:dyDescent="0.2">
      <c r="Y389" s="1" t="s">
        <v>1231</v>
      </c>
      <c r="Z389" s="1" t="s">
        <v>836</v>
      </c>
    </row>
    <row r="390" spans="25:26" x14ac:dyDescent="0.2">
      <c r="Y390" s="1" t="s">
        <v>1232</v>
      </c>
      <c r="Z390" s="1" t="s">
        <v>836</v>
      </c>
    </row>
    <row r="391" spans="25:26" x14ac:dyDescent="0.2">
      <c r="Y391" s="1" t="s">
        <v>1233</v>
      </c>
      <c r="Z391" s="1" t="s">
        <v>836</v>
      </c>
    </row>
    <row r="392" spans="25:26" x14ac:dyDescent="0.2">
      <c r="Y392" s="1" t="s">
        <v>1234</v>
      </c>
      <c r="Z392" s="1" t="s">
        <v>841</v>
      </c>
    </row>
    <row r="393" spans="25:26" x14ac:dyDescent="0.2">
      <c r="Y393" s="1" t="s">
        <v>1235</v>
      </c>
      <c r="Z393" s="1" t="s">
        <v>836</v>
      </c>
    </row>
    <row r="394" spans="25:26" x14ac:dyDescent="0.2">
      <c r="Y394" s="1" t="s">
        <v>1236</v>
      </c>
      <c r="Z394" s="1" t="s">
        <v>841</v>
      </c>
    </row>
    <row r="395" spans="25:26" x14ac:dyDescent="0.2">
      <c r="Y395" s="1" t="s">
        <v>1237</v>
      </c>
      <c r="Z395" s="1" t="s">
        <v>845</v>
      </c>
    </row>
    <row r="396" spans="25:26" x14ac:dyDescent="0.2">
      <c r="Y396" s="1" t="s">
        <v>1238</v>
      </c>
      <c r="Z396" s="1" t="s">
        <v>836</v>
      </c>
    </row>
    <row r="397" spans="25:26" x14ac:dyDescent="0.2">
      <c r="Y397" s="1" t="s">
        <v>1239</v>
      </c>
      <c r="Z397" s="1" t="s">
        <v>845</v>
      </c>
    </row>
    <row r="398" spans="25:26" x14ac:dyDescent="0.2">
      <c r="Y398" s="1" t="s">
        <v>1240</v>
      </c>
      <c r="Z398" s="1" t="s">
        <v>845</v>
      </c>
    </row>
    <row r="399" spans="25:26" x14ac:dyDescent="0.2">
      <c r="Y399" s="1" t="s">
        <v>1241</v>
      </c>
      <c r="Z399" s="1" t="s">
        <v>845</v>
      </c>
    </row>
    <row r="400" spans="25:26" x14ac:dyDescent="0.2">
      <c r="Y400" s="1" t="s">
        <v>1242</v>
      </c>
      <c r="Z400" s="1" t="s">
        <v>841</v>
      </c>
    </row>
    <row r="401" spans="25:26" x14ac:dyDescent="0.2">
      <c r="Y401" s="1" t="s">
        <v>1243</v>
      </c>
      <c r="Z401" s="1" t="s">
        <v>845</v>
      </c>
    </row>
    <row r="402" spans="25:26" x14ac:dyDescent="0.2">
      <c r="Y402" s="1" t="s">
        <v>1244</v>
      </c>
      <c r="Z402" s="1" t="s">
        <v>845</v>
      </c>
    </row>
    <row r="403" spans="25:26" x14ac:dyDescent="0.2">
      <c r="Y403" s="1" t="s">
        <v>1245</v>
      </c>
      <c r="Z403" s="1" t="s">
        <v>836</v>
      </c>
    </row>
    <row r="404" spans="25:26" x14ac:dyDescent="0.2">
      <c r="Y404" s="1" t="s">
        <v>1246</v>
      </c>
      <c r="Z404" s="1" t="s">
        <v>836</v>
      </c>
    </row>
    <row r="405" spans="25:26" x14ac:dyDescent="0.2">
      <c r="Y405" s="1" t="s">
        <v>1247</v>
      </c>
      <c r="Z405" s="1" t="s">
        <v>841</v>
      </c>
    </row>
    <row r="406" spans="25:26" x14ac:dyDescent="0.2">
      <c r="Y406" s="1" t="s">
        <v>1248</v>
      </c>
      <c r="Z406" s="1" t="s">
        <v>845</v>
      </c>
    </row>
    <row r="407" spans="25:26" x14ac:dyDescent="0.2">
      <c r="Y407" s="1" t="s">
        <v>1249</v>
      </c>
      <c r="Z407" s="1" t="s">
        <v>845</v>
      </c>
    </row>
    <row r="408" spans="25:26" x14ac:dyDescent="0.2">
      <c r="Y408" s="1" t="s">
        <v>1250</v>
      </c>
      <c r="Z408" s="1" t="s">
        <v>845</v>
      </c>
    </row>
    <row r="409" spans="25:26" x14ac:dyDescent="0.2">
      <c r="Y409" s="1" t="s">
        <v>1251</v>
      </c>
      <c r="Z409" s="1" t="s">
        <v>839</v>
      </c>
    </row>
    <row r="410" spans="25:26" x14ac:dyDescent="0.2">
      <c r="Y410" s="1" t="s">
        <v>1252</v>
      </c>
      <c r="Z410" s="1" t="s">
        <v>851</v>
      </c>
    </row>
    <row r="411" spans="25:26" x14ac:dyDescent="0.2">
      <c r="Y411" s="1" t="s">
        <v>1253</v>
      </c>
      <c r="Z411" s="1" t="s">
        <v>845</v>
      </c>
    </row>
    <row r="412" spans="25:26" x14ac:dyDescent="0.2">
      <c r="Y412" s="1" t="s">
        <v>1254</v>
      </c>
      <c r="Z412" s="1" t="s">
        <v>845</v>
      </c>
    </row>
    <row r="413" spans="25:26" x14ac:dyDescent="0.2">
      <c r="Y413" s="1" t="s">
        <v>1255</v>
      </c>
      <c r="Z413" s="1" t="s">
        <v>836</v>
      </c>
    </row>
    <row r="414" spans="25:26" x14ac:dyDescent="0.2">
      <c r="Y414" s="1" t="s">
        <v>1256</v>
      </c>
      <c r="Z414" s="1" t="s">
        <v>836</v>
      </c>
    </row>
    <row r="415" spans="25:26" x14ac:dyDescent="0.2">
      <c r="Y415" s="1" t="s">
        <v>1257</v>
      </c>
      <c r="Z415" s="1" t="s">
        <v>836</v>
      </c>
    </row>
    <row r="416" spans="25:26" x14ac:dyDescent="0.2">
      <c r="Y416" s="1" t="s">
        <v>1258</v>
      </c>
      <c r="Z416" s="1" t="s">
        <v>843</v>
      </c>
    </row>
    <row r="417" spans="25:26" x14ac:dyDescent="0.2">
      <c r="Y417" s="1" t="s">
        <v>1259</v>
      </c>
      <c r="Z417" s="1" t="s">
        <v>841</v>
      </c>
    </row>
    <row r="418" spans="25:26" x14ac:dyDescent="0.2">
      <c r="Y418" s="1" t="s">
        <v>1260</v>
      </c>
      <c r="Z418" s="1" t="s">
        <v>836</v>
      </c>
    </row>
    <row r="419" spans="25:26" x14ac:dyDescent="0.2">
      <c r="Y419" s="1" t="s">
        <v>1261</v>
      </c>
      <c r="Z419" s="1" t="s">
        <v>836</v>
      </c>
    </row>
    <row r="420" spans="25:26" x14ac:dyDescent="0.2">
      <c r="Y420" s="1" t="s">
        <v>1262</v>
      </c>
      <c r="Z420" s="1" t="s">
        <v>836</v>
      </c>
    </row>
    <row r="421" spans="25:26" x14ac:dyDescent="0.2">
      <c r="Y421" s="1" t="s">
        <v>1263</v>
      </c>
      <c r="Z421" s="1" t="s">
        <v>836</v>
      </c>
    </row>
    <row r="422" spans="25:26" x14ac:dyDescent="0.2">
      <c r="Y422" s="1" t="s">
        <v>1264</v>
      </c>
      <c r="Z422" s="1" t="s">
        <v>836</v>
      </c>
    </row>
    <row r="423" spans="25:26" x14ac:dyDescent="0.2">
      <c r="Y423" s="1" t="s">
        <v>1265</v>
      </c>
      <c r="Z423" s="1" t="s">
        <v>836</v>
      </c>
    </row>
    <row r="424" spans="25:26" x14ac:dyDescent="0.2">
      <c r="Y424" s="1" t="s">
        <v>1266</v>
      </c>
      <c r="Z424" s="1" t="s">
        <v>836</v>
      </c>
    </row>
    <row r="425" spans="25:26" x14ac:dyDescent="0.2">
      <c r="Y425" s="1" t="s">
        <v>1267</v>
      </c>
      <c r="Z425" s="1" t="s">
        <v>836</v>
      </c>
    </row>
    <row r="426" spans="25:26" x14ac:dyDescent="0.2">
      <c r="Y426" s="1" t="s">
        <v>1268</v>
      </c>
      <c r="Z426" s="1" t="s">
        <v>836</v>
      </c>
    </row>
    <row r="427" spans="25:26" x14ac:dyDescent="0.2">
      <c r="Y427" s="1" t="s">
        <v>1269</v>
      </c>
      <c r="Z427" s="1" t="s">
        <v>836</v>
      </c>
    </row>
    <row r="428" spans="25:26" x14ac:dyDescent="0.2">
      <c r="Y428" s="1" t="s">
        <v>1270</v>
      </c>
      <c r="Z428" s="1" t="s">
        <v>836</v>
      </c>
    </row>
    <row r="429" spans="25:26" x14ac:dyDescent="0.2">
      <c r="Y429" s="1" t="s">
        <v>1271</v>
      </c>
      <c r="Z429" s="1" t="s">
        <v>836</v>
      </c>
    </row>
    <row r="430" spans="25:26" x14ac:dyDescent="0.2">
      <c r="Y430" s="1" t="s">
        <v>1272</v>
      </c>
      <c r="Z430" s="1" t="s">
        <v>836</v>
      </c>
    </row>
    <row r="431" spans="25:26" x14ac:dyDescent="0.2">
      <c r="Y431" s="1" t="s">
        <v>1273</v>
      </c>
      <c r="Z431" s="1" t="s">
        <v>851</v>
      </c>
    </row>
    <row r="432" spans="25:26" x14ac:dyDescent="0.2">
      <c r="Y432" s="1" t="s">
        <v>1274</v>
      </c>
      <c r="Z432" s="1" t="s">
        <v>836</v>
      </c>
    </row>
    <row r="433" spans="25:26" x14ac:dyDescent="0.2">
      <c r="Y433" s="1" t="s">
        <v>1275</v>
      </c>
      <c r="Z433" s="1" t="s">
        <v>843</v>
      </c>
    </row>
    <row r="434" spans="25:26" x14ac:dyDescent="0.2">
      <c r="Y434" s="1" t="s">
        <v>1276</v>
      </c>
      <c r="Z434" s="1" t="s">
        <v>845</v>
      </c>
    </row>
    <row r="435" spans="25:26" x14ac:dyDescent="0.2">
      <c r="Y435" s="1" t="s">
        <v>1277</v>
      </c>
      <c r="Z435" s="1" t="s">
        <v>836</v>
      </c>
    </row>
    <row r="436" spans="25:26" x14ac:dyDescent="0.2">
      <c r="Y436" s="1" t="s">
        <v>1278</v>
      </c>
      <c r="Z436" s="1" t="s">
        <v>836</v>
      </c>
    </row>
    <row r="437" spans="25:26" x14ac:dyDescent="0.2">
      <c r="Y437" s="1" t="s">
        <v>1279</v>
      </c>
      <c r="Z437" s="1" t="s">
        <v>836</v>
      </c>
    </row>
    <row r="438" spans="25:26" x14ac:dyDescent="0.2">
      <c r="Y438" s="1" t="s">
        <v>1280</v>
      </c>
      <c r="Z438" s="1" t="s">
        <v>836</v>
      </c>
    </row>
    <row r="439" spans="25:26" x14ac:dyDescent="0.2">
      <c r="Y439" s="1" t="s">
        <v>1281</v>
      </c>
      <c r="Z439" s="1" t="s">
        <v>836</v>
      </c>
    </row>
    <row r="440" spans="25:26" x14ac:dyDescent="0.2">
      <c r="Y440" s="1" t="s">
        <v>1282</v>
      </c>
      <c r="Z440" s="1" t="s">
        <v>836</v>
      </c>
    </row>
    <row r="441" spans="25:26" x14ac:dyDescent="0.2">
      <c r="Y441" s="1" t="s">
        <v>1283</v>
      </c>
      <c r="Z441" s="1" t="s">
        <v>836</v>
      </c>
    </row>
    <row r="442" spans="25:26" x14ac:dyDescent="0.2">
      <c r="Y442" s="1" t="s">
        <v>1284</v>
      </c>
      <c r="Z442" s="1" t="s">
        <v>836</v>
      </c>
    </row>
    <row r="443" spans="25:26" x14ac:dyDescent="0.2">
      <c r="Y443" s="1" t="s">
        <v>1285</v>
      </c>
      <c r="Z443" s="1" t="s">
        <v>836</v>
      </c>
    </row>
    <row r="444" spans="25:26" x14ac:dyDescent="0.2">
      <c r="Y444" s="1" t="s">
        <v>1286</v>
      </c>
      <c r="Z444" s="1" t="s">
        <v>836</v>
      </c>
    </row>
    <row r="445" spans="25:26" x14ac:dyDescent="0.2">
      <c r="Y445" s="1" t="s">
        <v>1287</v>
      </c>
      <c r="Z445" s="1" t="s">
        <v>845</v>
      </c>
    </row>
    <row r="446" spans="25:26" x14ac:dyDescent="0.2">
      <c r="Y446" s="1" t="s">
        <v>1288</v>
      </c>
      <c r="Z446" s="1" t="s">
        <v>841</v>
      </c>
    </row>
    <row r="447" spans="25:26" x14ac:dyDescent="0.2">
      <c r="Y447" s="1" t="s">
        <v>1289</v>
      </c>
      <c r="Z447" s="1" t="s">
        <v>836</v>
      </c>
    </row>
    <row r="448" spans="25:26" x14ac:dyDescent="0.2">
      <c r="Y448" s="1" t="s">
        <v>1290</v>
      </c>
      <c r="Z448" s="1" t="s">
        <v>836</v>
      </c>
    </row>
    <row r="449" spans="25:26" x14ac:dyDescent="0.2">
      <c r="Y449" s="1" t="s">
        <v>1291</v>
      </c>
      <c r="Z449" s="1" t="s">
        <v>836</v>
      </c>
    </row>
    <row r="450" spans="25:26" x14ac:dyDescent="0.2">
      <c r="Y450" s="1" t="s">
        <v>1292</v>
      </c>
      <c r="Z450" s="1" t="s">
        <v>845</v>
      </c>
    </row>
    <row r="451" spans="25:26" x14ac:dyDescent="0.2">
      <c r="Y451" s="1" t="s">
        <v>1293</v>
      </c>
      <c r="Z451" s="1" t="s">
        <v>841</v>
      </c>
    </row>
    <row r="452" spans="25:26" x14ac:dyDescent="0.2">
      <c r="Y452" s="1" t="s">
        <v>1294</v>
      </c>
      <c r="Z452" s="1" t="s">
        <v>841</v>
      </c>
    </row>
    <row r="453" spans="25:26" x14ac:dyDescent="0.2">
      <c r="Y453" s="1" t="s">
        <v>1295</v>
      </c>
      <c r="Z453" s="1" t="s">
        <v>845</v>
      </c>
    </row>
    <row r="454" spans="25:26" x14ac:dyDescent="0.2">
      <c r="Y454" s="1" t="s">
        <v>1296</v>
      </c>
      <c r="Z454" s="1" t="s">
        <v>841</v>
      </c>
    </row>
    <row r="455" spans="25:26" x14ac:dyDescent="0.2">
      <c r="Y455" s="1" t="s">
        <v>1297</v>
      </c>
      <c r="Z455" s="1" t="s">
        <v>836</v>
      </c>
    </row>
    <row r="456" spans="25:26" x14ac:dyDescent="0.2">
      <c r="Y456" s="1" t="s">
        <v>1298</v>
      </c>
      <c r="Z456" s="1" t="s">
        <v>841</v>
      </c>
    </row>
    <row r="457" spans="25:26" x14ac:dyDescent="0.2">
      <c r="Y457" s="1" t="s">
        <v>1299</v>
      </c>
      <c r="Z457" s="1" t="s">
        <v>836</v>
      </c>
    </row>
    <row r="458" spans="25:26" x14ac:dyDescent="0.2">
      <c r="Y458" s="1" t="s">
        <v>1300</v>
      </c>
      <c r="Z458" s="1" t="s">
        <v>845</v>
      </c>
    </row>
    <row r="459" spans="25:26" x14ac:dyDescent="0.2">
      <c r="Y459" s="1" t="s">
        <v>1301</v>
      </c>
      <c r="Z459" s="1" t="s">
        <v>845</v>
      </c>
    </row>
    <row r="460" spans="25:26" x14ac:dyDescent="0.2">
      <c r="Y460" s="1" t="s">
        <v>1302</v>
      </c>
      <c r="Z460" s="1" t="s">
        <v>845</v>
      </c>
    </row>
    <row r="461" spans="25:26" x14ac:dyDescent="0.2">
      <c r="Y461" s="1" t="s">
        <v>1303</v>
      </c>
      <c r="Z461" s="1" t="s">
        <v>839</v>
      </c>
    </row>
    <row r="462" spans="25:26" x14ac:dyDescent="0.2">
      <c r="Y462" s="1" t="s">
        <v>1304</v>
      </c>
      <c r="Z462" s="1" t="s">
        <v>845</v>
      </c>
    </row>
    <row r="463" spans="25:26" x14ac:dyDescent="0.2">
      <c r="Y463" s="1" t="s">
        <v>1305</v>
      </c>
      <c r="Z463" s="1" t="s">
        <v>997</v>
      </c>
    </row>
    <row r="464" spans="25:26" x14ac:dyDescent="0.2">
      <c r="Y464" s="1" t="s">
        <v>1306</v>
      </c>
      <c r="Z464" s="1" t="s">
        <v>839</v>
      </c>
    </row>
    <row r="465" spans="25:26" x14ac:dyDescent="0.2">
      <c r="Y465" s="1" t="s">
        <v>1307</v>
      </c>
      <c r="Z465" s="1" t="s">
        <v>851</v>
      </c>
    </row>
    <row r="466" spans="25:26" x14ac:dyDescent="0.2">
      <c r="Y466" s="1" t="s">
        <v>1308</v>
      </c>
      <c r="Z466" s="1" t="s">
        <v>836</v>
      </c>
    </row>
    <row r="467" spans="25:26" x14ac:dyDescent="0.2">
      <c r="Y467" s="1" t="s">
        <v>1309</v>
      </c>
      <c r="Z467" s="1" t="s">
        <v>841</v>
      </c>
    </row>
    <row r="468" spans="25:26" x14ac:dyDescent="0.2">
      <c r="Y468" s="1" t="s">
        <v>1310</v>
      </c>
      <c r="Z468" s="1" t="s">
        <v>836</v>
      </c>
    </row>
    <row r="469" spans="25:26" x14ac:dyDescent="0.2">
      <c r="Y469" s="1" t="s">
        <v>1311</v>
      </c>
      <c r="Z469" s="1" t="s">
        <v>845</v>
      </c>
    </row>
    <row r="470" spans="25:26" x14ac:dyDescent="0.2">
      <c r="Y470" s="1" t="s">
        <v>1312</v>
      </c>
      <c r="Z470" s="1" t="s">
        <v>836</v>
      </c>
    </row>
    <row r="471" spans="25:26" x14ac:dyDescent="0.2">
      <c r="Y471" s="1" t="s">
        <v>1313</v>
      </c>
      <c r="Z471" s="1" t="s">
        <v>836</v>
      </c>
    </row>
    <row r="472" spans="25:26" x14ac:dyDescent="0.2">
      <c r="Y472" s="1" t="s">
        <v>1314</v>
      </c>
      <c r="Z472" s="1" t="s">
        <v>851</v>
      </c>
    </row>
    <row r="473" spans="25:26" x14ac:dyDescent="0.2">
      <c r="Y473" s="1" t="s">
        <v>1315</v>
      </c>
      <c r="Z473" s="1" t="s">
        <v>836</v>
      </c>
    </row>
    <row r="474" spans="25:26" x14ac:dyDescent="0.2">
      <c r="Y474" s="1" t="s">
        <v>1316</v>
      </c>
      <c r="Z474" s="1" t="s">
        <v>843</v>
      </c>
    </row>
    <row r="475" spans="25:26" x14ac:dyDescent="0.2">
      <c r="Y475" s="1" t="s">
        <v>1317</v>
      </c>
      <c r="Z475" s="1" t="s">
        <v>836</v>
      </c>
    </row>
    <row r="476" spans="25:26" x14ac:dyDescent="0.2">
      <c r="Y476" s="1" t="s">
        <v>1318</v>
      </c>
      <c r="Z476" s="1" t="s">
        <v>836</v>
      </c>
    </row>
    <row r="477" spans="25:26" x14ac:dyDescent="0.2">
      <c r="Y477" s="1" t="s">
        <v>1319</v>
      </c>
      <c r="Z477" s="1" t="s">
        <v>841</v>
      </c>
    </row>
    <row r="478" spans="25:26" x14ac:dyDescent="0.2">
      <c r="Y478" s="1" t="s">
        <v>1320</v>
      </c>
      <c r="Z478" s="1" t="s">
        <v>836</v>
      </c>
    </row>
    <row r="479" spans="25:26" x14ac:dyDescent="0.2">
      <c r="Y479" s="1" t="s">
        <v>1321</v>
      </c>
      <c r="Z479" s="1" t="s">
        <v>836</v>
      </c>
    </row>
    <row r="480" spans="25:26" x14ac:dyDescent="0.2">
      <c r="Y480" s="1" t="s">
        <v>1322</v>
      </c>
      <c r="Z480" s="1" t="s">
        <v>836</v>
      </c>
    </row>
    <row r="481" spans="25:26" x14ac:dyDescent="0.2">
      <c r="Y481" s="1" t="s">
        <v>1323</v>
      </c>
      <c r="Z481" s="1" t="s">
        <v>841</v>
      </c>
    </row>
    <row r="482" spans="25:26" x14ac:dyDescent="0.2">
      <c r="Y482" s="1" t="s">
        <v>1324</v>
      </c>
      <c r="Z482" s="1" t="s">
        <v>836</v>
      </c>
    </row>
    <row r="483" spans="25:26" x14ac:dyDescent="0.2">
      <c r="Y483" s="1" t="s">
        <v>1325</v>
      </c>
      <c r="Z483" s="1" t="s">
        <v>841</v>
      </c>
    </row>
    <row r="484" spans="25:26" x14ac:dyDescent="0.2">
      <c r="Y484" s="1" t="s">
        <v>1326</v>
      </c>
      <c r="Z484" s="1" t="s">
        <v>836</v>
      </c>
    </row>
    <row r="485" spans="25:26" x14ac:dyDescent="0.2">
      <c r="Y485" s="1" t="s">
        <v>1327</v>
      </c>
      <c r="Z485" s="1" t="s">
        <v>836</v>
      </c>
    </row>
    <row r="486" spans="25:26" x14ac:dyDescent="0.2">
      <c r="Y486" s="1" t="s">
        <v>1328</v>
      </c>
      <c r="Z486" s="1" t="s">
        <v>836</v>
      </c>
    </row>
    <row r="487" spans="25:26" x14ac:dyDescent="0.2">
      <c r="Y487" s="1" t="s">
        <v>1329</v>
      </c>
      <c r="Z487" s="1" t="s">
        <v>836</v>
      </c>
    </row>
    <row r="488" spans="25:26" x14ac:dyDescent="0.2">
      <c r="Y488" s="1" t="s">
        <v>1330</v>
      </c>
      <c r="Z488" s="1" t="s">
        <v>836</v>
      </c>
    </row>
    <row r="489" spans="25:26" x14ac:dyDescent="0.2">
      <c r="Y489" s="1" t="s">
        <v>1331</v>
      </c>
      <c r="Z489" s="1" t="s">
        <v>836</v>
      </c>
    </row>
    <row r="490" spans="25:26" x14ac:dyDescent="0.2">
      <c r="Y490" s="1" t="s">
        <v>1332</v>
      </c>
      <c r="Z490" s="1" t="s">
        <v>836</v>
      </c>
    </row>
    <row r="491" spans="25:26" x14ac:dyDescent="0.2">
      <c r="Y491" s="1" t="s">
        <v>1333</v>
      </c>
      <c r="Z491" s="1" t="s">
        <v>836</v>
      </c>
    </row>
    <row r="492" spans="25:26" x14ac:dyDescent="0.2">
      <c r="Y492" s="1" t="s">
        <v>1334</v>
      </c>
      <c r="Z492" s="1" t="s">
        <v>836</v>
      </c>
    </row>
    <row r="493" spans="25:26" x14ac:dyDescent="0.2">
      <c r="Y493" s="1" t="s">
        <v>1335</v>
      </c>
      <c r="Z493" s="1" t="s">
        <v>845</v>
      </c>
    </row>
    <row r="494" spans="25:26" x14ac:dyDescent="0.2">
      <c r="Y494" s="1" t="s">
        <v>1336</v>
      </c>
      <c r="Z494" s="1" t="s">
        <v>836</v>
      </c>
    </row>
    <row r="495" spans="25:26" x14ac:dyDescent="0.2">
      <c r="Y495" s="1" t="s">
        <v>1337</v>
      </c>
      <c r="Z495" s="1" t="s">
        <v>836</v>
      </c>
    </row>
    <row r="496" spans="25:26" x14ac:dyDescent="0.2">
      <c r="Y496" s="1" t="s">
        <v>1338</v>
      </c>
      <c r="Z496" s="1" t="s">
        <v>836</v>
      </c>
    </row>
    <row r="497" spans="25:26" x14ac:dyDescent="0.2">
      <c r="Y497" s="1" t="s">
        <v>1339</v>
      </c>
      <c r="Z497" s="1" t="s">
        <v>841</v>
      </c>
    </row>
    <row r="498" spans="25:26" x14ac:dyDescent="0.2">
      <c r="Y498" s="1" t="s">
        <v>1340</v>
      </c>
      <c r="Z498" s="1" t="s">
        <v>839</v>
      </c>
    </row>
    <row r="499" spans="25:26" x14ac:dyDescent="0.2">
      <c r="Y499" s="1" t="s">
        <v>1341</v>
      </c>
      <c r="Z499" s="1" t="s">
        <v>836</v>
      </c>
    </row>
    <row r="500" spans="25:26" x14ac:dyDescent="0.2">
      <c r="Y500" s="1" t="s">
        <v>1342</v>
      </c>
      <c r="Z500" s="1" t="s">
        <v>836</v>
      </c>
    </row>
    <row r="501" spans="25:26" x14ac:dyDescent="0.2">
      <c r="Y501" s="1" t="s">
        <v>1343</v>
      </c>
      <c r="Z501" s="1" t="s">
        <v>845</v>
      </c>
    </row>
    <row r="502" spans="25:26" x14ac:dyDescent="0.2">
      <c r="Y502" s="1" t="s">
        <v>1344</v>
      </c>
      <c r="Z502" s="1" t="s">
        <v>965</v>
      </c>
    </row>
    <row r="503" spans="25:26" x14ac:dyDescent="0.2">
      <c r="Y503" s="1" t="s">
        <v>1345</v>
      </c>
      <c r="Z503" s="1" t="s">
        <v>836</v>
      </c>
    </row>
    <row r="504" spans="25:26" x14ac:dyDescent="0.2">
      <c r="Y504" s="1" t="s">
        <v>1346</v>
      </c>
      <c r="Z504" s="1" t="s">
        <v>851</v>
      </c>
    </row>
    <row r="505" spans="25:26" x14ac:dyDescent="0.2">
      <c r="Y505" s="1" t="s">
        <v>1347</v>
      </c>
      <c r="Z505" s="1" t="s">
        <v>836</v>
      </c>
    </row>
    <row r="506" spans="25:26" x14ac:dyDescent="0.2">
      <c r="Y506" s="1" t="s">
        <v>1348</v>
      </c>
      <c r="Z506" s="1" t="s">
        <v>851</v>
      </c>
    </row>
    <row r="507" spans="25:26" x14ac:dyDescent="0.2">
      <c r="Y507" s="1" t="s">
        <v>1349</v>
      </c>
      <c r="Z507" s="1" t="s">
        <v>836</v>
      </c>
    </row>
    <row r="508" spans="25:26" x14ac:dyDescent="0.2">
      <c r="Y508" s="1" t="s">
        <v>1350</v>
      </c>
      <c r="Z508" s="1" t="s">
        <v>843</v>
      </c>
    </row>
    <row r="509" spans="25:26" x14ac:dyDescent="0.2">
      <c r="Y509" s="1" t="s">
        <v>1351</v>
      </c>
      <c r="Z509" s="1" t="s">
        <v>843</v>
      </c>
    </row>
    <row r="510" spans="25:26" x14ac:dyDescent="0.2">
      <c r="Y510" s="1" t="s">
        <v>1352</v>
      </c>
      <c r="Z510" s="1" t="s">
        <v>853</v>
      </c>
    </row>
    <row r="511" spans="25:26" x14ac:dyDescent="0.2">
      <c r="Y511" s="1" t="s">
        <v>1353</v>
      </c>
      <c r="Z511" s="1" t="s">
        <v>836</v>
      </c>
    </row>
    <row r="512" spans="25:26" x14ac:dyDescent="0.2">
      <c r="Y512" s="1" t="s">
        <v>1354</v>
      </c>
      <c r="Z512" s="1" t="s">
        <v>841</v>
      </c>
    </row>
    <row r="513" spans="25:26" x14ac:dyDescent="0.2">
      <c r="Y513" s="1" t="s">
        <v>1355</v>
      </c>
      <c r="Z513" s="1" t="s">
        <v>836</v>
      </c>
    </row>
    <row r="514" spans="25:26" x14ac:dyDescent="0.2">
      <c r="Y514" s="1" t="s">
        <v>1356</v>
      </c>
      <c r="Z514" s="1" t="s">
        <v>836</v>
      </c>
    </row>
    <row r="515" spans="25:26" x14ac:dyDescent="0.2">
      <c r="Y515" s="1" t="s">
        <v>1357</v>
      </c>
      <c r="Z515" s="1" t="s">
        <v>845</v>
      </c>
    </row>
    <row r="516" spans="25:26" x14ac:dyDescent="0.2">
      <c r="Y516" s="1" t="s">
        <v>1358</v>
      </c>
      <c r="Z516" s="1" t="s">
        <v>845</v>
      </c>
    </row>
    <row r="517" spans="25:26" x14ac:dyDescent="0.2">
      <c r="Y517" s="1" t="s">
        <v>1359</v>
      </c>
      <c r="Z517" s="1" t="s">
        <v>836</v>
      </c>
    </row>
    <row r="518" spans="25:26" x14ac:dyDescent="0.2">
      <c r="Y518" s="1" t="s">
        <v>1360</v>
      </c>
      <c r="Z518" s="1" t="s">
        <v>851</v>
      </c>
    </row>
    <row r="519" spans="25:26" x14ac:dyDescent="0.2">
      <c r="Y519" s="1" t="s">
        <v>1361</v>
      </c>
      <c r="Z519" s="1" t="s">
        <v>836</v>
      </c>
    </row>
    <row r="520" spans="25:26" x14ac:dyDescent="0.2">
      <c r="Y520" s="1" t="s">
        <v>1362</v>
      </c>
      <c r="Z520" s="1" t="s">
        <v>843</v>
      </c>
    </row>
    <row r="521" spans="25:26" x14ac:dyDescent="0.2">
      <c r="Y521" s="1" t="s">
        <v>1363</v>
      </c>
      <c r="Z521" s="1" t="s">
        <v>851</v>
      </c>
    </row>
    <row r="522" spans="25:26" x14ac:dyDescent="0.2">
      <c r="Y522" s="1" t="s">
        <v>1364</v>
      </c>
      <c r="Z522" s="1" t="s">
        <v>841</v>
      </c>
    </row>
    <row r="523" spans="25:26" x14ac:dyDescent="0.2">
      <c r="Y523" s="1" t="s">
        <v>1365</v>
      </c>
      <c r="Z523" s="1" t="s">
        <v>836</v>
      </c>
    </row>
    <row r="524" spans="25:26" x14ac:dyDescent="0.2">
      <c r="Y524" s="1" t="s">
        <v>1366</v>
      </c>
      <c r="Z524" s="1" t="s">
        <v>836</v>
      </c>
    </row>
    <row r="525" spans="25:26" x14ac:dyDescent="0.2">
      <c r="Y525" s="1" t="s">
        <v>1367</v>
      </c>
      <c r="Z525" s="1" t="s">
        <v>836</v>
      </c>
    </row>
    <row r="526" spans="25:26" x14ac:dyDescent="0.2">
      <c r="Y526" s="1" t="s">
        <v>1368</v>
      </c>
      <c r="Z526" s="1" t="s">
        <v>836</v>
      </c>
    </row>
    <row r="527" spans="25:26" x14ac:dyDescent="0.2">
      <c r="Y527" s="1" t="s">
        <v>1369</v>
      </c>
      <c r="Z527" s="1" t="s">
        <v>836</v>
      </c>
    </row>
    <row r="528" spans="25:26" x14ac:dyDescent="0.2">
      <c r="Y528" s="1" t="s">
        <v>1370</v>
      </c>
      <c r="Z528" s="1" t="s">
        <v>845</v>
      </c>
    </row>
    <row r="529" spans="25:26" x14ac:dyDescent="0.2">
      <c r="Y529" s="1" t="s">
        <v>1371</v>
      </c>
      <c r="Z529" s="1" t="s">
        <v>845</v>
      </c>
    </row>
    <row r="530" spans="25:26" x14ac:dyDescent="0.2">
      <c r="Y530" s="1" t="s">
        <v>1372</v>
      </c>
      <c r="Z530" s="1" t="s">
        <v>845</v>
      </c>
    </row>
    <row r="531" spans="25:26" x14ac:dyDescent="0.2">
      <c r="Y531" s="1" t="s">
        <v>1373</v>
      </c>
      <c r="Z531" s="1" t="s">
        <v>841</v>
      </c>
    </row>
    <row r="532" spans="25:26" x14ac:dyDescent="0.2">
      <c r="Y532" s="1" t="s">
        <v>1374</v>
      </c>
      <c r="Z532" s="1" t="s">
        <v>836</v>
      </c>
    </row>
    <row r="533" spans="25:26" x14ac:dyDescent="0.2">
      <c r="Y533" s="1" t="s">
        <v>1375</v>
      </c>
      <c r="Z533" s="1" t="s">
        <v>841</v>
      </c>
    </row>
    <row r="534" spans="25:26" x14ac:dyDescent="0.2">
      <c r="Y534" s="1" t="s">
        <v>1376</v>
      </c>
      <c r="Z534" s="1" t="s">
        <v>843</v>
      </c>
    </row>
    <row r="535" spans="25:26" x14ac:dyDescent="0.2">
      <c r="Y535" s="1" t="s">
        <v>1377</v>
      </c>
      <c r="Z535" s="1" t="s">
        <v>836</v>
      </c>
    </row>
    <row r="536" spans="25:26" x14ac:dyDescent="0.2">
      <c r="Y536" s="1" t="s">
        <v>1378</v>
      </c>
      <c r="Z536" s="1" t="s">
        <v>839</v>
      </c>
    </row>
    <row r="537" spans="25:26" x14ac:dyDescent="0.2">
      <c r="Y537" s="1" t="s">
        <v>1379</v>
      </c>
      <c r="Z537" s="1" t="s">
        <v>836</v>
      </c>
    </row>
    <row r="538" spans="25:26" x14ac:dyDescent="0.2">
      <c r="Y538" s="1" t="s">
        <v>1380</v>
      </c>
      <c r="Z538" s="1" t="s">
        <v>845</v>
      </c>
    </row>
    <row r="539" spans="25:26" x14ac:dyDescent="0.2">
      <c r="Y539" s="1" t="s">
        <v>1381</v>
      </c>
      <c r="Z539" s="1" t="s">
        <v>965</v>
      </c>
    </row>
    <row r="540" spans="25:26" x14ac:dyDescent="0.2">
      <c r="Y540" s="1" t="s">
        <v>1382</v>
      </c>
      <c r="Z540" s="1" t="s">
        <v>836</v>
      </c>
    </row>
    <row r="541" spans="25:26" x14ac:dyDescent="0.2">
      <c r="Y541" s="1" t="s">
        <v>1383</v>
      </c>
      <c r="Z541" s="1" t="s">
        <v>841</v>
      </c>
    </row>
    <row r="542" spans="25:26" x14ac:dyDescent="0.2">
      <c r="Y542" s="1" t="s">
        <v>1384</v>
      </c>
      <c r="Z542" s="1" t="s">
        <v>836</v>
      </c>
    </row>
    <row r="543" spans="25:26" x14ac:dyDescent="0.2">
      <c r="Y543" s="1" t="s">
        <v>1385</v>
      </c>
      <c r="Z543" s="1" t="s">
        <v>836</v>
      </c>
    </row>
    <row r="544" spans="25:26" x14ac:dyDescent="0.2">
      <c r="Y544" s="1" t="s">
        <v>1386</v>
      </c>
      <c r="Z544" s="1" t="s">
        <v>841</v>
      </c>
    </row>
    <row r="545" spans="25:26" x14ac:dyDescent="0.2">
      <c r="Y545" s="1" t="s">
        <v>1387</v>
      </c>
      <c r="Z545" s="1" t="s">
        <v>845</v>
      </c>
    </row>
    <row r="546" spans="25:26" x14ac:dyDescent="0.2">
      <c r="Y546" s="1" t="s">
        <v>1388</v>
      </c>
      <c r="Z546" s="1" t="s">
        <v>836</v>
      </c>
    </row>
    <row r="547" spans="25:26" x14ac:dyDescent="0.2">
      <c r="Y547" s="1" t="s">
        <v>1389</v>
      </c>
      <c r="Z547" s="1" t="s">
        <v>845</v>
      </c>
    </row>
    <row r="548" spans="25:26" x14ac:dyDescent="0.2">
      <c r="Y548" s="1" t="s">
        <v>1390</v>
      </c>
      <c r="Z548" s="1" t="s">
        <v>965</v>
      </c>
    </row>
    <row r="549" spans="25:26" x14ac:dyDescent="0.2">
      <c r="Y549" s="1" t="s">
        <v>1391</v>
      </c>
      <c r="Z549" s="1" t="s">
        <v>965</v>
      </c>
    </row>
    <row r="550" spans="25:26" x14ac:dyDescent="0.2">
      <c r="Y550" s="1" t="s">
        <v>1392</v>
      </c>
      <c r="Z550" s="1" t="s">
        <v>836</v>
      </c>
    </row>
    <row r="551" spans="25:26" x14ac:dyDescent="0.2">
      <c r="Y551" s="1" t="s">
        <v>1393</v>
      </c>
      <c r="Z551" s="1" t="s">
        <v>965</v>
      </c>
    </row>
    <row r="552" spans="25:26" x14ac:dyDescent="0.2">
      <c r="Y552" s="1" t="s">
        <v>1394</v>
      </c>
      <c r="Z552" s="1" t="s">
        <v>851</v>
      </c>
    </row>
    <row r="553" spans="25:26" x14ac:dyDescent="0.2">
      <c r="Y553" s="1" t="s">
        <v>1395</v>
      </c>
      <c r="Z553" s="1" t="s">
        <v>836</v>
      </c>
    </row>
    <row r="554" spans="25:26" x14ac:dyDescent="0.2">
      <c r="Y554" s="1" t="s">
        <v>1396</v>
      </c>
      <c r="Z554" s="1" t="s">
        <v>853</v>
      </c>
    </row>
    <row r="555" spans="25:26" x14ac:dyDescent="0.2">
      <c r="Y555" s="1" t="s">
        <v>1397</v>
      </c>
      <c r="Z555" s="1" t="s">
        <v>965</v>
      </c>
    </row>
    <row r="556" spans="25:26" x14ac:dyDescent="0.2">
      <c r="Y556" s="1" t="s">
        <v>1398</v>
      </c>
      <c r="Z556" s="1" t="s">
        <v>845</v>
      </c>
    </row>
    <row r="557" spans="25:26" x14ac:dyDescent="0.2">
      <c r="Y557" s="1" t="s">
        <v>1399</v>
      </c>
      <c r="Z557" s="1" t="s">
        <v>851</v>
      </c>
    </row>
    <row r="558" spans="25:26" x14ac:dyDescent="0.2">
      <c r="Y558" s="1" t="s">
        <v>1400</v>
      </c>
      <c r="Z558" s="1" t="s">
        <v>836</v>
      </c>
    </row>
    <row r="559" spans="25:26" x14ac:dyDescent="0.2">
      <c r="Y559" s="1" t="s">
        <v>1401</v>
      </c>
      <c r="Z559" s="1" t="s">
        <v>851</v>
      </c>
    </row>
    <row r="560" spans="25:26" x14ac:dyDescent="0.2">
      <c r="Y560" s="1" t="s">
        <v>1402</v>
      </c>
      <c r="Z560" s="1" t="s">
        <v>845</v>
      </c>
    </row>
    <row r="561" spans="25:26" x14ac:dyDescent="0.2">
      <c r="Y561" s="1" t="s">
        <v>1403</v>
      </c>
      <c r="Z561" s="1" t="s">
        <v>836</v>
      </c>
    </row>
    <row r="562" spans="25:26" x14ac:dyDescent="0.2">
      <c r="Y562" s="1" t="s">
        <v>1404</v>
      </c>
      <c r="Z562" s="1" t="s">
        <v>836</v>
      </c>
    </row>
    <row r="563" spans="25:26" x14ac:dyDescent="0.2">
      <c r="Y563" s="1" t="s">
        <v>1405</v>
      </c>
      <c r="Z563" s="1" t="s">
        <v>841</v>
      </c>
    </row>
    <row r="564" spans="25:26" x14ac:dyDescent="0.2">
      <c r="Y564" s="1" t="s">
        <v>1406</v>
      </c>
      <c r="Z564" s="1" t="s">
        <v>836</v>
      </c>
    </row>
    <row r="565" spans="25:26" x14ac:dyDescent="0.2">
      <c r="Y565" s="1" t="s">
        <v>1407</v>
      </c>
      <c r="Z565" s="1" t="s">
        <v>836</v>
      </c>
    </row>
    <row r="566" spans="25:26" x14ac:dyDescent="0.2">
      <c r="Y566" s="1" t="s">
        <v>1408</v>
      </c>
      <c r="Z566" s="1" t="s">
        <v>836</v>
      </c>
    </row>
    <row r="567" spans="25:26" x14ac:dyDescent="0.2">
      <c r="Y567" s="1" t="s">
        <v>1409</v>
      </c>
      <c r="Z567" s="1" t="s">
        <v>836</v>
      </c>
    </row>
    <row r="568" spans="25:26" x14ac:dyDescent="0.2">
      <c r="Y568" s="1" t="s">
        <v>1410</v>
      </c>
      <c r="Z568" s="1" t="s">
        <v>845</v>
      </c>
    </row>
    <row r="569" spans="25:26" x14ac:dyDescent="0.2">
      <c r="Y569" s="1" t="s">
        <v>1411</v>
      </c>
      <c r="Z569" s="1" t="s">
        <v>839</v>
      </c>
    </row>
    <row r="570" spans="25:26" x14ac:dyDescent="0.2">
      <c r="Y570" s="1" t="s">
        <v>1412</v>
      </c>
      <c r="Z570" s="1" t="s">
        <v>836</v>
      </c>
    </row>
    <row r="571" spans="25:26" x14ac:dyDescent="0.2">
      <c r="Y571" s="1" t="s">
        <v>1413</v>
      </c>
      <c r="Z571" s="1" t="s">
        <v>836</v>
      </c>
    </row>
    <row r="572" spans="25:26" x14ac:dyDescent="0.2">
      <c r="Y572" s="1" t="s">
        <v>1414</v>
      </c>
      <c r="Z572" s="1" t="s">
        <v>836</v>
      </c>
    </row>
    <row r="573" spans="25:26" x14ac:dyDescent="0.2">
      <c r="Y573" s="1" t="s">
        <v>1415</v>
      </c>
      <c r="Z573" s="1" t="s">
        <v>836</v>
      </c>
    </row>
    <row r="574" spans="25:26" x14ac:dyDescent="0.2">
      <c r="Y574" s="1" t="s">
        <v>1416</v>
      </c>
      <c r="Z574" s="1" t="s">
        <v>843</v>
      </c>
    </row>
    <row r="575" spans="25:26" x14ac:dyDescent="0.2">
      <c r="Y575" s="1" t="s">
        <v>1417</v>
      </c>
      <c r="Z575" s="1" t="s">
        <v>836</v>
      </c>
    </row>
    <row r="576" spans="25:26" x14ac:dyDescent="0.2">
      <c r="Y576" s="1" t="s">
        <v>1418</v>
      </c>
      <c r="Z576" s="1" t="s">
        <v>836</v>
      </c>
    </row>
    <row r="577" spans="25:26" x14ac:dyDescent="0.2">
      <c r="Y577" s="1" t="s">
        <v>1419</v>
      </c>
      <c r="Z577" s="1" t="s">
        <v>845</v>
      </c>
    </row>
    <row r="578" spans="25:26" x14ac:dyDescent="0.2">
      <c r="Y578" s="1" t="s">
        <v>1420</v>
      </c>
      <c r="Z578" s="1" t="s">
        <v>845</v>
      </c>
    </row>
    <row r="579" spans="25:26" x14ac:dyDescent="0.2">
      <c r="Y579" s="1" t="s">
        <v>1421</v>
      </c>
      <c r="Z579" s="1" t="s">
        <v>836</v>
      </c>
    </row>
    <row r="580" spans="25:26" x14ac:dyDescent="0.2">
      <c r="Y580" s="1" t="s">
        <v>1422</v>
      </c>
      <c r="Z580" s="1" t="s">
        <v>841</v>
      </c>
    </row>
    <row r="581" spans="25:26" x14ac:dyDescent="0.2">
      <c r="Y581" s="1" t="s">
        <v>1423</v>
      </c>
      <c r="Z581" s="1" t="s">
        <v>836</v>
      </c>
    </row>
    <row r="582" spans="25:26" x14ac:dyDescent="0.2">
      <c r="Y582" s="1" t="s">
        <v>1424</v>
      </c>
      <c r="Z582" s="1" t="s">
        <v>836</v>
      </c>
    </row>
    <row r="583" spans="25:26" x14ac:dyDescent="0.2">
      <c r="Y583" s="1" t="s">
        <v>1425</v>
      </c>
      <c r="Z583" s="1" t="s">
        <v>836</v>
      </c>
    </row>
    <row r="584" spans="25:26" x14ac:dyDescent="0.2">
      <c r="Y584" s="1" t="s">
        <v>1426</v>
      </c>
      <c r="Z584" s="1" t="s">
        <v>841</v>
      </c>
    </row>
    <row r="585" spans="25:26" x14ac:dyDescent="0.2">
      <c r="Y585" s="1" t="s">
        <v>1427</v>
      </c>
      <c r="Z585" s="1" t="s">
        <v>841</v>
      </c>
    </row>
    <row r="586" spans="25:26" x14ac:dyDescent="0.2">
      <c r="Y586" s="1" t="s">
        <v>1428</v>
      </c>
      <c r="Z586" s="1" t="s">
        <v>841</v>
      </c>
    </row>
    <row r="587" spans="25:26" x14ac:dyDescent="0.2">
      <c r="Y587" s="1" t="s">
        <v>1429</v>
      </c>
      <c r="Z587" s="1" t="s">
        <v>841</v>
      </c>
    </row>
    <row r="588" spans="25:26" x14ac:dyDescent="0.2">
      <c r="Y588" s="1" t="s">
        <v>1430</v>
      </c>
      <c r="Z588" s="1" t="s">
        <v>841</v>
      </c>
    </row>
    <row r="589" spans="25:26" x14ac:dyDescent="0.2">
      <c r="Y589" s="1" t="s">
        <v>1431</v>
      </c>
      <c r="Z589" s="1" t="s">
        <v>836</v>
      </c>
    </row>
    <row r="590" spans="25:26" x14ac:dyDescent="0.2">
      <c r="Y590" s="1" t="s">
        <v>1432</v>
      </c>
      <c r="Z590" s="1" t="s">
        <v>836</v>
      </c>
    </row>
    <row r="591" spans="25:26" x14ac:dyDescent="0.2">
      <c r="Y591" s="1" t="s">
        <v>1433</v>
      </c>
      <c r="Z591" s="1" t="s">
        <v>836</v>
      </c>
    </row>
    <row r="592" spans="25:26" x14ac:dyDescent="0.2">
      <c r="Y592" s="1" t="s">
        <v>1434</v>
      </c>
      <c r="Z592" s="1" t="s">
        <v>836</v>
      </c>
    </row>
    <row r="593" spans="25:26" x14ac:dyDescent="0.2">
      <c r="Y593" s="1" t="s">
        <v>1435</v>
      </c>
      <c r="Z593" s="1" t="s">
        <v>965</v>
      </c>
    </row>
    <row r="594" spans="25:26" x14ac:dyDescent="0.2">
      <c r="Y594" s="1" t="s">
        <v>1436</v>
      </c>
      <c r="Z594" s="1" t="s">
        <v>836</v>
      </c>
    </row>
    <row r="595" spans="25:26" x14ac:dyDescent="0.2">
      <c r="Y595" s="1" t="s">
        <v>1437</v>
      </c>
      <c r="Z595" s="1" t="s">
        <v>836</v>
      </c>
    </row>
    <row r="596" spans="25:26" x14ac:dyDescent="0.2">
      <c r="Y596" s="1" t="s">
        <v>1438</v>
      </c>
      <c r="Z596" s="1" t="s">
        <v>836</v>
      </c>
    </row>
    <row r="597" spans="25:26" x14ac:dyDescent="0.2">
      <c r="Y597" s="1" t="s">
        <v>1439</v>
      </c>
      <c r="Z597" s="1" t="s">
        <v>836</v>
      </c>
    </row>
    <row r="598" spans="25:26" x14ac:dyDescent="0.2">
      <c r="Y598" s="1" t="s">
        <v>1440</v>
      </c>
      <c r="Z598" s="1" t="s">
        <v>836</v>
      </c>
    </row>
    <row r="599" spans="25:26" x14ac:dyDescent="0.2">
      <c r="Y599" s="1" t="s">
        <v>1441</v>
      </c>
      <c r="Z599" s="1" t="s">
        <v>836</v>
      </c>
    </row>
    <row r="600" spans="25:26" x14ac:dyDescent="0.2">
      <c r="Y600" s="1" t="s">
        <v>1442</v>
      </c>
      <c r="Z600" s="1" t="s">
        <v>836</v>
      </c>
    </row>
    <row r="601" spans="25:26" x14ac:dyDescent="0.2">
      <c r="Y601" s="1" t="s">
        <v>1443</v>
      </c>
      <c r="Z601" s="1" t="s">
        <v>839</v>
      </c>
    </row>
    <row r="602" spans="25:26" x14ac:dyDescent="0.2">
      <c r="Y602" s="1" t="s">
        <v>1444</v>
      </c>
      <c r="Z602" s="1" t="s">
        <v>836</v>
      </c>
    </row>
    <row r="603" spans="25:26" x14ac:dyDescent="0.2">
      <c r="Y603" s="1" t="s">
        <v>1445</v>
      </c>
      <c r="Z603" s="1" t="s">
        <v>836</v>
      </c>
    </row>
    <row r="604" spans="25:26" x14ac:dyDescent="0.2">
      <c r="Y604" s="1" t="s">
        <v>1446</v>
      </c>
      <c r="Z604" s="1" t="s">
        <v>836</v>
      </c>
    </row>
    <row r="605" spans="25:26" x14ac:dyDescent="0.2">
      <c r="Y605" s="1" t="s">
        <v>1447</v>
      </c>
      <c r="Z605" s="1" t="s">
        <v>836</v>
      </c>
    </row>
    <row r="606" spans="25:26" x14ac:dyDescent="0.2">
      <c r="Y606" s="1" t="s">
        <v>1448</v>
      </c>
      <c r="Z606" s="1" t="s">
        <v>836</v>
      </c>
    </row>
    <row r="607" spans="25:26" x14ac:dyDescent="0.2">
      <c r="Y607" s="1" t="s">
        <v>1449</v>
      </c>
      <c r="Z607" s="1" t="s">
        <v>836</v>
      </c>
    </row>
    <row r="608" spans="25:26" x14ac:dyDescent="0.2">
      <c r="Y608" s="1" t="s">
        <v>1450</v>
      </c>
      <c r="Z608" s="1" t="s">
        <v>836</v>
      </c>
    </row>
    <row r="609" spans="25:26" x14ac:dyDescent="0.2">
      <c r="Y609" s="1" t="s">
        <v>1451</v>
      </c>
      <c r="Z609" s="1" t="s">
        <v>845</v>
      </c>
    </row>
    <row r="610" spans="25:26" x14ac:dyDescent="0.2">
      <c r="Y610" s="1" t="s">
        <v>1452</v>
      </c>
      <c r="Z610" s="1" t="s">
        <v>836</v>
      </c>
    </row>
    <row r="611" spans="25:26" x14ac:dyDescent="0.2">
      <c r="Y611" s="1" t="s">
        <v>1453</v>
      </c>
      <c r="Z611" s="1" t="s">
        <v>836</v>
      </c>
    </row>
    <row r="612" spans="25:26" x14ac:dyDescent="0.2">
      <c r="Y612" s="1" t="s">
        <v>1454</v>
      </c>
      <c r="Z612" s="1" t="s">
        <v>841</v>
      </c>
    </row>
    <row r="613" spans="25:26" x14ac:dyDescent="0.2">
      <c r="Y613" s="1" t="s">
        <v>1455</v>
      </c>
      <c r="Z613" s="1" t="s">
        <v>836</v>
      </c>
    </row>
    <row r="614" spans="25:26" x14ac:dyDescent="0.2">
      <c r="Y614" s="1" t="s">
        <v>1456</v>
      </c>
      <c r="Z614" s="1" t="s">
        <v>836</v>
      </c>
    </row>
    <row r="615" spans="25:26" x14ac:dyDescent="0.2">
      <c r="Y615" s="1" t="s">
        <v>1457</v>
      </c>
      <c r="Z615" s="1" t="s">
        <v>836</v>
      </c>
    </row>
    <row r="616" spans="25:26" x14ac:dyDescent="0.2">
      <c r="Y616" s="1" t="s">
        <v>1458</v>
      </c>
      <c r="Z616" s="1" t="s">
        <v>836</v>
      </c>
    </row>
    <row r="617" spans="25:26" x14ac:dyDescent="0.2">
      <c r="Y617" s="1" t="s">
        <v>1459</v>
      </c>
      <c r="Z617" s="1" t="s">
        <v>836</v>
      </c>
    </row>
    <row r="618" spans="25:26" x14ac:dyDescent="0.2">
      <c r="Y618" s="1" t="s">
        <v>1460</v>
      </c>
      <c r="Z618" s="1" t="s">
        <v>836</v>
      </c>
    </row>
    <row r="619" spans="25:26" x14ac:dyDescent="0.2">
      <c r="Y619" s="1" t="s">
        <v>1461</v>
      </c>
      <c r="Z619" s="1" t="s">
        <v>841</v>
      </c>
    </row>
    <row r="620" spans="25:26" x14ac:dyDescent="0.2">
      <c r="Y620" s="1" t="s">
        <v>1462</v>
      </c>
      <c r="Z620" s="1" t="s">
        <v>836</v>
      </c>
    </row>
    <row r="621" spans="25:26" x14ac:dyDescent="0.2">
      <c r="Y621" s="1" t="s">
        <v>1463</v>
      </c>
      <c r="Z621" s="1" t="s">
        <v>841</v>
      </c>
    </row>
    <row r="622" spans="25:26" x14ac:dyDescent="0.2">
      <c r="Y622" s="1" t="s">
        <v>1464</v>
      </c>
      <c r="Z622" s="1" t="s">
        <v>836</v>
      </c>
    </row>
    <row r="623" spans="25:26" x14ac:dyDescent="0.2">
      <c r="Y623" s="1" t="s">
        <v>1465</v>
      </c>
      <c r="Z623" s="1" t="s">
        <v>836</v>
      </c>
    </row>
    <row r="624" spans="25:26" x14ac:dyDescent="0.2">
      <c r="Y624" s="1" t="s">
        <v>1466</v>
      </c>
      <c r="Z624" s="1" t="s">
        <v>836</v>
      </c>
    </row>
    <row r="625" spans="25:26" x14ac:dyDescent="0.2">
      <c r="Y625" s="1" t="s">
        <v>1467</v>
      </c>
      <c r="Z625" s="1" t="s">
        <v>836</v>
      </c>
    </row>
    <row r="626" spans="25:26" x14ac:dyDescent="0.2">
      <c r="Y626" s="1" t="s">
        <v>1468</v>
      </c>
      <c r="Z626" s="1" t="s">
        <v>836</v>
      </c>
    </row>
    <row r="627" spans="25:26" x14ac:dyDescent="0.2">
      <c r="Y627" s="1" t="s">
        <v>1469</v>
      </c>
      <c r="Z627" s="1" t="s">
        <v>841</v>
      </c>
    </row>
    <row r="628" spans="25:26" x14ac:dyDescent="0.2">
      <c r="Y628" s="1" t="s">
        <v>1470</v>
      </c>
      <c r="Z628" s="1" t="s">
        <v>843</v>
      </c>
    </row>
    <row r="629" spans="25:26" x14ac:dyDescent="0.2">
      <c r="Y629" s="1" t="s">
        <v>1471</v>
      </c>
      <c r="Z629" s="1" t="s">
        <v>836</v>
      </c>
    </row>
    <row r="630" spans="25:26" x14ac:dyDescent="0.2">
      <c r="Y630" s="1" t="s">
        <v>1472</v>
      </c>
      <c r="Z630" s="1" t="s">
        <v>836</v>
      </c>
    </row>
    <row r="631" spans="25:26" x14ac:dyDescent="0.2">
      <c r="Y631" s="1" t="s">
        <v>1473</v>
      </c>
      <c r="Z631" s="1" t="s">
        <v>997</v>
      </c>
    </row>
    <row r="632" spans="25:26" x14ac:dyDescent="0.2">
      <c r="Y632" s="1" t="s">
        <v>1474</v>
      </c>
      <c r="Z632" s="1" t="s">
        <v>836</v>
      </c>
    </row>
    <row r="633" spans="25:26" x14ac:dyDescent="0.2">
      <c r="Y633" s="1" t="s">
        <v>1475</v>
      </c>
      <c r="Z633" s="1" t="s">
        <v>845</v>
      </c>
    </row>
    <row r="634" spans="25:26" x14ac:dyDescent="0.2">
      <c r="Y634" s="1" t="s">
        <v>1476</v>
      </c>
      <c r="Z634" s="1" t="s">
        <v>841</v>
      </c>
    </row>
    <row r="635" spans="25:26" x14ac:dyDescent="0.2">
      <c r="Y635" s="1" t="s">
        <v>1477</v>
      </c>
      <c r="Z635" s="1" t="s">
        <v>836</v>
      </c>
    </row>
    <row r="636" spans="25:26" x14ac:dyDescent="0.2">
      <c r="Y636" s="1" t="s">
        <v>1478</v>
      </c>
      <c r="Z636" s="1" t="s">
        <v>836</v>
      </c>
    </row>
    <row r="637" spans="25:26" x14ac:dyDescent="0.2">
      <c r="Y637" s="1" t="s">
        <v>1479</v>
      </c>
      <c r="Z637" s="1" t="s">
        <v>836</v>
      </c>
    </row>
    <row r="638" spans="25:26" x14ac:dyDescent="0.2">
      <c r="Y638" s="1" t="s">
        <v>1480</v>
      </c>
      <c r="Z638" s="1" t="s">
        <v>836</v>
      </c>
    </row>
    <row r="639" spans="25:26" x14ac:dyDescent="0.2">
      <c r="Y639" s="1" t="s">
        <v>1481</v>
      </c>
      <c r="Z639" s="1" t="s">
        <v>836</v>
      </c>
    </row>
    <row r="640" spans="25:26" x14ac:dyDescent="0.2">
      <c r="Y640" s="1" t="s">
        <v>1482</v>
      </c>
      <c r="Z640" s="1" t="s">
        <v>836</v>
      </c>
    </row>
    <row r="641" spans="25:26" x14ac:dyDescent="0.2">
      <c r="Y641" s="1" t="s">
        <v>1483</v>
      </c>
      <c r="Z641" s="1" t="s">
        <v>843</v>
      </c>
    </row>
    <row r="642" spans="25:26" x14ac:dyDescent="0.2">
      <c r="Y642" s="1" t="s">
        <v>1484</v>
      </c>
      <c r="Z642" s="1" t="s">
        <v>843</v>
      </c>
    </row>
    <row r="643" spans="25:26" x14ac:dyDescent="0.2">
      <c r="Y643" s="1" t="s">
        <v>1485</v>
      </c>
      <c r="Z643" s="1" t="s">
        <v>843</v>
      </c>
    </row>
    <row r="644" spans="25:26" x14ac:dyDescent="0.2">
      <c r="Y644" s="1" t="s">
        <v>1486</v>
      </c>
      <c r="Z644" s="1" t="s">
        <v>851</v>
      </c>
    </row>
    <row r="645" spans="25:26" x14ac:dyDescent="0.2">
      <c r="Y645" s="1" t="s">
        <v>1487</v>
      </c>
      <c r="Z645" s="1" t="s">
        <v>836</v>
      </c>
    </row>
    <row r="646" spans="25:26" x14ac:dyDescent="0.2">
      <c r="Y646" s="1" t="s">
        <v>1488</v>
      </c>
      <c r="Z646" s="1" t="s">
        <v>845</v>
      </c>
    </row>
    <row r="647" spans="25:26" x14ac:dyDescent="0.2">
      <c r="Y647" s="1" t="s">
        <v>1489</v>
      </c>
      <c r="Z647" s="1" t="s">
        <v>836</v>
      </c>
    </row>
    <row r="648" spans="25:26" x14ac:dyDescent="0.2">
      <c r="Y648" s="1" t="s">
        <v>1490</v>
      </c>
      <c r="Z648" s="1" t="s">
        <v>836</v>
      </c>
    </row>
    <row r="649" spans="25:26" x14ac:dyDescent="0.2">
      <c r="Y649" s="1" t="s">
        <v>1491</v>
      </c>
      <c r="Z649" s="1" t="s">
        <v>843</v>
      </c>
    </row>
    <row r="650" spans="25:26" x14ac:dyDescent="0.2">
      <c r="Y650" s="1" t="s">
        <v>1492</v>
      </c>
      <c r="Z650" s="1" t="s">
        <v>839</v>
      </c>
    </row>
    <row r="651" spans="25:26" x14ac:dyDescent="0.2">
      <c r="Y651" s="1" t="s">
        <v>1493</v>
      </c>
      <c r="Z651" s="1" t="s">
        <v>836</v>
      </c>
    </row>
    <row r="652" spans="25:26" x14ac:dyDescent="0.2">
      <c r="Y652" s="1" t="s">
        <v>1494</v>
      </c>
      <c r="Z652" s="1" t="s">
        <v>836</v>
      </c>
    </row>
    <row r="653" spans="25:26" x14ac:dyDescent="0.2">
      <c r="Y653" s="1" t="s">
        <v>1495</v>
      </c>
      <c r="Z653" s="1" t="s">
        <v>836</v>
      </c>
    </row>
    <row r="654" spans="25:26" x14ac:dyDescent="0.2">
      <c r="Y654" s="1" t="s">
        <v>1496</v>
      </c>
      <c r="Z654" s="1" t="s">
        <v>836</v>
      </c>
    </row>
    <row r="655" spans="25:26" x14ac:dyDescent="0.2">
      <c r="Y655" s="1" t="s">
        <v>1497</v>
      </c>
      <c r="Z655" s="1" t="s">
        <v>836</v>
      </c>
    </row>
    <row r="656" spans="25:26" x14ac:dyDescent="0.2">
      <c r="Y656" s="1" t="s">
        <v>1498</v>
      </c>
      <c r="Z656" s="1" t="s">
        <v>839</v>
      </c>
    </row>
    <row r="657" spans="25:26" x14ac:dyDescent="0.2">
      <c r="Y657" s="1" t="s">
        <v>1499</v>
      </c>
      <c r="Z657" s="1" t="s">
        <v>841</v>
      </c>
    </row>
    <row r="658" spans="25:26" x14ac:dyDescent="0.2">
      <c r="Y658" s="1" t="s">
        <v>1500</v>
      </c>
      <c r="Z658" s="1" t="s">
        <v>836</v>
      </c>
    </row>
    <row r="659" spans="25:26" x14ac:dyDescent="0.2">
      <c r="Y659" s="1" t="s">
        <v>1501</v>
      </c>
      <c r="Z659" s="1" t="s">
        <v>853</v>
      </c>
    </row>
    <row r="660" spans="25:26" x14ac:dyDescent="0.2">
      <c r="Y660" s="1" t="s">
        <v>1502</v>
      </c>
      <c r="Z660" s="1" t="s">
        <v>841</v>
      </c>
    </row>
    <row r="661" spans="25:26" x14ac:dyDescent="0.2">
      <c r="Y661" s="1" t="s">
        <v>1503</v>
      </c>
      <c r="Z661" s="1" t="s">
        <v>845</v>
      </c>
    </row>
    <row r="662" spans="25:26" x14ac:dyDescent="0.2">
      <c r="Y662" s="1" t="s">
        <v>1504</v>
      </c>
      <c r="Z662" s="1" t="s">
        <v>836</v>
      </c>
    </row>
    <row r="663" spans="25:26" x14ac:dyDescent="0.2">
      <c r="Y663" s="1" t="s">
        <v>1505</v>
      </c>
      <c r="Z663" s="1" t="s">
        <v>836</v>
      </c>
    </row>
    <row r="664" spans="25:26" x14ac:dyDescent="0.2">
      <c r="Y664" s="1" t="s">
        <v>1506</v>
      </c>
      <c r="Z664" s="1" t="s">
        <v>836</v>
      </c>
    </row>
    <row r="665" spans="25:26" x14ac:dyDescent="0.2">
      <c r="Y665" s="1" t="s">
        <v>1507</v>
      </c>
      <c r="Z665" s="1" t="s">
        <v>836</v>
      </c>
    </row>
    <row r="666" spans="25:26" x14ac:dyDescent="0.2">
      <c r="Y666" s="1" t="s">
        <v>1508</v>
      </c>
      <c r="Z666" s="1" t="s">
        <v>836</v>
      </c>
    </row>
    <row r="667" spans="25:26" x14ac:dyDescent="0.2">
      <c r="Y667" s="1" t="s">
        <v>1509</v>
      </c>
      <c r="Z667" s="1" t="s">
        <v>836</v>
      </c>
    </row>
    <row r="668" spans="25:26" x14ac:dyDescent="0.2">
      <c r="Y668" s="1" t="s">
        <v>1510</v>
      </c>
      <c r="Z668" s="1" t="s">
        <v>836</v>
      </c>
    </row>
    <row r="669" spans="25:26" x14ac:dyDescent="0.2">
      <c r="Y669" s="1" t="s">
        <v>1511</v>
      </c>
      <c r="Z669" s="1" t="s">
        <v>845</v>
      </c>
    </row>
    <row r="670" spans="25:26" x14ac:dyDescent="0.2">
      <c r="Y670" s="1" t="s">
        <v>1512</v>
      </c>
      <c r="Z670" s="1" t="s">
        <v>836</v>
      </c>
    </row>
    <row r="671" spans="25:26" x14ac:dyDescent="0.2">
      <c r="Y671" s="1" t="s">
        <v>1513</v>
      </c>
      <c r="Z671" s="1" t="s">
        <v>836</v>
      </c>
    </row>
    <row r="672" spans="25:26" x14ac:dyDescent="0.2">
      <c r="Y672" s="1" t="s">
        <v>1514</v>
      </c>
      <c r="Z672" s="1" t="s">
        <v>836</v>
      </c>
    </row>
    <row r="673" spans="25:26" x14ac:dyDescent="0.2">
      <c r="Y673" s="1" t="s">
        <v>1515</v>
      </c>
      <c r="Z673" s="1" t="s">
        <v>836</v>
      </c>
    </row>
    <row r="674" spans="25:26" x14ac:dyDescent="0.2">
      <c r="Y674" s="1" t="s">
        <v>1516</v>
      </c>
      <c r="Z674" s="1" t="s">
        <v>836</v>
      </c>
    </row>
    <row r="675" spans="25:26" x14ac:dyDescent="0.2">
      <c r="Y675" s="1" t="s">
        <v>1517</v>
      </c>
      <c r="Z675" s="1" t="s">
        <v>836</v>
      </c>
    </row>
    <row r="676" spans="25:26" x14ac:dyDescent="0.2">
      <c r="Y676" s="1" t="s">
        <v>1518</v>
      </c>
      <c r="Z676" s="1" t="s">
        <v>845</v>
      </c>
    </row>
    <row r="677" spans="25:26" x14ac:dyDescent="0.2">
      <c r="Y677" s="1" t="s">
        <v>1519</v>
      </c>
      <c r="Z677" s="1" t="s">
        <v>841</v>
      </c>
    </row>
    <row r="678" spans="25:26" x14ac:dyDescent="0.2">
      <c r="Y678" s="1" t="s">
        <v>1520</v>
      </c>
      <c r="Z678" s="1" t="s">
        <v>841</v>
      </c>
    </row>
    <row r="679" spans="25:26" x14ac:dyDescent="0.2">
      <c r="Y679" s="1" t="s">
        <v>1521</v>
      </c>
      <c r="Z679" s="1" t="s">
        <v>836</v>
      </c>
    </row>
    <row r="680" spans="25:26" x14ac:dyDescent="0.2">
      <c r="Y680" s="1" t="s">
        <v>1522</v>
      </c>
      <c r="Z680" s="1" t="s">
        <v>841</v>
      </c>
    </row>
    <row r="681" spans="25:26" x14ac:dyDescent="0.2">
      <c r="Y681" s="1" t="s">
        <v>1523</v>
      </c>
      <c r="Z681" s="1" t="s">
        <v>965</v>
      </c>
    </row>
    <row r="682" spans="25:26" x14ac:dyDescent="0.2">
      <c r="Y682" s="1" t="s">
        <v>1524</v>
      </c>
      <c r="Z682" s="1" t="s">
        <v>845</v>
      </c>
    </row>
    <row r="683" spans="25:26" x14ac:dyDescent="0.2">
      <c r="Y683" s="1" t="s">
        <v>1525</v>
      </c>
      <c r="Z683" s="1" t="s">
        <v>845</v>
      </c>
    </row>
    <row r="684" spans="25:26" x14ac:dyDescent="0.2">
      <c r="Y684" s="1" t="s">
        <v>1526</v>
      </c>
      <c r="Z684" s="1" t="s">
        <v>845</v>
      </c>
    </row>
    <row r="685" spans="25:26" x14ac:dyDescent="0.2">
      <c r="Y685" s="1" t="s">
        <v>1527</v>
      </c>
      <c r="Z685" s="1" t="s">
        <v>845</v>
      </c>
    </row>
    <row r="686" spans="25:26" x14ac:dyDescent="0.2">
      <c r="Y686" s="1" t="s">
        <v>1528</v>
      </c>
      <c r="Z686" s="1" t="s">
        <v>845</v>
      </c>
    </row>
    <row r="687" spans="25:26" x14ac:dyDescent="0.2">
      <c r="Y687" s="1" t="s">
        <v>1529</v>
      </c>
      <c r="Z687" s="1" t="s">
        <v>845</v>
      </c>
    </row>
    <row r="688" spans="25:26" x14ac:dyDescent="0.2">
      <c r="Y688" s="1" t="s">
        <v>1530</v>
      </c>
      <c r="Z688" s="1" t="s">
        <v>845</v>
      </c>
    </row>
    <row r="689" spans="25:26" x14ac:dyDescent="0.2">
      <c r="Y689" s="1" t="s">
        <v>1531</v>
      </c>
      <c r="Z689" s="1" t="s">
        <v>845</v>
      </c>
    </row>
    <row r="690" spans="25:26" x14ac:dyDescent="0.2">
      <c r="Y690" s="1" t="s">
        <v>1532</v>
      </c>
      <c r="Z690" s="1" t="s">
        <v>845</v>
      </c>
    </row>
    <row r="691" spans="25:26" x14ac:dyDescent="0.2">
      <c r="Y691" s="1" t="s">
        <v>1533</v>
      </c>
      <c r="Z691" s="1" t="s">
        <v>843</v>
      </c>
    </row>
    <row r="692" spans="25:26" x14ac:dyDescent="0.2">
      <c r="Y692" s="1" t="s">
        <v>1534</v>
      </c>
      <c r="Z692" s="1" t="s">
        <v>836</v>
      </c>
    </row>
    <row r="693" spans="25:26" x14ac:dyDescent="0.2">
      <c r="Y693" s="1" t="s">
        <v>1535</v>
      </c>
      <c r="Z693" s="1" t="s">
        <v>843</v>
      </c>
    </row>
    <row r="694" spans="25:26" x14ac:dyDescent="0.2">
      <c r="Y694" s="1" t="s">
        <v>1536</v>
      </c>
      <c r="Z694" s="1" t="s">
        <v>851</v>
      </c>
    </row>
    <row r="695" spans="25:26" x14ac:dyDescent="0.2">
      <c r="Y695" s="1" t="s">
        <v>1537</v>
      </c>
      <c r="Z695" s="1" t="s">
        <v>836</v>
      </c>
    </row>
    <row r="696" spans="25:26" x14ac:dyDescent="0.2">
      <c r="Y696" s="1" t="s">
        <v>1538</v>
      </c>
      <c r="Z696" s="1" t="s">
        <v>841</v>
      </c>
    </row>
    <row r="697" spans="25:26" x14ac:dyDescent="0.2">
      <c r="Y697" s="1" t="s">
        <v>1539</v>
      </c>
      <c r="Z697" s="1" t="s">
        <v>836</v>
      </c>
    </row>
    <row r="698" spans="25:26" x14ac:dyDescent="0.2">
      <c r="Y698" s="1" t="s">
        <v>1540</v>
      </c>
      <c r="Z698" s="1" t="s">
        <v>841</v>
      </c>
    </row>
    <row r="699" spans="25:26" x14ac:dyDescent="0.2">
      <c r="Y699" s="1" t="s">
        <v>1541</v>
      </c>
      <c r="Z699" s="1" t="s">
        <v>843</v>
      </c>
    </row>
    <row r="700" spans="25:26" x14ac:dyDescent="0.2">
      <c r="Y700" s="1" t="s">
        <v>1542</v>
      </c>
      <c r="Z700" s="1" t="s">
        <v>836</v>
      </c>
    </row>
    <row r="701" spans="25:26" x14ac:dyDescent="0.2">
      <c r="Y701" s="1" t="s">
        <v>1543</v>
      </c>
      <c r="Z701" s="1" t="s">
        <v>851</v>
      </c>
    </row>
    <row r="702" spans="25:26" x14ac:dyDescent="0.2">
      <c r="Y702" s="1" t="s">
        <v>1544</v>
      </c>
      <c r="Z702" s="1" t="s">
        <v>851</v>
      </c>
    </row>
    <row r="703" spans="25:26" x14ac:dyDescent="0.2">
      <c r="Y703" s="1" t="s">
        <v>1545</v>
      </c>
      <c r="Z703" s="1" t="s">
        <v>845</v>
      </c>
    </row>
    <row r="704" spans="25:26" x14ac:dyDescent="0.2">
      <c r="Y704" s="1" t="s">
        <v>1546</v>
      </c>
      <c r="Z704" s="1" t="s">
        <v>841</v>
      </c>
    </row>
    <row r="705" spans="25:26" x14ac:dyDescent="0.2">
      <c r="Y705" s="1" t="s">
        <v>1547</v>
      </c>
      <c r="Z705" s="1" t="s">
        <v>839</v>
      </c>
    </row>
    <row r="706" spans="25:26" x14ac:dyDescent="0.2">
      <c r="Y706" s="1" t="s">
        <v>1548</v>
      </c>
      <c r="Z706" s="1" t="s">
        <v>851</v>
      </c>
    </row>
    <row r="707" spans="25:26" x14ac:dyDescent="0.2">
      <c r="Y707" s="1" t="s">
        <v>1548</v>
      </c>
      <c r="Z707" s="1" t="s">
        <v>845</v>
      </c>
    </row>
    <row r="708" spans="25:26" x14ac:dyDescent="0.2">
      <c r="Y708" s="1" t="s">
        <v>1549</v>
      </c>
      <c r="Z708" s="1" t="s">
        <v>851</v>
      </c>
    </row>
    <row r="709" spans="25:26" x14ac:dyDescent="0.2">
      <c r="Y709" s="1" t="s">
        <v>1550</v>
      </c>
      <c r="Z709" s="1" t="s">
        <v>836</v>
      </c>
    </row>
    <row r="710" spans="25:26" x14ac:dyDescent="0.2">
      <c r="Y710" s="1" t="s">
        <v>1551</v>
      </c>
      <c r="Z710" s="1" t="s">
        <v>839</v>
      </c>
    </row>
    <row r="711" spans="25:26" x14ac:dyDescent="0.2">
      <c r="Y711" s="1" t="s">
        <v>1552</v>
      </c>
      <c r="Z711" s="1" t="s">
        <v>836</v>
      </c>
    </row>
    <row r="712" spans="25:26" x14ac:dyDescent="0.2">
      <c r="Y712" s="1" t="s">
        <v>1553</v>
      </c>
      <c r="Z712" s="1" t="s">
        <v>845</v>
      </c>
    </row>
    <row r="713" spans="25:26" x14ac:dyDescent="0.2">
      <c r="Y713" s="1" t="s">
        <v>1554</v>
      </c>
      <c r="Z713" s="1" t="s">
        <v>839</v>
      </c>
    </row>
    <row r="714" spans="25:26" x14ac:dyDescent="0.2">
      <c r="Y714" s="1" t="s">
        <v>1555</v>
      </c>
      <c r="Z714" s="1" t="s">
        <v>836</v>
      </c>
    </row>
    <row r="715" spans="25:26" x14ac:dyDescent="0.2">
      <c r="Y715" s="1" t="s">
        <v>1556</v>
      </c>
      <c r="Z715" s="1" t="s">
        <v>845</v>
      </c>
    </row>
    <row r="716" spans="25:26" x14ac:dyDescent="0.2">
      <c r="Y716" s="1" t="s">
        <v>1557</v>
      </c>
      <c r="Z716" s="1" t="s">
        <v>836</v>
      </c>
    </row>
    <row r="717" spans="25:26" x14ac:dyDescent="0.2">
      <c r="Y717" s="1" t="s">
        <v>1558</v>
      </c>
      <c r="Z717" s="1" t="s">
        <v>836</v>
      </c>
    </row>
    <row r="718" spans="25:26" x14ac:dyDescent="0.2">
      <c r="Y718" s="1" t="s">
        <v>1559</v>
      </c>
      <c r="Z718" s="1" t="s">
        <v>836</v>
      </c>
    </row>
    <row r="719" spans="25:26" x14ac:dyDescent="0.2">
      <c r="Y719" s="1" t="s">
        <v>1560</v>
      </c>
      <c r="Z719" s="1" t="s">
        <v>843</v>
      </c>
    </row>
    <row r="720" spans="25:26" x14ac:dyDescent="0.2">
      <c r="Y720" s="1" t="s">
        <v>1561</v>
      </c>
      <c r="Z720" s="1" t="s">
        <v>836</v>
      </c>
    </row>
    <row r="721" spans="25:26" x14ac:dyDescent="0.2">
      <c r="Y721" s="1" t="s">
        <v>1562</v>
      </c>
      <c r="Z721" s="1" t="s">
        <v>836</v>
      </c>
    </row>
    <row r="722" spans="25:26" x14ac:dyDescent="0.2">
      <c r="Y722" s="1" t="s">
        <v>1563</v>
      </c>
      <c r="Z722" s="1" t="s">
        <v>845</v>
      </c>
    </row>
    <row r="723" spans="25:26" x14ac:dyDescent="0.2">
      <c r="Y723" s="1" t="s">
        <v>1564</v>
      </c>
      <c r="Z723" s="1" t="s">
        <v>841</v>
      </c>
    </row>
    <row r="724" spans="25:26" x14ac:dyDescent="0.2">
      <c r="Y724" s="1" t="s">
        <v>1565</v>
      </c>
      <c r="Z724" s="1" t="s">
        <v>836</v>
      </c>
    </row>
    <row r="725" spans="25:26" x14ac:dyDescent="0.2">
      <c r="Y725" s="1" t="s">
        <v>1566</v>
      </c>
      <c r="Z725" s="1" t="s">
        <v>851</v>
      </c>
    </row>
    <row r="726" spans="25:26" x14ac:dyDescent="0.2">
      <c r="Y726" s="1" t="s">
        <v>1567</v>
      </c>
      <c r="Z726" s="1" t="s">
        <v>965</v>
      </c>
    </row>
    <row r="727" spans="25:26" x14ac:dyDescent="0.2">
      <c r="Y727" s="1" t="s">
        <v>1568</v>
      </c>
      <c r="Z727" s="1" t="s">
        <v>853</v>
      </c>
    </row>
    <row r="728" spans="25:26" x14ac:dyDescent="0.2">
      <c r="Y728" s="1" t="s">
        <v>1569</v>
      </c>
      <c r="Z728" s="1" t="s">
        <v>839</v>
      </c>
    </row>
    <row r="729" spans="25:26" x14ac:dyDescent="0.2">
      <c r="Y729" s="1" t="s">
        <v>1570</v>
      </c>
      <c r="Z729" s="1" t="s">
        <v>836</v>
      </c>
    </row>
    <row r="730" spans="25:26" x14ac:dyDescent="0.2">
      <c r="Y730" s="1" t="s">
        <v>1571</v>
      </c>
      <c r="Z730" s="1" t="s">
        <v>836</v>
      </c>
    </row>
    <row r="731" spans="25:26" x14ac:dyDescent="0.2">
      <c r="Y731" s="1" t="s">
        <v>1572</v>
      </c>
      <c r="Z731" s="1" t="s">
        <v>841</v>
      </c>
    </row>
    <row r="732" spans="25:26" x14ac:dyDescent="0.2">
      <c r="Y732" s="1" t="s">
        <v>1573</v>
      </c>
      <c r="Z732" s="1" t="s">
        <v>845</v>
      </c>
    </row>
    <row r="733" spans="25:26" x14ac:dyDescent="0.2">
      <c r="Y733" s="1" t="s">
        <v>1574</v>
      </c>
      <c r="Z733" s="1" t="s">
        <v>841</v>
      </c>
    </row>
    <row r="734" spans="25:26" x14ac:dyDescent="0.2">
      <c r="Y734" s="1" t="s">
        <v>1575</v>
      </c>
      <c r="Z734" s="1" t="s">
        <v>836</v>
      </c>
    </row>
    <row r="735" spans="25:26" x14ac:dyDescent="0.2">
      <c r="Y735" s="1" t="s">
        <v>1576</v>
      </c>
      <c r="Z735" s="1" t="s">
        <v>839</v>
      </c>
    </row>
    <row r="736" spans="25:26" x14ac:dyDescent="0.2">
      <c r="Y736" s="1" t="s">
        <v>1577</v>
      </c>
      <c r="Z736" s="1" t="s">
        <v>841</v>
      </c>
    </row>
    <row r="737" spans="25:26" x14ac:dyDescent="0.2">
      <c r="Y737" s="1" t="s">
        <v>1578</v>
      </c>
      <c r="Z737" s="1" t="s">
        <v>836</v>
      </c>
    </row>
    <row r="738" spans="25:26" x14ac:dyDescent="0.2">
      <c r="Y738" s="1" t="s">
        <v>1579</v>
      </c>
      <c r="Z738" s="1" t="s">
        <v>841</v>
      </c>
    </row>
    <row r="739" spans="25:26" x14ac:dyDescent="0.2">
      <c r="Y739" s="1" t="s">
        <v>1580</v>
      </c>
      <c r="Z739" s="1" t="s">
        <v>836</v>
      </c>
    </row>
    <row r="740" spans="25:26" x14ac:dyDescent="0.2">
      <c r="Y740" s="1" t="s">
        <v>1581</v>
      </c>
      <c r="Z740" s="1" t="s">
        <v>841</v>
      </c>
    </row>
    <row r="741" spans="25:26" x14ac:dyDescent="0.2">
      <c r="Y741" s="1" t="s">
        <v>1582</v>
      </c>
      <c r="Z741" s="1" t="s">
        <v>851</v>
      </c>
    </row>
    <row r="742" spans="25:26" x14ac:dyDescent="0.2">
      <c r="Y742" s="1" t="s">
        <v>1583</v>
      </c>
      <c r="Z742" s="1" t="s">
        <v>845</v>
      </c>
    </row>
    <row r="743" spans="25:26" x14ac:dyDescent="0.2">
      <c r="Y743" s="1" t="s">
        <v>1584</v>
      </c>
      <c r="Z743" s="1" t="s">
        <v>839</v>
      </c>
    </row>
    <row r="744" spans="25:26" x14ac:dyDescent="0.2">
      <c r="Y744" s="1" t="s">
        <v>1585</v>
      </c>
      <c r="Z744" s="1" t="s">
        <v>841</v>
      </c>
    </row>
    <row r="745" spans="25:26" x14ac:dyDescent="0.2">
      <c r="Y745" s="1" t="s">
        <v>1586</v>
      </c>
      <c r="Z745" s="1" t="s">
        <v>836</v>
      </c>
    </row>
    <row r="746" spans="25:26" x14ac:dyDescent="0.2">
      <c r="Y746" s="1" t="s">
        <v>1587</v>
      </c>
      <c r="Z746" s="1" t="s">
        <v>836</v>
      </c>
    </row>
    <row r="747" spans="25:26" x14ac:dyDescent="0.2">
      <c r="Y747" s="1" t="s">
        <v>1588</v>
      </c>
      <c r="Z747" s="1" t="s">
        <v>851</v>
      </c>
    </row>
    <row r="748" spans="25:26" x14ac:dyDescent="0.2">
      <c r="Y748" s="1" t="s">
        <v>1589</v>
      </c>
      <c r="Z748" s="1" t="s">
        <v>836</v>
      </c>
    </row>
    <row r="749" spans="25:26" x14ac:dyDescent="0.2">
      <c r="Y749" s="1" t="s">
        <v>1590</v>
      </c>
      <c r="Z749" s="1" t="s">
        <v>845</v>
      </c>
    </row>
    <row r="750" spans="25:26" x14ac:dyDescent="0.2">
      <c r="Y750" s="1" t="s">
        <v>1591</v>
      </c>
      <c r="Z750" s="1" t="s">
        <v>851</v>
      </c>
    </row>
    <row r="751" spans="25:26" x14ac:dyDescent="0.2">
      <c r="Y751" s="1" t="s">
        <v>1592</v>
      </c>
      <c r="Z751" s="1" t="s">
        <v>845</v>
      </c>
    </row>
    <row r="752" spans="25:26" x14ac:dyDescent="0.2">
      <c r="Y752" s="1" t="s">
        <v>1593</v>
      </c>
      <c r="Z752" s="1" t="s">
        <v>851</v>
      </c>
    </row>
    <row r="753" spans="25:26" x14ac:dyDescent="0.2">
      <c r="Y753" s="1" t="s">
        <v>1594</v>
      </c>
      <c r="Z753" s="1" t="s">
        <v>836</v>
      </c>
    </row>
    <row r="754" spans="25:26" x14ac:dyDescent="0.2">
      <c r="Y754" s="1" t="s">
        <v>1595</v>
      </c>
      <c r="Z754" s="1" t="s">
        <v>836</v>
      </c>
    </row>
    <row r="755" spans="25:26" x14ac:dyDescent="0.2">
      <c r="Y755" s="1" t="s">
        <v>1596</v>
      </c>
      <c r="Z755" s="1" t="s">
        <v>851</v>
      </c>
    </row>
    <row r="756" spans="25:26" x14ac:dyDescent="0.2">
      <c r="Y756" s="1" t="s">
        <v>1597</v>
      </c>
      <c r="Z756" s="1" t="s">
        <v>845</v>
      </c>
    </row>
    <row r="757" spans="25:26" x14ac:dyDescent="0.2">
      <c r="Y757" s="1" t="s">
        <v>1598</v>
      </c>
      <c r="Z757" s="1" t="s">
        <v>839</v>
      </c>
    </row>
    <row r="758" spans="25:26" x14ac:dyDescent="0.2">
      <c r="Y758" s="1" t="s">
        <v>1599</v>
      </c>
      <c r="Z758" s="1" t="s">
        <v>836</v>
      </c>
    </row>
    <row r="759" spans="25:26" x14ac:dyDescent="0.2">
      <c r="Y759" s="1" t="s">
        <v>1600</v>
      </c>
      <c r="Z759" s="1" t="s">
        <v>841</v>
      </c>
    </row>
    <row r="760" spans="25:26" x14ac:dyDescent="0.2">
      <c r="Y760" s="1" t="s">
        <v>1601</v>
      </c>
      <c r="Z760" s="1" t="s">
        <v>965</v>
      </c>
    </row>
    <row r="761" spans="25:26" x14ac:dyDescent="0.2">
      <c r="Y761" s="1" t="s">
        <v>1602</v>
      </c>
      <c r="Z761" s="1" t="s">
        <v>836</v>
      </c>
    </row>
    <row r="762" spans="25:26" x14ac:dyDescent="0.2">
      <c r="Y762" s="1" t="s">
        <v>1603</v>
      </c>
      <c r="Z762" s="1" t="s">
        <v>836</v>
      </c>
    </row>
    <row r="763" spans="25:26" x14ac:dyDescent="0.2">
      <c r="Y763" s="1" t="s">
        <v>1604</v>
      </c>
      <c r="Z763" s="1" t="s">
        <v>851</v>
      </c>
    </row>
    <row r="764" spans="25:26" x14ac:dyDescent="0.2">
      <c r="Y764" s="1" t="s">
        <v>1605</v>
      </c>
      <c r="Z764" s="1" t="s">
        <v>841</v>
      </c>
    </row>
    <row r="765" spans="25:26" x14ac:dyDescent="0.2">
      <c r="Y765" s="1" t="s">
        <v>1606</v>
      </c>
      <c r="Z765" s="1" t="s">
        <v>839</v>
      </c>
    </row>
    <row r="766" spans="25:26" x14ac:dyDescent="0.2">
      <c r="Y766" s="1" t="s">
        <v>1607</v>
      </c>
      <c r="Z766" s="1" t="s">
        <v>836</v>
      </c>
    </row>
    <row r="767" spans="25:26" x14ac:dyDescent="0.2">
      <c r="Y767" s="1" t="s">
        <v>1608</v>
      </c>
      <c r="Z767" s="1" t="s">
        <v>836</v>
      </c>
    </row>
    <row r="768" spans="25:26" x14ac:dyDescent="0.2">
      <c r="Y768" s="1" t="s">
        <v>1609</v>
      </c>
      <c r="Z768" s="1" t="s">
        <v>851</v>
      </c>
    </row>
    <row r="769" spans="25:26" x14ac:dyDescent="0.2">
      <c r="Y769" s="1" t="s">
        <v>1610</v>
      </c>
      <c r="Z769" s="1" t="s">
        <v>836</v>
      </c>
    </row>
    <row r="770" spans="25:26" x14ac:dyDescent="0.2">
      <c r="Y770" s="1" t="s">
        <v>1611</v>
      </c>
      <c r="Z770" s="1" t="s">
        <v>839</v>
      </c>
    </row>
    <row r="771" spans="25:26" x14ac:dyDescent="0.2">
      <c r="Y771" s="1" t="s">
        <v>1612</v>
      </c>
      <c r="Z771" s="1" t="s">
        <v>845</v>
      </c>
    </row>
    <row r="772" spans="25:26" x14ac:dyDescent="0.2">
      <c r="Y772" s="1" t="s">
        <v>1613</v>
      </c>
      <c r="Z772" s="1" t="s">
        <v>836</v>
      </c>
    </row>
    <row r="773" spans="25:26" x14ac:dyDescent="0.2">
      <c r="Y773" s="1" t="s">
        <v>1614</v>
      </c>
      <c r="Z773" s="1" t="s">
        <v>836</v>
      </c>
    </row>
    <row r="774" spans="25:26" x14ac:dyDescent="0.2">
      <c r="Y774" s="1" t="s">
        <v>1615</v>
      </c>
      <c r="Z774" s="1" t="s">
        <v>845</v>
      </c>
    </row>
    <row r="775" spans="25:26" x14ac:dyDescent="0.2">
      <c r="Y775" s="1" t="s">
        <v>1616</v>
      </c>
      <c r="Z775" s="1" t="s">
        <v>836</v>
      </c>
    </row>
    <row r="776" spans="25:26" x14ac:dyDescent="0.2">
      <c r="Y776" s="1" t="s">
        <v>1617</v>
      </c>
      <c r="Z776" s="1" t="s">
        <v>836</v>
      </c>
    </row>
    <row r="777" spans="25:26" x14ac:dyDescent="0.2">
      <c r="Y777" s="1" t="s">
        <v>1618</v>
      </c>
      <c r="Z777" s="1" t="s">
        <v>836</v>
      </c>
    </row>
    <row r="778" spans="25:26" x14ac:dyDescent="0.2">
      <c r="Y778" s="1" t="s">
        <v>1619</v>
      </c>
      <c r="Z778" s="1" t="s">
        <v>836</v>
      </c>
    </row>
    <row r="779" spans="25:26" x14ac:dyDescent="0.2">
      <c r="Y779" s="1" t="s">
        <v>1620</v>
      </c>
      <c r="Z779" s="1" t="s">
        <v>836</v>
      </c>
    </row>
    <row r="780" spans="25:26" x14ac:dyDescent="0.2">
      <c r="Y780" s="1" t="s">
        <v>1621</v>
      </c>
      <c r="Z780" s="1" t="s">
        <v>836</v>
      </c>
    </row>
    <row r="781" spans="25:26" x14ac:dyDescent="0.2">
      <c r="Y781" s="1" t="s">
        <v>1622</v>
      </c>
      <c r="Z781" s="1" t="s">
        <v>836</v>
      </c>
    </row>
    <row r="782" spans="25:26" x14ac:dyDescent="0.2">
      <c r="Y782" s="1" t="s">
        <v>1623</v>
      </c>
      <c r="Z782" s="1" t="s">
        <v>836</v>
      </c>
    </row>
    <row r="783" spans="25:26" x14ac:dyDescent="0.2">
      <c r="Y783" s="1" t="s">
        <v>1624</v>
      </c>
      <c r="Z783" s="1" t="s">
        <v>836</v>
      </c>
    </row>
    <row r="784" spans="25:26" x14ac:dyDescent="0.2">
      <c r="Y784" s="1" t="s">
        <v>1625</v>
      </c>
      <c r="Z784" s="1" t="s">
        <v>836</v>
      </c>
    </row>
    <row r="785" spans="25:26" x14ac:dyDescent="0.2">
      <c r="Y785" s="1" t="s">
        <v>1626</v>
      </c>
      <c r="Z785" s="1" t="s">
        <v>836</v>
      </c>
    </row>
    <row r="786" spans="25:26" x14ac:dyDescent="0.2">
      <c r="Y786" s="1" t="s">
        <v>1627</v>
      </c>
      <c r="Z786" s="1" t="s">
        <v>836</v>
      </c>
    </row>
    <row r="787" spans="25:26" x14ac:dyDescent="0.2">
      <c r="Y787" s="1" t="s">
        <v>1628</v>
      </c>
      <c r="Z787" s="1" t="s">
        <v>836</v>
      </c>
    </row>
    <row r="788" spans="25:26" x14ac:dyDescent="0.2">
      <c r="Y788" s="1" t="s">
        <v>1629</v>
      </c>
      <c r="Z788" s="1" t="s">
        <v>836</v>
      </c>
    </row>
    <row r="789" spans="25:26" x14ac:dyDescent="0.2">
      <c r="Y789" s="1" t="s">
        <v>1630</v>
      </c>
      <c r="Z789" s="1" t="s">
        <v>836</v>
      </c>
    </row>
    <row r="790" spans="25:26" x14ac:dyDescent="0.2">
      <c r="Y790" s="1" t="s">
        <v>1631</v>
      </c>
      <c r="Z790" s="1" t="s">
        <v>836</v>
      </c>
    </row>
    <row r="791" spans="25:26" x14ac:dyDescent="0.2">
      <c r="Y791" s="1" t="s">
        <v>1632</v>
      </c>
      <c r="Z791" s="1" t="s">
        <v>836</v>
      </c>
    </row>
    <row r="792" spans="25:26" x14ac:dyDescent="0.2">
      <c r="Y792" s="1" t="s">
        <v>1633</v>
      </c>
      <c r="Z792" s="1" t="s">
        <v>836</v>
      </c>
    </row>
    <row r="793" spans="25:26" x14ac:dyDescent="0.2">
      <c r="Y793" s="1" t="s">
        <v>1634</v>
      </c>
      <c r="Z793" s="1" t="s">
        <v>843</v>
      </c>
    </row>
    <row r="794" spans="25:26" x14ac:dyDescent="0.2">
      <c r="Y794" s="1" t="s">
        <v>1635</v>
      </c>
      <c r="Z794" s="1" t="s">
        <v>836</v>
      </c>
    </row>
    <row r="795" spans="25:26" x14ac:dyDescent="0.2">
      <c r="Y795" s="1" t="s">
        <v>1636</v>
      </c>
      <c r="Z795" s="1" t="s">
        <v>845</v>
      </c>
    </row>
    <row r="796" spans="25:26" x14ac:dyDescent="0.2">
      <c r="Y796" s="1" t="s">
        <v>1637</v>
      </c>
      <c r="Z796" s="1" t="s">
        <v>841</v>
      </c>
    </row>
    <row r="797" spans="25:26" x14ac:dyDescent="0.2">
      <c r="Y797" s="1" t="s">
        <v>1638</v>
      </c>
      <c r="Z797" s="1" t="s">
        <v>841</v>
      </c>
    </row>
    <row r="798" spans="25:26" x14ac:dyDescent="0.2">
      <c r="Y798" s="1" t="s">
        <v>1639</v>
      </c>
      <c r="Z798" s="1" t="s">
        <v>836</v>
      </c>
    </row>
    <row r="799" spans="25:26" x14ac:dyDescent="0.2">
      <c r="Y799" s="1" t="s">
        <v>1640</v>
      </c>
      <c r="Z799" s="1" t="s">
        <v>836</v>
      </c>
    </row>
    <row r="800" spans="25:26" x14ac:dyDescent="0.2">
      <c r="Y800" s="1" t="s">
        <v>1641</v>
      </c>
      <c r="Z800" s="1" t="s">
        <v>836</v>
      </c>
    </row>
    <row r="801" spans="25:26" x14ac:dyDescent="0.2">
      <c r="Y801" s="1" t="s">
        <v>1642</v>
      </c>
      <c r="Z801" s="1" t="s">
        <v>836</v>
      </c>
    </row>
    <row r="802" spans="25:26" x14ac:dyDescent="0.2">
      <c r="Y802" s="1" t="s">
        <v>1643</v>
      </c>
      <c r="Z802" s="1" t="s">
        <v>836</v>
      </c>
    </row>
    <row r="803" spans="25:26" x14ac:dyDescent="0.2">
      <c r="Y803" s="1" t="s">
        <v>1644</v>
      </c>
      <c r="Z803" s="1" t="s">
        <v>836</v>
      </c>
    </row>
    <row r="804" spans="25:26" x14ac:dyDescent="0.2">
      <c r="Y804" s="1" t="s">
        <v>1645</v>
      </c>
      <c r="Z804" s="1" t="s">
        <v>851</v>
      </c>
    </row>
    <row r="805" spans="25:26" x14ac:dyDescent="0.2">
      <c r="Y805" s="1" t="s">
        <v>1646</v>
      </c>
      <c r="Z805" s="1" t="s">
        <v>836</v>
      </c>
    </row>
    <row r="806" spans="25:26" x14ac:dyDescent="0.2">
      <c r="Y806" s="1" t="s">
        <v>1647</v>
      </c>
      <c r="Z806" s="1" t="s">
        <v>845</v>
      </c>
    </row>
    <row r="807" spans="25:26" x14ac:dyDescent="0.2">
      <c r="Y807" s="1" t="s">
        <v>1648</v>
      </c>
      <c r="Z807" s="1" t="s">
        <v>965</v>
      </c>
    </row>
    <row r="808" spans="25:26" x14ac:dyDescent="0.2">
      <c r="Y808" s="1" t="s">
        <v>1649</v>
      </c>
      <c r="Z808" s="1" t="s">
        <v>839</v>
      </c>
    </row>
    <row r="809" spans="25:26" x14ac:dyDescent="0.2">
      <c r="Y809" s="1" t="s">
        <v>1650</v>
      </c>
      <c r="Z809" s="1" t="s">
        <v>839</v>
      </c>
    </row>
    <row r="810" spans="25:26" x14ac:dyDescent="0.2">
      <c r="Y810" s="1" t="s">
        <v>1651</v>
      </c>
      <c r="Z810" s="1" t="s">
        <v>843</v>
      </c>
    </row>
    <row r="811" spans="25:26" x14ac:dyDescent="0.2">
      <c r="Y811" s="1" t="s">
        <v>1652</v>
      </c>
      <c r="Z811" s="1" t="s">
        <v>841</v>
      </c>
    </row>
    <row r="812" spans="25:26" x14ac:dyDescent="0.2">
      <c r="Y812" s="1" t="s">
        <v>1653</v>
      </c>
      <c r="Z812" s="1" t="s">
        <v>851</v>
      </c>
    </row>
    <row r="813" spans="25:26" x14ac:dyDescent="0.2">
      <c r="Y813" s="1" t="s">
        <v>1654</v>
      </c>
      <c r="Z813" s="1" t="s">
        <v>851</v>
      </c>
    </row>
    <row r="814" spans="25:26" x14ac:dyDescent="0.2">
      <c r="Y814" s="1" t="s">
        <v>1655</v>
      </c>
      <c r="Z814" s="1" t="s">
        <v>851</v>
      </c>
    </row>
    <row r="815" spans="25:26" x14ac:dyDescent="0.2">
      <c r="Y815" s="1" t="s">
        <v>1656</v>
      </c>
      <c r="Z815" s="1" t="s">
        <v>836</v>
      </c>
    </row>
    <row r="816" spans="25:26" x14ac:dyDescent="0.2">
      <c r="Y816" s="1" t="s">
        <v>1657</v>
      </c>
      <c r="Z816" s="1" t="s">
        <v>836</v>
      </c>
    </row>
    <row r="817" spans="25:26" x14ac:dyDescent="0.2">
      <c r="Y817" s="1" t="s">
        <v>1658</v>
      </c>
      <c r="Z817" s="1" t="s">
        <v>841</v>
      </c>
    </row>
    <row r="818" spans="25:26" x14ac:dyDescent="0.2">
      <c r="Y818" s="1" t="s">
        <v>1659</v>
      </c>
      <c r="Z818" s="1" t="s">
        <v>836</v>
      </c>
    </row>
    <row r="819" spans="25:26" x14ac:dyDescent="0.2">
      <c r="Y819" s="1" t="s">
        <v>1660</v>
      </c>
      <c r="Z819" s="1" t="s">
        <v>836</v>
      </c>
    </row>
    <row r="820" spans="25:26" x14ac:dyDescent="0.2">
      <c r="Y820" s="1" t="s">
        <v>1661</v>
      </c>
      <c r="Z820" s="1" t="s">
        <v>845</v>
      </c>
    </row>
    <row r="821" spans="25:26" x14ac:dyDescent="0.2">
      <c r="Y821" s="1" t="s">
        <v>1662</v>
      </c>
      <c r="Z821" s="1" t="s">
        <v>836</v>
      </c>
    </row>
    <row r="822" spans="25:26" x14ac:dyDescent="0.2">
      <c r="Y822" s="1" t="s">
        <v>1663</v>
      </c>
      <c r="Z822" s="1" t="s">
        <v>836</v>
      </c>
    </row>
    <row r="823" spans="25:26" x14ac:dyDescent="0.2">
      <c r="Y823" s="1" t="s">
        <v>1664</v>
      </c>
      <c r="Z823" s="1" t="s">
        <v>841</v>
      </c>
    </row>
    <row r="824" spans="25:26" x14ac:dyDescent="0.2">
      <c r="Y824" s="1" t="s">
        <v>1665</v>
      </c>
      <c r="Z824" s="1" t="s">
        <v>836</v>
      </c>
    </row>
    <row r="825" spans="25:26" x14ac:dyDescent="0.2">
      <c r="Y825" s="1" t="s">
        <v>1666</v>
      </c>
      <c r="Z825" s="1" t="s">
        <v>836</v>
      </c>
    </row>
    <row r="826" spans="25:26" x14ac:dyDescent="0.2">
      <c r="Y826" s="1" t="s">
        <v>1667</v>
      </c>
      <c r="Z826" s="1" t="s">
        <v>841</v>
      </c>
    </row>
    <row r="827" spans="25:26" x14ac:dyDescent="0.2">
      <c r="Y827" s="1" t="s">
        <v>1668</v>
      </c>
      <c r="Z827" s="1" t="s">
        <v>836</v>
      </c>
    </row>
    <row r="828" spans="25:26" x14ac:dyDescent="0.2">
      <c r="Y828" s="1" t="s">
        <v>1669</v>
      </c>
      <c r="Z828" s="1" t="s">
        <v>836</v>
      </c>
    </row>
    <row r="829" spans="25:26" x14ac:dyDescent="0.2">
      <c r="Y829" s="1" t="s">
        <v>1670</v>
      </c>
      <c r="Z829" s="1" t="s">
        <v>836</v>
      </c>
    </row>
    <row r="830" spans="25:26" x14ac:dyDescent="0.2">
      <c r="Y830" s="1" t="s">
        <v>1671</v>
      </c>
      <c r="Z830" s="1" t="s">
        <v>851</v>
      </c>
    </row>
    <row r="831" spans="25:26" x14ac:dyDescent="0.2">
      <c r="Y831" s="1" t="s">
        <v>1672</v>
      </c>
      <c r="Z831" s="1" t="s">
        <v>836</v>
      </c>
    </row>
    <row r="832" spans="25:26" x14ac:dyDescent="0.2">
      <c r="Y832" s="1" t="s">
        <v>1673</v>
      </c>
      <c r="Z832" s="1" t="s">
        <v>836</v>
      </c>
    </row>
    <row r="833" spans="25:26" x14ac:dyDescent="0.2">
      <c r="Y833" s="1" t="s">
        <v>1674</v>
      </c>
      <c r="Z833" s="1" t="s">
        <v>836</v>
      </c>
    </row>
    <row r="834" spans="25:26" x14ac:dyDescent="0.2">
      <c r="Y834" s="1" t="s">
        <v>1675</v>
      </c>
      <c r="Z834" s="1" t="s">
        <v>836</v>
      </c>
    </row>
    <row r="835" spans="25:26" x14ac:dyDescent="0.2">
      <c r="Y835" s="1" t="s">
        <v>1676</v>
      </c>
      <c r="Z835" s="1" t="s">
        <v>836</v>
      </c>
    </row>
    <row r="836" spans="25:26" x14ac:dyDescent="0.2">
      <c r="Y836" s="1" t="s">
        <v>1677</v>
      </c>
      <c r="Z836" s="1" t="s">
        <v>845</v>
      </c>
    </row>
    <row r="837" spans="25:26" x14ac:dyDescent="0.2">
      <c r="Y837" s="1" t="s">
        <v>1678</v>
      </c>
      <c r="Z837" s="1" t="s">
        <v>841</v>
      </c>
    </row>
    <row r="838" spans="25:26" x14ac:dyDescent="0.2">
      <c r="Y838" s="1" t="s">
        <v>1679</v>
      </c>
      <c r="Z838" s="1" t="s">
        <v>836</v>
      </c>
    </row>
    <row r="839" spans="25:26" x14ac:dyDescent="0.2">
      <c r="Y839" s="1" t="s">
        <v>1680</v>
      </c>
      <c r="Z839" s="1" t="s">
        <v>836</v>
      </c>
    </row>
    <row r="840" spans="25:26" x14ac:dyDescent="0.2">
      <c r="Y840" s="1" t="s">
        <v>1681</v>
      </c>
      <c r="Z840" s="1" t="s">
        <v>836</v>
      </c>
    </row>
    <row r="841" spans="25:26" x14ac:dyDescent="0.2">
      <c r="Y841" s="1" t="s">
        <v>1682</v>
      </c>
      <c r="Z841" s="1" t="s">
        <v>845</v>
      </c>
    </row>
    <row r="842" spans="25:26" x14ac:dyDescent="0.2">
      <c r="Y842" s="1" t="s">
        <v>1683</v>
      </c>
      <c r="Z842" s="1" t="s">
        <v>845</v>
      </c>
    </row>
    <row r="843" spans="25:26" x14ac:dyDescent="0.2">
      <c r="Y843" s="1" t="s">
        <v>1684</v>
      </c>
      <c r="Z843" s="1" t="s">
        <v>836</v>
      </c>
    </row>
    <row r="844" spans="25:26" x14ac:dyDescent="0.2">
      <c r="Y844" s="1" t="s">
        <v>1685</v>
      </c>
      <c r="Z844" s="1" t="s">
        <v>836</v>
      </c>
    </row>
    <row r="845" spans="25:26" x14ac:dyDescent="0.2">
      <c r="Y845" s="1" t="s">
        <v>1686</v>
      </c>
      <c r="Z845" s="1" t="s">
        <v>836</v>
      </c>
    </row>
    <row r="846" spans="25:26" x14ac:dyDescent="0.2">
      <c r="Y846" s="1" t="s">
        <v>1687</v>
      </c>
      <c r="Z846" s="1" t="s">
        <v>843</v>
      </c>
    </row>
    <row r="847" spans="25:26" x14ac:dyDescent="0.2">
      <c r="Y847" s="1" t="s">
        <v>1688</v>
      </c>
      <c r="Z847" s="1" t="s">
        <v>836</v>
      </c>
    </row>
    <row r="848" spans="25:26" x14ac:dyDescent="0.2">
      <c r="Y848" s="1" t="s">
        <v>1689</v>
      </c>
      <c r="Z848" s="1" t="s">
        <v>839</v>
      </c>
    </row>
    <row r="849" spans="25:26" x14ac:dyDescent="0.2">
      <c r="Y849" s="1" t="s">
        <v>1690</v>
      </c>
      <c r="Z849" s="1" t="s">
        <v>965</v>
      </c>
    </row>
    <row r="850" spans="25:26" x14ac:dyDescent="0.2">
      <c r="Y850" s="1" t="s">
        <v>1691</v>
      </c>
      <c r="Z850" s="1" t="s">
        <v>841</v>
      </c>
    </row>
    <row r="851" spans="25:26" x14ac:dyDescent="0.2">
      <c r="Y851" s="1" t="s">
        <v>1692</v>
      </c>
      <c r="Z851" s="1" t="s">
        <v>843</v>
      </c>
    </row>
    <row r="852" spans="25:26" x14ac:dyDescent="0.2">
      <c r="Y852" s="1" t="s">
        <v>1693</v>
      </c>
      <c r="Z852" s="1" t="s">
        <v>836</v>
      </c>
    </row>
    <row r="853" spans="25:26" x14ac:dyDescent="0.2">
      <c r="Y853" s="1" t="s">
        <v>1694</v>
      </c>
      <c r="Z853" s="1" t="s">
        <v>839</v>
      </c>
    </row>
    <row r="854" spans="25:26" x14ac:dyDescent="0.2">
      <c r="Y854" s="1" t="s">
        <v>1695</v>
      </c>
      <c r="Z854" s="1" t="s">
        <v>836</v>
      </c>
    </row>
    <row r="855" spans="25:26" x14ac:dyDescent="0.2">
      <c r="Y855" s="1" t="s">
        <v>1696</v>
      </c>
      <c r="Z855" s="1" t="s">
        <v>836</v>
      </c>
    </row>
    <row r="856" spans="25:26" x14ac:dyDescent="0.2">
      <c r="Y856" s="1" t="s">
        <v>1697</v>
      </c>
      <c r="Z856" s="1" t="s">
        <v>836</v>
      </c>
    </row>
    <row r="857" spans="25:26" x14ac:dyDescent="0.2">
      <c r="Y857" s="1" t="s">
        <v>1698</v>
      </c>
      <c r="Z857" s="1" t="s">
        <v>841</v>
      </c>
    </row>
    <row r="858" spans="25:26" x14ac:dyDescent="0.2">
      <c r="Y858" s="1" t="s">
        <v>1699</v>
      </c>
      <c r="Z858" s="1" t="s">
        <v>836</v>
      </c>
    </row>
    <row r="859" spans="25:26" x14ac:dyDescent="0.2">
      <c r="Y859" s="1" t="s">
        <v>1700</v>
      </c>
      <c r="Z859" s="1" t="s">
        <v>836</v>
      </c>
    </row>
    <row r="860" spans="25:26" x14ac:dyDescent="0.2">
      <c r="Y860" s="1" t="s">
        <v>1701</v>
      </c>
      <c r="Z860" s="1" t="s">
        <v>839</v>
      </c>
    </row>
    <row r="861" spans="25:26" x14ac:dyDescent="0.2">
      <c r="Y861" s="1" t="s">
        <v>1702</v>
      </c>
      <c r="Z861" s="1" t="s">
        <v>836</v>
      </c>
    </row>
    <row r="862" spans="25:26" x14ac:dyDescent="0.2">
      <c r="Y862" s="1" t="s">
        <v>1703</v>
      </c>
      <c r="Z862" s="1" t="s">
        <v>836</v>
      </c>
    </row>
    <row r="863" spans="25:26" x14ac:dyDescent="0.2">
      <c r="Y863" s="1" t="s">
        <v>1704</v>
      </c>
      <c r="Z863" s="1" t="s">
        <v>853</v>
      </c>
    </row>
    <row r="864" spans="25:26" x14ac:dyDescent="0.2">
      <c r="Y864" s="1" t="s">
        <v>1705</v>
      </c>
      <c r="Z864" s="1" t="s">
        <v>843</v>
      </c>
    </row>
    <row r="865" spans="25:26" x14ac:dyDescent="0.2">
      <c r="Y865" s="1" t="s">
        <v>1706</v>
      </c>
      <c r="Z865" s="1" t="s">
        <v>836</v>
      </c>
    </row>
    <row r="866" spans="25:26" x14ac:dyDescent="0.2">
      <c r="Y866" s="1" t="s">
        <v>1707</v>
      </c>
      <c r="Z866" s="1" t="s">
        <v>843</v>
      </c>
    </row>
    <row r="867" spans="25:26" x14ac:dyDescent="0.2">
      <c r="Y867" s="1" t="s">
        <v>1708</v>
      </c>
      <c r="Z867" s="1" t="s">
        <v>839</v>
      </c>
    </row>
    <row r="868" spans="25:26" x14ac:dyDescent="0.2">
      <c r="Y868" s="1" t="s">
        <v>1709</v>
      </c>
      <c r="Z868" s="1" t="s">
        <v>836</v>
      </c>
    </row>
    <row r="869" spans="25:26" x14ac:dyDescent="0.2">
      <c r="Y869" s="1" t="s">
        <v>1710</v>
      </c>
      <c r="Z869" s="1" t="s">
        <v>851</v>
      </c>
    </row>
    <row r="870" spans="25:26" x14ac:dyDescent="0.2">
      <c r="Y870" s="1" t="s">
        <v>1711</v>
      </c>
      <c r="Z870" s="1" t="s">
        <v>851</v>
      </c>
    </row>
    <row r="871" spans="25:26" x14ac:dyDescent="0.2">
      <c r="Y871" s="1" t="s">
        <v>1712</v>
      </c>
      <c r="Z871" s="1" t="s">
        <v>851</v>
      </c>
    </row>
    <row r="872" spans="25:26" x14ac:dyDescent="0.2">
      <c r="Y872" s="1" t="s">
        <v>1713</v>
      </c>
      <c r="Z872" s="1" t="s">
        <v>851</v>
      </c>
    </row>
    <row r="873" spans="25:26" x14ac:dyDescent="0.2">
      <c r="Y873" s="1" t="s">
        <v>1714</v>
      </c>
      <c r="Z873" s="1" t="s">
        <v>851</v>
      </c>
    </row>
    <row r="874" spans="25:26" x14ac:dyDescent="0.2">
      <c r="Y874" s="1" t="s">
        <v>1715</v>
      </c>
      <c r="Z874" s="1" t="s">
        <v>851</v>
      </c>
    </row>
    <row r="875" spans="25:26" x14ac:dyDescent="0.2">
      <c r="Y875" s="1" t="s">
        <v>1716</v>
      </c>
      <c r="Z875" s="1" t="s">
        <v>841</v>
      </c>
    </row>
    <row r="876" spans="25:26" x14ac:dyDescent="0.2">
      <c r="Y876" s="1" t="s">
        <v>1717</v>
      </c>
      <c r="Z876" s="1" t="s">
        <v>836</v>
      </c>
    </row>
    <row r="877" spans="25:26" x14ac:dyDescent="0.2">
      <c r="Y877" s="1" t="s">
        <v>1718</v>
      </c>
      <c r="Z877" s="1" t="s">
        <v>851</v>
      </c>
    </row>
    <row r="878" spans="25:26" x14ac:dyDescent="0.2">
      <c r="Y878" s="1" t="s">
        <v>1719</v>
      </c>
      <c r="Z878" s="1" t="s">
        <v>836</v>
      </c>
    </row>
    <row r="879" spans="25:26" x14ac:dyDescent="0.2">
      <c r="Y879" s="1" t="s">
        <v>1720</v>
      </c>
      <c r="Z879" s="1" t="s">
        <v>839</v>
      </c>
    </row>
    <row r="880" spans="25:26" x14ac:dyDescent="0.2">
      <c r="Y880" s="1" t="s">
        <v>1721</v>
      </c>
      <c r="Z880" s="1" t="s">
        <v>839</v>
      </c>
    </row>
    <row r="881" spans="25:26" x14ac:dyDescent="0.2">
      <c r="Y881" s="1" t="s">
        <v>1722</v>
      </c>
      <c r="Z881" s="1" t="s">
        <v>839</v>
      </c>
    </row>
    <row r="882" spans="25:26" x14ac:dyDescent="0.2">
      <c r="Y882" s="1" t="s">
        <v>1723</v>
      </c>
      <c r="Z882" s="1" t="s">
        <v>836</v>
      </c>
    </row>
    <row r="883" spans="25:26" x14ac:dyDescent="0.2">
      <c r="Y883" s="1" t="s">
        <v>1724</v>
      </c>
      <c r="Z883" s="1" t="s">
        <v>836</v>
      </c>
    </row>
    <row r="884" spans="25:26" x14ac:dyDescent="0.2">
      <c r="Y884" s="1" t="s">
        <v>1725</v>
      </c>
      <c r="Z884" s="1" t="s">
        <v>851</v>
      </c>
    </row>
    <row r="885" spans="25:26" x14ac:dyDescent="0.2">
      <c r="Y885" s="1" t="s">
        <v>1726</v>
      </c>
      <c r="Z885" s="1" t="s">
        <v>843</v>
      </c>
    </row>
    <row r="886" spans="25:26" x14ac:dyDescent="0.2">
      <c r="Y886" s="1" t="s">
        <v>1727</v>
      </c>
      <c r="Z886" s="1" t="s">
        <v>851</v>
      </c>
    </row>
    <row r="887" spans="25:26" x14ac:dyDescent="0.2">
      <c r="Y887" s="1" t="s">
        <v>1728</v>
      </c>
      <c r="Z887" s="1" t="s">
        <v>836</v>
      </c>
    </row>
    <row r="888" spans="25:26" x14ac:dyDescent="0.2">
      <c r="Y888" s="1" t="s">
        <v>1729</v>
      </c>
      <c r="Z888" s="1" t="s">
        <v>839</v>
      </c>
    </row>
    <row r="889" spans="25:26" x14ac:dyDescent="0.2">
      <c r="Y889" s="1" t="s">
        <v>1730</v>
      </c>
      <c r="Z889" s="1" t="s">
        <v>836</v>
      </c>
    </row>
    <row r="890" spans="25:26" x14ac:dyDescent="0.2">
      <c r="Y890" s="1" t="s">
        <v>1731</v>
      </c>
      <c r="Z890" s="1" t="s">
        <v>841</v>
      </c>
    </row>
    <row r="891" spans="25:26" x14ac:dyDescent="0.2">
      <c r="Y891" s="1" t="s">
        <v>1732</v>
      </c>
      <c r="Z891" s="1" t="s">
        <v>841</v>
      </c>
    </row>
    <row r="892" spans="25:26" x14ac:dyDescent="0.2">
      <c r="Y892" s="1" t="s">
        <v>1733</v>
      </c>
      <c r="Z892" s="1" t="s">
        <v>841</v>
      </c>
    </row>
    <row r="893" spans="25:26" x14ac:dyDescent="0.2">
      <c r="Y893" s="1" t="s">
        <v>1734</v>
      </c>
      <c r="Z893" s="1" t="s">
        <v>965</v>
      </c>
    </row>
    <row r="894" spans="25:26" x14ac:dyDescent="0.2">
      <c r="Y894" s="1" t="s">
        <v>1735</v>
      </c>
      <c r="Z894" s="1" t="s">
        <v>843</v>
      </c>
    </row>
    <row r="895" spans="25:26" x14ac:dyDescent="0.2">
      <c r="Y895" s="1" t="s">
        <v>1736</v>
      </c>
      <c r="Z895" s="1" t="s">
        <v>851</v>
      </c>
    </row>
    <row r="896" spans="25:26" x14ac:dyDescent="0.2">
      <c r="Y896" s="1" t="s">
        <v>1737</v>
      </c>
      <c r="Z896" s="1" t="s">
        <v>836</v>
      </c>
    </row>
    <row r="897" spans="25:26" x14ac:dyDescent="0.2">
      <c r="Y897" s="1" t="s">
        <v>1738</v>
      </c>
      <c r="Z897" s="1" t="s">
        <v>836</v>
      </c>
    </row>
    <row r="898" spans="25:26" x14ac:dyDescent="0.2">
      <c r="Y898" s="1" t="s">
        <v>1739</v>
      </c>
      <c r="Z898" s="1" t="s">
        <v>853</v>
      </c>
    </row>
    <row r="899" spans="25:26" x14ac:dyDescent="0.2">
      <c r="Y899" s="1" t="s">
        <v>1740</v>
      </c>
      <c r="Z899" s="1" t="s">
        <v>841</v>
      </c>
    </row>
    <row r="900" spans="25:26" x14ac:dyDescent="0.2">
      <c r="Y900" s="1" t="s">
        <v>1741</v>
      </c>
      <c r="Z900" s="1" t="s">
        <v>845</v>
      </c>
    </row>
    <row r="901" spans="25:26" x14ac:dyDescent="0.2">
      <c r="Y901" s="1" t="s">
        <v>1742</v>
      </c>
      <c r="Z901" s="1" t="s">
        <v>836</v>
      </c>
    </row>
    <row r="902" spans="25:26" x14ac:dyDescent="0.2">
      <c r="Y902" s="1" t="s">
        <v>1743</v>
      </c>
      <c r="Z902" s="1" t="s">
        <v>851</v>
      </c>
    </row>
    <row r="903" spans="25:26" x14ac:dyDescent="0.2">
      <c r="Y903" s="1" t="s">
        <v>1744</v>
      </c>
      <c r="Z903" s="1" t="s">
        <v>851</v>
      </c>
    </row>
    <row r="904" spans="25:26" x14ac:dyDescent="0.2">
      <c r="Y904" s="1" t="s">
        <v>1745</v>
      </c>
      <c r="Z904" s="1" t="s">
        <v>841</v>
      </c>
    </row>
    <row r="905" spans="25:26" x14ac:dyDescent="0.2">
      <c r="Y905" s="1" t="s">
        <v>1746</v>
      </c>
      <c r="Z905" s="1" t="s">
        <v>853</v>
      </c>
    </row>
    <row r="906" spans="25:26" x14ac:dyDescent="0.2">
      <c r="Y906" s="1" t="s">
        <v>1747</v>
      </c>
      <c r="Z906" s="1" t="s">
        <v>841</v>
      </c>
    </row>
    <row r="907" spans="25:26" x14ac:dyDescent="0.2">
      <c r="Y907" s="1" t="s">
        <v>1748</v>
      </c>
      <c r="Z907" s="1" t="s">
        <v>836</v>
      </c>
    </row>
    <row r="908" spans="25:26" x14ac:dyDescent="0.2">
      <c r="Y908" s="1" t="s">
        <v>1749</v>
      </c>
      <c r="Z908" s="1" t="s">
        <v>843</v>
      </c>
    </row>
    <row r="909" spans="25:26" x14ac:dyDescent="0.2">
      <c r="Y909" s="1" t="s">
        <v>1750</v>
      </c>
      <c r="Z909" s="1" t="s">
        <v>841</v>
      </c>
    </row>
    <row r="910" spans="25:26" x14ac:dyDescent="0.2">
      <c r="Y910" s="1" t="s">
        <v>1751</v>
      </c>
      <c r="Z910" s="1" t="s">
        <v>853</v>
      </c>
    </row>
    <row r="911" spans="25:26" x14ac:dyDescent="0.2">
      <c r="Y911" s="1" t="s">
        <v>1752</v>
      </c>
      <c r="Z911" s="1" t="s">
        <v>845</v>
      </c>
    </row>
    <row r="912" spans="25:26" x14ac:dyDescent="0.2">
      <c r="Y912" s="1" t="s">
        <v>1753</v>
      </c>
      <c r="Z912" s="1" t="s">
        <v>839</v>
      </c>
    </row>
    <row r="913" spans="25:26" x14ac:dyDescent="0.2">
      <c r="Y913" s="1" t="s">
        <v>1754</v>
      </c>
      <c r="Z913" s="1" t="s">
        <v>841</v>
      </c>
    </row>
    <row r="914" spans="25:26" x14ac:dyDescent="0.2">
      <c r="Y914" s="1" t="s">
        <v>1755</v>
      </c>
      <c r="Z914" s="1" t="s">
        <v>851</v>
      </c>
    </row>
    <row r="915" spans="25:26" x14ac:dyDescent="0.2">
      <c r="Y915" s="1" t="s">
        <v>1756</v>
      </c>
      <c r="Z915" s="1" t="s">
        <v>841</v>
      </c>
    </row>
    <row r="916" spans="25:26" x14ac:dyDescent="0.2">
      <c r="Y916" s="1" t="s">
        <v>1757</v>
      </c>
      <c r="Z916" s="1" t="s">
        <v>843</v>
      </c>
    </row>
    <row r="917" spans="25:26" x14ac:dyDescent="0.2">
      <c r="Y917" s="1" t="s">
        <v>1758</v>
      </c>
      <c r="Z917" s="1" t="s">
        <v>841</v>
      </c>
    </row>
    <row r="918" spans="25:26" x14ac:dyDescent="0.2">
      <c r="Y918" s="1" t="s">
        <v>1759</v>
      </c>
      <c r="Z918" s="1" t="s">
        <v>845</v>
      </c>
    </row>
    <row r="919" spans="25:26" x14ac:dyDescent="0.2">
      <c r="Y919" s="1" t="s">
        <v>1760</v>
      </c>
      <c r="Z919" s="1" t="s">
        <v>853</v>
      </c>
    </row>
    <row r="920" spans="25:26" x14ac:dyDescent="0.2">
      <c r="Y920" s="1" t="s">
        <v>1761</v>
      </c>
      <c r="Z920" s="1" t="s">
        <v>843</v>
      </c>
    </row>
    <row r="921" spans="25:26" x14ac:dyDescent="0.2">
      <c r="Y921" s="1" t="s">
        <v>1762</v>
      </c>
      <c r="Z921" s="1" t="s">
        <v>836</v>
      </c>
    </row>
    <row r="922" spans="25:26" x14ac:dyDescent="0.2">
      <c r="Y922" s="1" t="s">
        <v>1763</v>
      </c>
      <c r="Z922" s="1" t="s">
        <v>839</v>
      </c>
    </row>
    <row r="923" spans="25:26" x14ac:dyDescent="0.2">
      <c r="Y923" s="1" t="s">
        <v>1764</v>
      </c>
      <c r="Z923" s="1" t="s">
        <v>836</v>
      </c>
    </row>
    <row r="924" spans="25:26" x14ac:dyDescent="0.2">
      <c r="Y924" s="1" t="s">
        <v>1765</v>
      </c>
      <c r="Z924" s="1" t="s">
        <v>836</v>
      </c>
    </row>
    <row r="925" spans="25:26" x14ac:dyDescent="0.2">
      <c r="Y925" s="1" t="s">
        <v>1766</v>
      </c>
      <c r="Z925" s="1" t="s">
        <v>836</v>
      </c>
    </row>
    <row r="926" spans="25:26" x14ac:dyDescent="0.2">
      <c r="Y926" s="1" t="s">
        <v>1767</v>
      </c>
      <c r="Z926" s="1" t="s">
        <v>836</v>
      </c>
    </row>
    <row r="927" spans="25:26" x14ac:dyDescent="0.2">
      <c r="Y927" s="1" t="s">
        <v>1768</v>
      </c>
      <c r="Z927" s="1" t="s">
        <v>841</v>
      </c>
    </row>
    <row r="928" spans="25:26" x14ac:dyDescent="0.2">
      <c r="Y928" s="1" t="s">
        <v>1769</v>
      </c>
      <c r="Z928" s="1" t="s">
        <v>836</v>
      </c>
    </row>
    <row r="929" spans="25:26" x14ac:dyDescent="0.2">
      <c r="Y929" s="1" t="s">
        <v>1770</v>
      </c>
      <c r="Z929" s="1" t="s">
        <v>853</v>
      </c>
    </row>
    <row r="930" spans="25:26" x14ac:dyDescent="0.2">
      <c r="Y930" s="1" t="s">
        <v>1771</v>
      </c>
      <c r="Z930" s="1" t="s">
        <v>836</v>
      </c>
    </row>
    <row r="931" spans="25:26" x14ac:dyDescent="0.2">
      <c r="Y931" s="1" t="s">
        <v>1772</v>
      </c>
      <c r="Z931" s="1" t="s">
        <v>839</v>
      </c>
    </row>
    <row r="932" spans="25:26" x14ac:dyDescent="0.2">
      <c r="Y932" s="1" t="s">
        <v>1773</v>
      </c>
      <c r="Z932" s="1" t="s">
        <v>851</v>
      </c>
    </row>
    <row r="933" spans="25:26" x14ac:dyDescent="0.2">
      <c r="Y933" s="1" t="s">
        <v>1774</v>
      </c>
      <c r="Z933" s="1" t="s">
        <v>836</v>
      </c>
    </row>
    <row r="934" spans="25:26" x14ac:dyDescent="0.2">
      <c r="Y934" s="1" t="s">
        <v>1775</v>
      </c>
      <c r="Z934" s="1" t="s">
        <v>836</v>
      </c>
    </row>
    <row r="935" spans="25:26" x14ac:dyDescent="0.2">
      <c r="Y935" s="1" t="s">
        <v>1776</v>
      </c>
      <c r="Z935" s="1" t="s">
        <v>836</v>
      </c>
    </row>
    <row r="936" spans="25:26" x14ac:dyDescent="0.2">
      <c r="Y936" s="1" t="s">
        <v>1777</v>
      </c>
      <c r="Z936" s="1" t="s">
        <v>839</v>
      </c>
    </row>
    <row r="937" spans="25:26" x14ac:dyDescent="0.2">
      <c r="Y937" s="1" t="s">
        <v>1778</v>
      </c>
      <c r="Z937" s="1" t="s">
        <v>836</v>
      </c>
    </row>
    <row r="938" spans="25:26" x14ac:dyDescent="0.2">
      <c r="Y938" s="1" t="s">
        <v>1779</v>
      </c>
      <c r="Z938" s="1" t="s">
        <v>845</v>
      </c>
    </row>
    <row r="939" spans="25:26" x14ac:dyDescent="0.2">
      <c r="Y939" s="1" t="s">
        <v>1780</v>
      </c>
      <c r="Z939" s="1" t="s">
        <v>851</v>
      </c>
    </row>
    <row r="940" spans="25:26" x14ac:dyDescent="0.2">
      <c r="Y940" s="1" t="s">
        <v>1781</v>
      </c>
      <c r="Z940" s="1" t="s">
        <v>836</v>
      </c>
    </row>
    <row r="941" spans="25:26" x14ac:dyDescent="0.2">
      <c r="Y941" s="1" t="s">
        <v>1782</v>
      </c>
      <c r="Z941" s="1" t="s">
        <v>836</v>
      </c>
    </row>
    <row r="942" spans="25:26" x14ac:dyDescent="0.2">
      <c r="Y942" s="1" t="s">
        <v>1783</v>
      </c>
      <c r="Z942" s="1" t="s">
        <v>836</v>
      </c>
    </row>
    <row r="943" spans="25:26" x14ac:dyDescent="0.2">
      <c r="Y943" s="1" t="s">
        <v>1784</v>
      </c>
      <c r="Z943" s="1" t="s">
        <v>845</v>
      </c>
    </row>
    <row r="944" spans="25:26" x14ac:dyDescent="0.2">
      <c r="Y944" s="1" t="s">
        <v>1785</v>
      </c>
      <c r="Z944" s="1" t="s">
        <v>836</v>
      </c>
    </row>
    <row r="945" spans="25:26" x14ac:dyDescent="0.2">
      <c r="Y945" s="1" t="s">
        <v>1786</v>
      </c>
      <c r="Z945" s="1" t="s">
        <v>836</v>
      </c>
    </row>
    <row r="946" spans="25:26" x14ac:dyDescent="0.2">
      <c r="Y946" s="1" t="s">
        <v>1787</v>
      </c>
      <c r="Z946" s="1" t="s">
        <v>836</v>
      </c>
    </row>
    <row r="947" spans="25:26" x14ac:dyDescent="0.2">
      <c r="Y947" s="1" t="s">
        <v>1788</v>
      </c>
      <c r="Z947" s="1" t="s">
        <v>997</v>
      </c>
    </row>
    <row r="948" spans="25:26" x14ac:dyDescent="0.2">
      <c r="Y948" s="1" t="s">
        <v>1789</v>
      </c>
      <c r="Z948" s="1" t="s">
        <v>836</v>
      </c>
    </row>
    <row r="949" spans="25:26" x14ac:dyDescent="0.2">
      <c r="Y949" s="1" t="s">
        <v>1790</v>
      </c>
      <c r="Z949" s="1" t="s">
        <v>836</v>
      </c>
    </row>
    <row r="950" spans="25:26" x14ac:dyDescent="0.2">
      <c r="Y950" s="1" t="s">
        <v>1791</v>
      </c>
      <c r="Z950" s="1" t="s">
        <v>836</v>
      </c>
    </row>
    <row r="951" spans="25:26" x14ac:dyDescent="0.2">
      <c r="Y951" s="1" t="s">
        <v>1792</v>
      </c>
      <c r="Z951" s="1" t="s">
        <v>836</v>
      </c>
    </row>
    <row r="952" spans="25:26" x14ac:dyDescent="0.2">
      <c r="Y952" s="1" t="s">
        <v>1793</v>
      </c>
      <c r="Z952" s="1" t="s">
        <v>836</v>
      </c>
    </row>
    <row r="953" spans="25:26" x14ac:dyDescent="0.2">
      <c r="Y953" s="1" t="s">
        <v>1794</v>
      </c>
      <c r="Z953" s="1" t="s">
        <v>836</v>
      </c>
    </row>
    <row r="954" spans="25:26" x14ac:dyDescent="0.2">
      <c r="Y954" s="1" t="s">
        <v>1795</v>
      </c>
      <c r="Z954" s="1" t="s">
        <v>836</v>
      </c>
    </row>
    <row r="955" spans="25:26" x14ac:dyDescent="0.2">
      <c r="Y955" s="1" t="s">
        <v>1796</v>
      </c>
      <c r="Z955" s="1" t="s">
        <v>836</v>
      </c>
    </row>
    <row r="956" spans="25:26" x14ac:dyDescent="0.2">
      <c r="Y956" s="1" t="s">
        <v>1797</v>
      </c>
      <c r="Z956" s="1" t="s">
        <v>841</v>
      </c>
    </row>
    <row r="957" spans="25:26" x14ac:dyDescent="0.2">
      <c r="Y957" s="1" t="s">
        <v>1798</v>
      </c>
      <c r="Z957" s="1" t="s">
        <v>836</v>
      </c>
    </row>
    <row r="958" spans="25:26" x14ac:dyDescent="0.2">
      <c r="Y958" s="1" t="s">
        <v>1799</v>
      </c>
      <c r="Z958" s="1" t="s">
        <v>836</v>
      </c>
    </row>
    <row r="959" spans="25:26" x14ac:dyDescent="0.2">
      <c r="Y959" s="1" t="s">
        <v>1800</v>
      </c>
      <c r="Z959" s="1" t="s">
        <v>839</v>
      </c>
    </row>
    <row r="960" spans="25:26" x14ac:dyDescent="0.2">
      <c r="Y960" s="1" t="s">
        <v>1801</v>
      </c>
      <c r="Z960" s="1" t="s">
        <v>836</v>
      </c>
    </row>
    <row r="961" spans="25:26" x14ac:dyDescent="0.2">
      <c r="Y961" s="1" t="s">
        <v>1802</v>
      </c>
      <c r="Z961" s="1" t="s">
        <v>836</v>
      </c>
    </row>
    <row r="962" spans="25:26" x14ac:dyDescent="0.2">
      <c r="Y962" s="1" t="s">
        <v>1803</v>
      </c>
      <c r="Z962" s="1" t="s">
        <v>845</v>
      </c>
    </row>
    <row r="963" spans="25:26" x14ac:dyDescent="0.2">
      <c r="Y963" s="1" t="s">
        <v>1804</v>
      </c>
      <c r="Z963" s="1" t="s">
        <v>836</v>
      </c>
    </row>
    <row r="964" spans="25:26" x14ac:dyDescent="0.2">
      <c r="Y964" s="1" t="s">
        <v>1805</v>
      </c>
      <c r="Z964" s="1" t="s">
        <v>836</v>
      </c>
    </row>
    <row r="965" spans="25:26" x14ac:dyDescent="0.2">
      <c r="Y965" s="1" t="s">
        <v>1806</v>
      </c>
      <c r="Z965" s="1" t="s">
        <v>836</v>
      </c>
    </row>
    <row r="966" spans="25:26" x14ac:dyDescent="0.2">
      <c r="Y966" s="1" t="s">
        <v>1807</v>
      </c>
      <c r="Z966" s="1" t="s">
        <v>836</v>
      </c>
    </row>
    <row r="967" spans="25:26" x14ac:dyDescent="0.2">
      <c r="Y967" s="1" t="s">
        <v>1808</v>
      </c>
      <c r="Z967" s="1" t="s">
        <v>836</v>
      </c>
    </row>
    <row r="968" spans="25:26" x14ac:dyDescent="0.2">
      <c r="Y968" s="1" t="s">
        <v>1809</v>
      </c>
      <c r="Z968" s="1" t="s">
        <v>836</v>
      </c>
    </row>
    <row r="969" spans="25:26" x14ac:dyDescent="0.2">
      <c r="Y969" s="1" t="s">
        <v>1810</v>
      </c>
      <c r="Z969" s="1" t="s">
        <v>836</v>
      </c>
    </row>
    <row r="970" spans="25:26" x14ac:dyDescent="0.2">
      <c r="Y970" s="1" t="s">
        <v>1811</v>
      </c>
      <c r="Z970" s="1" t="s">
        <v>836</v>
      </c>
    </row>
    <row r="971" spans="25:26" x14ac:dyDescent="0.2">
      <c r="Y971" s="1" t="s">
        <v>1812</v>
      </c>
      <c r="Z971" s="1" t="s">
        <v>836</v>
      </c>
    </row>
    <row r="972" spans="25:26" x14ac:dyDescent="0.2">
      <c r="Y972" s="1" t="s">
        <v>1813</v>
      </c>
      <c r="Z972" s="1" t="s">
        <v>836</v>
      </c>
    </row>
    <row r="973" spans="25:26" x14ac:dyDescent="0.2">
      <c r="Y973" s="1" t="s">
        <v>1814</v>
      </c>
      <c r="Z973" s="1" t="s">
        <v>836</v>
      </c>
    </row>
    <row r="974" spans="25:26" x14ac:dyDescent="0.2">
      <c r="Y974" s="1" t="s">
        <v>1815</v>
      </c>
      <c r="Z974" s="1" t="s">
        <v>836</v>
      </c>
    </row>
    <row r="975" spans="25:26" x14ac:dyDescent="0.2">
      <c r="Y975" s="1" t="s">
        <v>1816</v>
      </c>
      <c r="Z975" s="1" t="s">
        <v>836</v>
      </c>
    </row>
    <row r="976" spans="25:26" x14ac:dyDescent="0.2">
      <c r="Y976" s="1" t="s">
        <v>1817</v>
      </c>
      <c r="Z976" s="1" t="s">
        <v>836</v>
      </c>
    </row>
    <row r="977" spans="25:26" x14ac:dyDescent="0.2">
      <c r="Y977" s="1" t="s">
        <v>1818</v>
      </c>
      <c r="Z977" s="1" t="s">
        <v>841</v>
      </c>
    </row>
    <row r="978" spans="25:26" x14ac:dyDescent="0.2">
      <c r="Y978" s="1" t="s">
        <v>1819</v>
      </c>
      <c r="Z978" s="1" t="s">
        <v>836</v>
      </c>
    </row>
    <row r="979" spans="25:26" x14ac:dyDescent="0.2">
      <c r="Y979" s="1" t="s">
        <v>1820</v>
      </c>
      <c r="Z979" s="1" t="s">
        <v>851</v>
      </c>
    </row>
    <row r="980" spans="25:26" x14ac:dyDescent="0.2">
      <c r="Y980" s="1" t="s">
        <v>1821</v>
      </c>
      <c r="Z980" s="1" t="s">
        <v>836</v>
      </c>
    </row>
    <row r="981" spans="25:26" x14ac:dyDescent="0.2">
      <c r="Y981" s="1" t="s">
        <v>1822</v>
      </c>
      <c r="Z981" s="1" t="s">
        <v>836</v>
      </c>
    </row>
    <row r="982" spans="25:26" x14ac:dyDescent="0.2">
      <c r="Y982" s="1" t="s">
        <v>1823</v>
      </c>
      <c r="Z982" s="1" t="s">
        <v>841</v>
      </c>
    </row>
    <row r="983" spans="25:26" x14ac:dyDescent="0.2">
      <c r="Y983" s="1" t="s">
        <v>1824</v>
      </c>
      <c r="Z983" s="1" t="s">
        <v>845</v>
      </c>
    </row>
    <row r="984" spans="25:26" x14ac:dyDescent="0.2">
      <c r="Y984" s="1" t="s">
        <v>1825</v>
      </c>
      <c r="Z984" s="1" t="s">
        <v>836</v>
      </c>
    </row>
    <row r="985" spans="25:26" x14ac:dyDescent="0.2">
      <c r="Y985" s="1" t="s">
        <v>1826</v>
      </c>
      <c r="Z985" s="1" t="s">
        <v>841</v>
      </c>
    </row>
    <row r="986" spans="25:26" x14ac:dyDescent="0.2">
      <c r="Y986" s="1" t="s">
        <v>1827</v>
      </c>
      <c r="Z986" s="1" t="s">
        <v>836</v>
      </c>
    </row>
    <row r="987" spans="25:26" x14ac:dyDescent="0.2">
      <c r="Y987" s="1" t="s">
        <v>1828</v>
      </c>
      <c r="Z987" s="1" t="s">
        <v>851</v>
      </c>
    </row>
    <row r="988" spans="25:26" x14ac:dyDescent="0.2">
      <c r="Y988" s="1" t="s">
        <v>1829</v>
      </c>
      <c r="Z988" s="1" t="s">
        <v>845</v>
      </c>
    </row>
    <row r="989" spans="25:26" x14ac:dyDescent="0.2">
      <c r="Y989" s="1" t="s">
        <v>1830</v>
      </c>
      <c r="Z989" s="1" t="s">
        <v>841</v>
      </c>
    </row>
    <row r="990" spans="25:26" x14ac:dyDescent="0.2">
      <c r="Y990" s="1" t="s">
        <v>1831</v>
      </c>
      <c r="Z990" s="1" t="s">
        <v>836</v>
      </c>
    </row>
    <row r="991" spans="25:26" x14ac:dyDescent="0.2">
      <c r="Y991" s="1" t="s">
        <v>1832</v>
      </c>
      <c r="Z991" s="1" t="s">
        <v>965</v>
      </c>
    </row>
    <row r="992" spans="25:26" x14ac:dyDescent="0.2">
      <c r="Y992" s="1" t="s">
        <v>1833</v>
      </c>
      <c r="Z992" s="1" t="s">
        <v>843</v>
      </c>
    </row>
    <row r="993" spans="25:26" x14ac:dyDescent="0.2">
      <c r="Y993" s="1" t="s">
        <v>1834</v>
      </c>
      <c r="Z993" s="1" t="s">
        <v>836</v>
      </c>
    </row>
    <row r="994" spans="25:26" x14ac:dyDescent="0.2">
      <c r="Y994" s="1" t="s">
        <v>1835</v>
      </c>
      <c r="Z994" s="1" t="s">
        <v>836</v>
      </c>
    </row>
    <row r="995" spans="25:26" x14ac:dyDescent="0.2">
      <c r="Y995" s="1" t="s">
        <v>1836</v>
      </c>
      <c r="Z995" s="1" t="s">
        <v>836</v>
      </c>
    </row>
    <row r="996" spans="25:26" x14ac:dyDescent="0.2">
      <c r="Y996" s="1" t="s">
        <v>1837</v>
      </c>
      <c r="Z996" s="1" t="s">
        <v>836</v>
      </c>
    </row>
    <row r="997" spans="25:26" x14ac:dyDescent="0.2">
      <c r="Y997" s="1" t="s">
        <v>1838</v>
      </c>
      <c r="Z997" s="1" t="s">
        <v>836</v>
      </c>
    </row>
    <row r="998" spans="25:26" x14ac:dyDescent="0.2">
      <c r="Y998" s="1" t="s">
        <v>1839</v>
      </c>
      <c r="Z998" s="1" t="s">
        <v>836</v>
      </c>
    </row>
    <row r="999" spans="25:26" x14ac:dyDescent="0.2">
      <c r="Y999" s="1" t="s">
        <v>1840</v>
      </c>
      <c r="Z999" s="1" t="s">
        <v>843</v>
      </c>
    </row>
    <row r="1000" spans="25:26" x14ac:dyDescent="0.2">
      <c r="Y1000" s="1" t="s">
        <v>1841</v>
      </c>
      <c r="Z1000" s="1" t="s">
        <v>836</v>
      </c>
    </row>
    <row r="1001" spans="25:26" x14ac:dyDescent="0.2">
      <c r="Y1001" s="1" t="s">
        <v>1842</v>
      </c>
      <c r="Z1001" s="1" t="s">
        <v>836</v>
      </c>
    </row>
    <row r="1002" spans="25:26" x14ac:dyDescent="0.2">
      <c r="Y1002" s="1" t="s">
        <v>1843</v>
      </c>
      <c r="Z1002" s="1" t="s">
        <v>836</v>
      </c>
    </row>
    <row r="1003" spans="25:26" x14ac:dyDescent="0.2">
      <c r="Y1003" s="1" t="s">
        <v>1844</v>
      </c>
      <c r="Z1003" s="1" t="s">
        <v>836</v>
      </c>
    </row>
    <row r="1004" spans="25:26" x14ac:dyDescent="0.2">
      <c r="Y1004" s="1" t="s">
        <v>1845</v>
      </c>
      <c r="Z1004" s="1" t="s">
        <v>836</v>
      </c>
    </row>
    <row r="1005" spans="25:26" x14ac:dyDescent="0.2">
      <c r="Y1005" s="1" t="s">
        <v>1846</v>
      </c>
      <c r="Z1005" s="1" t="s">
        <v>836</v>
      </c>
    </row>
    <row r="1006" spans="25:26" x14ac:dyDescent="0.2">
      <c r="Y1006" s="1" t="s">
        <v>1847</v>
      </c>
      <c r="Z1006" s="1" t="s">
        <v>965</v>
      </c>
    </row>
    <row r="1007" spans="25:26" x14ac:dyDescent="0.2">
      <c r="Y1007" s="1" t="s">
        <v>1848</v>
      </c>
      <c r="Z1007" s="1" t="s">
        <v>836</v>
      </c>
    </row>
    <row r="1008" spans="25:26" x14ac:dyDescent="0.2">
      <c r="Y1008" s="1" t="s">
        <v>1849</v>
      </c>
      <c r="Z1008" s="1" t="s">
        <v>836</v>
      </c>
    </row>
    <row r="1009" spans="25:26" x14ac:dyDescent="0.2">
      <c r="Y1009" s="1" t="s">
        <v>1850</v>
      </c>
      <c r="Z1009" s="1" t="s">
        <v>836</v>
      </c>
    </row>
    <row r="1010" spans="25:26" x14ac:dyDescent="0.2">
      <c r="Y1010" s="1" t="s">
        <v>1851</v>
      </c>
      <c r="Z1010" s="1" t="s">
        <v>836</v>
      </c>
    </row>
    <row r="1011" spans="25:26" x14ac:dyDescent="0.2">
      <c r="Y1011" s="1" t="s">
        <v>1852</v>
      </c>
      <c r="Z1011" s="1" t="s">
        <v>851</v>
      </c>
    </row>
    <row r="1012" spans="25:26" x14ac:dyDescent="0.2">
      <c r="Y1012" s="1" t="s">
        <v>1853</v>
      </c>
      <c r="Z1012" s="1" t="s">
        <v>851</v>
      </c>
    </row>
    <row r="1013" spans="25:26" x14ac:dyDescent="0.2">
      <c r="Y1013" s="1" t="s">
        <v>1854</v>
      </c>
      <c r="Z1013" s="1" t="s">
        <v>836</v>
      </c>
    </row>
    <row r="1014" spans="25:26" x14ac:dyDescent="0.2">
      <c r="Y1014" s="1" t="s">
        <v>1855</v>
      </c>
      <c r="Z1014" s="1" t="s">
        <v>836</v>
      </c>
    </row>
    <row r="1015" spans="25:26" x14ac:dyDescent="0.2">
      <c r="Y1015" s="1" t="s">
        <v>1856</v>
      </c>
      <c r="Z1015" s="1" t="s">
        <v>836</v>
      </c>
    </row>
    <row r="1016" spans="25:26" x14ac:dyDescent="0.2">
      <c r="Y1016" s="1" t="s">
        <v>1857</v>
      </c>
      <c r="Z1016" s="1" t="s">
        <v>836</v>
      </c>
    </row>
    <row r="1017" spans="25:26" x14ac:dyDescent="0.2">
      <c r="Y1017" s="1" t="s">
        <v>1858</v>
      </c>
      <c r="Z1017" s="1" t="s">
        <v>836</v>
      </c>
    </row>
    <row r="1018" spans="25:26" x14ac:dyDescent="0.2">
      <c r="Y1018" s="1" t="s">
        <v>1859</v>
      </c>
      <c r="Z1018" s="1" t="s">
        <v>836</v>
      </c>
    </row>
    <row r="1019" spans="25:26" x14ac:dyDescent="0.2">
      <c r="Y1019" s="1" t="s">
        <v>1860</v>
      </c>
      <c r="Z1019" s="1" t="s">
        <v>836</v>
      </c>
    </row>
    <row r="1020" spans="25:26" x14ac:dyDescent="0.2">
      <c r="Y1020" s="1" t="s">
        <v>1861</v>
      </c>
      <c r="Z1020" s="1" t="s">
        <v>836</v>
      </c>
    </row>
    <row r="1021" spans="25:26" x14ac:dyDescent="0.2">
      <c r="Y1021" s="1" t="s">
        <v>1862</v>
      </c>
      <c r="Z1021" s="1" t="s">
        <v>836</v>
      </c>
    </row>
    <row r="1022" spans="25:26" x14ac:dyDescent="0.2">
      <c r="Y1022" s="1" t="s">
        <v>1863</v>
      </c>
      <c r="Z1022" s="1" t="s">
        <v>851</v>
      </c>
    </row>
    <row r="1023" spans="25:26" x14ac:dyDescent="0.2">
      <c r="Y1023" s="1" t="s">
        <v>1864</v>
      </c>
      <c r="Z1023" s="1" t="s">
        <v>839</v>
      </c>
    </row>
    <row r="1024" spans="25:26" x14ac:dyDescent="0.2">
      <c r="Y1024" s="1" t="s">
        <v>1865</v>
      </c>
      <c r="Z1024" s="1" t="s">
        <v>836</v>
      </c>
    </row>
    <row r="1025" spans="25:26" x14ac:dyDescent="0.2">
      <c r="Y1025" s="1" t="s">
        <v>1866</v>
      </c>
      <c r="Z1025" s="1" t="s">
        <v>845</v>
      </c>
    </row>
    <row r="1026" spans="25:26" x14ac:dyDescent="0.2">
      <c r="Y1026" s="1" t="s">
        <v>1867</v>
      </c>
      <c r="Z1026" s="1" t="s">
        <v>845</v>
      </c>
    </row>
    <row r="1027" spans="25:26" x14ac:dyDescent="0.2">
      <c r="Y1027" s="1" t="s">
        <v>1868</v>
      </c>
      <c r="Z1027" s="1" t="s">
        <v>836</v>
      </c>
    </row>
    <row r="1028" spans="25:26" x14ac:dyDescent="0.2">
      <c r="Y1028" s="1" t="s">
        <v>1869</v>
      </c>
      <c r="Z1028" s="1" t="s">
        <v>836</v>
      </c>
    </row>
    <row r="1029" spans="25:26" x14ac:dyDescent="0.2">
      <c r="Y1029" s="1" t="s">
        <v>1870</v>
      </c>
      <c r="Z1029" s="1" t="s">
        <v>836</v>
      </c>
    </row>
    <row r="1030" spans="25:26" x14ac:dyDescent="0.2">
      <c r="Y1030" s="1" t="s">
        <v>1871</v>
      </c>
      <c r="Z1030" s="1" t="s">
        <v>836</v>
      </c>
    </row>
    <row r="1031" spans="25:26" x14ac:dyDescent="0.2">
      <c r="Y1031" s="1" t="s">
        <v>1872</v>
      </c>
      <c r="Z1031" s="1" t="s">
        <v>836</v>
      </c>
    </row>
    <row r="1032" spans="25:26" x14ac:dyDescent="0.2">
      <c r="Y1032" s="1" t="s">
        <v>1873</v>
      </c>
      <c r="Z1032" s="1" t="s">
        <v>836</v>
      </c>
    </row>
    <row r="1033" spans="25:26" x14ac:dyDescent="0.2">
      <c r="Y1033" s="1" t="s">
        <v>1874</v>
      </c>
      <c r="Z1033" s="1" t="s">
        <v>836</v>
      </c>
    </row>
    <row r="1034" spans="25:26" x14ac:dyDescent="0.2">
      <c r="Y1034" s="1" t="s">
        <v>1875</v>
      </c>
      <c r="Z1034" s="1" t="s">
        <v>836</v>
      </c>
    </row>
    <row r="1035" spans="25:26" x14ac:dyDescent="0.2">
      <c r="Y1035" s="1" t="s">
        <v>1876</v>
      </c>
      <c r="Z1035" s="1" t="s">
        <v>845</v>
      </c>
    </row>
    <row r="1036" spans="25:26" x14ac:dyDescent="0.2">
      <c r="Y1036" s="1" t="s">
        <v>1877</v>
      </c>
      <c r="Z1036" s="1" t="s">
        <v>851</v>
      </c>
    </row>
    <row r="1037" spans="25:26" x14ac:dyDescent="0.2">
      <c r="Y1037" s="1" t="s">
        <v>1878</v>
      </c>
      <c r="Z1037" s="1" t="s">
        <v>836</v>
      </c>
    </row>
    <row r="1038" spans="25:26" x14ac:dyDescent="0.2">
      <c r="Y1038" s="1" t="s">
        <v>1879</v>
      </c>
      <c r="Z1038" s="1" t="s">
        <v>845</v>
      </c>
    </row>
    <row r="1039" spans="25:26" x14ac:dyDescent="0.2">
      <c r="Y1039" s="1" t="s">
        <v>1880</v>
      </c>
      <c r="Z1039" s="1" t="s">
        <v>836</v>
      </c>
    </row>
    <row r="1040" spans="25:26" x14ac:dyDescent="0.2">
      <c r="Y1040" s="1" t="s">
        <v>1881</v>
      </c>
      <c r="Z1040" s="1" t="s">
        <v>839</v>
      </c>
    </row>
    <row r="1041" spans="25:26" x14ac:dyDescent="0.2">
      <c r="Y1041" s="1" t="s">
        <v>1882</v>
      </c>
      <c r="Z1041" s="1" t="s">
        <v>836</v>
      </c>
    </row>
    <row r="1042" spans="25:26" x14ac:dyDescent="0.2">
      <c r="Y1042" s="1" t="s">
        <v>1883</v>
      </c>
      <c r="Z1042" s="1" t="s">
        <v>851</v>
      </c>
    </row>
    <row r="1043" spans="25:26" x14ac:dyDescent="0.2">
      <c r="Y1043" s="1" t="s">
        <v>1884</v>
      </c>
      <c r="Z1043" s="1" t="s">
        <v>841</v>
      </c>
    </row>
    <row r="1044" spans="25:26" x14ac:dyDescent="0.2">
      <c r="Y1044" s="1" t="s">
        <v>1885</v>
      </c>
      <c r="Z1044" s="1" t="s">
        <v>845</v>
      </c>
    </row>
    <row r="1045" spans="25:26" x14ac:dyDescent="0.2">
      <c r="Y1045" s="1" t="s">
        <v>1886</v>
      </c>
      <c r="Z1045" s="1" t="s">
        <v>843</v>
      </c>
    </row>
    <row r="1046" spans="25:26" x14ac:dyDescent="0.2">
      <c r="Y1046" s="1" t="s">
        <v>1887</v>
      </c>
      <c r="Z1046" s="1" t="s">
        <v>836</v>
      </c>
    </row>
    <row r="1047" spans="25:26" x14ac:dyDescent="0.2">
      <c r="Y1047" s="1" t="s">
        <v>1888</v>
      </c>
      <c r="Z1047" s="1" t="s">
        <v>836</v>
      </c>
    </row>
    <row r="1048" spans="25:26" x14ac:dyDescent="0.2">
      <c r="Y1048" s="1" t="s">
        <v>1889</v>
      </c>
      <c r="Z1048" s="1" t="s">
        <v>965</v>
      </c>
    </row>
    <row r="1049" spans="25:26" x14ac:dyDescent="0.2">
      <c r="Y1049" s="1" t="s">
        <v>1890</v>
      </c>
      <c r="Z1049" s="1" t="s">
        <v>853</v>
      </c>
    </row>
    <row r="1050" spans="25:26" x14ac:dyDescent="0.2">
      <c r="Y1050" s="1" t="s">
        <v>1891</v>
      </c>
      <c r="Z1050" s="1" t="s">
        <v>836</v>
      </c>
    </row>
    <row r="1051" spans="25:26" x14ac:dyDescent="0.2">
      <c r="Y1051" s="1" t="s">
        <v>1892</v>
      </c>
      <c r="Z1051" s="1" t="s">
        <v>845</v>
      </c>
    </row>
    <row r="1052" spans="25:26" x14ac:dyDescent="0.2">
      <c r="Y1052" s="1" t="s">
        <v>1893</v>
      </c>
      <c r="Z1052" s="1" t="s">
        <v>851</v>
      </c>
    </row>
    <row r="1053" spans="25:26" x14ac:dyDescent="0.2">
      <c r="Y1053" s="1" t="s">
        <v>1894</v>
      </c>
      <c r="Z1053" s="1" t="s">
        <v>851</v>
      </c>
    </row>
    <row r="1054" spans="25:26" x14ac:dyDescent="0.2">
      <c r="Y1054" s="1" t="s">
        <v>1895</v>
      </c>
      <c r="Z1054" s="1" t="s">
        <v>836</v>
      </c>
    </row>
    <row r="1055" spans="25:26" x14ac:dyDescent="0.2">
      <c r="Y1055" s="1" t="s">
        <v>1896</v>
      </c>
      <c r="Z1055" s="1" t="s">
        <v>836</v>
      </c>
    </row>
    <row r="1056" spans="25:26" x14ac:dyDescent="0.2">
      <c r="Y1056" s="1" t="s">
        <v>1897</v>
      </c>
      <c r="Z1056" s="1" t="s">
        <v>836</v>
      </c>
    </row>
    <row r="1057" spans="25:26" x14ac:dyDescent="0.2">
      <c r="Y1057" s="1" t="s">
        <v>1898</v>
      </c>
      <c r="Z1057" s="1" t="s">
        <v>836</v>
      </c>
    </row>
    <row r="1058" spans="25:26" x14ac:dyDescent="0.2">
      <c r="Y1058" s="1" t="s">
        <v>1899</v>
      </c>
      <c r="Z1058" s="1" t="s">
        <v>836</v>
      </c>
    </row>
    <row r="1059" spans="25:26" x14ac:dyDescent="0.2">
      <c r="Y1059" s="1" t="s">
        <v>1900</v>
      </c>
      <c r="Z1059" s="1" t="s">
        <v>845</v>
      </c>
    </row>
    <row r="1060" spans="25:26" x14ac:dyDescent="0.2">
      <c r="Y1060" s="1" t="s">
        <v>1901</v>
      </c>
      <c r="Z1060" s="1" t="s">
        <v>836</v>
      </c>
    </row>
    <row r="1061" spans="25:26" x14ac:dyDescent="0.2">
      <c r="Y1061" s="1" t="s">
        <v>1902</v>
      </c>
      <c r="Z1061" s="1" t="s">
        <v>836</v>
      </c>
    </row>
    <row r="1062" spans="25:26" x14ac:dyDescent="0.2">
      <c r="Y1062" s="1" t="s">
        <v>1903</v>
      </c>
      <c r="Z1062" s="1" t="s">
        <v>845</v>
      </c>
    </row>
    <row r="1063" spans="25:26" x14ac:dyDescent="0.2">
      <c r="Y1063" s="1" t="s">
        <v>1904</v>
      </c>
      <c r="Z1063" s="1" t="s">
        <v>836</v>
      </c>
    </row>
    <row r="1064" spans="25:26" x14ac:dyDescent="0.2">
      <c r="Y1064" s="1" t="s">
        <v>1905</v>
      </c>
      <c r="Z1064" s="1" t="s">
        <v>841</v>
      </c>
    </row>
    <row r="1065" spans="25:26" x14ac:dyDescent="0.2">
      <c r="Y1065" s="1" t="s">
        <v>1906</v>
      </c>
      <c r="Z1065" s="1" t="s">
        <v>845</v>
      </c>
    </row>
    <row r="1066" spans="25:26" x14ac:dyDescent="0.2">
      <c r="Y1066" s="1" t="s">
        <v>1907</v>
      </c>
      <c r="Z1066" s="1" t="s">
        <v>836</v>
      </c>
    </row>
    <row r="1067" spans="25:26" x14ac:dyDescent="0.2">
      <c r="Y1067" s="1" t="s">
        <v>1908</v>
      </c>
      <c r="Z1067" s="1" t="s">
        <v>836</v>
      </c>
    </row>
    <row r="1068" spans="25:26" x14ac:dyDescent="0.2">
      <c r="Y1068" s="1" t="s">
        <v>1909</v>
      </c>
      <c r="Z1068" s="1" t="s">
        <v>836</v>
      </c>
    </row>
    <row r="1069" spans="25:26" x14ac:dyDescent="0.2">
      <c r="Y1069" s="1" t="s">
        <v>1910</v>
      </c>
      <c r="Z1069" s="1" t="s">
        <v>836</v>
      </c>
    </row>
    <row r="1070" spans="25:26" x14ac:dyDescent="0.2">
      <c r="Y1070" s="1" t="s">
        <v>1911</v>
      </c>
      <c r="Z1070" s="1" t="s">
        <v>851</v>
      </c>
    </row>
    <row r="1071" spans="25:26" x14ac:dyDescent="0.2">
      <c r="Y1071" s="1" t="s">
        <v>1912</v>
      </c>
      <c r="Z1071" s="1" t="s">
        <v>836</v>
      </c>
    </row>
    <row r="1072" spans="25:26" x14ac:dyDescent="0.2">
      <c r="Y1072" s="1" t="s">
        <v>1913</v>
      </c>
      <c r="Z1072" s="1" t="s">
        <v>836</v>
      </c>
    </row>
    <row r="1073" spans="25:26" x14ac:dyDescent="0.2">
      <c r="Y1073" s="1" t="s">
        <v>1914</v>
      </c>
      <c r="Z1073" s="1" t="s">
        <v>841</v>
      </c>
    </row>
    <row r="1074" spans="25:26" x14ac:dyDescent="0.2">
      <c r="Y1074" s="1" t="s">
        <v>1915</v>
      </c>
      <c r="Z1074" s="1" t="s">
        <v>841</v>
      </c>
    </row>
    <row r="1075" spans="25:26" x14ac:dyDescent="0.2">
      <c r="Y1075" s="1" t="s">
        <v>1916</v>
      </c>
      <c r="Z1075" s="1" t="s">
        <v>836</v>
      </c>
    </row>
    <row r="1076" spans="25:26" x14ac:dyDescent="0.2">
      <c r="Y1076" s="1" t="s">
        <v>1917</v>
      </c>
      <c r="Z1076" s="1" t="s">
        <v>836</v>
      </c>
    </row>
    <row r="1077" spans="25:26" x14ac:dyDescent="0.2">
      <c r="Y1077" s="1" t="s">
        <v>1918</v>
      </c>
      <c r="Z1077" s="1" t="s">
        <v>836</v>
      </c>
    </row>
    <row r="1078" spans="25:26" x14ac:dyDescent="0.2">
      <c r="Y1078" s="1" t="s">
        <v>1919</v>
      </c>
      <c r="Z1078" s="1" t="s">
        <v>836</v>
      </c>
    </row>
    <row r="1079" spans="25:26" x14ac:dyDescent="0.2">
      <c r="Y1079" s="1" t="s">
        <v>1920</v>
      </c>
      <c r="Z1079" s="1" t="s">
        <v>836</v>
      </c>
    </row>
    <row r="1080" spans="25:26" x14ac:dyDescent="0.2">
      <c r="Y1080" s="1" t="s">
        <v>1921</v>
      </c>
      <c r="Z1080" s="1" t="s">
        <v>836</v>
      </c>
    </row>
    <row r="1081" spans="25:26" x14ac:dyDescent="0.2">
      <c r="Y1081" s="1" t="s">
        <v>1922</v>
      </c>
      <c r="Z1081" s="1" t="s">
        <v>836</v>
      </c>
    </row>
    <row r="1082" spans="25:26" x14ac:dyDescent="0.2">
      <c r="Y1082" s="1" t="s">
        <v>1923</v>
      </c>
      <c r="Z1082" s="1" t="s">
        <v>836</v>
      </c>
    </row>
    <row r="1083" spans="25:26" x14ac:dyDescent="0.2">
      <c r="Y1083" s="1" t="s">
        <v>1924</v>
      </c>
      <c r="Z1083" s="1" t="s">
        <v>841</v>
      </c>
    </row>
    <row r="1084" spans="25:26" x14ac:dyDescent="0.2">
      <c r="Y1084" s="1" t="s">
        <v>1925</v>
      </c>
      <c r="Z1084" s="1" t="s">
        <v>839</v>
      </c>
    </row>
    <row r="1085" spans="25:26" x14ac:dyDescent="0.2">
      <c r="Y1085" s="1" t="s">
        <v>1926</v>
      </c>
      <c r="Z1085" s="1" t="s">
        <v>836</v>
      </c>
    </row>
    <row r="1086" spans="25:26" x14ac:dyDescent="0.2">
      <c r="Y1086" s="1" t="s">
        <v>1927</v>
      </c>
      <c r="Z1086" s="1" t="s">
        <v>843</v>
      </c>
    </row>
    <row r="1087" spans="25:26" x14ac:dyDescent="0.2">
      <c r="Y1087" s="1" t="s">
        <v>1928</v>
      </c>
      <c r="Z1087" s="1" t="s">
        <v>836</v>
      </c>
    </row>
    <row r="1088" spans="25:26" x14ac:dyDescent="0.2">
      <c r="Y1088" s="1" t="s">
        <v>1929</v>
      </c>
      <c r="Z1088" s="1" t="s">
        <v>836</v>
      </c>
    </row>
    <row r="1089" spans="25:26" x14ac:dyDescent="0.2">
      <c r="Y1089" s="1" t="s">
        <v>1930</v>
      </c>
      <c r="Z1089" s="1" t="s">
        <v>843</v>
      </c>
    </row>
    <row r="1090" spans="25:26" x14ac:dyDescent="0.2">
      <c r="Y1090" s="1" t="s">
        <v>1931</v>
      </c>
      <c r="Z1090" s="1" t="s">
        <v>851</v>
      </c>
    </row>
    <row r="1091" spans="25:26" x14ac:dyDescent="0.2">
      <c r="Y1091" s="1" t="s">
        <v>1932</v>
      </c>
      <c r="Z1091" s="1" t="s">
        <v>836</v>
      </c>
    </row>
    <row r="1092" spans="25:26" x14ac:dyDescent="0.2">
      <c r="Y1092" s="1" t="s">
        <v>1933</v>
      </c>
      <c r="Z1092" s="1" t="s">
        <v>836</v>
      </c>
    </row>
    <row r="1093" spans="25:26" x14ac:dyDescent="0.2">
      <c r="Y1093" s="1" t="s">
        <v>1934</v>
      </c>
      <c r="Z1093" s="1" t="s">
        <v>845</v>
      </c>
    </row>
    <row r="1094" spans="25:26" x14ac:dyDescent="0.2">
      <c r="Y1094" s="1" t="s">
        <v>1935</v>
      </c>
      <c r="Z1094" s="1" t="s">
        <v>836</v>
      </c>
    </row>
    <row r="1095" spans="25:26" x14ac:dyDescent="0.2">
      <c r="Y1095" s="1" t="s">
        <v>1936</v>
      </c>
      <c r="Z1095" s="1" t="s">
        <v>836</v>
      </c>
    </row>
    <row r="1096" spans="25:26" x14ac:dyDescent="0.2">
      <c r="Y1096" s="1" t="s">
        <v>1937</v>
      </c>
      <c r="Z1096" s="1" t="s">
        <v>845</v>
      </c>
    </row>
    <row r="1097" spans="25:26" x14ac:dyDescent="0.2">
      <c r="Y1097" s="1" t="s">
        <v>1938</v>
      </c>
      <c r="Z1097" s="1" t="s">
        <v>841</v>
      </c>
    </row>
    <row r="1098" spans="25:26" x14ac:dyDescent="0.2">
      <c r="Y1098" s="1" t="s">
        <v>1939</v>
      </c>
      <c r="Z1098" s="1" t="s">
        <v>836</v>
      </c>
    </row>
    <row r="1099" spans="25:26" x14ac:dyDescent="0.2">
      <c r="Y1099" s="1" t="s">
        <v>1940</v>
      </c>
      <c r="Z1099" s="1" t="s">
        <v>836</v>
      </c>
    </row>
    <row r="1100" spans="25:26" x14ac:dyDescent="0.2">
      <c r="Y1100" s="1" t="s">
        <v>1941</v>
      </c>
      <c r="Z1100" s="1" t="s">
        <v>836</v>
      </c>
    </row>
    <row r="1101" spans="25:26" x14ac:dyDescent="0.2">
      <c r="Y1101" s="1" t="s">
        <v>1942</v>
      </c>
      <c r="Z1101" s="1" t="s">
        <v>836</v>
      </c>
    </row>
    <row r="1102" spans="25:26" x14ac:dyDescent="0.2">
      <c r="Y1102" s="1" t="s">
        <v>1943</v>
      </c>
      <c r="Z1102" s="1" t="s">
        <v>836</v>
      </c>
    </row>
    <row r="1103" spans="25:26" x14ac:dyDescent="0.2">
      <c r="Y1103" s="1" t="s">
        <v>1944</v>
      </c>
      <c r="Z1103" s="1" t="s">
        <v>836</v>
      </c>
    </row>
    <row r="1104" spans="25:26" x14ac:dyDescent="0.2">
      <c r="Y1104" s="1" t="s">
        <v>1945</v>
      </c>
      <c r="Z1104" s="1" t="s">
        <v>836</v>
      </c>
    </row>
    <row r="1105" spans="25:26" x14ac:dyDescent="0.2">
      <c r="Y1105" s="1" t="s">
        <v>1946</v>
      </c>
      <c r="Z1105" s="1" t="s">
        <v>845</v>
      </c>
    </row>
    <row r="1106" spans="25:26" x14ac:dyDescent="0.2">
      <c r="Y1106" s="1" t="s">
        <v>1947</v>
      </c>
      <c r="Z1106" s="1" t="s">
        <v>836</v>
      </c>
    </row>
    <row r="1107" spans="25:26" x14ac:dyDescent="0.2">
      <c r="Y1107" s="1" t="s">
        <v>1948</v>
      </c>
      <c r="Z1107" s="1" t="s">
        <v>836</v>
      </c>
    </row>
    <row r="1108" spans="25:26" x14ac:dyDescent="0.2">
      <c r="Y1108" s="1" t="s">
        <v>1949</v>
      </c>
      <c r="Z1108" s="1" t="s">
        <v>836</v>
      </c>
    </row>
    <row r="1109" spans="25:26" x14ac:dyDescent="0.2">
      <c r="Y1109" s="1" t="s">
        <v>1950</v>
      </c>
      <c r="Z1109" s="1" t="s">
        <v>851</v>
      </c>
    </row>
    <row r="1110" spans="25:26" x14ac:dyDescent="0.2">
      <c r="Y1110" s="1" t="s">
        <v>1951</v>
      </c>
      <c r="Z1110" s="1" t="s">
        <v>836</v>
      </c>
    </row>
    <row r="1111" spans="25:26" x14ac:dyDescent="0.2">
      <c r="Y1111" s="1" t="s">
        <v>1952</v>
      </c>
      <c r="Z1111" s="1" t="s">
        <v>836</v>
      </c>
    </row>
    <row r="1112" spans="25:26" x14ac:dyDescent="0.2">
      <c r="Y1112" s="1" t="s">
        <v>1953</v>
      </c>
      <c r="Z1112" s="1" t="s">
        <v>836</v>
      </c>
    </row>
    <row r="1113" spans="25:26" x14ac:dyDescent="0.2">
      <c r="Y1113" s="1" t="s">
        <v>1954</v>
      </c>
      <c r="Z1113" s="1" t="s">
        <v>836</v>
      </c>
    </row>
    <row r="1114" spans="25:26" x14ac:dyDescent="0.2">
      <c r="Y1114" s="1" t="s">
        <v>1955</v>
      </c>
      <c r="Z1114" s="1" t="s">
        <v>965</v>
      </c>
    </row>
    <row r="1115" spans="25:26" x14ac:dyDescent="0.2">
      <c r="Y1115" s="1" t="s">
        <v>1956</v>
      </c>
      <c r="Z1115" s="1" t="s">
        <v>965</v>
      </c>
    </row>
    <row r="1116" spans="25:26" x14ac:dyDescent="0.2">
      <c r="Y1116" s="1" t="s">
        <v>1957</v>
      </c>
      <c r="Z1116" s="1" t="s">
        <v>836</v>
      </c>
    </row>
    <row r="1117" spans="25:26" x14ac:dyDescent="0.2">
      <c r="Y1117" s="1" t="s">
        <v>1958</v>
      </c>
      <c r="Z1117" s="1" t="s">
        <v>836</v>
      </c>
    </row>
    <row r="1118" spans="25:26" x14ac:dyDescent="0.2">
      <c r="Y1118" s="1" t="s">
        <v>1959</v>
      </c>
      <c r="Z1118" s="1" t="s">
        <v>845</v>
      </c>
    </row>
    <row r="1119" spans="25:26" x14ac:dyDescent="0.2">
      <c r="Y1119" s="1" t="s">
        <v>1960</v>
      </c>
      <c r="Z1119" s="1" t="s">
        <v>836</v>
      </c>
    </row>
    <row r="1120" spans="25:26" x14ac:dyDescent="0.2">
      <c r="Y1120" s="1" t="s">
        <v>1961</v>
      </c>
      <c r="Z1120" s="1" t="s">
        <v>965</v>
      </c>
    </row>
    <row r="1121" spans="25:26" x14ac:dyDescent="0.2">
      <c r="Y1121" s="1" t="s">
        <v>1962</v>
      </c>
      <c r="Z1121" s="1" t="s">
        <v>836</v>
      </c>
    </row>
    <row r="1122" spans="25:26" x14ac:dyDescent="0.2">
      <c r="Y1122" s="1" t="s">
        <v>1963</v>
      </c>
      <c r="Z1122" s="1" t="s">
        <v>836</v>
      </c>
    </row>
    <row r="1123" spans="25:26" x14ac:dyDescent="0.2">
      <c r="Y1123" s="1" t="s">
        <v>1964</v>
      </c>
      <c r="Z1123" s="1" t="s">
        <v>841</v>
      </c>
    </row>
    <row r="1124" spans="25:26" x14ac:dyDescent="0.2">
      <c r="Y1124" s="1" t="s">
        <v>1965</v>
      </c>
      <c r="Z1124" s="1" t="s">
        <v>841</v>
      </c>
    </row>
    <row r="1125" spans="25:26" x14ac:dyDescent="0.2">
      <c r="Y1125" s="1" t="s">
        <v>1966</v>
      </c>
      <c r="Z1125" s="1" t="s">
        <v>836</v>
      </c>
    </row>
    <row r="1126" spans="25:26" x14ac:dyDescent="0.2">
      <c r="Y1126" s="1" t="s">
        <v>1967</v>
      </c>
      <c r="Z1126" s="1" t="s">
        <v>965</v>
      </c>
    </row>
    <row r="1127" spans="25:26" x14ac:dyDescent="0.2">
      <c r="Y1127" s="1" t="s">
        <v>1968</v>
      </c>
      <c r="Z1127" s="1" t="s">
        <v>845</v>
      </c>
    </row>
    <row r="1128" spans="25:26" x14ac:dyDescent="0.2">
      <c r="Y1128" s="1" t="s">
        <v>1969</v>
      </c>
      <c r="Z1128" s="1" t="s">
        <v>836</v>
      </c>
    </row>
    <row r="1129" spans="25:26" x14ac:dyDescent="0.2">
      <c r="Y1129" s="1" t="s">
        <v>1970</v>
      </c>
      <c r="Z1129" s="1" t="s">
        <v>836</v>
      </c>
    </row>
    <row r="1130" spans="25:26" x14ac:dyDescent="0.2">
      <c r="Y1130" s="1" t="s">
        <v>1971</v>
      </c>
      <c r="Z1130" s="1" t="s">
        <v>965</v>
      </c>
    </row>
    <row r="1131" spans="25:26" x14ac:dyDescent="0.2">
      <c r="Y1131" s="1" t="s">
        <v>1972</v>
      </c>
      <c r="Z1131" s="1" t="s">
        <v>836</v>
      </c>
    </row>
    <row r="1132" spans="25:26" x14ac:dyDescent="0.2">
      <c r="Y1132" s="1" t="s">
        <v>1973</v>
      </c>
      <c r="Z1132" s="1" t="s">
        <v>841</v>
      </c>
    </row>
    <row r="1133" spans="25:26" x14ac:dyDescent="0.2">
      <c r="Y1133" s="1" t="s">
        <v>1974</v>
      </c>
      <c r="Z1133" s="1" t="s">
        <v>843</v>
      </c>
    </row>
    <row r="1134" spans="25:26" x14ac:dyDescent="0.2">
      <c r="Y1134" s="1" t="s">
        <v>1975</v>
      </c>
      <c r="Z1134" s="1" t="s">
        <v>841</v>
      </c>
    </row>
    <row r="1135" spans="25:26" x14ac:dyDescent="0.2">
      <c r="Y1135" s="1" t="s">
        <v>1976</v>
      </c>
      <c r="Z1135" s="1" t="s">
        <v>836</v>
      </c>
    </row>
    <row r="1136" spans="25:26" x14ac:dyDescent="0.2">
      <c r="Y1136" s="1" t="s">
        <v>1977</v>
      </c>
      <c r="Z1136" s="1" t="s">
        <v>845</v>
      </c>
    </row>
    <row r="1137" spans="25:26" x14ac:dyDescent="0.2">
      <c r="Y1137" s="1" t="s">
        <v>1978</v>
      </c>
      <c r="Z1137" s="1" t="s">
        <v>836</v>
      </c>
    </row>
    <row r="1138" spans="25:26" x14ac:dyDescent="0.2">
      <c r="Y1138" s="1" t="s">
        <v>1979</v>
      </c>
      <c r="Z1138" s="1" t="s">
        <v>839</v>
      </c>
    </row>
    <row r="1139" spans="25:26" x14ac:dyDescent="0.2">
      <c r="Y1139" s="1" t="s">
        <v>1980</v>
      </c>
      <c r="Z1139" s="1" t="s">
        <v>997</v>
      </c>
    </row>
    <row r="1140" spans="25:26" x14ac:dyDescent="0.2">
      <c r="Y1140" s="1" t="s">
        <v>1981</v>
      </c>
      <c r="Z1140" s="1" t="s">
        <v>841</v>
      </c>
    </row>
    <row r="1141" spans="25:26" x14ac:dyDescent="0.2">
      <c r="Y1141" s="1" t="s">
        <v>1982</v>
      </c>
      <c r="Z1141" s="1" t="s">
        <v>851</v>
      </c>
    </row>
    <row r="1142" spans="25:26" x14ac:dyDescent="0.2">
      <c r="Y1142" s="1" t="s">
        <v>1983</v>
      </c>
      <c r="Z1142" s="1" t="s">
        <v>836</v>
      </c>
    </row>
    <row r="1143" spans="25:26" x14ac:dyDescent="0.2">
      <c r="Y1143" s="1" t="s">
        <v>1984</v>
      </c>
      <c r="Z1143" s="1" t="s">
        <v>843</v>
      </c>
    </row>
    <row r="1144" spans="25:26" x14ac:dyDescent="0.2">
      <c r="Y1144" s="1" t="s">
        <v>1985</v>
      </c>
      <c r="Z1144" s="1" t="s">
        <v>836</v>
      </c>
    </row>
    <row r="1145" spans="25:26" x14ac:dyDescent="0.2">
      <c r="Y1145" s="1" t="s">
        <v>1986</v>
      </c>
      <c r="Z1145" s="1" t="s">
        <v>836</v>
      </c>
    </row>
    <row r="1146" spans="25:26" x14ac:dyDescent="0.2">
      <c r="Y1146" s="1" t="s">
        <v>1987</v>
      </c>
      <c r="Z1146" s="1" t="s">
        <v>843</v>
      </c>
    </row>
    <row r="1147" spans="25:26" x14ac:dyDescent="0.2">
      <c r="Y1147" s="1" t="s">
        <v>1988</v>
      </c>
      <c r="Z1147" s="1" t="s">
        <v>836</v>
      </c>
    </row>
    <row r="1148" spans="25:26" x14ac:dyDescent="0.2">
      <c r="Y1148" s="1" t="s">
        <v>1989</v>
      </c>
      <c r="Z1148" s="1" t="s">
        <v>839</v>
      </c>
    </row>
    <row r="1149" spans="25:26" x14ac:dyDescent="0.2">
      <c r="Y1149" s="1" t="s">
        <v>1990</v>
      </c>
      <c r="Z1149" s="1" t="s">
        <v>836</v>
      </c>
    </row>
    <row r="1150" spans="25:26" x14ac:dyDescent="0.2">
      <c r="Y1150" s="1" t="s">
        <v>1991</v>
      </c>
      <c r="Z1150" s="1" t="s">
        <v>841</v>
      </c>
    </row>
    <row r="1151" spans="25:26" x14ac:dyDescent="0.2">
      <c r="Y1151" s="1" t="s">
        <v>1992</v>
      </c>
      <c r="Z1151" s="1" t="s">
        <v>841</v>
      </c>
    </row>
    <row r="1152" spans="25:26" x14ac:dyDescent="0.2">
      <c r="Y1152" s="1" t="s">
        <v>1993</v>
      </c>
      <c r="Z1152" s="1" t="s">
        <v>836</v>
      </c>
    </row>
    <row r="1153" spans="25:26" x14ac:dyDescent="0.2">
      <c r="Y1153" s="1" t="s">
        <v>1994</v>
      </c>
      <c r="Z1153" s="1" t="s">
        <v>836</v>
      </c>
    </row>
    <row r="1154" spans="25:26" x14ac:dyDescent="0.2">
      <c r="Y1154" s="1" t="s">
        <v>1995</v>
      </c>
      <c r="Z1154" s="1" t="s">
        <v>836</v>
      </c>
    </row>
    <row r="1155" spans="25:26" x14ac:dyDescent="0.2">
      <c r="Y1155" s="1" t="s">
        <v>1996</v>
      </c>
      <c r="Z1155" s="1" t="s">
        <v>841</v>
      </c>
    </row>
    <row r="1156" spans="25:26" x14ac:dyDescent="0.2">
      <c r="Y1156" s="1" t="s">
        <v>1997</v>
      </c>
      <c r="Z1156" s="1" t="s">
        <v>845</v>
      </c>
    </row>
    <row r="1157" spans="25:26" x14ac:dyDescent="0.2">
      <c r="Y1157" s="1" t="s">
        <v>1998</v>
      </c>
      <c r="Z1157" s="1" t="s">
        <v>836</v>
      </c>
    </row>
    <row r="1158" spans="25:26" x14ac:dyDescent="0.2">
      <c r="Y1158" s="1" t="s">
        <v>1999</v>
      </c>
      <c r="Z1158" s="1" t="s">
        <v>836</v>
      </c>
    </row>
    <row r="1159" spans="25:26" x14ac:dyDescent="0.2">
      <c r="Y1159" s="1" t="s">
        <v>2000</v>
      </c>
      <c r="Z1159" s="1" t="s">
        <v>851</v>
      </c>
    </row>
    <row r="1160" spans="25:26" x14ac:dyDescent="0.2">
      <c r="Y1160" s="1" t="s">
        <v>2001</v>
      </c>
      <c r="Z1160" s="1" t="s">
        <v>836</v>
      </c>
    </row>
    <row r="1161" spans="25:26" x14ac:dyDescent="0.2">
      <c r="Y1161" s="1" t="s">
        <v>2002</v>
      </c>
      <c r="Z1161" s="1" t="s">
        <v>836</v>
      </c>
    </row>
    <row r="1162" spans="25:26" x14ac:dyDescent="0.2">
      <c r="Y1162" s="1" t="s">
        <v>2003</v>
      </c>
      <c r="Z1162" s="1" t="s">
        <v>845</v>
      </c>
    </row>
    <row r="1163" spans="25:26" x14ac:dyDescent="0.2">
      <c r="Y1163" s="1" t="s">
        <v>2004</v>
      </c>
      <c r="Z1163" s="1" t="s">
        <v>836</v>
      </c>
    </row>
    <row r="1164" spans="25:26" x14ac:dyDescent="0.2">
      <c r="Y1164" s="1" t="s">
        <v>2005</v>
      </c>
      <c r="Z1164" s="1" t="s">
        <v>836</v>
      </c>
    </row>
    <row r="1165" spans="25:26" x14ac:dyDescent="0.2">
      <c r="Y1165" s="1" t="s">
        <v>2006</v>
      </c>
      <c r="Z1165" s="1" t="s">
        <v>851</v>
      </c>
    </row>
    <row r="1166" spans="25:26" x14ac:dyDescent="0.2">
      <c r="Y1166" s="1" t="s">
        <v>2007</v>
      </c>
      <c r="Z1166" s="1" t="s">
        <v>836</v>
      </c>
    </row>
    <row r="1167" spans="25:26" x14ac:dyDescent="0.2">
      <c r="Y1167" s="1" t="s">
        <v>2008</v>
      </c>
      <c r="Z1167" s="1" t="s">
        <v>836</v>
      </c>
    </row>
    <row r="1168" spans="25:26" x14ac:dyDescent="0.2">
      <c r="Y1168" s="1" t="s">
        <v>2009</v>
      </c>
      <c r="Z1168" s="1" t="s">
        <v>841</v>
      </c>
    </row>
    <row r="1169" spans="25:26" x14ac:dyDescent="0.2">
      <c r="Y1169" s="1" t="s">
        <v>2010</v>
      </c>
      <c r="Z1169" s="1" t="s">
        <v>839</v>
      </c>
    </row>
    <row r="1170" spans="25:26" x14ac:dyDescent="0.2">
      <c r="Y1170" s="1" t="s">
        <v>2011</v>
      </c>
      <c r="Z1170" s="1" t="s">
        <v>839</v>
      </c>
    </row>
    <row r="1171" spans="25:26" x14ac:dyDescent="0.2">
      <c r="Y1171" s="1" t="s">
        <v>2012</v>
      </c>
      <c r="Z1171" s="1" t="s">
        <v>836</v>
      </c>
    </row>
    <row r="1172" spans="25:26" x14ac:dyDescent="0.2">
      <c r="Y1172" s="1" t="s">
        <v>2013</v>
      </c>
      <c r="Z1172" s="1" t="s">
        <v>836</v>
      </c>
    </row>
    <row r="1173" spans="25:26" x14ac:dyDescent="0.2">
      <c r="Y1173" s="1" t="s">
        <v>2014</v>
      </c>
      <c r="Z1173" s="1" t="s">
        <v>836</v>
      </c>
    </row>
    <row r="1174" spans="25:26" x14ac:dyDescent="0.2">
      <c r="Y1174" s="1" t="s">
        <v>2015</v>
      </c>
      <c r="Z1174" s="1" t="s">
        <v>836</v>
      </c>
    </row>
    <row r="1175" spans="25:26" x14ac:dyDescent="0.2">
      <c r="Y1175" s="1" t="s">
        <v>2016</v>
      </c>
      <c r="Z1175" s="1" t="s">
        <v>836</v>
      </c>
    </row>
    <row r="1176" spans="25:26" x14ac:dyDescent="0.2">
      <c r="Y1176" s="1" t="s">
        <v>2017</v>
      </c>
      <c r="Z1176" s="1" t="s">
        <v>836</v>
      </c>
    </row>
    <row r="1177" spans="25:26" x14ac:dyDescent="0.2">
      <c r="Y1177" s="1" t="s">
        <v>2018</v>
      </c>
      <c r="Z1177" s="1" t="s">
        <v>843</v>
      </c>
    </row>
    <row r="1178" spans="25:26" x14ac:dyDescent="0.2">
      <c r="Y1178" s="1" t="s">
        <v>2019</v>
      </c>
      <c r="Z1178" s="1" t="s">
        <v>836</v>
      </c>
    </row>
    <row r="1179" spans="25:26" x14ac:dyDescent="0.2">
      <c r="Y1179" s="1" t="s">
        <v>2020</v>
      </c>
      <c r="Z1179" s="1" t="s">
        <v>836</v>
      </c>
    </row>
    <row r="1180" spans="25:26" x14ac:dyDescent="0.2">
      <c r="Y1180" s="1" t="s">
        <v>2021</v>
      </c>
      <c r="Z1180" s="1" t="s">
        <v>836</v>
      </c>
    </row>
    <row r="1181" spans="25:26" x14ac:dyDescent="0.2">
      <c r="Y1181" s="1" t="s">
        <v>2022</v>
      </c>
      <c r="Z1181" s="1" t="s">
        <v>851</v>
      </c>
    </row>
    <row r="1182" spans="25:26" x14ac:dyDescent="0.2">
      <c r="Y1182" s="1" t="s">
        <v>2023</v>
      </c>
      <c r="Z1182" s="1" t="s">
        <v>836</v>
      </c>
    </row>
    <row r="1183" spans="25:26" x14ac:dyDescent="0.2">
      <c r="Y1183" s="1" t="s">
        <v>2024</v>
      </c>
      <c r="Z1183" s="1" t="s">
        <v>836</v>
      </c>
    </row>
    <row r="1184" spans="25:26" x14ac:dyDescent="0.2">
      <c r="Y1184" s="1" t="s">
        <v>2025</v>
      </c>
      <c r="Z1184" s="1" t="s">
        <v>836</v>
      </c>
    </row>
    <row r="1185" spans="25:26" x14ac:dyDescent="0.2">
      <c r="Y1185" s="1" t="s">
        <v>2026</v>
      </c>
      <c r="Z1185" s="1" t="s">
        <v>836</v>
      </c>
    </row>
    <row r="1186" spans="25:26" x14ac:dyDescent="0.2">
      <c r="Y1186" s="1" t="s">
        <v>2027</v>
      </c>
      <c r="Z1186" s="1" t="s">
        <v>836</v>
      </c>
    </row>
    <row r="1187" spans="25:26" x14ac:dyDescent="0.2">
      <c r="Y1187" s="1" t="s">
        <v>2028</v>
      </c>
      <c r="Z1187" s="1" t="s">
        <v>843</v>
      </c>
    </row>
    <row r="1188" spans="25:26" x14ac:dyDescent="0.2">
      <c r="Y1188" s="1" t="s">
        <v>2029</v>
      </c>
      <c r="Z1188" s="1" t="s">
        <v>836</v>
      </c>
    </row>
    <row r="1189" spans="25:26" x14ac:dyDescent="0.2">
      <c r="Y1189" s="1" t="s">
        <v>2030</v>
      </c>
      <c r="Z1189" s="1" t="s">
        <v>839</v>
      </c>
    </row>
    <row r="1190" spans="25:26" x14ac:dyDescent="0.2">
      <c r="Y1190" s="1" t="s">
        <v>2031</v>
      </c>
      <c r="Z1190" s="1" t="s">
        <v>843</v>
      </c>
    </row>
    <row r="1191" spans="25:26" x14ac:dyDescent="0.2">
      <c r="Y1191" s="1" t="s">
        <v>2032</v>
      </c>
      <c r="Z1191" s="1" t="s">
        <v>845</v>
      </c>
    </row>
    <row r="1192" spans="25:26" x14ac:dyDescent="0.2">
      <c r="Y1192" s="1" t="s">
        <v>2033</v>
      </c>
      <c r="Z1192" s="1" t="s">
        <v>839</v>
      </c>
    </row>
    <row r="1193" spans="25:26" x14ac:dyDescent="0.2">
      <c r="Y1193" s="1" t="s">
        <v>2034</v>
      </c>
      <c r="Z1193" s="1" t="s">
        <v>836</v>
      </c>
    </row>
    <row r="1194" spans="25:26" x14ac:dyDescent="0.2">
      <c r="Y1194" s="1" t="s">
        <v>2035</v>
      </c>
      <c r="Z1194" s="1" t="s">
        <v>836</v>
      </c>
    </row>
    <row r="1195" spans="25:26" x14ac:dyDescent="0.2">
      <c r="Y1195" s="1" t="s">
        <v>2036</v>
      </c>
      <c r="Z1195" s="1" t="s">
        <v>836</v>
      </c>
    </row>
    <row r="1196" spans="25:26" x14ac:dyDescent="0.2">
      <c r="Y1196" s="1" t="s">
        <v>2037</v>
      </c>
      <c r="Z1196" s="1" t="s">
        <v>836</v>
      </c>
    </row>
    <row r="1197" spans="25:26" x14ac:dyDescent="0.2">
      <c r="Y1197" s="1" t="s">
        <v>2038</v>
      </c>
      <c r="Z1197" s="1" t="s">
        <v>841</v>
      </c>
    </row>
    <row r="1198" spans="25:26" x14ac:dyDescent="0.2">
      <c r="Y1198" s="1" t="s">
        <v>2039</v>
      </c>
      <c r="Z1198" s="1" t="s">
        <v>836</v>
      </c>
    </row>
    <row r="1199" spans="25:26" x14ac:dyDescent="0.2">
      <c r="Y1199" s="1" t="s">
        <v>2040</v>
      </c>
      <c r="Z1199" s="1" t="s">
        <v>845</v>
      </c>
    </row>
    <row r="1200" spans="25:26" x14ac:dyDescent="0.2">
      <c r="Y1200" s="1" t="s">
        <v>2041</v>
      </c>
      <c r="Z1200" s="1" t="s">
        <v>836</v>
      </c>
    </row>
    <row r="1201" spans="25:26" x14ac:dyDescent="0.2">
      <c r="Y1201" s="1" t="s">
        <v>2042</v>
      </c>
      <c r="Z1201" s="1" t="s">
        <v>836</v>
      </c>
    </row>
    <row r="1202" spans="25:26" x14ac:dyDescent="0.2">
      <c r="Y1202" s="1" t="s">
        <v>2043</v>
      </c>
      <c r="Z1202" s="1" t="s">
        <v>836</v>
      </c>
    </row>
    <row r="1203" spans="25:26" x14ac:dyDescent="0.2">
      <c r="Y1203" s="1" t="s">
        <v>2044</v>
      </c>
      <c r="Z1203" s="1" t="s">
        <v>836</v>
      </c>
    </row>
    <row r="1204" spans="25:26" x14ac:dyDescent="0.2">
      <c r="Y1204" s="1" t="s">
        <v>2045</v>
      </c>
      <c r="Z1204" s="1" t="s">
        <v>836</v>
      </c>
    </row>
    <row r="1205" spans="25:26" x14ac:dyDescent="0.2">
      <c r="Y1205" s="1" t="s">
        <v>2046</v>
      </c>
      <c r="Z1205" s="1" t="s">
        <v>836</v>
      </c>
    </row>
    <row r="1206" spans="25:26" x14ac:dyDescent="0.2">
      <c r="Y1206" s="1" t="s">
        <v>2047</v>
      </c>
      <c r="Z1206" s="1" t="s">
        <v>841</v>
      </c>
    </row>
    <row r="1207" spans="25:26" x14ac:dyDescent="0.2">
      <c r="Y1207" s="1" t="s">
        <v>2048</v>
      </c>
      <c r="Z1207" s="1" t="s">
        <v>836</v>
      </c>
    </row>
    <row r="1208" spans="25:26" x14ac:dyDescent="0.2">
      <c r="Y1208" s="1" t="s">
        <v>2049</v>
      </c>
      <c r="Z1208" s="1" t="s">
        <v>839</v>
      </c>
    </row>
    <row r="1209" spans="25:26" x14ac:dyDescent="0.2">
      <c r="Y1209" s="1" t="s">
        <v>2050</v>
      </c>
      <c r="Z1209" s="1" t="s">
        <v>836</v>
      </c>
    </row>
    <row r="1210" spans="25:26" x14ac:dyDescent="0.2">
      <c r="Y1210" s="1" t="s">
        <v>2051</v>
      </c>
      <c r="Z1210" s="1" t="s">
        <v>841</v>
      </c>
    </row>
    <row r="1211" spans="25:26" x14ac:dyDescent="0.2">
      <c r="Y1211" s="1" t="s">
        <v>2052</v>
      </c>
      <c r="Z1211" s="1" t="s">
        <v>845</v>
      </c>
    </row>
    <row r="1212" spans="25:26" x14ac:dyDescent="0.2">
      <c r="Y1212" s="1" t="s">
        <v>2053</v>
      </c>
      <c r="Z1212" s="1" t="s">
        <v>841</v>
      </c>
    </row>
    <row r="1213" spans="25:26" x14ac:dyDescent="0.2">
      <c r="Y1213" s="1" t="s">
        <v>2054</v>
      </c>
      <c r="Z1213" s="1" t="s">
        <v>853</v>
      </c>
    </row>
    <row r="1214" spans="25:26" x14ac:dyDescent="0.2">
      <c r="Y1214" s="1" t="s">
        <v>2055</v>
      </c>
      <c r="Z1214" s="1" t="s">
        <v>836</v>
      </c>
    </row>
    <row r="1215" spans="25:26" x14ac:dyDescent="0.2">
      <c r="Y1215" s="1" t="s">
        <v>2056</v>
      </c>
      <c r="Z1215" s="1" t="s">
        <v>845</v>
      </c>
    </row>
    <row r="1216" spans="25:26" x14ac:dyDescent="0.2">
      <c r="Y1216" s="1" t="s">
        <v>2057</v>
      </c>
      <c r="Z1216" s="1" t="s">
        <v>836</v>
      </c>
    </row>
    <row r="1217" spans="25:26" x14ac:dyDescent="0.2">
      <c r="Y1217" s="1" t="s">
        <v>2058</v>
      </c>
      <c r="Z1217" s="1" t="s">
        <v>841</v>
      </c>
    </row>
    <row r="1218" spans="25:26" x14ac:dyDescent="0.2">
      <c r="Y1218" s="1" t="s">
        <v>2059</v>
      </c>
      <c r="Z1218" s="1" t="s">
        <v>845</v>
      </c>
    </row>
    <row r="1219" spans="25:26" x14ac:dyDescent="0.2">
      <c r="Y1219" s="1" t="s">
        <v>2060</v>
      </c>
      <c r="Z1219" s="1" t="s">
        <v>841</v>
      </c>
    </row>
    <row r="1220" spans="25:26" x14ac:dyDescent="0.2">
      <c r="Y1220" s="1" t="s">
        <v>2061</v>
      </c>
      <c r="Z1220" s="1" t="s">
        <v>839</v>
      </c>
    </row>
    <row r="1221" spans="25:26" x14ac:dyDescent="0.2">
      <c r="Y1221" s="1" t="s">
        <v>2062</v>
      </c>
      <c r="Z1221" s="1" t="s">
        <v>836</v>
      </c>
    </row>
    <row r="1222" spans="25:26" x14ac:dyDescent="0.2">
      <c r="Y1222" s="1" t="s">
        <v>2063</v>
      </c>
      <c r="Z1222" s="1" t="s">
        <v>836</v>
      </c>
    </row>
    <row r="1223" spans="25:26" x14ac:dyDescent="0.2">
      <c r="Y1223" s="1" t="s">
        <v>2064</v>
      </c>
      <c r="Z1223" s="1" t="s">
        <v>836</v>
      </c>
    </row>
    <row r="1224" spans="25:26" x14ac:dyDescent="0.2">
      <c r="Y1224" s="1" t="s">
        <v>2065</v>
      </c>
      <c r="Z1224" s="1" t="s">
        <v>836</v>
      </c>
    </row>
    <row r="1225" spans="25:26" x14ac:dyDescent="0.2">
      <c r="Y1225" s="1" t="s">
        <v>2066</v>
      </c>
      <c r="Z1225" s="1" t="s">
        <v>851</v>
      </c>
    </row>
    <row r="1226" spans="25:26" x14ac:dyDescent="0.2">
      <c r="Y1226" s="1" t="s">
        <v>2067</v>
      </c>
      <c r="Z1226" s="1" t="s">
        <v>836</v>
      </c>
    </row>
    <row r="1227" spans="25:26" x14ac:dyDescent="0.2">
      <c r="Y1227" s="1" t="s">
        <v>2068</v>
      </c>
      <c r="Z1227" s="1" t="s">
        <v>841</v>
      </c>
    </row>
    <row r="1228" spans="25:26" x14ac:dyDescent="0.2">
      <c r="Y1228" s="1" t="s">
        <v>2069</v>
      </c>
      <c r="Z1228" s="1" t="s">
        <v>845</v>
      </c>
    </row>
    <row r="1229" spans="25:26" x14ac:dyDescent="0.2">
      <c r="Y1229" s="1" t="s">
        <v>2070</v>
      </c>
      <c r="Z1229" s="1" t="s">
        <v>836</v>
      </c>
    </row>
    <row r="1230" spans="25:26" x14ac:dyDescent="0.2">
      <c r="Y1230" s="1" t="s">
        <v>2071</v>
      </c>
      <c r="Z1230" s="1" t="s">
        <v>839</v>
      </c>
    </row>
    <row r="1231" spans="25:26" x14ac:dyDescent="0.2">
      <c r="Y1231" s="1" t="s">
        <v>2072</v>
      </c>
      <c r="Z1231" s="1" t="s">
        <v>965</v>
      </c>
    </row>
    <row r="1232" spans="25:26" x14ac:dyDescent="0.2">
      <c r="Y1232" s="1" t="s">
        <v>2073</v>
      </c>
      <c r="Z1232" s="1" t="s">
        <v>845</v>
      </c>
    </row>
    <row r="1233" spans="25:26" x14ac:dyDescent="0.2">
      <c r="Y1233" s="1" t="s">
        <v>2074</v>
      </c>
      <c r="Z1233" s="1" t="s">
        <v>836</v>
      </c>
    </row>
    <row r="1234" spans="25:26" x14ac:dyDescent="0.2">
      <c r="Y1234" s="1" t="s">
        <v>2075</v>
      </c>
      <c r="Z1234" s="1" t="s">
        <v>836</v>
      </c>
    </row>
    <row r="1235" spans="25:26" x14ac:dyDescent="0.2">
      <c r="Y1235" s="1" t="s">
        <v>2076</v>
      </c>
      <c r="Z1235" s="1" t="s">
        <v>843</v>
      </c>
    </row>
    <row r="1236" spans="25:26" x14ac:dyDescent="0.2">
      <c r="Y1236" s="1" t="s">
        <v>2077</v>
      </c>
      <c r="Z1236" s="1" t="s">
        <v>851</v>
      </c>
    </row>
    <row r="1237" spans="25:26" x14ac:dyDescent="0.2">
      <c r="Y1237" s="1" t="s">
        <v>2078</v>
      </c>
      <c r="Z1237" s="1" t="s">
        <v>836</v>
      </c>
    </row>
    <row r="1238" spans="25:26" x14ac:dyDescent="0.2">
      <c r="Y1238" s="1" t="s">
        <v>2079</v>
      </c>
      <c r="Z1238" s="1" t="s">
        <v>836</v>
      </c>
    </row>
    <row r="1239" spans="25:26" x14ac:dyDescent="0.2">
      <c r="Y1239" s="1" t="s">
        <v>2080</v>
      </c>
      <c r="Z1239" s="1" t="s">
        <v>965</v>
      </c>
    </row>
    <row r="1240" spans="25:26" x14ac:dyDescent="0.2">
      <c r="Y1240" s="1" t="s">
        <v>2081</v>
      </c>
      <c r="Z1240" s="1" t="s">
        <v>839</v>
      </c>
    </row>
    <row r="1241" spans="25:26" x14ac:dyDescent="0.2">
      <c r="Y1241" s="1" t="s">
        <v>2082</v>
      </c>
      <c r="Z1241" s="1" t="s">
        <v>845</v>
      </c>
    </row>
    <row r="1242" spans="25:26" x14ac:dyDescent="0.2">
      <c r="Y1242" s="1" t="s">
        <v>2083</v>
      </c>
      <c r="Z1242" s="1" t="s">
        <v>836</v>
      </c>
    </row>
    <row r="1243" spans="25:26" x14ac:dyDescent="0.2">
      <c r="Y1243" s="1" t="s">
        <v>2084</v>
      </c>
      <c r="Z1243" s="1" t="s">
        <v>841</v>
      </c>
    </row>
    <row r="1244" spans="25:26" x14ac:dyDescent="0.2">
      <c r="Y1244" s="1" t="s">
        <v>2085</v>
      </c>
      <c r="Z1244" s="1" t="s">
        <v>843</v>
      </c>
    </row>
    <row r="1245" spans="25:26" x14ac:dyDescent="0.2">
      <c r="Y1245" s="1" t="s">
        <v>2086</v>
      </c>
      <c r="Z1245" s="1" t="s">
        <v>843</v>
      </c>
    </row>
    <row r="1246" spans="25:26" x14ac:dyDescent="0.2">
      <c r="Y1246" s="1" t="s">
        <v>2087</v>
      </c>
      <c r="Z1246" s="1" t="s">
        <v>841</v>
      </c>
    </row>
    <row r="1247" spans="25:26" x14ac:dyDescent="0.2">
      <c r="Y1247" s="1" t="s">
        <v>2088</v>
      </c>
      <c r="Z1247" s="1" t="s">
        <v>836</v>
      </c>
    </row>
    <row r="1248" spans="25:26" x14ac:dyDescent="0.2">
      <c r="Y1248" s="1" t="s">
        <v>2089</v>
      </c>
      <c r="Z1248" s="1" t="s">
        <v>843</v>
      </c>
    </row>
    <row r="1249" spans="25:26" x14ac:dyDescent="0.2">
      <c r="Y1249" s="1" t="s">
        <v>2090</v>
      </c>
      <c r="Z1249" s="1" t="s">
        <v>845</v>
      </c>
    </row>
    <row r="1250" spans="25:26" x14ac:dyDescent="0.2">
      <c r="Y1250" s="1" t="s">
        <v>2091</v>
      </c>
      <c r="Z1250" s="1" t="s">
        <v>841</v>
      </c>
    </row>
    <row r="1251" spans="25:26" x14ac:dyDescent="0.2">
      <c r="Y1251" s="1" t="s">
        <v>2092</v>
      </c>
      <c r="Z1251" s="1" t="s">
        <v>839</v>
      </c>
    </row>
    <row r="1252" spans="25:26" x14ac:dyDescent="0.2">
      <c r="Y1252" s="1" t="s">
        <v>2093</v>
      </c>
      <c r="Z1252" s="1" t="s">
        <v>841</v>
      </c>
    </row>
    <row r="1253" spans="25:26" x14ac:dyDescent="0.2">
      <c r="Y1253" s="1" t="s">
        <v>2094</v>
      </c>
      <c r="Z1253" s="1" t="s">
        <v>836</v>
      </c>
    </row>
    <row r="1254" spans="25:26" x14ac:dyDescent="0.2">
      <c r="Y1254" s="1" t="s">
        <v>2095</v>
      </c>
      <c r="Z1254" s="1" t="s">
        <v>836</v>
      </c>
    </row>
    <row r="1255" spans="25:26" x14ac:dyDescent="0.2">
      <c r="Y1255" s="1" t="s">
        <v>2096</v>
      </c>
      <c r="Z1255" s="1" t="s">
        <v>836</v>
      </c>
    </row>
    <row r="1256" spans="25:26" x14ac:dyDescent="0.2">
      <c r="Y1256" s="1" t="s">
        <v>2097</v>
      </c>
      <c r="Z1256" s="1" t="s">
        <v>836</v>
      </c>
    </row>
    <row r="1257" spans="25:26" x14ac:dyDescent="0.2">
      <c r="Y1257" s="1" t="s">
        <v>2098</v>
      </c>
      <c r="Z1257" s="1" t="s">
        <v>841</v>
      </c>
    </row>
    <row r="1258" spans="25:26" x14ac:dyDescent="0.2">
      <c r="Y1258" s="1" t="s">
        <v>2099</v>
      </c>
      <c r="Z1258" s="1" t="s">
        <v>841</v>
      </c>
    </row>
    <row r="1259" spans="25:26" x14ac:dyDescent="0.2">
      <c r="Y1259" s="1" t="s">
        <v>2100</v>
      </c>
      <c r="Z1259" s="1" t="s">
        <v>841</v>
      </c>
    </row>
    <row r="1260" spans="25:26" x14ac:dyDescent="0.2">
      <c r="Y1260" s="1" t="s">
        <v>2101</v>
      </c>
      <c r="Z1260" s="1" t="s">
        <v>841</v>
      </c>
    </row>
    <row r="1261" spans="25:26" x14ac:dyDescent="0.2">
      <c r="Y1261" s="1" t="s">
        <v>2102</v>
      </c>
      <c r="Z1261" s="1" t="s">
        <v>851</v>
      </c>
    </row>
    <row r="1262" spans="25:26" x14ac:dyDescent="0.2">
      <c r="Y1262" s="1" t="s">
        <v>2103</v>
      </c>
      <c r="Z1262" s="1" t="s">
        <v>836</v>
      </c>
    </row>
    <row r="1263" spans="25:26" x14ac:dyDescent="0.2">
      <c r="Y1263" s="1" t="s">
        <v>2104</v>
      </c>
      <c r="Z1263" s="1" t="s">
        <v>841</v>
      </c>
    </row>
    <row r="1264" spans="25:26" x14ac:dyDescent="0.2">
      <c r="Y1264" s="1" t="s">
        <v>2105</v>
      </c>
      <c r="Z1264" s="1" t="s">
        <v>841</v>
      </c>
    </row>
    <row r="1265" spans="25:26" x14ac:dyDescent="0.2">
      <c r="Y1265" s="1" t="s">
        <v>2106</v>
      </c>
      <c r="Z1265" s="1" t="s">
        <v>845</v>
      </c>
    </row>
    <row r="1266" spans="25:26" x14ac:dyDescent="0.2">
      <c r="Y1266" s="1" t="s">
        <v>2107</v>
      </c>
      <c r="Z1266" s="1" t="s">
        <v>841</v>
      </c>
    </row>
    <row r="1267" spans="25:26" x14ac:dyDescent="0.2">
      <c r="Y1267" s="1" t="s">
        <v>2108</v>
      </c>
      <c r="Z1267" s="1" t="s">
        <v>853</v>
      </c>
    </row>
    <row r="1268" spans="25:26" x14ac:dyDescent="0.2">
      <c r="Y1268" s="1" t="s">
        <v>2109</v>
      </c>
      <c r="Z1268" s="1" t="s">
        <v>836</v>
      </c>
    </row>
    <row r="1269" spans="25:26" x14ac:dyDescent="0.2">
      <c r="Y1269" s="1" t="s">
        <v>2110</v>
      </c>
      <c r="Z1269" s="1" t="s">
        <v>836</v>
      </c>
    </row>
    <row r="1270" spans="25:26" x14ac:dyDescent="0.2">
      <c r="Y1270" s="1" t="s">
        <v>2111</v>
      </c>
      <c r="Z1270" s="1" t="s">
        <v>836</v>
      </c>
    </row>
    <row r="1271" spans="25:26" x14ac:dyDescent="0.2">
      <c r="Y1271" s="1" t="s">
        <v>2112</v>
      </c>
      <c r="Z1271" s="1" t="s">
        <v>841</v>
      </c>
    </row>
    <row r="1272" spans="25:26" x14ac:dyDescent="0.2">
      <c r="Y1272" s="1" t="s">
        <v>2113</v>
      </c>
      <c r="Z1272" s="1" t="s">
        <v>853</v>
      </c>
    </row>
    <row r="1273" spans="25:26" x14ac:dyDescent="0.2">
      <c r="Y1273" s="1" t="s">
        <v>2114</v>
      </c>
      <c r="Z1273" s="1" t="s">
        <v>851</v>
      </c>
    </row>
    <row r="1274" spans="25:26" x14ac:dyDescent="0.2">
      <c r="Y1274" s="1" t="s">
        <v>2115</v>
      </c>
      <c r="Z1274" s="1" t="s">
        <v>841</v>
      </c>
    </row>
    <row r="1275" spans="25:26" x14ac:dyDescent="0.2">
      <c r="Y1275" s="1" t="s">
        <v>2116</v>
      </c>
      <c r="Z1275" s="1" t="s">
        <v>843</v>
      </c>
    </row>
    <row r="1276" spans="25:26" x14ac:dyDescent="0.2">
      <c r="Y1276" s="1" t="s">
        <v>2117</v>
      </c>
      <c r="Z1276" s="1" t="s">
        <v>836</v>
      </c>
    </row>
    <row r="1277" spans="25:26" x14ac:dyDescent="0.2">
      <c r="Y1277" s="1" t="s">
        <v>2118</v>
      </c>
      <c r="Z1277" s="1" t="s">
        <v>836</v>
      </c>
    </row>
    <row r="1278" spans="25:26" x14ac:dyDescent="0.2">
      <c r="Y1278" s="1" t="s">
        <v>2119</v>
      </c>
      <c r="Z1278" s="1" t="s">
        <v>841</v>
      </c>
    </row>
    <row r="1279" spans="25:26" x14ac:dyDescent="0.2">
      <c r="Y1279" s="1" t="s">
        <v>2120</v>
      </c>
      <c r="Z1279" s="1" t="s">
        <v>841</v>
      </c>
    </row>
    <row r="1280" spans="25:26" x14ac:dyDescent="0.2">
      <c r="Y1280" s="1" t="s">
        <v>2121</v>
      </c>
      <c r="Z1280" s="1" t="s">
        <v>841</v>
      </c>
    </row>
    <row r="1281" spans="25:26" x14ac:dyDescent="0.2">
      <c r="Y1281" s="1" t="s">
        <v>2122</v>
      </c>
      <c r="Z1281" s="1" t="s">
        <v>841</v>
      </c>
    </row>
    <row r="1282" spans="25:26" x14ac:dyDescent="0.2">
      <c r="Y1282" s="1" t="s">
        <v>2123</v>
      </c>
      <c r="Z1282" s="1" t="s">
        <v>841</v>
      </c>
    </row>
    <row r="1283" spans="25:26" x14ac:dyDescent="0.2">
      <c r="Y1283" s="1" t="s">
        <v>2124</v>
      </c>
      <c r="Z1283" s="1" t="s">
        <v>843</v>
      </c>
    </row>
    <row r="1284" spans="25:26" x14ac:dyDescent="0.2">
      <c r="Y1284" s="1" t="s">
        <v>2125</v>
      </c>
      <c r="Z1284" s="1" t="s">
        <v>851</v>
      </c>
    </row>
    <row r="1285" spans="25:26" x14ac:dyDescent="0.2">
      <c r="Y1285" s="1" t="s">
        <v>2126</v>
      </c>
      <c r="Z1285" s="1" t="s">
        <v>851</v>
      </c>
    </row>
    <row r="1286" spans="25:26" x14ac:dyDescent="0.2">
      <c r="Y1286" s="1" t="s">
        <v>2127</v>
      </c>
      <c r="Z1286" s="1" t="s">
        <v>836</v>
      </c>
    </row>
    <row r="1287" spans="25:26" x14ac:dyDescent="0.2">
      <c r="Y1287" s="1" t="s">
        <v>2128</v>
      </c>
      <c r="Z1287" s="1" t="s">
        <v>841</v>
      </c>
    </row>
    <row r="1288" spans="25:26" x14ac:dyDescent="0.2">
      <c r="Y1288" s="1" t="s">
        <v>2129</v>
      </c>
      <c r="Z1288" s="1" t="s">
        <v>851</v>
      </c>
    </row>
    <row r="1289" spans="25:26" x14ac:dyDescent="0.2">
      <c r="Y1289" s="1" t="s">
        <v>2130</v>
      </c>
      <c r="Z1289" s="1" t="s">
        <v>836</v>
      </c>
    </row>
    <row r="1290" spans="25:26" x14ac:dyDescent="0.2">
      <c r="Y1290" s="1" t="s">
        <v>2131</v>
      </c>
      <c r="Z1290" s="1" t="s">
        <v>841</v>
      </c>
    </row>
    <row r="1291" spans="25:26" x14ac:dyDescent="0.2">
      <c r="Y1291" s="1" t="s">
        <v>2132</v>
      </c>
      <c r="Z1291" s="1" t="s">
        <v>839</v>
      </c>
    </row>
    <row r="1292" spans="25:26" x14ac:dyDescent="0.2">
      <c r="Y1292" s="1" t="s">
        <v>2133</v>
      </c>
      <c r="Z1292" s="1" t="s">
        <v>836</v>
      </c>
    </row>
    <row r="1293" spans="25:26" x14ac:dyDescent="0.2">
      <c r="Y1293" s="1" t="s">
        <v>2134</v>
      </c>
      <c r="Z1293" s="1" t="s">
        <v>836</v>
      </c>
    </row>
    <row r="1294" spans="25:26" x14ac:dyDescent="0.2">
      <c r="Y1294" s="1" t="s">
        <v>2135</v>
      </c>
      <c r="Z1294" s="1" t="s">
        <v>836</v>
      </c>
    </row>
    <row r="1295" spans="25:26" x14ac:dyDescent="0.2">
      <c r="Y1295" s="1" t="s">
        <v>2136</v>
      </c>
      <c r="Z1295" s="1" t="s">
        <v>836</v>
      </c>
    </row>
    <row r="1296" spans="25:26" x14ac:dyDescent="0.2">
      <c r="Y1296" s="1" t="s">
        <v>2137</v>
      </c>
      <c r="Z1296" s="1" t="s">
        <v>836</v>
      </c>
    </row>
    <row r="1297" spans="25:26" x14ac:dyDescent="0.2">
      <c r="Y1297" s="1" t="s">
        <v>2138</v>
      </c>
      <c r="Z1297" s="1" t="s">
        <v>836</v>
      </c>
    </row>
    <row r="1298" spans="25:26" x14ac:dyDescent="0.2">
      <c r="Y1298" s="1" t="s">
        <v>2139</v>
      </c>
      <c r="Z1298" s="1" t="s">
        <v>841</v>
      </c>
    </row>
    <row r="1299" spans="25:26" x14ac:dyDescent="0.2">
      <c r="Y1299" s="1" t="s">
        <v>2140</v>
      </c>
      <c r="Z1299" s="1" t="s">
        <v>841</v>
      </c>
    </row>
    <row r="1300" spans="25:26" x14ac:dyDescent="0.2">
      <c r="Y1300" s="1" t="s">
        <v>2141</v>
      </c>
      <c r="Z1300" s="1" t="s">
        <v>836</v>
      </c>
    </row>
    <row r="1301" spans="25:26" x14ac:dyDescent="0.2">
      <c r="Y1301" s="1" t="s">
        <v>2142</v>
      </c>
      <c r="Z1301" s="1" t="s">
        <v>841</v>
      </c>
    </row>
    <row r="1302" spans="25:26" x14ac:dyDescent="0.2">
      <c r="Y1302" s="1" t="s">
        <v>2143</v>
      </c>
      <c r="Z1302" s="1" t="s">
        <v>841</v>
      </c>
    </row>
    <row r="1303" spans="25:26" x14ac:dyDescent="0.2">
      <c r="Y1303" s="1" t="s">
        <v>2144</v>
      </c>
      <c r="Z1303" s="1" t="s">
        <v>853</v>
      </c>
    </row>
    <row r="1304" spans="25:26" x14ac:dyDescent="0.2">
      <c r="Y1304" s="1" t="s">
        <v>2145</v>
      </c>
      <c r="Z1304" s="1" t="s">
        <v>839</v>
      </c>
    </row>
    <row r="1305" spans="25:26" x14ac:dyDescent="0.2">
      <c r="Y1305" s="1" t="s">
        <v>2146</v>
      </c>
      <c r="Z1305" s="1" t="s">
        <v>841</v>
      </c>
    </row>
    <row r="1306" spans="25:26" x14ac:dyDescent="0.2">
      <c r="Y1306" s="1" t="s">
        <v>2147</v>
      </c>
      <c r="Z1306" s="1" t="s">
        <v>841</v>
      </c>
    </row>
    <row r="1307" spans="25:26" x14ac:dyDescent="0.2">
      <c r="Y1307" s="1" t="s">
        <v>2148</v>
      </c>
      <c r="Z1307" s="1" t="s">
        <v>836</v>
      </c>
    </row>
    <row r="1308" spans="25:26" x14ac:dyDescent="0.2">
      <c r="Y1308" s="1" t="s">
        <v>2149</v>
      </c>
      <c r="Z1308" s="1" t="s">
        <v>965</v>
      </c>
    </row>
    <row r="1309" spans="25:26" x14ac:dyDescent="0.2">
      <c r="Y1309" s="1" t="s">
        <v>2150</v>
      </c>
      <c r="Z1309" s="1" t="s">
        <v>836</v>
      </c>
    </row>
    <row r="1310" spans="25:26" x14ac:dyDescent="0.2">
      <c r="Y1310" s="1" t="s">
        <v>2151</v>
      </c>
      <c r="Z1310" s="1" t="s">
        <v>851</v>
      </c>
    </row>
    <row r="1311" spans="25:26" x14ac:dyDescent="0.2">
      <c r="Y1311" s="1" t="s">
        <v>2152</v>
      </c>
      <c r="Z1311" s="1" t="s">
        <v>997</v>
      </c>
    </row>
    <row r="1312" spans="25:26" x14ac:dyDescent="0.2">
      <c r="Y1312" s="1" t="s">
        <v>2153</v>
      </c>
      <c r="Z1312" s="1" t="s">
        <v>836</v>
      </c>
    </row>
    <row r="1313" spans="25:26" x14ac:dyDescent="0.2">
      <c r="Y1313" s="1" t="s">
        <v>2154</v>
      </c>
      <c r="Z1313" s="1" t="s">
        <v>853</v>
      </c>
    </row>
    <row r="1314" spans="25:26" x14ac:dyDescent="0.2">
      <c r="Y1314" s="1" t="s">
        <v>2155</v>
      </c>
      <c r="Z1314" s="1" t="s">
        <v>843</v>
      </c>
    </row>
    <row r="1315" spans="25:26" x14ac:dyDescent="0.2">
      <c r="Y1315" s="1" t="s">
        <v>2156</v>
      </c>
      <c r="Z1315" s="1" t="s">
        <v>836</v>
      </c>
    </row>
    <row r="1316" spans="25:26" x14ac:dyDescent="0.2">
      <c r="Y1316" s="1" t="s">
        <v>2157</v>
      </c>
      <c r="Z1316" s="1" t="s">
        <v>851</v>
      </c>
    </row>
    <row r="1317" spans="25:26" x14ac:dyDescent="0.2">
      <c r="Y1317" s="1" t="s">
        <v>2158</v>
      </c>
      <c r="Z1317" s="1" t="s">
        <v>836</v>
      </c>
    </row>
    <row r="1318" spans="25:26" x14ac:dyDescent="0.2">
      <c r="Y1318" s="1" t="s">
        <v>2159</v>
      </c>
      <c r="Z1318" s="1" t="s">
        <v>836</v>
      </c>
    </row>
    <row r="1319" spans="25:26" x14ac:dyDescent="0.2">
      <c r="Y1319" s="1" t="s">
        <v>2160</v>
      </c>
      <c r="Z1319" s="1" t="s">
        <v>845</v>
      </c>
    </row>
    <row r="1320" spans="25:26" x14ac:dyDescent="0.2">
      <c r="Y1320" s="1" t="s">
        <v>2161</v>
      </c>
      <c r="Z1320" s="1" t="s">
        <v>845</v>
      </c>
    </row>
    <row r="1321" spans="25:26" x14ac:dyDescent="0.2">
      <c r="Y1321" s="1" t="s">
        <v>2162</v>
      </c>
      <c r="Z1321" s="1" t="s">
        <v>836</v>
      </c>
    </row>
    <row r="1322" spans="25:26" x14ac:dyDescent="0.2">
      <c r="Y1322" s="1" t="s">
        <v>2163</v>
      </c>
      <c r="Z1322" s="1" t="s">
        <v>836</v>
      </c>
    </row>
    <row r="1323" spans="25:26" x14ac:dyDescent="0.2">
      <c r="Y1323" s="1" t="s">
        <v>2164</v>
      </c>
      <c r="Z1323" s="1" t="s">
        <v>843</v>
      </c>
    </row>
    <row r="1324" spans="25:26" x14ac:dyDescent="0.2">
      <c r="Y1324" s="1" t="s">
        <v>2165</v>
      </c>
      <c r="Z1324" s="1" t="s">
        <v>836</v>
      </c>
    </row>
    <row r="1325" spans="25:26" x14ac:dyDescent="0.2">
      <c r="Y1325" s="1" t="s">
        <v>2166</v>
      </c>
      <c r="Z1325" s="1" t="s">
        <v>843</v>
      </c>
    </row>
    <row r="1326" spans="25:26" x14ac:dyDescent="0.2">
      <c r="Y1326" s="1" t="s">
        <v>2167</v>
      </c>
      <c r="Z1326" s="1" t="s">
        <v>845</v>
      </c>
    </row>
    <row r="1327" spans="25:26" x14ac:dyDescent="0.2">
      <c r="Y1327" s="1" t="s">
        <v>2168</v>
      </c>
      <c r="Z1327" s="1" t="s">
        <v>836</v>
      </c>
    </row>
    <row r="1328" spans="25:26" x14ac:dyDescent="0.2">
      <c r="Y1328" s="1" t="s">
        <v>2169</v>
      </c>
      <c r="Z1328" s="1" t="s">
        <v>836</v>
      </c>
    </row>
    <row r="1329" spans="25:26" x14ac:dyDescent="0.2">
      <c r="Y1329" s="1" t="s">
        <v>2170</v>
      </c>
      <c r="Z1329" s="1" t="s">
        <v>839</v>
      </c>
    </row>
    <row r="1330" spans="25:26" x14ac:dyDescent="0.2">
      <c r="Y1330" s="1" t="s">
        <v>2171</v>
      </c>
      <c r="Z1330" s="1" t="s">
        <v>841</v>
      </c>
    </row>
    <row r="1331" spans="25:26" x14ac:dyDescent="0.2">
      <c r="Y1331" s="1" t="s">
        <v>2172</v>
      </c>
      <c r="Z1331" s="1" t="s">
        <v>851</v>
      </c>
    </row>
    <row r="1332" spans="25:26" x14ac:dyDescent="0.2">
      <c r="Y1332" s="1" t="s">
        <v>2173</v>
      </c>
      <c r="Z1332" s="1" t="s">
        <v>841</v>
      </c>
    </row>
    <row r="1333" spans="25:26" x14ac:dyDescent="0.2">
      <c r="Y1333" s="1" t="s">
        <v>2174</v>
      </c>
      <c r="Z1333" s="1" t="s">
        <v>836</v>
      </c>
    </row>
    <row r="1334" spans="25:26" x14ac:dyDescent="0.2">
      <c r="Y1334" s="1" t="s">
        <v>2175</v>
      </c>
      <c r="Z1334" s="1" t="s">
        <v>836</v>
      </c>
    </row>
    <row r="1335" spans="25:26" x14ac:dyDescent="0.2">
      <c r="Y1335" s="1" t="s">
        <v>2176</v>
      </c>
      <c r="Z1335" s="1" t="s">
        <v>836</v>
      </c>
    </row>
    <row r="1336" spans="25:26" x14ac:dyDescent="0.2">
      <c r="Y1336" s="1" t="s">
        <v>2177</v>
      </c>
      <c r="Z1336" s="1" t="s">
        <v>836</v>
      </c>
    </row>
    <row r="1337" spans="25:26" x14ac:dyDescent="0.2">
      <c r="Y1337" s="1" t="s">
        <v>2178</v>
      </c>
      <c r="Z1337" s="1" t="s">
        <v>836</v>
      </c>
    </row>
    <row r="1338" spans="25:26" x14ac:dyDescent="0.2">
      <c r="Y1338" s="1" t="s">
        <v>2179</v>
      </c>
      <c r="Z1338" s="1" t="s">
        <v>836</v>
      </c>
    </row>
    <row r="1339" spans="25:26" x14ac:dyDescent="0.2">
      <c r="Y1339" s="1" t="s">
        <v>2180</v>
      </c>
      <c r="Z1339" s="1" t="s">
        <v>843</v>
      </c>
    </row>
    <row r="1340" spans="25:26" x14ac:dyDescent="0.2">
      <c r="Y1340" s="1" t="s">
        <v>2181</v>
      </c>
      <c r="Z1340" s="1" t="s">
        <v>836</v>
      </c>
    </row>
    <row r="1341" spans="25:26" x14ac:dyDescent="0.2">
      <c r="Y1341" s="1" t="s">
        <v>2182</v>
      </c>
      <c r="Z1341" s="1" t="s">
        <v>851</v>
      </c>
    </row>
    <row r="1342" spans="25:26" x14ac:dyDescent="0.2">
      <c r="Y1342" s="1" t="s">
        <v>2183</v>
      </c>
      <c r="Z1342" s="1" t="s">
        <v>843</v>
      </c>
    </row>
    <row r="1343" spans="25:26" x14ac:dyDescent="0.2">
      <c r="Y1343" s="1" t="s">
        <v>2184</v>
      </c>
      <c r="Z1343" s="1" t="s">
        <v>839</v>
      </c>
    </row>
    <row r="1344" spans="25:26" x14ac:dyDescent="0.2">
      <c r="Y1344" s="1" t="s">
        <v>2185</v>
      </c>
      <c r="Z1344" s="1" t="s">
        <v>845</v>
      </c>
    </row>
    <row r="1345" spans="25:26" x14ac:dyDescent="0.2">
      <c r="Y1345" s="1" t="s">
        <v>2186</v>
      </c>
      <c r="Z1345" s="1" t="s">
        <v>843</v>
      </c>
    </row>
    <row r="1346" spans="25:26" x14ac:dyDescent="0.2">
      <c r="Y1346" s="1" t="s">
        <v>2187</v>
      </c>
      <c r="Z1346" s="1" t="s">
        <v>843</v>
      </c>
    </row>
    <row r="1347" spans="25:26" x14ac:dyDescent="0.2">
      <c r="Y1347" s="1" t="s">
        <v>2188</v>
      </c>
      <c r="Z1347" s="1" t="s">
        <v>843</v>
      </c>
    </row>
    <row r="1348" spans="25:26" x14ac:dyDescent="0.2">
      <c r="Y1348" s="1" t="s">
        <v>2189</v>
      </c>
      <c r="Z1348" s="1" t="s">
        <v>843</v>
      </c>
    </row>
    <row r="1349" spans="25:26" x14ac:dyDescent="0.2">
      <c r="Y1349" s="1" t="s">
        <v>2190</v>
      </c>
      <c r="Z1349" s="1" t="s">
        <v>845</v>
      </c>
    </row>
    <row r="1350" spans="25:26" x14ac:dyDescent="0.2">
      <c r="Y1350" s="1" t="s">
        <v>2191</v>
      </c>
      <c r="Z1350" s="1" t="s">
        <v>836</v>
      </c>
    </row>
    <row r="1351" spans="25:26" x14ac:dyDescent="0.2">
      <c r="Y1351" s="1" t="s">
        <v>2192</v>
      </c>
      <c r="Z1351" s="1" t="s">
        <v>841</v>
      </c>
    </row>
    <row r="1352" spans="25:26" x14ac:dyDescent="0.2">
      <c r="Y1352" s="1" t="s">
        <v>2193</v>
      </c>
      <c r="Z1352" s="1" t="s">
        <v>836</v>
      </c>
    </row>
    <row r="1353" spans="25:26" x14ac:dyDescent="0.2">
      <c r="Y1353" s="1" t="s">
        <v>2194</v>
      </c>
      <c r="Z1353" s="1" t="s">
        <v>851</v>
      </c>
    </row>
    <row r="1354" spans="25:26" x14ac:dyDescent="0.2">
      <c r="Y1354" s="1" t="s">
        <v>2195</v>
      </c>
      <c r="Z1354" s="1" t="s">
        <v>845</v>
      </c>
    </row>
    <row r="1355" spans="25:26" x14ac:dyDescent="0.2">
      <c r="Y1355" s="1" t="s">
        <v>2196</v>
      </c>
      <c r="Z1355" s="1" t="s">
        <v>845</v>
      </c>
    </row>
    <row r="1356" spans="25:26" x14ac:dyDescent="0.2">
      <c r="Y1356" s="1" t="s">
        <v>2197</v>
      </c>
      <c r="Z1356" s="1" t="s">
        <v>836</v>
      </c>
    </row>
    <row r="1357" spans="25:26" x14ac:dyDescent="0.2">
      <c r="Y1357" s="1" t="s">
        <v>2198</v>
      </c>
      <c r="Z1357" s="1" t="s">
        <v>836</v>
      </c>
    </row>
    <row r="1358" spans="25:26" x14ac:dyDescent="0.2">
      <c r="Y1358" s="1" t="s">
        <v>2199</v>
      </c>
      <c r="Z1358" s="1" t="s">
        <v>851</v>
      </c>
    </row>
    <row r="1359" spans="25:26" x14ac:dyDescent="0.2">
      <c r="Y1359" s="1" t="s">
        <v>2200</v>
      </c>
      <c r="Z1359" s="1" t="s">
        <v>851</v>
      </c>
    </row>
    <row r="1360" spans="25:26" x14ac:dyDescent="0.2">
      <c r="Y1360" s="1" t="s">
        <v>2201</v>
      </c>
      <c r="Z1360" s="1" t="s">
        <v>836</v>
      </c>
    </row>
    <row r="1361" spans="25:26" x14ac:dyDescent="0.2">
      <c r="Y1361" s="1" t="s">
        <v>2202</v>
      </c>
      <c r="Z1361" s="1" t="s">
        <v>836</v>
      </c>
    </row>
    <row r="1362" spans="25:26" x14ac:dyDescent="0.2">
      <c r="Y1362" s="1" t="s">
        <v>2203</v>
      </c>
      <c r="Z1362" s="1" t="s">
        <v>851</v>
      </c>
    </row>
    <row r="1363" spans="25:26" x14ac:dyDescent="0.2">
      <c r="Y1363" s="1" t="s">
        <v>2204</v>
      </c>
      <c r="Z1363" s="1" t="s">
        <v>965</v>
      </c>
    </row>
    <row r="1364" spans="25:26" x14ac:dyDescent="0.2">
      <c r="Y1364" s="1" t="s">
        <v>2205</v>
      </c>
      <c r="Z1364" s="1" t="s">
        <v>841</v>
      </c>
    </row>
    <row r="1365" spans="25:26" x14ac:dyDescent="0.2">
      <c r="Y1365" s="1" t="s">
        <v>2206</v>
      </c>
      <c r="Z1365" s="1" t="s">
        <v>853</v>
      </c>
    </row>
    <row r="1366" spans="25:26" x14ac:dyDescent="0.2">
      <c r="Y1366" s="1" t="s">
        <v>2207</v>
      </c>
      <c r="Z1366" s="1" t="s">
        <v>839</v>
      </c>
    </row>
    <row r="1367" spans="25:26" x14ac:dyDescent="0.2">
      <c r="Y1367" s="1" t="s">
        <v>2208</v>
      </c>
      <c r="Z1367" s="1" t="s">
        <v>839</v>
      </c>
    </row>
    <row r="1368" spans="25:26" x14ac:dyDescent="0.2">
      <c r="Y1368" s="1" t="s">
        <v>2209</v>
      </c>
      <c r="Z1368" s="1" t="s">
        <v>839</v>
      </c>
    </row>
    <row r="1369" spans="25:26" x14ac:dyDescent="0.2">
      <c r="Y1369" s="1" t="s">
        <v>2210</v>
      </c>
      <c r="Z1369" s="1" t="s">
        <v>851</v>
      </c>
    </row>
    <row r="1370" spans="25:26" x14ac:dyDescent="0.2">
      <c r="Y1370" s="1" t="s">
        <v>2211</v>
      </c>
      <c r="Z1370" s="1" t="s">
        <v>843</v>
      </c>
    </row>
    <row r="1371" spans="25:26" x14ac:dyDescent="0.2">
      <c r="Y1371" s="1" t="s">
        <v>2212</v>
      </c>
      <c r="Z1371" s="1" t="s">
        <v>841</v>
      </c>
    </row>
    <row r="1372" spans="25:26" x14ac:dyDescent="0.2">
      <c r="Y1372" s="1" t="s">
        <v>2213</v>
      </c>
      <c r="Z1372" s="1" t="s">
        <v>841</v>
      </c>
    </row>
    <row r="1373" spans="25:26" x14ac:dyDescent="0.2">
      <c r="Y1373" s="1" t="s">
        <v>2214</v>
      </c>
      <c r="Z1373" s="1" t="s">
        <v>836</v>
      </c>
    </row>
    <row r="1374" spans="25:26" x14ac:dyDescent="0.2">
      <c r="Y1374" s="1" t="s">
        <v>2215</v>
      </c>
      <c r="Z1374" s="1" t="s">
        <v>836</v>
      </c>
    </row>
    <row r="1375" spans="25:26" x14ac:dyDescent="0.2">
      <c r="Y1375" s="1" t="s">
        <v>2216</v>
      </c>
      <c r="Z1375" s="1" t="s">
        <v>836</v>
      </c>
    </row>
    <row r="1376" spans="25:26" x14ac:dyDescent="0.2">
      <c r="Y1376" s="1" t="s">
        <v>2217</v>
      </c>
      <c r="Z1376" s="1" t="s">
        <v>851</v>
      </c>
    </row>
    <row r="1377" spans="25:26" x14ac:dyDescent="0.2">
      <c r="Y1377" s="1" t="s">
        <v>2218</v>
      </c>
      <c r="Z1377" s="1" t="s">
        <v>851</v>
      </c>
    </row>
    <row r="1378" spans="25:26" x14ac:dyDescent="0.2">
      <c r="Y1378" s="1" t="s">
        <v>2219</v>
      </c>
      <c r="Z1378" s="1" t="s">
        <v>836</v>
      </c>
    </row>
    <row r="1379" spans="25:26" x14ac:dyDescent="0.2">
      <c r="Y1379" s="1" t="s">
        <v>2220</v>
      </c>
      <c r="Z1379" s="1" t="s">
        <v>836</v>
      </c>
    </row>
    <row r="1380" spans="25:26" x14ac:dyDescent="0.2">
      <c r="Y1380" s="1" t="s">
        <v>2221</v>
      </c>
      <c r="Z1380" s="1" t="s">
        <v>836</v>
      </c>
    </row>
    <row r="1381" spans="25:26" x14ac:dyDescent="0.2">
      <c r="Y1381" s="1" t="s">
        <v>2222</v>
      </c>
      <c r="Z1381" s="1" t="s">
        <v>836</v>
      </c>
    </row>
    <row r="1382" spans="25:26" x14ac:dyDescent="0.2">
      <c r="Y1382" s="1" t="s">
        <v>2223</v>
      </c>
      <c r="Z1382" s="1" t="s">
        <v>845</v>
      </c>
    </row>
    <row r="1383" spans="25:26" x14ac:dyDescent="0.2">
      <c r="Y1383" s="1" t="s">
        <v>2224</v>
      </c>
      <c r="Z1383" s="1" t="s">
        <v>841</v>
      </c>
    </row>
    <row r="1384" spans="25:26" x14ac:dyDescent="0.2">
      <c r="Y1384" s="1" t="s">
        <v>2225</v>
      </c>
      <c r="Z1384" s="1" t="s">
        <v>836</v>
      </c>
    </row>
    <row r="1385" spans="25:26" x14ac:dyDescent="0.2">
      <c r="Y1385" s="1" t="s">
        <v>2226</v>
      </c>
      <c r="Z1385" s="1" t="s">
        <v>836</v>
      </c>
    </row>
    <row r="1386" spans="25:26" x14ac:dyDescent="0.2">
      <c r="Y1386" s="1" t="s">
        <v>2227</v>
      </c>
      <c r="Z1386" s="1" t="s">
        <v>845</v>
      </c>
    </row>
    <row r="1387" spans="25:26" x14ac:dyDescent="0.2">
      <c r="Y1387" s="1" t="s">
        <v>2228</v>
      </c>
      <c r="Z1387" s="1" t="s">
        <v>841</v>
      </c>
    </row>
    <row r="1388" spans="25:26" x14ac:dyDescent="0.2">
      <c r="Y1388" s="1" t="s">
        <v>2229</v>
      </c>
      <c r="Z1388" s="1" t="s">
        <v>836</v>
      </c>
    </row>
    <row r="1389" spans="25:26" x14ac:dyDescent="0.2">
      <c r="Y1389" s="1" t="s">
        <v>2230</v>
      </c>
      <c r="Z1389" s="1" t="s">
        <v>845</v>
      </c>
    </row>
    <row r="1390" spans="25:26" x14ac:dyDescent="0.2">
      <c r="Y1390" s="1" t="s">
        <v>2231</v>
      </c>
      <c r="Z1390" s="1" t="s">
        <v>845</v>
      </c>
    </row>
    <row r="1391" spans="25:26" x14ac:dyDescent="0.2">
      <c r="Y1391" s="1" t="s">
        <v>2232</v>
      </c>
      <c r="Z1391" s="1" t="s">
        <v>845</v>
      </c>
    </row>
    <row r="1392" spans="25:26" x14ac:dyDescent="0.2">
      <c r="Y1392" s="1" t="s">
        <v>2233</v>
      </c>
      <c r="Z1392" s="1" t="s">
        <v>841</v>
      </c>
    </row>
    <row r="1393" spans="25:26" x14ac:dyDescent="0.2">
      <c r="Y1393" s="1" t="s">
        <v>2234</v>
      </c>
      <c r="Z1393" s="1" t="s">
        <v>845</v>
      </c>
    </row>
    <row r="1394" spans="25:26" x14ac:dyDescent="0.2">
      <c r="Y1394" s="1" t="s">
        <v>2235</v>
      </c>
      <c r="Z1394" s="1" t="s">
        <v>836</v>
      </c>
    </row>
    <row r="1395" spans="25:26" x14ac:dyDescent="0.2">
      <c r="Y1395" s="1" t="s">
        <v>2236</v>
      </c>
      <c r="Z1395" s="1" t="s">
        <v>836</v>
      </c>
    </row>
    <row r="1396" spans="25:26" x14ac:dyDescent="0.2">
      <c r="Y1396" s="1" t="s">
        <v>2237</v>
      </c>
      <c r="Z1396" s="1" t="s">
        <v>853</v>
      </c>
    </row>
    <row r="1397" spans="25:26" x14ac:dyDescent="0.2">
      <c r="Y1397" s="1" t="s">
        <v>2238</v>
      </c>
      <c r="Z1397" s="1" t="s">
        <v>843</v>
      </c>
    </row>
    <row r="1398" spans="25:26" x14ac:dyDescent="0.2">
      <c r="Y1398" s="1" t="s">
        <v>2239</v>
      </c>
      <c r="Z1398" s="1" t="s">
        <v>845</v>
      </c>
    </row>
    <row r="1399" spans="25:26" x14ac:dyDescent="0.2">
      <c r="Y1399" s="1" t="s">
        <v>2240</v>
      </c>
      <c r="Z1399" s="1" t="s">
        <v>843</v>
      </c>
    </row>
    <row r="1400" spans="25:26" x14ac:dyDescent="0.2">
      <c r="Y1400" s="1" t="s">
        <v>2241</v>
      </c>
      <c r="Z1400" s="1" t="s">
        <v>836</v>
      </c>
    </row>
    <row r="1401" spans="25:26" x14ac:dyDescent="0.2">
      <c r="Y1401" s="1" t="s">
        <v>2242</v>
      </c>
      <c r="Z1401" s="1" t="s">
        <v>843</v>
      </c>
    </row>
    <row r="1402" spans="25:26" x14ac:dyDescent="0.2">
      <c r="Y1402" s="1" t="s">
        <v>2243</v>
      </c>
      <c r="Z1402" s="1" t="s">
        <v>845</v>
      </c>
    </row>
    <row r="1403" spans="25:26" x14ac:dyDescent="0.2">
      <c r="Y1403" s="1" t="s">
        <v>2244</v>
      </c>
      <c r="Z1403" s="1" t="s">
        <v>836</v>
      </c>
    </row>
    <row r="1404" spans="25:26" x14ac:dyDescent="0.2">
      <c r="Y1404" s="1" t="s">
        <v>2245</v>
      </c>
      <c r="Z1404" s="1" t="s">
        <v>841</v>
      </c>
    </row>
    <row r="1405" spans="25:26" x14ac:dyDescent="0.2">
      <c r="Y1405" s="1" t="s">
        <v>2246</v>
      </c>
      <c r="Z1405" s="1" t="s">
        <v>845</v>
      </c>
    </row>
    <row r="1406" spans="25:26" x14ac:dyDescent="0.2">
      <c r="Y1406" s="1" t="s">
        <v>2247</v>
      </c>
      <c r="Z1406" s="1" t="s">
        <v>841</v>
      </c>
    </row>
    <row r="1407" spans="25:26" x14ac:dyDescent="0.2">
      <c r="Y1407" s="1" t="s">
        <v>2248</v>
      </c>
      <c r="Z1407" s="1" t="s">
        <v>839</v>
      </c>
    </row>
    <row r="1408" spans="25:26" x14ac:dyDescent="0.2">
      <c r="Y1408" s="1" t="s">
        <v>2249</v>
      </c>
      <c r="Z1408" s="1" t="s">
        <v>841</v>
      </c>
    </row>
    <row r="1409" spans="25:26" x14ac:dyDescent="0.2">
      <c r="Y1409" s="1" t="s">
        <v>2250</v>
      </c>
      <c r="Z1409" s="1" t="s">
        <v>839</v>
      </c>
    </row>
    <row r="1410" spans="25:26" x14ac:dyDescent="0.2">
      <c r="Y1410" s="1" t="s">
        <v>2251</v>
      </c>
      <c r="Z1410" s="1" t="s">
        <v>836</v>
      </c>
    </row>
    <row r="1411" spans="25:26" x14ac:dyDescent="0.2">
      <c r="Y1411" s="1" t="s">
        <v>2252</v>
      </c>
      <c r="Z1411" s="1" t="s">
        <v>843</v>
      </c>
    </row>
    <row r="1412" spans="25:26" x14ac:dyDescent="0.2">
      <c r="Y1412" s="1" t="s">
        <v>2253</v>
      </c>
      <c r="Z1412" s="1" t="s">
        <v>843</v>
      </c>
    </row>
    <row r="1413" spans="25:26" x14ac:dyDescent="0.2">
      <c r="Y1413" s="1" t="s">
        <v>2254</v>
      </c>
      <c r="Z1413" s="1" t="s">
        <v>851</v>
      </c>
    </row>
    <row r="1414" spans="25:26" x14ac:dyDescent="0.2">
      <c r="Y1414" s="1" t="s">
        <v>2255</v>
      </c>
      <c r="Z1414" s="1" t="s">
        <v>836</v>
      </c>
    </row>
    <row r="1415" spans="25:26" x14ac:dyDescent="0.2">
      <c r="Y1415" s="1" t="s">
        <v>2256</v>
      </c>
      <c r="Z1415" s="1" t="s">
        <v>836</v>
      </c>
    </row>
    <row r="1416" spans="25:26" x14ac:dyDescent="0.2">
      <c r="Y1416" s="1" t="s">
        <v>2257</v>
      </c>
      <c r="Z1416" s="1" t="s">
        <v>836</v>
      </c>
    </row>
    <row r="1417" spans="25:26" x14ac:dyDescent="0.2">
      <c r="Y1417" s="1" t="s">
        <v>2258</v>
      </c>
      <c r="Z1417" s="1" t="s">
        <v>836</v>
      </c>
    </row>
    <row r="1418" spans="25:26" x14ac:dyDescent="0.2">
      <c r="Y1418" s="1" t="s">
        <v>2259</v>
      </c>
      <c r="Z1418" s="1" t="s">
        <v>841</v>
      </c>
    </row>
    <row r="1419" spans="25:26" x14ac:dyDescent="0.2">
      <c r="Y1419" s="1" t="s">
        <v>2260</v>
      </c>
      <c r="Z1419" s="1" t="s">
        <v>841</v>
      </c>
    </row>
    <row r="1420" spans="25:26" x14ac:dyDescent="0.2">
      <c r="Y1420" s="1" t="s">
        <v>2261</v>
      </c>
      <c r="Z1420" s="1" t="s">
        <v>836</v>
      </c>
    </row>
    <row r="1421" spans="25:26" x14ac:dyDescent="0.2">
      <c r="Y1421" s="1" t="s">
        <v>2262</v>
      </c>
      <c r="Z1421" s="1" t="s">
        <v>965</v>
      </c>
    </row>
    <row r="1422" spans="25:26" x14ac:dyDescent="0.2">
      <c r="Y1422" s="1" t="s">
        <v>2263</v>
      </c>
      <c r="Z1422" s="1" t="s">
        <v>843</v>
      </c>
    </row>
    <row r="1423" spans="25:26" x14ac:dyDescent="0.2">
      <c r="Y1423" s="1" t="s">
        <v>2264</v>
      </c>
      <c r="Z1423" s="1" t="s">
        <v>836</v>
      </c>
    </row>
    <row r="1424" spans="25:26" x14ac:dyDescent="0.2">
      <c r="Y1424" s="1" t="s">
        <v>2265</v>
      </c>
      <c r="Z1424" s="1" t="s">
        <v>836</v>
      </c>
    </row>
    <row r="1425" spans="25:26" x14ac:dyDescent="0.2">
      <c r="Y1425" s="1" t="s">
        <v>2266</v>
      </c>
      <c r="Z1425" s="1" t="s">
        <v>841</v>
      </c>
    </row>
    <row r="1426" spans="25:26" x14ac:dyDescent="0.2">
      <c r="Y1426" s="1" t="s">
        <v>2267</v>
      </c>
      <c r="Z1426" s="1" t="s">
        <v>836</v>
      </c>
    </row>
    <row r="1427" spans="25:26" x14ac:dyDescent="0.2">
      <c r="Y1427" s="1" t="s">
        <v>2268</v>
      </c>
      <c r="Z1427" s="1" t="s">
        <v>836</v>
      </c>
    </row>
    <row r="1428" spans="25:26" x14ac:dyDescent="0.2">
      <c r="Y1428" s="1" t="s">
        <v>2269</v>
      </c>
      <c r="Z1428" s="1" t="s">
        <v>836</v>
      </c>
    </row>
    <row r="1429" spans="25:26" x14ac:dyDescent="0.2">
      <c r="Y1429" s="1" t="s">
        <v>2270</v>
      </c>
      <c r="Z1429" s="1" t="s">
        <v>845</v>
      </c>
    </row>
    <row r="1430" spans="25:26" x14ac:dyDescent="0.2">
      <c r="Y1430" s="1" t="s">
        <v>2271</v>
      </c>
      <c r="Z1430" s="1" t="s">
        <v>836</v>
      </c>
    </row>
    <row r="1431" spans="25:26" x14ac:dyDescent="0.2">
      <c r="Y1431" s="1" t="s">
        <v>2272</v>
      </c>
      <c r="Z1431" s="1" t="s">
        <v>839</v>
      </c>
    </row>
    <row r="1432" spans="25:26" x14ac:dyDescent="0.2">
      <c r="Y1432" s="1" t="s">
        <v>2273</v>
      </c>
      <c r="Z1432" s="1" t="s">
        <v>836</v>
      </c>
    </row>
    <row r="1433" spans="25:26" x14ac:dyDescent="0.2">
      <c r="Y1433" s="1" t="s">
        <v>2274</v>
      </c>
      <c r="Z1433" s="1" t="s">
        <v>836</v>
      </c>
    </row>
    <row r="1434" spans="25:26" x14ac:dyDescent="0.2">
      <c r="Y1434" s="1" t="s">
        <v>2275</v>
      </c>
      <c r="Z1434" s="1" t="s">
        <v>841</v>
      </c>
    </row>
    <row r="1435" spans="25:26" x14ac:dyDescent="0.2">
      <c r="Y1435" s="1" t="s">
        <v>2276</v>
      </c>
      <c r="Z1435" s="1" t="s">
        <v>839</v>
      </c>
    </row>
    <row r="1436" spans="25:26" x14ac:dyDescent="0.2">
      <c r="Y1436" s="1" t="s">
        <v>2277</v>
      </c>
      <c r="Z1436" s="1" t="s">
        <v>841</v>
      </c>
    </row>
    <row r="1437" spans="25:26" x14ac:dyDescent="0.2">
      <c r="Y1437" s="1" t="s">
        <v>2278</v>
      </c>
      <c r="Z1437" s="1" t="s">
        <v>836</v>
      </c>
    </row>
    <row r="1438" spans="25:26" x14ac:dyDescent="0.2">
      <c r="Y1438" s="1" t="s">
        <v>2279</v>
      </c>
      <c r="Z1438" s="1" t="s">
        <v>836</v>
      </c>
    </row>
    <row r="1439" spans="25:26" x14ac:dyDescent="0.2">
      <c r="Y1439" s="1" t="s">
        <v>2280</v>
      </c>
      <c r="Z1439" s="1" t="s">
        <v>836</v>
      </c>
    </row>
    <row r="1440" spans="25:26" x14ac:dyDescent="0.2">
      <c r="Y1440" s="1" t="s">
        <v>2281</v>
      </c>
      <c r="Z1440" s="1" t="s">
        <v>836</v>
      </c>
    </row>
    <row r="1441" spans="25:26" x14ac:dyDescent="0.2">
      <c r="Y1441" s="1" t="s">
        <v>2282</v>
      </c>
      <c r="Z1441" s="1" t="s">
        <v>836</v>
      </c>
    </row>
    <row r="1442" spans="25:26" x14ac:dyDescent="0.2">
      <c r="Y1442" s="1" t="s">
        <v>2283</v>
      </c>
      <c r="Z1442" s="1" t="s">
        <v>836</v>
      </c>
    </row>
    <row r="1443" spans="25:26" x14ac:dyDescent="0.2">
      <c r="Y1443" s="1" t="s">
        <v>2284</v>
      </c>
      <c r="Z1443" s="1" t="s">
        <v>836</v>
      </c>
    </row>
    <row r="1444" spans="25:26" x14ac:dyDescent="0.2">
      <c r="Y1444" s="1" t="s">
        <v>2285</v>
      </c>
      <c r="Z1444" s="1" t="s">
        <v>836</v>
      </c>
    </row>
    <row r="1445" spans="25:26" x14ac:dyDescent="0.2">
      <c r="Y1445" s="1" t="s">
        <v>2286</v>
      </c>
      <c r="Z1445" s="1" t="s">
        <v>836</v>
      </c>
    </row>
    <row r="1446" spans="25:26" x14ac:dyDescent="0.2">
      <c r="Y1446" s="1" t="s">
        <v>2287</v>
      </c>
      <c r="Z1446" s="1" t="s">
        <v>839</v>
      </c>
    </row>
    <row r="1447" spans="25:26" x14ac:dyDescent="0.2">
      <c r="Y1447" s="1" t="s">
        <v>2288</v>
      </c>
      <c r="Z1447" s="1" t="s">
        <v>836</v>
      </c>
    </row>
    <row r="1448" spans="25:26" x14ac:dyDescent="0.2">
      <c r="Y1448" s="1" t="s">
        <v>2289</v>
      </c>
      <c r="Z1448" s="1" t="s">
        <v>845</v>
      </c>
    </row>
    <row r="1449" spans="25:26" x14ac:dyDescent="0.2">
      <c r="Y1449" s="1" t="s">
        <v>2290</v>
      </c>
      <c r="Z1449" s="1" t="s">
        <v>836</v>
      </c>
    </row>
    <row r="1450" spans="25:26" x14ac:dyDescent="0.2">
      <c r="Y1450" s="1" t="s">
        <v>2291</v>
      </c>
      <c r="Z1450" s="1" t="s">
        <v>836</v>
      </c>
    </row>
    <row r="1451" spans="25:26" x14ac:dyDescent="0.2">
      <c r="Y1451" s="1" t="s">
        <v>2292</v>
      </c>
      <c r="Z1451" s="1" t="s">
        <v>836</v>
      </c>
    </row>
    <row r="1452" spans="25:26" x14ac:dyDescent="0.2">
      <c r="Y1452" s="1" t="s">
        <v>2293</v>
      </c>
      <c r="Z1452" s="1" t="s">
        <v>836</v>
      </c>
    </row>
    <row r="1453" spans="25:26" x14ac:dyDescent="0.2">
      <c r="Y1453" s="1" t="s">
        <v>2294</v>
      </c>
      <c r="Z1453" s="1" t="s">
        <v>965</v>
      </c>
    </row>
    <row r="1454" spans="25:26" x14ac:dyDescent="0.2">
      <c r="Y1454" s="1" t="s">
        <v>2295</v>
      </c>
      <c r="Z1454" s="1" t="s">
        <v>841</v>
      </c>
    </row>
    <row r="1455" spans="25:26" x14ac:dyDescent="0.2">
      <c r="Y1455" s="1" t="s">
        <v>2296</v>
      </c>
      <c r="Z1455" s="1" t="s">
        <v>836</v>
      </c>
    </row>
    <row r="1456" spans="25:26" x14ac:dyDescent="0.2">
      <c r="Y1456" s="1" t="s">
        <v>2297</v>
      </c>
      <c r="Z1456" s="1" t="s">
        <v>836</v>
      </c>
    </row>
    <row r="1457" spans="25:26" x14ac:dyDescent="0.2">
      <c r="Y1457" s="1" t="s">
        <v>2298</v>
      </c>
      <c r="Z1457" s="1" t="s">
        <v>836</v>
      </c>
    </row>
    <row r="1458" spans="25:26" x14ac:dyDescent="0.2">
      <c r="Y1458" s="1" t="s">
        <v>2299</v>
      </c>
      <c r="Z1458" s="1" t="s">
        <v>836</v>
      </c>
    </row>
    <row r="1459" spans="25:26" x14ac:dyDescent="0.2">
      <c r="Y1459" s="1" t="s">
        <v>2300</v>
      </c>
      <c r="Z1459" s="1" t="s">
        <v>836</v>
      </c>
    </row>
    <row r="1460" spans="25:26" x14ac:dyDescent="0.2">
      <c r="Y1460" s="1" t="s">
        <v>2301</v>
      </c>
      <c r="Z1460" s="1" t="s">
        <v>836</v>
      </c>
    </row>
    <row r="1461" spans="25:26" x14ac:dyDescent="0.2">
      <c r="Y1461" s="1" t="s">
        <v>2302</v>
      </c>
      <c r="Z1461" s="1" t="s">
        <v>845</v>
      </c>
    </row>
    <row r="1462" spans="25:26" x14ac:dyDescent="0.2">
      <c r="Y1462" s="1" t="s">
        <v>2303</v>
      </c>
      <c r="Z1462" s="1" t="s">
        <v>836</v>
      </c>
    </row>
    <row r="1463" spans="25:26" x14ac:dyDescent="0.2">
      <c r="Y1463" s="1" t="s">
        <v>2304</v>
      </c>
      <c r="Z1463" s="1" t="s">
        <v>851</v>
      </c>
    </row>
    <row r="1464" spans="25:26" x14ac:dyDescent="0.2">
      <c r="Y1464" s="1" t="s">
        <v>2305</v>
      </c>
      <c r="Z1464" s="1" t="s">
        <v>836</v>
      </c>
    </row>
    <row r="1465" spans="25:26" x14ac:dyDescent="0.2">
      <c r="Y1465" s="1" t="s">
        <v>2306</v>
      </c>
      <c r="Z1465" s="1" t="s">
        <v>836</v>
      </c>
    </row>
    <row r="1466" spans="25:26" x14ac:dyDescent="0.2">
      <c r="Y1466" s="1" t="s">
        <v>2307</v>
      </c>
      <c r="Z1466" s="1" t="s">
        <v>845</v>
      </c>
    </row>
    <row r="1467" spans="25:26" x14ac:dyDescent="0.2">
      <c r="Y1467" s="1" t="s">
        <v>2308</v>
      </c>
      <c r="Z1467" s="1" t="s">
        <v>841</v>
      </c>
    </row>
    <row r="1468" spans="25:26" x14ac:dyDescent="0.2">
      <c r="Y1468" s="1" t="s">
        <v>2309</v>
      </c>
      <c r="Z1468" s="1" t="s">
        <v>841</v>
      </c>
    </row>
    <row r="1469" spans="25:26" x14ac:dyDescent="0.2">
      <c r="Y1469" s="1" t="s">
        <v>2310</v>
      </c>
      <c r="Z1469" s="1" t="s">
        <v>836</v>
      </c>
    </row>
    <row r="1470" spans="25:26" x14ac:dyDescent="0.2">
      <c r="Y1470" s="1" t="s">
        <v>2311</v>
      </c>
      <c r="Z1470" s="1" t="s">
        <v>845</v>
      </c>
    </row>
    <row r="1471" spans="25:26" x14ac:dyDescent="0.2">
      <c r="Y1471" s="1" t="s">
        <v>2312</v>
      </c>
      <c r="Z1471" s="1" t="s">
        <v>841</v>
      </c>
    </row>
    <row r="1472" spans="25:26" x14ac:dyDescent="0.2">
      <c r="Y1472" s="1" t="s">
        <v>2313</v>
      </c>
      <c r="Z1472" s="1" t="s">
        <v>841</v>
      </c>
    </row>
    <row r="1473" spans="25:26" x14ac:dyDescent="0.2">
      <c r="Y1473" s="1" t="s">
        <v>2314</v>
      </c>
      <c r="Z1473" s="1" t="s">
        <v>841</v>
      </c>
    </row>
    <row r="1474" spans="25:26" x14ac:dyDescent="0.2">
      <c r="Y1474" s="1" t="s">
        <v>2315</v>
      </c>
      <c r="Z1474" s="1" t="s">
        <v>841</v>
      </c>
    </row>
    <row r="1475" spans="25:26" x14ac:dyDescent="0.2">
      <c r="Y1475" s="1" t="s">
        <v>2316</v>
      </c>
      <c r="Z1475" s="1" t="s">
        <v>843</v>
      </c>
    </row>
    <row r="1476" spans="25:26" x14ac:dyDescent="0.2">
      <c r="Y1476" s="1" t="s">
        <v>2317</v>
      </c>
      <c r="Z1476" s="1" t="s">
        <v>836</v>
      </c>
    </row>
    <row r="1477" spans="25:26" x14ac:dyDescent="0.2">
      <c r="Y1477" s="1" t="s">
        <v>2318</v>
      </c>
      <c r="Z1477" s="1" t="s">
        <v>836</v>
      </c>
    </row>
    <row r="1478" spans="25:26" x14ac:dyDescent="0.2">
      <c r="Y1478" s="1" t="s">
        <v>2319</v>
      </c>
      <c r="Z1478" s="1" t="s">
        <v>845</v>
      </c>
    </row>
    <row r="1479" spans="25:26" x14ac:dyDescent="0.2">
      <c r="Y1479" s="1" t="s">
        <v>2320</v>
      </c>
      <c r="Z1479" s="1" t="s">
        <v>841</v>
      </c>
    </row>
    <row r="1480" spans="25:26" x14ac:dyDescent="0.2">
      <c r="Y1480" s="1" t="s">
        <v>2321</v>
      </c>
      <c r="Z1480" s="1" t="s">
        <v>836</v>
      </c>
    </row>
    <row r="1481" spans="25:26" x14ac:dyDescent="0.2">
      <c r="Y1481" s="1" t="s">
        <v>2322</v>
      </c>
      <c r="Z1481" s="1" t="s">
        <v>841</v>
      </c>
    </row>
    <row r="1482" spans="25:26" x14ac:dyDescent="0.2">
      <c r="Y1482" s="1" t="s">
        <v>2323</v>
      </c>
      <c r="Z1482" s="1" t="s">
        <v>853</v>
      </c>
    </row>
    <row r="1483" spans="25:26" x14ac:dyDescent="0.2">
      <c r="Y1483" s="1" t="s">
        <v>2324</v>
      </c>
      <c r="Z1483" s="1" t="s">
        <v>836</v>
      </c>
    </row>
    <row r="1484" spans="25:26" x14ac:dyDescent="0.2">
      <c r="Y1484" s="1" t="s">
        <v>2325</v>
      </c>
      <c r="Z1484" s="1" t="s">
        <v>845</v>
      </c>
    </row>
    <row r="1485" spans="25:26" x14ac:dyDescent="0.2">
      <c r="Y1485" s="1" t="s">
        <v>2326</v>
      </c>
      <c r="Z1485" s="1" t="s">
        <v>845</v>
      </c>
    </row>
    <row r="1486" spans="25:26" x14ac:dyDescent="0.2">
      <c r="Y1486" s="1" t="s">
        <v>2327</v>
      </c>
      <c r="Z1486" s="1" t="s">
        <v>836</v>
      </c>
    </row>
    <row r="1487" spans="25:26" x14ac:dyDescent="0.2">
      <c r="Y1487" s="1" t="s">
        <v>2328</v>
      </c>
      <c r="Z1487" s="1" t="s">
        <v>841</v>
      </c>
    </row>
    <row r="1488" spans="25:26" x14ac:dyDescent="0.2">
      <c r="Y1488" s="1" t="s">
        <v>2329</v>
      </c>
      <c r="Z1488" s="1" t="s">
        <v>836</v>
      </c>
    </row>
    <row r="1489" spans="25:26" x14ac:dyDescent="0.2">
      <c r="Y1489" s="1" t="s">
        <v>2330</v>
      </c>
      <c r="Z1489" s="1" t="s">
        <v>836</v>
      </c>
    </row>
    <row r="1490" spans="25:26" x14ac:dyDescent="0.2">
      <c r="Y1490" s="1" t="s">
        <v>2331</v>
      </c>
      <c r="Z1490" s="1" t="s">
        <v>841</v>
      </c>
    </row>
    <row r="1491" spans="25:26" x14ac:dyDescent="0.2">
      <c r="Y1491" s="1" t="s">
        <v>2332</v>
      </c>
      <c r="Z1491" s="1" t="s">
        <v>836</v>
      </c>
    </row>
    <row r="1492" spans="25:26" x14ac:dyDescent="0.2">
      <c r="Y1492" s="1" t="s">
        <v>2333</v>
      </c>
      <c r="Z1492" s="1" t="s">
        <v>836</v>
      </c>
    </row>
    <row r="1493" spans="25:26" x14ac:dyDescent="0.2">
      <c r="Y1493" s="1" t="s">
        <v>2334</v>
      </c>
      <c r="Z1493" s="1" t="s">
        <v>851</v>
      </c>
    </row>
    <row r="1494" spans="25:26" x14ac:dyDescent="0.2">
      <c r="Y1494" s="1" t="s">
        <v>2335</v>
      </c>
      <c r="Z1494" s="1" t="s">
        <v>841</v>
      </c>
    </row>
    <row r="1495" spans="25:26" x14ac:dyDescent="0.2">
      <c r="Y1495" s="1" t="s">
        <v>2336</v>
      </c>
      <c r="Z1495" s="1" t="s">
        <v>836</v>
      </c>
    </row>
    <row r="1496" spans="25:26" x14ac:dyDescent="0.2">
      <c r="Y1496" s="1" t="s">
        <v>2337</v>
      </c>
      <c r="Z1496" s="1" t="s">
        <v>843</v>
      </c>
    </row>
    <row r="1497" spans="25:26" x14ac:dyDescent="0.2">
      <c r="Y1497" s="1" t="s">
        <v>2338</v>
      </c>
      <c r="Z1497" s="1" t="s">
        <v>841</v>
      </c>
    </row>
    <row r="1498" spans="25:26" x14ac:dyDescent="0.2">
      <c r="Y1498" s="1" t="s">
        <v>2339</v>
      </c>
      <c r="Z1498" s="1" t="s">
        <v>836</v>
      </c>
    </row>
    <row r="1499" spans="25:26" x14ac:dyDescent="0.2">
      <c r="Y1499" s="1" t="s">
        <v>2340</v>
      </c>
      <c r="Z1499" s="1" t="s">
        <v>841</v>
      </c>
    </row>
    <row r="1500" spans="25:26" x14ac:dyDescent="0.2">
      <c r="Y1500" s="1" t="s">
        <v>2341</v>
      </c>
      <c r="Z1500" s="1" t="s">
        <v>836</v>
      </c>
    </row>
    <row r="1501" spans="25:26" x14ac:dyDescent="0.2">
      <c r="Y1501" s="1" t="s">
        <v>2342</v>
      </c>
      <c r="Z1501" s="1" t="s">
        <v>965</v>
      </c>
    </row>
    <row r="1502" spans="25:26" x14ac:dyDescent="0.2">
      <c r="Y1502" s="1" t="s">
        <v>2343</v>
      </c>
      <c r="Z1502" s="1" t="s">
        <v>839</v>
      </c>
    </row>
    <row r="1503" spans="25:26" x14ac:dyDescent="0.2">
      <c r="Y1503" s="1" t="s">
        <v>2344</v>
      </c>
      <c r="Z1503" s="1" t="s">
        <v>845</v>
      </c>
    </row>
    <row r="1504" spans="25:26" x14ac:dyDescent="0.2">
      <c r="Y1504" s="1" t="s">
        <v>2345</v>
      </c>
      <c r="Z1504" s="1" t="s">
        <v>845</v>
      </c>
    </row>
    <row r="1505" spans="25:26" x14ac:dyDescent="0.2">
      <c r="Y1505" s="1" t="s">
        <v>2346</v>
      </c>
      <c r="Z1505" s="1" t="s">
        <v>845</v>
      </c>
    </row>
    <row r="1506" spans="25:26" x14ac:dyDescent="0.2">
      <c r="Y1506" s="1" t="s">
        <v>2347</v>
      </c>
      <c r="Z1506" s="1" t="s">
        <v>839</v>
      </c>
    </row>
    <row r="1507" spans="25:26" x14ac:dyDescent="0.2">
      <c r="Y1507" s="1" t="s">
        <v>2348</v>
      </c>
      <c r="Z1507" s="1" t="s">
        <v>845</v>
      </c>
    </row>
    <row r="1508" spans="25:26" x14ac:dyDescent="0.2">
      <c r="Y1508" s="1" t="s">
        <v>2349</v>
      </c>
      <c r="Z1508" s="1" t="s">
        <v>841</v>
      </c>
    </row>
    <row r="1509" spans="25:26" x14ac:dyDescent="0.2">
      <c r="Y1509" s="1" t="s">
        <v>2350</v>
      </c>
      <c r="Z1509" s="1" t="s">
        <v>843</v>
      </c>
    </row>
    <row r="1510" spans="25:26" x14ac:dyDescent="0.2">
      <c r="Y1510" s="1" t="s">
        <v>2351</v>
      </c>
      <c r="Z1510" s="1" t="s">
        <v>845</v>
      </c>
    </row>
    <row r="1511" spans="25:26" x14ac:dyDescent="0.2">
      <c r="Y1511" s="1" t="s">
        <v>2352</v>
      </c>
      <c r="Z1511" s="1" t="s">
        <v>836</v>
      </c>
    </row>
    <row r="1512" spans="25:26" x14ac:dyDescent="0.2">
      <c r="Y1512" s="1" t="s">
        <v>2353</v>
      </c>
      <c r="Z1512" s="1" t="s">
        <v>841</v>
      </c>
    </row>
    <row r="1513" spans="25:26" x14ac:dyDescent="0.2">
      <c r="Y1513" s="1" t="s">
        <v>2354</v>
      </c>
      <c r="Z1513" s="1" t="s">
        <v>845</v>
      </c>
    </row>
    <row r="1514" spans="25:26" x14ac:dyDescent="0.2">
      <c r="Y1514" s="1" t="s">
        <v>2355</v>
      </c>
      <c r="Z1514" s="1" t="s">
        <v>836</v>
      </c>
    </row>
    <row r="1515" spans="25:26" x14ac:dyDescent="0.2">
      <c r="Y1515" s="1" t="s">
        <v>2356</v>
      </c>
      <c r="Z1515" s="1" t="s">
        <v>836</v>
      </c>
    </row>
    <row r="1516" spans="25:26" x14ac:dyDescent="0.2">
      <c r="Y1516" s="1" t="s">
        <v>2357</v>
      </c>
      <c r="Z1516" s="1" t="s">
        <v>836</v>
      </c>
    </row>
    <row r="1517" spans="25:26" x14ac:dyDescent="0.2">
      <c r="Y1517" s="1" t="s">
        <v>2358</v>
      </c>
      <c r="Z1517" s="1" t="s">
        <v>836</v>
      </c>
    </row>
    <row r="1518" spans="25:26" x14ac:dyDescent="0.2">
      <c r="Y1518" s="1" t="s">
        <v>2359</v>
      </c>
      <c r="Z1518" s="1" t="s">
        <v>841</v>
      </c>
    </row>
    <row r="1519" spans="25:26" x14ac:dyDescent="0.2">
      <c r="Y1519" s="1" t="s">
        <v>2360</v>
      </c>
      <c r="Z1519" s="1" t="s">
        <v>836</v>
      </c>
    </row>
    <row r="1520" spans="25:26" x14ac:dyDescent="0.2">
      <c r="Y1520" s="1" t="s">
        <v>2361</v>
      </c>
      <c r="Z1520" s="1" t="s">
        <v>836</v>
      </c>
    </row>
    <row r="1521" spans="25:26" x14ac:dyDescent="0.2">
      <c r="Y1521" s="1" t="s">
        <v>2362</v>
      </c>
      <c r="Z1521" s="1" t="s">
        <v>843</v>
      </c>
    </row>
    <row r="1522" spans="25:26" x14ac:dyDescent="0.2">
      <c r="Y1522" s="1" t="s">
        <v>2363</v>
      </c>
      <c r="Z1522" s="1" t="s">
        <v>836</v>
      </c>
    </row>
    <row r="1523" spans="25:26" x14ac:dyDescent="0.2">
      <c r="Y1523" s="1" t="s">
        <v>2364</v>
      </c>
      <c r="Z1523" s="1" t="s">
        <v>836</v>
      </c>
    </row>
    <row r="1524" spans="25:26" x14ac:dyDescent="0.2">
      <c r="Y1524" s="1" t="s">
        <v>2365</v>
      </c>
      <c r="Z1524" s="1" t="s">
        <v>836</v>
      </c>
    </row>
    <row r="1525" spans="25:26" x14ac:dyDescent="0.2">
      <c r="Y1525" s="1" t="s">
        <v>2366</v>
      </c>
      <c r="Z1525" s="1" t="s">
        <v>836</v>
      </c>
    </row>
    <row r="1526" spans="25:26" x14ac:dyDescent="0.2">
      <c r="Y1526" s="1" t="s">
        <v>2367</v>
      </c>
      <c r="Z1526" s="1" t="s">
        <v>836</v>
      </c>
    </row>
    <row r="1527" spans="25:26" x14ac:dyDescent="0.2">
      <c r="Y1527" s="1" t="s">
        <v>2368</v>
      </c>
      <c r="Z1527" s="1" t="s">
        <v>836</v>
      </c>
    </row>
    <row r="1528" spans="25:26" x14ac:dyDescent="0.2">
      <c r="Y1528" s="1" t="s">
        <v>2369</v>
      </c>
      <c r="Z1528" s="1" t="s">
        <v>836</v>
      </c>
    </row>
    <row r="1529" spans="25:26" x14ac:dyDescent="0.2">
      <c r="Y1529" s="1" t="s">
        <v>2370</v>
      </c>
      <c r="Z1529" s="1" t="s">
        <v>843</v>
      </c>
    </row>
    <row r="1530" spans="25:26" x14ac:dyDescent="0.2">
      <c r="Y1530" s="1" t="s">
        <v>2371</v>
      </c>
      <c r="Z1530" s="1" t="s">
        <v>836</v>
      </c>
    </row>
    <row r="1531" spans="25:26" x14ac:dyDescent="0.2">
      <c r="Y1531" s="1" t="s">
        <v>2372</v>
      </c>
      <c r="Z1531" s="1" t="s">
        <v>836</v>
      </c>
    </row>
    <row r="1532" spans="25:26" x14ac:dyDescent="0.2">
      <c r="Y1532" s="1" t="s">
        <v>2373</v>
      </c>
      <c r="Z1532" s="1" t="s">
        <v>843</v>
      </c>
    </row>
    <row r="1533" spans="25:26" x14ac:dyDescent="0.2">
      <c r="Y1533" s="1" t="s">
        <v>2374</v>
      </c>
      <c r="Z1533" s="1" t="s">
        <v>853</v>
      </c>
    </row>
    <row r="1534" spans="25:26" x14ac:dyDescent="0.2">
      <c r="Y1534" s="1" t="s">
        <v>2375</v>
      </c>
      <c r="Z1534" s="1" t="s">
        <v>965</v>
      </c>
    </row>
    <row r="1535" spans="25:26" x14ac:dyDescent="0.2">
      <c r="Y1535" s="1" t="s">
        <v>2376</v>
      </c>
      <c r="Z1535" s="1" t="s">
        <v>841</v>
      </c>
    </row>
    <row r="1536" spans="25:26" x14ac:dyDescent="0.2">
      <c r="Y1536" s="1" t="s">
        <v>2377</v>
      </c>
      <c r="Z1536" s="1" t="s">
        <v>836</v>
      </c>
    </row>
    <row r="1537" spans="25:26" x14ac:dyDescent="0.2">
      <c r="Y1537" s="1" t="s">
        <v>2378</v>
      </c>
      <c r="Z1537" s="1" t="s">
        <v>853</v>
      </c>
    </row>
    <row r="1538" spans="25:26" x14ac:dyDescent="0.2">
      <c r="Y1538" s="1" t="s">
        <v>2379</v>
      </c>
      <c r="Z1538" s="1" t="s">
        <v>965</v>
      </c>
    </row>
    <row r="1539" spans="25:26" x14ac:dyDescent="0.2">
      <c r="Y1539" s="1" t="s">
        <v>2380</v>
      </c>
      <c r="Z1539" s="1" t="s">
        <v>836</v>
      </c>
    </row>
    <row r="1540" spans="25:26" x14ac:dyDescent="0.2">
      <c r="Y1540" s="1" t="s">
        <v>2381</v>
      </c>
      <c r="Z1540" s="1" t="s">
        <v>841</v>
      </c>
    </row>
    <row r="1541" spans="25:26" x14ac:dyDescent="0.2">
      <c r="Y1541" s="1" t="s">
        <v>2382</v>
      </c>
      <c r="Z1541" s="1" t="s">
        <v>836</v>
      </c>
    </row>
    <row r="1542" spans="25:26" x14ac:dyDescent="0.2">
      <c r="Y1542" s="1" t="s">
        <v>2383</v>
      </c>
      <c r="Z1542" s="1" t="s">
        <v>836</v>
      </c>
    </row>
    <row r="1543" spans="25:26" x14ac:dyDescent="0.2">
      <c r="Y1543" s="1" t="s">
        <v>2384</v>
      </c>
      <c r="Z1543" s="1" t="s">
        <v>853</v>
      </c>
    </row>
    <row r="1544" spans="25:26" x14ac:dyDescent="0.2">
      <c r="Y1544" s="1" t="s">
        <v>2385</v>
      </c>
      <c r="Z1544" s="1" t="s">
        <v>836</v>
      </c>
    </row>
    <row r="1545" spans="25:26" x14ac:dyDescent="0.2">
      <c r="Y1545" s="1" t="s">
        <v>2386</v>
      </c>
      <c r="Z1545" s="1" t="s">
        <v>836</v>
      </c>
    </row>
    <row r="1546" spans="25:26" x14ac:dyDescent="0.2">
      <c r="Y1546" s="1" t="s">
        <v>2387</v>
      </c>
      <c r="Z1546" s="1" t="s">
        <v>845</v>
      </c>
    </row>
    <row r="1547" spans="25:26" x14ac:dyDescent="0.2">
      <c r="Y1547" s="1" t="s">
        <v>2388</v>
      </c>
      <c r="Z1547" s="1" t="s">
        <v>841</v>
      </c>
    </row>
    <row r="1548" spans="25:26" x14ac:dyDescent="0.2">
      <c r="Y1548" s="1" t="s">
        <v>2389</v>
      </c>
      <c r="Z1548" s="1" t="s">
        <v>836</v>
      </c>
    </row>
    <row r="1549" spans="25:26" x14ac:dyDescent="0.2">
      <c r="Y1549" s="1" t="s">
        <v>2390</v>
      </c>
      <c r="Z1549" s="1" t="s">
        <v>845</v>
      </c>
    </row>
    <row r="1550" spans="25:26" x14ac:dyDescent="0.2">
      <c r="Y1550" s="1" t="s">
        <v>2391</v>
      </c>
      <c r="Z1550" s="1" t="s">
        <v>836</v>
      </c>
    </row>
    <row r="1551" spans="25:26" x14ac:dyDescent="0.2">
      <c r="Y1551" s="1" t="s">
        <v>2392</v>
      </c>
      <c r="Z1551" s="1" t="s">
        <v>839</v>
      </c>
    </row>
    <row r="1552" spans="25:26" x14ac:dyDescent="0.2">
      <c r="Y1552" s="1" t="s">
        <v>2393</v>
      </c>
      <c r="Z1552" s="1" t="s">
        <v>839</v>
      </c>
    </row>
    <row r="1553" spans="25:26" x14ac:dyDescent="0.2">
      <c r="Y1553" s="1" t="s">
        <v>2394</v>
      </c>
      <c r="Z1553" s="1" t="s">
        <v>839</v>
      </c>
    </row>
    <row r="1554" spans="25:26" x14ac:dyDescent="0.2">
      <c r="Y1554" s="1" t="s">
        <v>2395</v>
      </c>
      <c r="Z1554" s="1" t="s">
        <v>839</v>
      </c>
    </row>
    <row r="1555" spans="25:26" x14ac:dyDescent="0.2">
      <c r="Y1555" s="1" t="s">
        <v>2396</v>
      </c>
      <c r="Z1555" s="1" t="s">
        <v>836</v>
      </c>
    </row>
    <row r="1556" spans="25:26" x14ac:dyDescent="0.2">
      <c r="Y1556" s="1" t="s">
        <v>2397</v>
      </c>
      <c r="Z1556" s="1" t="s">
        <v>845</v>
      </c>
    </row>
    <row r="1557" spans="25:26" x14ac:dyDescent="0.2">
      <c r="Y1557" s="1" t="s">
        <v>2398</v>
      </c>
      <c r="Z1557" s="1" t="s">
        <v>836</v>
      </c>
    </row>
    <row r="1558" spans="25:26" x14ac:dyDescent="0.2">
      <c r="Y1558" s="1" t="s">
        <v>2399</v>
      </c>
      <c r="Z1558" s="1" t="s">
        <v>845</v>
      </c>
    </row>
    <row r="1559" spans="25:26" x14ac:dyDescent="0.2">
      <c r="Y1559" s="1" t="s">
        <v>2400</v>
      </c>
      <c r="Z1559" s="1" t="s">
        <v>845</v>
      </c>
    </row>
    <row r="1560" spans="25:26" x14ac:dyDescent="0.2">
      <c r="Y1560" s="1" t="s">
        <v>2401</v>
      </c>
      <c r="Z1560" s="1" t="s">
        <v>841</v>
      </c>
    </row>
    <row r="1561" spans="25:26" x14ac:dyDescent="0.2">
      <c r="Y1561" s="1" t="s">
        <v>2402</v>
      </c>
      <c r="Z1561" s="1" t="s">
        <v>836</v>
      </c>
    </row>
    <row r="1562" spans="25:26" x14ac:dyDescent="0.2">
      <c r="Y1562" s="1" t="s">
        <v>2403</v>
      </c>
      <c r="Z1562" s="1" t="s">
        <v>845</v>
      </c>
    </row>
    <row r="1563" spans="25:26" x14ac:dyDescent="0.2">
      <c r="Y1563" s="1" t="s">
        <v>2404</v>
      </c>
      <c r="Z1563" s="1" t="s">
        <v>836</v>
      </c>
    </row>
    <row r="1564" spans="25:26" x14ac:dyDescent="0.2">
      <c r="Y1564" s="1" t="s">
        <v>2405</v>
      </c>
      <c r="Z1564" s="1" t="s">
        <v>836</v>
      </c>
    </row>
    <row r="1565" spans="25:26" x14ac:dyDescent="0.2">
      <c r="Y1565" s="1" t="s">
        <v>2406</v>
      </c>
      <c r="Z1565" s="1" t="s">
        <v>841</v>
      </c>
    </row>
    <row r="1566" spans="25:26" x14ac:dyDescent="0.2">
      <c r="Y1566" s="1" t="s">
        <v>2407</v>
      </c>
      <c r="Z1566" s="1" t="s">
        <v>843</v>
      </c>
    </row>
    <row r="1567" spans="25:26" x14ac:dyDescent="0.2">
      <c r="Y1567" s="1" t="s">
        <v>2408</v>
      </c>
      <c r="Z1567" s="1" t="s">
        <v>839</v>
      </c>
    </row>
    <row r="1568" spans="25:26" x14ac:dyDescent="0.2">
      <c r="Y1568" s="1" t="s">
        <v>2409</v>
      </c>
      <c r="Z1568" s="1" t="s">
        <v>845</v>
      </c>
    </row>
    <row r="1569" spans="25:26" x14ac:dyDescent="0.2">
      <c r="Y1569" s="1" t="s">
        <v>2410</v>
      </c>
      <c r="Z1569" s="1" t="s">
        <v>841</v>
      </c>
    </row>
    <row r="1570" spans="25:26" x14ac:dyDescent="0.2">
      <c r="Y1570" s="1" t="s">
        <v>2411</v>
      </c>
      <c r="Z1570" s="1" t="s">
        <v>836</v>
      </c>
    </row>
    <row r="1571" spans="25:26" x14ac:dyDescent="0.2">
      <c r="Y1571" s="1" t="s">
        <v>2412</v>
      </c>
      <c r="Z1571" s="1" t="s">
        <v>836</v>
      </c>
    </row>
    <row r="1572" spans="25:26" x14ac:dyDescent="0.2">
      <c r="Y1572" s="1" t="s">
        <v>2413</v>
      </c>
      <c r="Z1572" s="1" t="s">
        <v>836</v>
      </c>
    </row>
    <row r="1573" spans="25:26" x14ac:dyDescent="0.2">
      <c r="Y1573" s="1" t="s">
        <v>2414</v>
      </c>
      <c r="Z1573" s="1" t="s">
        <v>836</v>
      </c>
    </row>
    <row r="1574" spans="25:26" x14ac:dyDescent="0.2">
      <c r="Y1574" s="1" t="s">
        <v>2415</v>
      </c>
      <c r="Z1574" s="1" t="s">
        <v>845</v>
      </c>
    </row>
    <row r="1575" spans="25:26" x14ac:dyDescent="0.2">
      <c r="Y1575" s="1" t="s">
        <v>2416</v>
      </c>
      <c r="Z1575" s="1" t="s">
        <v>836</v>
      </c>
    </row>
    <row r="1576" spans="25:26" x14ac:dyDescent="0.2">
      <c r="Y1576" s="1" t="s">
        <v>2417</v>
      </c>
      <c r="Z1576" s="1" t="s">
        <v>843</v>
      </c>
    </row>
    <row r="1577" spans="25:26" x14ac:dyDescent="0.2">
      <c r="Y1577" s="1" t="s">
        <v>2418</v>
      </c>
      <c r="Z1577" s="1" t="s">
        <v>836</v>
      </c>
    </row>
    <row r="1578" spans="25:26" x14ac:dyDescent="0.2">
      <c r="Y1578" s="1" t="s">
        <v>2419</v>
      </c>
      <c r="Z1578" s="1" t="s">
        <v>845</v>
      </c>
    </row>
    <row r="1579" spans="25:26" x14ac:dyDescent="0.2">
      <c r="Y1579" s="1" t="s">
        <v>2420</v>
      </c>
      <c r="Z1579" s="1" t="s">
        <v>836</v>
      </c>
    </row>
    <row r="1580" spans="25:26" x14ac:dyDescent="0.2">
      <c r="Y1580" s="1" t="s">
        <v>2421</v>
      </c>
      <c r="Z1580" s="1" t="s">
        <v>836</v>
      </c>
    </row>
    <row r="1581" spans="25:26" x14ac:dyDescent="0.2">
      <c r="Y1581" s="1" t="s">
        <v>2422</v>
      </c>
      <c r="Z1581" s="1" t="s">
        <v>841</v>
      </c>
    </row>
    <row r="1582" spans="25:26" x14ac:dyDescent="0.2">
      <c r="Y1582" s="1" t="s">
        <v>2423</v>
      </c>
      <c r="Z1582" s="1" t="s">
        <v>836</v>
      </c>
    </row>
    <row r="1583" spans="25:26" x14ac:dyDescent="0.2">
      <c r="Y1583" s="1" t="s">
        <v>2424</v>
      </c>
      <c r="Z1583" s="1" t="s">
        <v>836</v>
      </c>
    </row>
    <row r="1584" spans="25:26" x14ac:dyDescent="0.2">
      <c r="Y1584" s="1" t="s">
        <v>2425</v>
      </c>
      <c r="Z1584" s="1" t="s">
        <v>841</v>
      </c>
    </row>
    <row r="1585" spans="25:26" x14ac:dyDescent="0.2">
      <c r="Y1585" s="1" t="s">
        <v>2426</v>
      </c>
      <c r="Z1585" s="1" t="s">
        <v>836</v>
      </c>
    </row>
    <row r="1586" spans="25:26" x14ac:dyDescent="0.2">
      <c r="Y1586" s="1" t="s">
        <v>2427</v>
      </c>
      <c r="Z1586" s="1" t="s">
        <v>836</v>
      </c>
    </row>
    <row r="1587" spans="25:26" x14ac:dyDescent="0.2">
      <c r="Y1587" s="1" t="s">
        <v>2428</v>
      </c>
      <c r="Z1587" s="1" t="s">
        <v>845</v>
      </c>
    </row>
    <row r="1588" spans="25:26" x14ac:dyDescent="0.2">
      <c r="Y1588" s="1" t="s">
        <v>2429</v>
      </c>
      <c r="Z1588" s="1" t="s">
        <v>836</v>
      </c>
    </row>
    <row r="1589" spans="25:26" x14ac:dyDescent="0.2">
      <c r="Y1589" s="1" t="s">
        <v>2430</v>
      </c>
      <c r="Z1589" s="1" t="s">
        <v>841</v>
      </c>
    </row>
    <row r="1590" spans="25:26" x14ac:dyDescent="0.2">
      <c r="Y1590" s="1" t="s">
        <v>2431</v>
      </c>
      <c r="Z1590" s="1" t="s">
        <v>836</v>
      </c>
    </row>
    <row r="1591" spans="25:26" x14ac:dyDescent="0.2">
      <c r="Y1591" s="1" t="s">
        <v>2432</v>
      </c>
      <c r="Z1591" s="1" t="s">
        <v>836</v>
      </c>
    </row>
    <row r="1592" spans="25:26" x14ac:dyDescent="0.2">
      <c r="Y1592" s="1" t="s">
        <v>2433</v>
      </c>
      <c r="Z1592" s="1" t="s">
        <v>845</v>
      </c>
    </row>
    <row r="1593" spans="25:26" x14ac:dyDescent="0.2">
      <c r="Y1593" s="1" t="s">
        <v>2434</v>
      </c>
      <c r="Z1593" s="1" t="s">
        <v>836</v>
      </c>
    </row>
    <row r="1594" spans="25:26" x14ac:dyDescent="0.2">
      <c r="Y1594" s="1" t="s">
        <v>2435</v>
      </c>
      <c r="Z1594" s="1" t="s">
        <v>836</v>
      </c>
    </row>
    <row r="1595" spans="25:26" x14ac:dyDescent="0.2">
      <c r="Y1595" s="1" t="s">
        <v>2436</v>
      </c>
      <c r="Z1595" s="1" t="s">
        <v>843</v>
      </c>
    </row>
    <row r="1596" spans="25:26" x14ac:dyDescent="0.2">
      <c r="Y1596" s="1" t="s">
        <v>2437</v>
      </c>
      <c r="Z1596" s="1" t="s">
        <v>836</v>
      </c>
    </row>
    <row r="1597" spans="25:26" x14ac:dyDescent="0.2">
      <c r="Y1597" s="1" t="s">
        <v>2438</v>
      </c>
      <c r="Z1597" s="1" t="s">
        <v>997</v>
      </c>
    </row>
    <row r="1598" spans="25:26" x14ac:dyDescent="0.2">
      <c r="Y1598" s="1" t="s">
        <v>2439</v>
      </c>
      <c r="Z1598" s="1" t="s">
        <v>836</v>
      </c>
    </row>
    <row r="1599" spans="25:26" x14ac:dyDescent="0.2">
      <c r="Y1599" s="1" t="s">
        <v>2440</v>
      </c>
      <c r="Z1599" s="1" t="s">
        <v>836</v>
      </c>
    </row>
    <row r="1600" spans="25:26" x14ac:dyDescent="0.2">
      <c r="Y1600" s="1" t="s">
        <v>2441</v>
      </c>
      <c r="Z1600" s="1" t="s">
        <v>836</v>
      </c>
    </row>
    <row r="1601" spans="25:26" x14ac:dyDescent="0.2">
      <c r="Y1601" s="1" t="s">
        <v>2442</v>
      </c>
      <c r="Z1601" s="1" t="s">
        <v>845</v>
      </c>
    </row>
    <row r="1602" spans="25:26" x14ac:dyDescent="0.2">
      <c r="Y1602" s="1" t="s">
        <v>2443</v>
      </c>
      <c r="Z1602" s="1" t="s">
        <v>836</v>
      </c>
    </row>
    <row r="1603" spans="25:26" x14ac:dyDescent="0.2">
      <c r="Y1603" s="1" t="s">
        <v>2444</v>
      </c>
      <c r="Z1603" s="1" t="s">
        <v>841</v>
      </c>
    </row>
    <row r="1604" spans="25:26" x14ac:dyDescent="0.2">
      <c r="Y1604" s="1" t="s">
        <v>2445</v>
      </c>
      <c r="Z1604" s="1" t="s">
        <v>836</v>
      </c>
    </row>
    <row r="1605" spans="25:26" x14ac:dyDescent="0.2">
      <c r="Y1605" s="1" t="s">
        <v>2446</v>
      </c>
      <c r="Z1605" s="1" t="s">
        <v>841</v>
      </c>
    </row>
    <row r="1606" spans="25:26" x14ac:dyDescent="0.2">
      <c r="Y1606" s="1" t="s">
        <v>2447</v>
      </c>
      <c r="Z1606" s="1" t="s">
        <v>843</v>
      </c>
    </row>
    <row r="1607" spans="25:26" x14ac:dyDescent="0.2">
      <c r="Y1607" s="1" t="s">
        <v>2448</v>
      </c>
      <c r="Z1607" s="1" t="s">
        <v>836</v>
      </c>
    </row>
    <row r="1608" spans="25:26" x14ac:dyDescent="0.2">
      <c r="Y1608" s="1" t="s">
        <v>2449</v>
      </c>
      <c r="Z1608" s="1" t="s">
        <v>836</v>
      </c>
    </row>
    <row r="1609" spans="25:26" x14ac:dyDescent="0.2">
      <c r="Y1609" s="1" t="s">
        <v>2450</v>
      </c>
      <c r="Z1609" s="1" t="s">
        <v>836</v>
      </c>
    </row>
    <row r="1610" spans="25:26" x14ac:dyDescent="0.2">
      <c r="Y1610" s="1" t="s">
        <v>2451</v>
      </c>
      <c r="Z1610" s="1" t="s">
        <v>839</v>
      </c>
    </row>
    <row r="1611" spans="25:26" x14ac:dyDescent="0.2">
      <c r="Y1611" s="1" t="s">
        <v>2452</v>
      </c>
      <c r="Z1611" s="1" t="s">
        <v>836</v>
      </c>
    </row>
    <row r="1612" spans="25:26" x14ac:dyDescent="0.2">
      <c r="Y1612" s="1" t="s">
        <v>2453</v>
      </c>
      <c r="Z1612" s="1" t="s">
        <v>836</v>
      </c>
    </row>
    <row r="1613" spans="25:26" x14ac:dyDescent="0.2">
      <c r="Y1613" s="1" t="s">
        <v>2454</v>
      </c>
      <c r="Z1613" s="1" t="s">
        <v>839</v>
      </c>
    </row>
    <row r="1614" spans="25:26" x14ac:dyDescent="0.2">
      <c r="Y1614" s="1" t="s">
        <v>2455</v>
      </c>
      <c r="Z1614" s="1" t="s">
        <v>836</v>
      </c>
    </row>
    <row r="1615" spans="25:26" x14ac:dyDescent="0.2">
      <c r="Y1615" s="1" t="s">
        <v>2456</v>
      </c>
      <c r="Z1615" s="1" t="s">
        <v>839</v>
      </c>
    </row>
    <row r="1616" spans="25:26" x14ac:dyDescent="0.2">
      <c r="Y1616" s="1" t="s">
        <v>2457</v>
      </c>
      <c r="Z1616" s="1" t="s">
        <v>841</v>
      </c>
    </row>
    <row r="1617" spans="25:26" x14ac:dyDescent="0.2">
      <c r="Y1617" s="1" t="s">
        <v>2458</v>
      </c>
      <c r="Z1617" s="1" t="s">
        <v>839</v>
      </c>
    </row>
    <row r="1618" spans="25:26" x14ac:dyDescent="0.2">
      <c r="Y1618" s="1" t="s">
        <v>2459</v>
      </c>
      <c r="Z1618" s="1" t="s">
        <v>839</v>
      </c>
    </row>
    <row r="1619" spans="25:26" x14ac:dyDescent="0.2">
      <c r="Y1619" s="1" t="s">
        <v>2460</v>
      </c>
      <c r="Z1619" s="1" t="s">
        <v>839</v>
      </c>
    </row>
    <row r="1620" spans="25:26" x14ac:dyDescent="0.2">
      <c r="Y1620" s="1" t="s">
        <v>2461</v>
      </c>
      <c r="Z1620" s="1" t="s">
        <v>841</v>
      </c>
    </row>
    <row r="1621" spans="25:26" x14ac:dyDescent="0.2">
      <c r="Y1621" s="1" t="s">
        <v>2462</v>
      </c>
      <c r="Z1621" s="1" t="s">
        <v>836</v>
      </c>
    </row>
    <row r="1622" spans="25:26" x14ac:dyDescent="0.2">
      <c r="Y1622" s="1" t="s">
        <v>2463</v>
      </c>
      <c r="Z1622" s="1" t="s">
        <v>851</v>
      </c>
    </row>
    <row r="1623" spans="25:26" x14ac:dyDescent="0.2">
      <c r="Y1623" s="1" t="s">
        <v>2464</v>
      </c>
      <c r="Z1623" s="1" t="s">
        <v>841</v>
      </c>
    </row>
    <row r="1624" spans="25:26" x14ac:dyDescent="0.2">
      <c r="Y1624" s="1" t="s">
        <v>2465</v>
      </c>
      <c r="Z1624" s="1" t="s">
        <v>836</v>
      </c>
    </row>
    <row r="1625" spans="25:26" x14ac:dyDescent="0.2">
      <c r="Y1625" s="1" t="s">
        <v>2466</v>
      </c>
      <c r="Z1625" s="1" t="s">
        <v>841</v>
      </c>
    </row>
    <row r="1626" spans="25:26" x14ac:dyDescent="0.2">
      <c r="Y1626" s="1" t="s">
        <v>2467</v>
      </c>
      <c r="Z1626" s="1" t="s">
        <v>841</v>
      </c>
    </row>
    <row r="1627" spans="25:26" x14ac:dyDescent="0.2">
      <c r="Y1627" s="1" t="s">
        <v>2468</v>
      </c>
      <c r="Z1627" s="1" t="s">
        <v>836</v>
      </c>
    </row>
    <row r="1628" spans="25:26" x14ac:dyDescent="0.2">
      <c r="Y1628" s="1" t="s">
        <v>2469</v>
      </c>
      <c r="Z1628" s="1" t="s">
        <v>843</v>
      </c>
    </row>
    <row r="1629" spans="25:26" x14ac:dyDescent="0.2">
      <c r="Y1629" s="1" t="s">
        <v>2470</v>
      </c>
      <c r="Z1629" s="1" t="s">
        <v>836</v>
      </c>
    </row>
    <row r="1630" spans="25:26" x14ac:dyDescent="0.2">
      <c r="Y1630" s="1" t="s">
        <v>2471</v>
      </c>
      <c r="Z1630" s="1" t="s">
        <v>836</v>
      </c>
    </row>
    <row r="1631" spans="25:26" x14ac:dyDescent="0.2">
      <c r="Y1631" s="1" t="s">
        <v>2472</v>
      </c>
      <c r="Z1631" s="1" t="s">
        <v>836</v>
      </c>
    </row>
    <row r="1632" spans="25:26" x14ac:dyDescent="0.2">
      <c r="Y1632" s="1" t="s">
        <v>2473</v>
      </c>
      <c r="Z1632" s="1" t="s">
        <v>836</v>
      </c>
    </row>
    <row r="1633" spans="25:26" x14ac:dyDescent="0.2">
      <c r="Y1633" s="1" t="s">
        <v>2474</v>
      </c>
      <c r="Z1633" s="1" t="s">
        <v>836</v>
      </c>
    </row>
    <row r="1634" spans="25:26" x14ac:dyDescent="0.2">
      <c r="Y1634" s="1" t="s">
        <v>2475</v>
      </c>
      <c r="Z1634" s="1" t="s">
        <v>836</v>
      </c>
    </row>
    <row r="1635" spans="25:26" x14ac:dyDescent="0.2">
      <c r="Y1635" s="1" t="s">
        <v>2476</v>
      </c>
      <c r="Z1635" s="1" t="s">
        <v>841</v>
      </c>
    </row>
    <row r="1636" spans="25:26" x14ac:dyDescent="0.2">
      <c r="Y1636" s="1" t="s">
        <v>2477</v>
      </c>
      <c r="Z1636" s="1" t="s">
        <v>851</v>
      </c>
    </row>
    <row r="1637" spans="25:26" x14ac:dyDescent="0.2">
      <c r="Y1637" s="1" t="s">
        <v>2478</v>
      </c>
      <c r="Z1637" s="1" t="s">
        <v>843</v>
      </c>
    </row>
    <row r="1638" spans="25:26" x14ac:dyDescent="0.2">
      <c r="Y1638" s="1" t="s">
        <v>2479</v>
      </c>
      <c r="Z1638" s="1" t="s">
        <v>836</v>
      </c>
    </row>
    <row r="1639" spans="25:26" x14ac:dyDescent="0.2">
      <c r="Y1639" s="1" t="s">
        <v>2480</v>
      </c>
      <c r="Z1639" s="1" t="s">
        <v>851</v>
      </c>
    </row>
    <row r="1640" spans="25:26" x14ac:dyDescent="0.2">
      <c r="Y1640" s="1" t="s">
        <v>2481</v>
      </c>
      <c r="Z1640" s="1" t="s">
        <v>836</v>
      </c>
    </row>
    <row r="1641" spans="25:26" x14ac:dyDescent="0.2">
      <c r="Y1641" s="1" t="s">
        <v>2482</v>
      </c>
      <c r="Z1641" s="1" t="s">
        <v>841</v>
      </c>
    </row>
    <row r="1642" spans="25:26" x14ac:dyDescent="0.2">
      <c r="Y1642" s="1" t="s">
        <v>2483</v>
      </c>
      <c r="Z1642" s="1" t="s">
        <v>965</v>
      </c>
    </row>
    <row r="1643" spans="25:26" x14ac:dyDescent="0.2">
      <c r="Y1643" s="1" t="s">
        <v>2484</v>
      </c>
      <c r="Z1643" s="1" t="s">
        <v>839</v>
      </c>
    </row>
    <row r="1644" spans="25:26" x14ac:dyDescent="0.2">
      <c r="Y1644" s="1" t="s">
        <v>2485</v>
      </c>
      <c r="Z1644" s="1" t="s">
        <v>836</v>
      </c>
    </row>
    <row r="1645" spans="25:26" x14ac:dyDescent="0.2">
      <c r="Y1645" s="1" t="s">
        <v>2486</v>
      </c>
      <c r="Z1645" s="1" t="s">
        <v>836</v>
      </c>
    </row>
    <row r="1646" spans="25:26" x14ac:dyDescent="0.2">
      <c r="Y1646" s="1" t="s">
        <v>2487</v>
      </c>
      <c r="Z1646" s="1" t="s">
        <v>836</v>
      </c>
    </row>
    <row r="1647" spans="25:26" x14ac:dyDescent="0.2">
      <c r="Y1647" s="1" t="s">
        <v>2488</v>
      </c>
      <c r="Z1647" s="1" t="s">
        <v>836</v>
      </c>
    </row>
    <row r="1648" spans="25:26" x14ac:dyDescent="0.2">
      <c r="Y1648" s="1" t="s">
        <v>2489</v>
      </c>
      <c r="Z1648" s="1" t="s">
        <v>836</v>
      </c>
    </row>
    <row r="1649" spans="25:26" x14ac:dyDescent="0.2">
      <c r="Y1649" s="1" t="s">
        <v>2490</v>
      </c>
      <c r="Z1649" s="1" t="s">
        <v>836</v>
      </c>
    </row>
    <row r="1650" spans="25:26" x14ac:dyDescent="0.2">
      <c r="Y1650" s="1" t="s">
        <v>2491</v>
      </c>
      <c r="Z1650" s="1" t="s">
        <v>836</v>
      </c>
    </row>
    <row r="1651" spans="25:26" x14ac:dyDescent="0.2">
      <c r="Y1651" s="1" t="s">
        <v>2492</v>
      </c>
      <c r="Z1651" s="1" t="s">
        <v>841</v>
      </c>
    </row>
    <row r="1652" spans="25:26" x14ac:dyDescent="0.2">
      <c r="Y1652" s="1" t="s">
        <v>2493</v>
      </c>
      <c r="Z1652" s="1" t="s">
        <v>836</v>
      </c>
    </row>
    <row r="1653" spans="25:26" x14ac:dyDescent="0.2">
      <c r="Y1653" s="1" t="s">
        <v>2494</v>
      </c>
      <c r="Z1653" s="1" t="s">
        <v>836</v>
      </c>
    </row>
    <row r="1654" spans="25:26" x14ac:dyDescent="0.2">
      <c r="Y1654" s="1" t="s">
        <v>2495</v>
      </c>
      <c r="Z1654" s="1" t="s">
        <v>843</v>
      </c>
    </row>
    <row r="1655" spans="25:26" x14ac:dyDescent="0.2">
      <c r="Y1655" s="1" t="s">
        <v>2496</v>
      </c>
      <c r="Z1655" s="1" t="s">
        <v>851</v>
      </c>
    </row>
    <row r="1656" spans="25:26" x14ac:dyDescent="0.2">
      <c r="Y1656" s="1" t="s">
        <v>2497</v>
      </c>
      <c r="Z1656" s="1" t="s">
        <v>836</v>
      </c>
    </row>
    <row r="1657" spans="25:26" x14ac:dyDescent="0.2">
      <c r="Y1657" s="1" t="s">
        <v>2498</v>
      </c>
      <c r="Z1657" s="1" t="s">
        <v>836</v>
      </c>
    </row>
    <row r="1658" spans="25:26" x14ac:dyDescent="0.2">
      <c r="Y1658" s="1" t="s">
        <v>2499</v>
      </c>
      <c r="Z1658" s="1" t="s">
        <v>841</v>
      </c>
    </row>
    <row r="1659" spans="25:26" x14ac:dyDescent="0.2">
      <c r="Y1659" s="1" t="s">
        <v>2500</v>
      </c>
      <c r="Z1659" s="1" t="s">
        <v>836</v>
      </c>
    </row>
    <row r="1660" spans="25:26" x14ac:dyDescent="0.2">
      <c r="Y1660" s="1" t="s">
        <v>2501</v>
      </c>
      <c r="Z1660" s="1" t="s">
        <v>836</v>
      </c>
    </row>
    <row r="1661" spans="25:26" x14ac:dyDescent="0.2">
      <c r="Y1661" s="1" t="s">
        <v>2502</v>
      </c>
      <c r="Z1661" s="1" t="s">
        <v>839</v>
      </c>
    </row>
    <row r="1662" spans="25:26" x14ac:dyDescent="0.2">
      <c r="Y1662" s="1" t="s">
        <v>2503</v>
      </c>
      <c r="Z1662" s="1" t="s">
        <v>841</v>
      </c>
    </row>
    <row r="1663" spans="25:26" x14ac:dyDescent="0.2">
      <c r="Y1663" s="1" t="s">
        <v>2504</v>
      </c>
      <c r="Z1663" s="1" t="s">
        <v>839</v>
      </c>
    </row>
    <row r="1664" spans="25:26" x14ac:dyDescent="0.2">
      <c r="Y1664" s="1" t="s">
        <v>2505</v>
      </c>
      <c r="Z1664" s="1" t="s">
        <v>836</v>
      </c>
    </row>
    <row r="1665" spans="25:26" x14ac:dyDescent="0.2">
      <c r="Y1665" s="1" t="s">
        <v>2506</v>
      </c>
      <c r="Z1665" s="1" t="s">
        <v>836</v>
      </c>
    </row>
    <row r="1666" spans="25:26" x14ac:dyDescent="0.2">
      <c r="Y1666" s="1" t="s">
        <v>2507</v>
      </c>
      <c r="Z1666" s="1" t="s">
        <v>845</v>
      </c>
    </row>
    <row r="1667" spans="25:26" x14ac:dyDescent="0.2">
      <c r="Y1667" s="1" t="s">
        <v>2508</v>
      </c>
      <c r="Z1667" s="1" t="s">
        <v>836</v>
      </c>
    </row>
    <row r="1668" spans="25:26" x14ac:dyDescent="0.2">
      <c r="Y1668" s="1" t="s">
        <v>2509</v>
      </c>
      <c r="Z1668" s="1" t="s">
        <v>841</v>
      </c>
    </row>
    <row r="1669" spans="25:26" x14ac:dyDescent="0.2">
      <c r="Y1669" s="1" t="s">
        <v>2510</v>
      </c>
      <c r="Z1669" s="1" t="s">
        <v>836</v>
      </c>
    </row>
    <row r="1670" spans="25:26" x14ac:dyDescent="0.2">
      <c r="Y1670" s="1" t="s">
        <v>2511</v>
      </c>
      <c r="Z1670" s="1" t="s">
        <v>841</v>
      </c>
    </row>
    <row r="1671" spans="25:26" x14ac:dyDescent="0.2">
      <c r="Y1671" s="1" t="s">
        <v>2512</v>
      </c>
      <c r="Z1671" s="1" t="s">
        <v>843</v>
      </c>
    </row>
    <row r="1672" spans="25:26" x14ac:dyDescent="0.2">
      <c r="Y1672" s="1" t="s">
        <v>2513</v>
      </c>
      <c r="Z1672" s="1" t="s">
        <v>836</v>
      </c>
    </row>
    <row r="1673" spans="25:26" x14ac:dyDescent="0.2">
      <c r="Y1673" s="1" t="s">
        <v>2514</v>
      </c>
      <c r="Z1673" s="1" t="s">
        <v>841</v>
      </c>
    </row>
    <row r="1674" spans="25:26" x14ac:dyDescent="0.2">
      <c r="Y1674" s="1" t="s">
        <v>2515</v>
      </c>
      <c r="Z1674" s="1" t="s">
        <v>851</v>
      </c>
    </row>
    <row r="1675" spans="25:26" x14ac:dyDescent="0.2">
      <c r="Y1675" s="1" t="s">
        <v>2516</v>
      </c>
      <c r="Z1675" s="1" t="s">
        <v>836</v>
      </c>
    </row>
    <row r="1676" spans="25:26" x14ac:dyDescent="0.2">
      <c r="Y1676" s="1" t="s">
        <v>2517</v>
      </c>
      <c r="Z1676" s="1" t="s">
        <v>836</v>
      </c>
    </row>
    <row r="1677" spans="25:26" x14ac:dyDescent="0.2">
      <c r="Y1677" s="1" t="s">
        <v>2518</v>
      </c>
      <c r="Z1677" s="1" t="s">
        <v>836</v>
      </c>
    </row>
    <row r="1678" spans="25:26" x14ac:dyDescent="0.2">
      <c r="Y1678" s="1" t="s">
        <v>2519</v>
      </c>
      <c r="Z1678" s="1" t="s">
        <v>836</v>
      </c>
    </row>
    <row r="1679" spans="25:26" x14ac:dyDescent="0.2">
      <c r="Y1679" s="1" t="s">
        <v>2520</v>
      </c>
      <c r="Z1679" s="1" t="s">
        <v>836</v>
      </c>
    </row>
    <row r="1680" spans="25:26" x14ac:dyDescent="0.2">
      <c r="Y1680" s="1" t="s">
        <v>2521</v>
      </c>
      <c r="Z1680" s="1" t="s">
        <v>851</v>
      </c>
    </row>
    <row r="1681" spans="25:26" x14ac:dyDescent="0.2">
      <c r="Y1681" s="1" t="s">
        <v>2522</v>
      </c>
      <c r="Z1681" s="1" t="s">
        <v>841</v>
      </c>
    </row>
    <row r="1682" spans="25:26" x14ac:dyDescent="0.2">
      <c r="Y1682" s="1" t="s">
        <v>2523</v>
      </c>
      <c r="Z1682" s="1" t="s">
        <v>836</v>
      </c>
    </row>
    <row r="1683" spans="25:26" x14ac:dyDescent="0.2">
      <c r="Y1683" s="1" t="s">
        <v>2524</v>
      </c>
      <c r="Z1683" s="1" t="s">
        <v>851</v>
      </c>
    </row>
    <row r="1684" spans="25:26" x14ac:dyDescent="0.2">
      <c r="Y1684" s="1" t="s">
        <v>2525</v>
      </c>
      <c r="Z1684" s="1" t="s">
        <v>836</v>
      </c>
    </row>
    <row r="1685" spans="25:26" x14ac:dyDescent="0.2">
      <c r="Y1685" s="1" t="s">
        <v>2526</v>
      </c>
      <c r="Z1685" s="1" t="s">
        <v>839</v>
      </c>
    </row>
    <row r="1686" spans="25:26" x14ac:dyDescent="0.2">
      <c r="Y1686" s="1" t="s">
        <v>2527</v>
      </c>
      <c r="Z1686" s="1" t="s">
        <v>839</v>
      </c>
    </row>
    <row r="1687" spans="25:26" x14ac:dyDescent="0.2">
      <c r="Y1687" s="1" t="s">
        <v>2528</v>
      </c>
      <c r="Z1687" s="1" t="s">
        <v>841</v>
      </c>
    </row>
    <row r="1688" spans="25:26" x14ac:dyDescent="0.2">
      <c r="Y1688" s="1" t="s">
        <v>2529</v>
      </c>
      <c r="Z1688" s="1" t="s">
        <v>841</v>
      </c>
    </row>
    <row r="1689" spans="25:26" x14ac:dyDescent="0.2">
      <c r="Y1689" s="1" t="s">
        <v>2530</v>
      </c>
      <c r="Z1689" s="1" t="s">
        <v>841</v>
      </c>
    </row>
    <row r="1690" spans="25:26" x14ac:dyDescent="0.2">
      <c r="Y1690" s="1" t="s">
        <v>2531</v>
      </c>
      <c r="Z1690" s="1" t="s">
        <v>836</v>
      </c>
    </row>
    <row r="1691" spans="25:26" x14ac:dyDescent="0.2">
      <c r="Y1691" s="1" t="s">
        <v>2532</v>
      </c>
      <c r="Z1691" s="1" t="s">
        <v>841</v>
      </c>
    </row>
    <row r="1692" spans="25:26" x14ac:dyDescent="0.2">
      <c r="Y1692" s="1" t="s">
        <v>2533</v>
      </c>
      <c r="Z1692" s="1" t="s">
        <v>836</v>
      </c>
    </row>
    <row r="1693" spans="25:26" x14ac:dyDescent="0.2">
      <c r="Y1693" s="1" t="s">
        <v>2534</v>
      </c>
      <c r="Z1693" s="1" t="s">
        <v>841</v>
      </c>
    </row>
    <row r="1694" spans="25:26" x14ac:dyDescent="0.2">
      <c r="Y1694" s="1" t="s">
        <v>2535</v>
      </c>
      <c r="Z1694" s="1" t="s">
        <v>836</v>
      </c>
    </row>
    <row r="1695" spans="25:26" x14ac:dyDescent="0.2">
      <c r="Y1695" s="1" t="s">
        <v>2536</v>
      </c>
      <c r="Z1695" s="1" t="s">
        <v>845</v>
      </c>
    </row>
    <row r="1696" spans="25:26" x14ac:dyDescent="0.2">
      <c r="Y1696" s="1" t="s">
        <v>2537</v>
      </c>
      <c r="Z1696" s="1" t="s">
        <v>841</v>
      </c>
    </row>
    <row r="1697" spans="25:26" x14ac:dyDescent="0.2">
      <c r="Y1697" s="1" t="s">
        <v>2538</v>
      </c>
      <c r="Z1697" s="1" t="s">
        <v>843</v>
      </c>
    </row>
    <row r="1698" spans="25:26" x14ac:dyDescent="0.2">
      <c r="Y1698" s="1" t="s">
        <v>2539</v>
      </c>
      <c r="Z1698" s="1" t="s">
        <v>836</v>
      </c>
    </row>
    <row r="1699" spans="25:26" x14ac:dyDescent="0.2">
      <c r="Y1699" s="1" t="s">
        <v>2540</v>
      </c>
      <c r="Z1699" s="1" t="s">
        <v>841</v>
      </c>
    </row>
    <row r="1700" spans="25:26" x14ac:dyDescent="0.2">
      <c r="Y1700" s="1" t="s">
        <v>2541</v>
      </c>
      <c r="Z1700" s="1" t="s">
        <v>836</v>
      </c>
    </row>
    <row r="1701" spans="25:26" x14ac:dyDescent="0.2">
      <c r="Y1701" s="1" t="s">
        <v>2542</v>
      </c>
      <c r="Z1701" s="1" t="s">
        <v>841</v>
      </c>
    </row>
    <row r="1702" spans="25:26" x14ac:dyDescent="0.2">
      <c r="Y1702" s="1" t="s">
        <v>2543</v>
      </c>
      <c r="Z1702" s="1" t="s">
        <v>836</v>
      </c>
    </row>
    <row r="1703" spans="25:26" x14ac:dyDescent="0.2">
      <c r="Y1703" s="1" t="s">
        <v>2544</v>
      </c>
      <c r="Z1703" s="1" t="s">
        <v>836</v>
      </c>
    </row>
    <row r="1704" spans="25:26" x14ac:dyDescent="0.2">
      <c r="Y1704" s="1" t="s">
        <v>2545</v>
      </c>
      <c r="Z1704" s="1" t="s">
        <v>836</v>
      </c>
    </row>
    <row r="1705" spans="25:26" x14ac:dyDescent="0.2">
      <c r="Y1705" s="1" t="s">
        <v>2546</v>
      </c>
      <c r="Z1705" s="1" t="s">
        <v>845</v>
      </c>
    </row>
    <row r="1706" spans="25:26" x14ac:dyDescent="0.2">
      <c r="Y1706" s="1" t="s">
        <v>2547</v>
      </c>
      <c r="Z1706" s="1" t="s">
        <v>845</v>
      </c>
    </row>
    <row r="1707" spans="25:26" x14ac:dyDescent="0.2">
      <c r="Y1707" s="1" t="s">
        <v>2548</v>
      </c>
      <c r="Z1707" s="1" t="s">
        <v>836</v>
      </c>
    </row>
    <row r="1708" spans="25:26" x14ac:dyDescent="0.2">
      <c r="Y1708" s="1" t="s">
        <v>2549</v>
      </c>
      <c r="Z1708" s="1" t="s">
        <v>836</v>
      </c>
    </row>
    <row r="1709" spans="25:26" x14ac:dyDescent="0.2">
      <c r="Y1709" s="1" t="s">
        <v>2550</v>
      </c>
      <c r="Z1709" s="1" t="s">
        <v>841</v>
      </c>
    </row>
    <row r="1710" spans="25:26" x14ac:dyDescent="0.2">
      <c r="Y1710" s="1" t="s">
        <v>2551</v>
      </c>
      <c r="Z1710" s="1" t="s">
        <v>836</v>
      </c>
    </row>
    <row r="1711" spans="25:26" x14ac:dyDescent="0.2">
      <c r="Y1711" s="1" t="s">
        <v>2552</v>
      </c>
      <c r="Z1711" s="1" t="s">
        <v>839</v>
      </c>
    </row>
    <row r="1712" spans="25:26" x14ac:dyDescent="0.2">
      <c r="Y1712" s="1" t="s">
        <v>2553</v>
      </c>
      <c r="Z1712" s="1" t="s">
        <v>836</v>
      </c>
    </row>
    <row r="1713" spans="25:26" x14ac:dyDescent="0.2">
      <c r="Y1713" s="1" t="s">
        <v>2554</v>
      </c>
      <c r="Z1713" s="1" t="s">
        <v>836</v>
      </c>
    </row>
    <row r="1714" spans="25:26" x14ac:dyDescent="0.2">
      <c r="Y1714" s="1" t="s">
        <v>2555</v>
      </c>
      <c r="Z1714" s="1" t="s">
        <v>851</v>
      </c>
    </row>
    <row r="1715" spans="25:26" x14ac:dyDescent="0.2">
      <c r="Y1715" s="1" t="s">
        <v>2556</v>
      </c>
      <c r="Z1715" s="1" t="s">
        <v>851</v>
      </c>
    </row>
    <row r="1716" spans="25:26" x14ac:dyDescent="0.2">
      <c r="Y1716" s="1" t="s">
        <v>2557</v>
      </c>
      <c r="Z1716" s="1" t="s">
        <v>836</v>
      </c>
    </row>
    <row r="1717" spans="25:26" x14ac:dyDescent="0.2">
      <c r="Y1717" s="1" t="s">
        <v>2558</v>
      </c>
      <c r="Z1717" s="1" t="s">
        <v>836</v>
      </c>
    </row>
    <row r="1718" spans="25:26" x14ac:dyDescent="0.2">
      <c r="Y1718" s="1" t="s">
        <v>2559</v>
      </c>
      <c r="Z1718" s="1" t="s">
        <v>841</v>
      </c>
    </row>
    <row r="1719" spans="25:26" x14ac:dyDescent="0.2">
      <c r="Y1719" s="1" t="s">
        <v>2560</v>
      </c>
      <c r="Z1719" s="1" t="s">
        <v>836</v>
      </c>
    </row>
    <row r="1720" spans="25:26" x14ac:dyDescent="0.2">
      <c r="Y1720" s="1" t="s">
        <v>2561</v>
      </c>
      <c r="Z1720" s="1" t="s">
        <v>839</v>
      </c>
    </row>
    <row r="1721" spans="25:26" x14ac:dyDescent="0.2">
      <c r="Y1721" s="1" t="s">
        <v>2562</v>
      </c>
      <c r="Z1721" s="1" t="s">
        <v>836</v>
      </c>
    </row>
    <row r="1722" spans="25:26" x14ac:dyDescent="0.2">
      <c r="Y1722" s="1" t="s">
        <v>2563</v>
      </c>
      <c r="Z1722" s="1" t="s">
        <v>836</v>
      </c>
    </row>
    <row r="1723" spans="25:26" x14ac:dyDescent="0.2">
      <c r="Y1723" s="1" t="s">
        <v>2564</v>
      </c>
      <c r="Z1723" s="1" t="s">
        <v>841</v>
      </c>
    </row>
    <row r="1724" spans="25:26" x14ac:dyDescent="0.2">
      <c r="Y1724" s="1" t="s">
        <v>2565</v>
      </c>
      <c r="Z1724" s="1" t="s">
        <v>841</v>
      </c>
    </row>
    <row r="1725" spans="25:26" x14ac:dyDescent="0.2">
      <c r="Y1725" s="1" t="s">
        <v>2566</v>
      </c>
      <c r="Z1725" s="1" t="s">
        <v>836</v>
      </c>
    </row>
    <row r="1726" spans="25:26" x14ac:dyDescent="0.2">
      <c r="Y1726" s="1" t="s">
        <v>2567</v>
      </c>
      <c r="Z1726" s="1" t="s">
        <v>839</v>
      </c>
    </row>
    <row r="1727" spans="25:26" x14ac:dyDescent="0.2">
      <c r="Y1727" s="1" t="s">
        <v>2568</v>
      </c>
      <c r="Z1727" s="1" t="s">
        <v>836</v>
      </c>
    </row>
    <row r="1728" spans="25:26" x14ac:dyDescent="0.2">
      <c r="Y1728" s="1" t="s">
        <v>2569</v>
      </c>
      <c r="Z1728" s="1" t="s">
        <v>841</v>
      </c>
    </row>
    <row r="1729" spans="25:26" x14ac:dyDescent="0.2">
      <c r="Y1729" s="1" t="s">
        <v>2570</v>
      </c>
      <c r="Z1729" s="1" t="s">
        <v>965</v>
      </c>
    </row>
    <row r="1730" spans="25:26" x14ac:dyDescent="0.2">
      <c r="Y1730" s="1" t="s">
        <v>2571</v>
      </c>
      <c r="Z1730" s="1" t="s">
        <v>841</v>
      </c>
    </row>
    <row r="1731" spans="25:26" x14ac:dyDescent="0.2">
      <c r="Y1731" s="1" t="s">
        <v>2572</v>
      </c>
      <c r="Z1731" s="1" t="s">
        <v>851</v>
      </c>
    </row>
    <row r="1732" spans="25:26" x14ac:dyDescent="0.2">
      <c r="Y1732" s="1" t="s">
        <v>2573</v>
      </c>
      <c r="Z1732" s="1" t="s">
        <v>836</v>
      </c>
    </row>
    <row r="1733" spans="25:26" x14ac:dyDescent="0.2">
      <c r="Y1733" s="1" t="s">
        <v>2574</v>
      </c>
      <c r="Z1733" s="1" t="s">
        <v>841</v>
      </c>
    </row>
    <row r="1734" spans="25:26" x14ac:dyDescent="0.2">
      <c r="Y1734" s="1" t="s">
        <v>2575</v>
      </c>
      <c r="Z1734" s="1" t="s">
        <v>836</v>
      </c>
    </row>
    <row r="1735" spans="25:26" x14ac:dyDescent="0.2">
      <c r="Y1735" s="1" t="s">
        <v>2576</v>
      </c>
      <c r="Z1735" s="1" t="s">
        <v>851</v>
      </c>
    </row>
    <row r="1736" spans="25:26" x14ac:dyDescent="0.2">
      <c r="Y1736" s="1" t="s">
        <v>2577</v>
      </c>
      <c r="Z1736" s="1" t="s">
        <v>845</v>
      </c>
    </row>
    <row r="1737" spans="25:26" x14ac:dyDescent="0.2">
      <c r="Y1737" s="1" t="s">
        <v>2578</v>
      </c>
      <c r="Z1737" s="1" t="s">
        <v>845</v>
      </c>
    </row>
    <row r="1738" spans="25:26" x14ac:dyDescent="0.2">
      <c r="Y1738" s="1" t="s">
        <v>2579</v>
      </c>
      <c r="Z1738" s="1" t="s">
        <v>851</v>
      </c>
    </row>
    <row r="1739" spans="25:26" x14ac:dyDescent="0.2">
      <c r="Y1739" s="1" t="s">
        <v>2580</v>
      </c>
      <c r="Z1739" s="1" t="s">
        <v>836</v>
      </c>
    </row>
    <row r="1740" spans="25:26" x14ac:dyDescent="0.2">
      <c r="Y1740" s="1" t="s">
        <v>2581</v>
      </c>
      <c r="Z1740" s="1" t="s">
        <v>836</v>
      </c>
    </row>
    <row r="1741" spans="25:26" x14ac:dyDescent="0.2">
      <c r="Y1741" s="1" t="s">
        <v>2582</v>
      </c>
      <c r="Z1741" s="1" t="s">
        <v>841</v>
      </c>
    </row>
    <row r="1742" spans="25:26" x14ac:dyDescent="0.2">
      <c r="Y1742" s="1" t="s">
        <v>2583</v>
      </c>
      <c r="Z1742" s="1" t="s">
        <v>845</v>
      </c>
    </row>
    <row r="1743" spans="25:26" x14ac:dyDescent="0.2">
      <c r="Y1743" s="1" t="s">
        <v>2584</v>
      </c>
      <c r="Z1743" s="1" t="s">
        <v>965</v>
      </c>
    </row>
    <row r="1744" spans="25:26" x14ac:dyDescent="0.2">
      <c r="Y1744" s="1" t="s">
        <v>2585</v>
      </c>
      <c r="Z1744" s="1" t="s">
        <v>839</v>
      </c>
    </row>
    <row r="1745" spans="25:26" x14ac:dyDescent="0.2">
      <c r="Y1745" s="1" t="s">
        <v>2586</v>
      </c>
      <c r="Z1745" s="1" t="s">
        <v>836</v>
      </c>
    </row>
    <row r="1746" spans="25:26" x14ac:dyDescent="0.2">
      <c r="Y1746" s="1" t="s">
        <v>2587</v>
      </c>
      <c r="Z1746" s="1" t="s">
        <v>851</v>
      </c>
    </row>
    <row r="1747" spans="25:26" x14ac:dyDescent="0.2">
      <c r="Y1747" s="1" t="s">
        <v>2588</v>
      </c>
      <c r="Z1747" s="1" t="s">
        <v>851</v>
      </c>
    </row>
    <row r="1748" spans="25:26" x14ac:dyDescent="0.2">
      <c r="Y1748" s="1" t="s">
        <v>2589</v>
      </c>
      <c r="Z1748" s="1" t="s">
        <v>851</v>
      </c>
    </row>
    <row r="1749" spans="25:26" x14ac:dyDescent="0.2">
      <c r="Y1749" s="1" t="s">
        <v>2590</v>
      </c>
      <c r="Z1749" s="1" t="s">
        <v>965</v>
      </c>
    </row>
    <row r="1750" spans="25:26" x14ac:dyDescent="0.2">
      <c r="Y1750" s="1" t="s">
        <v>2591</v>
      </c>
      <c r="Z1750" s="1" t="s">
        <v>965</v>
      </c>
    </row>
    <row r="1751" spans="25:26" x14ac:dyDescent="0.2">
      <c r="Y1751" s="1" t="s">
        <v>2592</v>
      </c>
      <c r="Z1751" s="1" t="s">
        <v>845</v>
      </c>
    </row>
    <row r="1752" spans="25:26" x14ac:dyDescent="0.2">
      <c r="Y1752" s="1" t="s">
        <v>2593</v>
      </c>
      <c r="Z1752" s="1" t="s">
        <v>853</v>
      </c>
    </row>
    <row r="1753" spans="25:26" x14ac:dyDescent="0.2">
      <c r="Y1753" s="1" t="s">
        <v>2594</v>
      </c>
      <c r="Z1753" s="1" t="s">
        <v>845</v>
      </c>
    </row>
    <row r="1754" spans="25:26" x14ac:dyDescent="0.2">
      <c r="Y1754" s="1" t="s">
        <v>2595</v>
      </c>
      <c r="Z1754" s="1" t="s">
        <v>843</v>
      </c>
    </row>
    <row r="1755" spans="25:26" x14ac:dyDescent="0.2">
      <c r="Y1755" s="1" t="s">
        <v>2596</v>
      </c>
      <c r="Z1755" s="1" t="s">
        <v>841</v>
      </c>
    </row>
    <row r="1756" spans="25:26" x14ac:dyDescent="0.2">
      <c r="Y1756" s="1" t="s">
        <v>2597</v>
      </c>
      <c r="Z1756" s="1" t="s">
        <v>851</v>
      </c>
    </row>
    <row r="1757" spans="25:26" x14ac:dyDescent="0.2">
      <c r="Y1757" s="1" t="s">
        <v>2598</v>
      </c>
      <c r="Z1757" s="1" t="s">
        <v>845</v>
      </c>
    </row>
    <row r="1758" spans="25:26" x14ac:dyDescent="0.2">
      <c r="Y1758" s="1" t="s">
        <v>2599</v>
      </c>
      <c r="Z1758" s="1" t="s">
        <v>845</v>
      </c>
    </row>
    <row r="1759" spans="25:26" x14ac:dyDescent="0.2">
      <c r="Y1759" s="1" t="s">
        <v>2600</v>
      </c>
      <c r="Z1759" s="1" t="s">
        <v>845</v>
      </c>
    </row>
    <row r="1760" spans="25:26" x14ac:dyDescent="0.2">
      <c r="Y1760" s="1" t="s">
        <v>2601</v>
      </c>
      <c r="Z1760" s="1" t="s">
        <v>845</v>
      </c>
    </row>
    <row r="1761" spans="25:26" x14ac:dyDescent="0.2">
      <c r="Y1761" s="1" t="s">
        <v>2602</v>
      </c>
      <c r="Z1761" s="1" t="s">
        <v>843</v>
      </c>
    </row>
    <row r="1762" spans="25:26" x14ac:dyDescent="0.2">
      <c r="Y1762" s="1" t="s">
        <v>2603</v>
      </c>
      <c r="Z1762" s="1" t="s">
        <v>836</v>
      </c>
    </row>
    <row r="1763" spans="25:26" x14ac:dyDescent="0.2">
      <c r="Y1763" s="1" t="s">
        <v>2604</v>
      </c>
      <c r="Z1763" s="1" t="s">
        <v>841</v>
      </c>
    </row>
    <row r="1764" spans="25:26" x14ac:dyDescent="0.2">
      <c r="Y1764" s="1" t="s">
        <v>2605</v>
      </c>
      <c r="Z1764" s="1" t="s">
        <v>841</v>
      </c>
    </row>
    <row r="1765" spans="25:26" x14ac:dyDescent="0.2">
      <c r="Y1765" s="1" t="s">
        <v>2606</v>
      </c>
      <c r="Z1765" s="1" t="s">
        <v>841</v>
      </c>
    </row>
    <row r="1766" spans="25:26" x14ac:dyDescent="0.2">
      <c r="Y1766" s="1" t="s">
        <v>2607</v>
      </c>
      <c r="Z1766" s="1" t="s">
        <v>845</v>
      </c>
    </row>
    <row r="1767" spans="25:26" x14ac:dyDescent="0.2">
      <c r="Y1767" s="1" t="s">
        <v>2608</v>
      </c>
      <c r="Z1767" s="1" t="s">
        <v>845</v>
      </c>
    </row>
    <row r="1768" spans="25:26" x14ac:dyDescent="0.2">
      <c r="Y1768" s="1" t="s">
        <v>2609</v>
      </c>
      <c r="Z1768" s="1" t="s">
        <v>845</v>
      </c>
    </row>
    <row r="1769" spans="25:26" x14ac:dyDescent="0.2">
      <c r="Y1769" s="1" t="s">
        <v>2610</v>
      </c>
      <c r="Z1769" s="1" t="s">
        <v>836</v>
      </c>
    </row>
    <row r="1770" spans="25:26" x14ac:dyDescent="0.2">
      <c r="Y1770" s="1" t="s">
        <v>2611</v>
      </c>
      <c r="Z1770" s="1" t="s">
        <v>836</v>
      </c>
    </row>
    <row r="1771" spans="25:26" x14ac:dyDescent="0.2">
      <c r="Y1771" s="1" t="s">
        <v>2612</v>
      </c>
      <c r="Z1771" s="1" t="s">
        <v>839</v>
      </c>
    </row>
    <row r="1772" spans="25:26" x14ac:dyDescent="0.2">
      <c r="Y1772" s="1" t="s">
        <v>2613</v>
      </c>
      <c r="Z1772" s="1" t="s">
        <v>841</v>
      </c>
    </row>
    <row r="1773" spans="25:26" x14ac:dyDescent="0.2">
      <c r="Y1773" s="1" t="s">
        <v>2614</v>
      </c>
      <c r="Z1773" s="1" t="s">
        <v>836</v>
      </c>
    </row>
    <row r="1774" spans="25:26" x14ac:dyDescent="0.2">
      <c r="Y1774" s="1" t="s">
        <v>2615</v>
      </c>
      <c r="Z1774" s="1" t="s">
        <v>836</v>
      </c>
    </row>
    <row r="1775" spans="25:26" x14ac:dyDescent="0.2">
      <c r="Y1775" s="1" t="s">
        <v>2616</v>
      </c>
      <c r="Z1775" s="1" t="s">
        <v>836</v>
      </c>
    </row>
    <row r="1776" spans="25:26" x14ac:dyDescent="0.2">
      <c r="Y1776" s="1" t="s">
        <v>2617</v>
      </c>
      <c r="Z1776" s="1" t="s">
        <v>836</v>
      </c>
    </row>
    <row r="1777" spans="25:26" x14ac:dyDescent="0.2">
      <c r="Y1777" s="1" t="s">
        <v>2618</v>
      </c>
      <c r="Z1777" s="1" t="s">
        <v>851</v>
      </c>
    </row>
    <row r="1778" spans="25:26" x14ac:dyDescent="0.2">
      <c r="Y1778" s="1" t="s">
        <v>2619</v>
      </c>
      <c r="Z1778" s="1" t="s">
        <v>836</v>
      </c>
    </row>
    <row r="1779" spans="25:26" x14ac:dyDescent="0.2">
      <c r="Y1779" s="1" t="s">
        <v>2620</v>
      </c>
      <c r="Z1779" s="1" t="s">
        <v>853</v>
      </c>
    </row>
    <row r="1780" spans="25:26" x14ac:dyDescent="0.2">
      <c r="Y1780" s="1" t="s">
        <v>2621</v>
      </c>
      <c r="Z1780" s="1" t="s">
        <v>836</v>
      </c>
    </row>
    <row r="1781" spans="25:26" x14ac:dyDescent="0.2">
      <c r="Y1781" s="1" t="s">
        <v>2622</v>
      </c>
      <c r="Z1781" s="1" t="s">
        <v>836</v>
      </c>
    </row>
    <row r="1782" spans="25:26" x14ac:dyDescent="0.2">
      <c r="Y1782" s="1" t="s">
        <v>2623</v>
      </c>
      <c r="Z1782" s="1" t="s">
        <v>836</v>
      </c>
    </row>
    <row r="1783" spans="25:26" x14ac:dyDescent="0.2">
      <c r="Y1783" s="1" t="s">
        <v>2624</v>
      </c>
      <c r="Z1783" s="1" t="s">
        <v>836</v>
      </c>
    </row>
    <row r="1784" spans="25:26" x14ac:dyDescent="0.2">
      <c r="Y1784" s="1" t="s">
        <v>2625</v>
      </c>
      <c r="Z1784" s="1" t="s">
        <v>841</v>
      </c>
    </row>
    <row r="1785" spans="25:26" x14ac:dyDescent="0.2">
      <c r="Y1785" s="1" t="s">
        <v>2626</v>
      </c>
      <c r="Z1785" s="1" t="s">
        <v>836</v>
      </c>
    </row>
    <row r="1786" spans="25:26" x14ac:dyDescent="0.2">
      <c r="Y1786" s="1" t="s">
        <v>2627</v>
      </c>
      <c r="Z1786" s="1" t="s">
        <v>843</v>
      </c>
    </row>
    <row r="1787" spans="25:26" x14ac:dyDescent="0.2">
      <c r="Y1787" s="1" t="s">
        <v>2628</v>
      </c>
      <c r="Z1787" s="1" t="s">
        <v>836</v>
      </c>
    </row>
    <row r="1788" spans="25:26" x14ac:dyDescent="0.2">
      <c r="Y1788" s="1" t="s">
        <v>2629</v>
      </c>
      <c r="Z1788" s="1" t="s">
        <v>839</v>
      </c>
    </row>
    <row r="1789" spans="25:26" x14ac:dyDescent="0.2">
      <c r="Y1789" s="1" t="s">
        <v>2630</v>
      </c>
      <c r="Z1789" s="1" t="s">
        <v>836</v>
      </c>
    </row>
    <row r="1790" spans="25:26" x14ac:dyDescent="0.2">
      <c r="Y1790" s="1" t="s">
        <v>2631</v>
      </c>
      <c r="Z1790" s="1" t="s">
        <v>851</v>
      </c>
    </row>
    <row r="1791" spans="25:26" x14ac:dyDescent="0.2">
      <c r="Y1791" s="1" t="s">
        <v>2632</v>
      </c>
      <c r="Z1791" s="1" t="s">
        <v>841</v>
      </c>
    </row>
    <row r="1792" spans="25:26" x14ac:dyDescent="0.2">
      <c r="Y1792" s="1" t="s">
        <v>2633</v>
      </c>
      <c r="Z1792" s="1" t="s">
        <v>836</v>
      </c>
    </row>
    <row r="1793" spans="25:26" x14ac:dyDescent="0.2">
      <c r="Y1793" s="1" t="s">
        <v>2634</v>
      </c>
      <c r="Z1793" s="1" t="s">
        <v>845</v>
      </c>
    </row>
    <row r="1794" spans="25:26" x14ac:dyDescent="0.2">
      <c r="Y1794" s="1" t="s">
        <v>2635</v>
      </c>
      <c r="Z1794" s="1" t="s">
        <v>845</v>
      </c>
    </row>
    <row r="1795" spans="25:26" x14ac:dyDescent="0.2">
      <c r="Y1795" s="1" t="s">
        <v>2636</v>
      </c>
      <c r="Z1795" s="1" t="s">
        <v>845</v>
      </c>
    </row>
    <row r="1796" spans="25:26" x14ac:dyDescent="0.2">
      <c r="Y1796" s="1" t="s">
        <v>2637</v>
      </c>
      <c r="Z1796" s="1" t="s">
        <v>841</v>
      </c>
    </row>
    <row r="1797" spans="25:26" x14ac:dyDescent="0.2">
      <c r="Y1797" s="1" t="s">
        <v>2638</v>
      </c>
      <c r="Z1797" s="1" t="s">
        <v>845</v>
      </c>
    </row>
    <row r="1798" spans="25:26" x14ac:dyDescent="0.2">
      <c r="Y1798" s="1" t="s">
        <v>2639</v>
      </c>
      <c r="Z1798" s="1" t="s">
        <v>839</v>
      </c>
    </row>
    <row r="1799" spans="25:26" x14ac:dyDescent="0.2">
      <c r="Y1799" s="1" t="s">
        <v>2640</v>
      </c>
      <c r="Z1799" s="1" t="s">
        <v>836</v>
      </c>
    </row>
    <row r="1800" spans="25:26" x14ac:dyDescent="0.2">
      <c r="Y1800" s="1" t="s">
        <v>2641</v>
      </c>
      <c r="Z1800" s="1" t="s">
        <v>843</v>
      </c>
    </row>
    <row r="1801" spans="25:26" x14ac:dyDescent="0.2">
      <c r="Y1801" s="1" t="s">
        <v>2642</v>
      </c>
      <c r="Z1801" s="1" t="s">
        <v>845</v>
      </c>
    </row>
    <row r="1802" spans="25:26" x14ac:dyDescent="0.2">
      <c r="Y1802" s="1" t="s">
        <v>2643</v>
      </c>
      <c r="Z1802" s="1" t="s">
        <v>836</v>
      </c>
    </row>
    <row r="1803" spans="25:26" x14ac:dyDescent="0.2">
      <c r="Y1803" s="1" t="s">
        <v>2644</v>
      </c>
      <c r="Z1803" s="1" t="s">
        <v>836</v>
      </c>
    </row>
    <row r="1804" spans="25:26" x14ac:dyDescent="0.2">
      <c r="Y1804" s="1" t="s">
        <v>2645</v>
      </c>
      <c r="Z1804" s="1" t="s">
        <v>841</v>
      </c>
    </row>
    <row r="1805" spans="25:26" x14ac:dyDescent="0.2">
      <c r="Y1805" s="1" t="s">
        <v>2646</v>
      </c>
      <c r="Z1805" s="1" t="s">
        <v>836</v>
      </c>
    </row>
    <row r="1806" spans="25:26" x14ac:dyDescent="0.2">
      <c r="Y1806" s="1" t="s">
        <v>2647</v>
      </c>
      <c r="Z1806" s="1" t="s">
        <v>851</v>
      </c>
    </row>
    <row r="1807" spans="25:26" x14ac:dyDescent="0.2">
      <c r="Y1807" s="1" t="s">
        <v>2648</v>
      </c>
      <c r="Z1807" s="1" t="s">
        <v>851</v>
      </c>
    </row>
    <row r="1808" spans="25:26" x14ac:dyDescent="0.2">
      <c r="Y1808" s="1" t="s">
        <v>2649</v>
      </c>
      <c r="Z1808" s="1" t="s">
        <v>845</v>
      </c>
    </row>
    <row r="1809" spans="25:26" x14ac:dyDescent="0.2">
      <c r="Y1809" s="1" t="s">
        <v>2650</v>
      </c>
      <c r="Z1809" s="1" t="s">
        <v>843</v>
      </c>
    </row>
    <row r="1810" spans="25:26" x14ac:dyDescent="0.2">
      <c r="Y1810" s="1" t="s">
        <v>2651</v>
      </c>
      <c r="Z1810" s="1" t="s">
        <v>839</v>
      </c>
    </row>
    <row r="1811" spans="25:26" x14ac:dyDescent="0.2">
      <c r="Y1811" s="1" t="s">
        <v>2652</v>
      </c>
      <c r="Z1811" s="1" t="s">
        <v>836</v>
      </c>
    </row>
    <row r="1812" spans="25:26" x14ac:dyDescent="0.2">
      <c r="Y1812" s="1" t="s">
        <v>2653</v>
      </c>
      <c r="Z1812" s="1" t="s">
        <v>836</v>
      </c>
    </row>
    <row r="1813" spans="25:26" x14ac:dyDescent="0.2">
      <c r="Y1813" s="1" t="s">
        <v>2654</v>
      </c>
      <c r="Z1813" s="1" t="s">
        <v>836</v>
      </c>
    </row>
    <row r="1814" spans="25:26" x14ac:dyDescent="0.2">
      <c r="Y1814" s="1" t="s">
        <v>2655</v>
      </c>
      <c r="Z1814" s="1" t="s">
        <v>836</v>
      </c>
    </row>
    <row r="1815" spans="25:26" x14ac:dyDescent="0.2">
      <c r="Y1815" s="1" t="s">
        <v>2656</v>
      </c>
      <c r="Z1815" s="1" t="s">
        <v>845</v>
      </c>
    </row>
    <row r="1816" spans="25:26" x14ac:dyDescent="0.2">
      <c r="Y1816" s="1" t="s">
        <v>2657</v>
      </c>
      <c r="Z1816" s="1" t="s">
        <v>845</v>
      </c>
    </row>
    <row r="1817" spans="25:26" x14ac:dyDescent="0.2">
      <c r="Y1817" s="1" t="s">
        <v>2658</v>
      </c>
      <c r="Z1817" s="1" t="s">
        <v>836</v>
      </c>
    </row>
    <row r="1818" spans="25:26" x14ac:dyDescent="0.2">
      <c r="Y1818" s="1" t="s">
        <v>2659</v>
      </c>
      <c r="Z1818" s="1" t="s">
        <v>836</v>
      </c>
    </row>
    <row r="1819" spans="25:26" x14ac:dyDescent="0.2">
      <c r="Y1819" s="1" t="s">
        <v>2660</v>
      </c>
      <c r="Z1819" s="1" t="s">
        <v>836</v>
      </c>
    </row>
    <row r="1820" spans="25:26" x14ac:dyDescent="0.2">
      <c r="Y1820" s="1" t="s">
        <v>2661</v>
      </c>
      <c r="Z1820" s="1" t="s">
        <v>843</v>
      </c>
    </row>
    <row r="1821" spans="25:26" x14ac:dyDescent="0.2">
      <c r="Y1821" s="1" t="s">
        <v>2662</v>
      </c>
      <c r="Z1821" s="1" t="s">
        <v>836</v>
      </c>
    </row>
    <row r="1822" spans="25:26" x14ac:dyDescent="0.2">
      <c r="Y1822" s="1" t="s">
        <v>2663</v>
      </c>
      <c r="Z1822" s="1" t="s">
        <v>836</v>
      </c>
    </row>
    <row r="1823" spans="25:26" x14ac:dyDescent="0.2">
      <c r="Y1823" s="1" t="s">
        <v>2664</v>
      </c>
      <c r="Z1823" s="1" t="s">
        <v>845</v>
      </c>
    </row>
    <row r="1824" spans="25:26" x14ac:dyDescent="0.2">
      <c r="Y1824" s="1" t="s">
        <v>2665</v>
      </c>
      <c r="Z1824" s="1" t="s">
        <v>853</v>
      </c>
    </row>
    <row r="1825" spans="25:26" x14ac:dyDescent="0.2">
      <c r="Y1825" s="1" t="s">
        <v>2666</v>
      </c>
      <c r="Z1825" s="1" t="s">
        <v>836</v>
      </c>
    </row>
    <row r="1826" spans="25:26" x14ac:dyDescent="0.2">
      <c r="Y1826" s="1" t="s">
        <v>2667</v>
      </c>
      <c r="Z1826" s="1" t="s">
        <v>845</v>
      </c>
    </row>
    <row r="1827" spans="25:26" x14ac:dyDescent="0.2">
      <c r="Y1827" s="1" t="s">
        <v>2668</v>
      </c>
      <c r="Z1827" s="1" t="s">
        <v>841</v>
      </c>
    </row>
    <row r="1828" spans="25:26" x14ac:dyDescent="0.2">
      <c r="Y1828" s="1" t="s">
        <v>2669</v>
      </c>
      <c r="Z1828" s="1" t="s">
        <v>839</v>
      </c>
    </row>
    <row r="1829" spans="25:26" x14ac:dyDescent="0.2">
      <c r="Y1829" s="1" t="s">
        <v>2670</v>
      </c>
      <c r="Z1829" s="1" t="s">
        <v>836</v>
      </c>
    </row>
    <row r="1830" spans="25:26" x14ac:dyDescent="0.2">
      <c r="Y1830" s="1" t="s">
        <v>2671</v>
      </c>
      <c r="Z1830" s="1" t="s">
        <v>836</v>
      </c>
    </row>
    <row r="1831" spans="25:26" x14ac:dyDescent="0.2">
      <c r="Y1831" s="1" t="s">
        <v>2672</v>
      </c>
      <c r="Z1831" s="1" t="s">
        <v>836</v>
      </c>
    </row>
    <row r="1832" spans="25:26" x14ac:dyDescent="0.2">
      <c r="Y1832" s="1" t="s">
        <v>2673</v>
      </c>
      <c r="Z1832" s="1" t="s">
        <v>836</v>
      </c>
    </row>
    <row r="1833" spans="25:26" x14ac:dyDescent="0.2">
      <c r="Y1833" s="1" t="s">
        <v>2674</v>
      </c>
      <c r="Z1833" s="1" t="s">
        <v>836</v>
      </c>
    </row>
    <row r="1834" spans="25:26" x14ac:dyDescent="0.2">
      <c r="Y1834" s="1" t="s">
        <v>2675</v>
      </c>
      <c r="Z1834" s="1" t="s">
        <v>836</v>
      </c>
    </row>
    <row r="1835" spans="25:26" x14ac:dyDescent="0.2">
      <c r="Y1835" s="1" t="s">
        <v>2676</v>
      </c>
      <c r="Z1835" s="1" t="s">
        <v>836</v>
      </c>
    </row>
    <row r="1836" spans="25:26" x14ac:dyDescent="0.2">
      <c r="Y1836" s="1" t="s">
        <v>2677</v>
      </c>
      <c r="Z1836" s="1" t="s">
        <v>843</v>
      </c>
    </row>
    <row r="1837" spans="25:26" x14ac:dyDescent="0.2">
      <c r="Y1837" s="1" t="s">
        <v>2678</v>
      </c>
      <c r="Z1837" s="1" t="s">
        <v>845</v>
      </c>
    </row>
    <row r="1838" spans="25:26" x14ac:dyDescent="0.2">
      <c r="Y1838" s="1" t="s">
        <v>2679</v>
      </c>
      <c r="Z1838" s="1" t="s">
        <v>851</v>
      </c>
    </row>
    <row r="1839" spans="25:26" x14ac:dyDescent="0.2">
      <c r="Y1839" s="1" t="s">
        <v>2680</v>
      </c>
      <c r="Z1839" s="1" t="s">
        <v>845</v>
      </c>
    </row>
    <row r="1840" spans="25:26" x14ac:dyDescent="0.2">
      <c r="Y1840" s="1" t="s">
        <v>2681</v>
      </c>
      <c r="Z1840" s="1" t="s">
        <v>851</v>
      </c>
    </row>
    <row r="1841" spans="25:26" x14ac:dyDescent="0.2">
      <c r="Y1841" s="1" t="s">
        <v>2682</v>
      </c>
      <c r="Z1841" s="1" t="s">
        <v>997</v>
      </c>
    </row>
    <row r="1842" spans="25:26" x14ac:dyDescent="0.2">
      <c r="Y1842" s="1" t="s">
        <v>2683</v>
      </c>
      <c r="Z1842" s="1" t="s">
        <v>851</v>
      </c>
    </row>
    <row r="1843" spans="25:26" x14ac:dyDescent="0.2">
      <c r="Y1843" s="1" t="s">
        <v>2684</v>
      </c>
      <c r="Z1843" s="1" t="s">
        <v>965</v>
      </c>
    </row>
    <row r="1844" spans="25:26" x14ac:dyDescent="0.2">
      <c r="Y1844" s="1" t="s">
        <v>2685</v>
      </c>
      <c r="Z1844" s="1" t="s">
        <v>841</v>
      </c>
    </row>
    <row r="1845" spans="25:26" x14ac:dyDescent="0.2">
      <c r="Y1845" s="1" t="s">
        <v>2686</v>
      </c>
      <c r="Z1845" s="1" t="s">
        <v>845</v>
      </c>
    </row>
    <row r="1846" spans="25:26" x14ac:dyDescent="0.2">
      <c r="Y1846" s="1" t="s">
        <v>2687</v>
      </c>
      <c r="Z1846" s="1" t="s">
        <v>845</v>
      </c>
    </row>
    <row r="1847" spans="25:26" x14ac:dyDescent="0.2">
      <c r="Y1847" s="1" t="s">
        <v>2688</v>
      </c>
      <c r="Z1847" s="1" t="s">
        <v>845</v>
      </c>
    </row>
    <row r="1848" spans="25:26" x14ac:dyDescent="0.2">
      <c r="Y1848" s="1" t="s">
        <v>2689</v>
      </c>
      <c r="Z1848" s="1" t="s">
        <v>845</v>
      </c>
    </row>
    <row r="1849" spans="25:26" x14ac:dyDescent="0.2">
      <c r="Y1849" s="1" t="s">
        <v>2690</v>
      </c>
      <c r="Z1849" s="1" t="s">
        <v>845</v>
      </c>
    </row>
    <row r="1850" spans="25:26" x14ac:dyDescent="0.2">
      <c r="Y1850" s="1" t="s">
        <v>2691</v>
      </c>
      <c r="Z1850" s="1" t="s">
        <v>841</v>
      </c>
    </row>
    <row r="1851" spans="25:26" x14ac:dyDescent="0.2">
      <c r="Y1851" s="1" t="s">
        <v>2692</v>
      </c>
      <c r="Z1851" s="1" t="s">
        <v>997</v>
      </c>
    </row>
    <row r="1852" spans="25:26" x14ac:dyDescent="0.2">
      <c r="Y1852" s="1" t="s">
        <v>2693</v>
      </c>
      <c r="Z1852" s="1" t="s">
        <v>845</v>
      </c>
    </row>
    <row r="1853" spans="25:26" x14ac:dyDescent="0.2">
      <c r="Y1853" s="1" t="s">
        <v>2694</v>
      </c>
      <c r="Z1853" s="1" t="s">
        <v>845</v>
      </c>
    </row>
    <row r="1854" spans="25:26" x14ac:dyDescent="0.2">
      <c r="Y1854" s="1" t="s">
        <v>2695</v>
      </c>
      <c r="Z1854" s="1" t="s">
        <v>845</v>
      </c>
    </row>
    <row r="1855" spans="25:26" x14ac:dyDescent="0.2">
      <c r="Y1855" s="1" t="s">
        <v>2696</v>
      </c>
      <c r="Z1855" s="1" t="s">
        <v>845</v>
      </c>
    </row>
    <row r="1856" spans="25:26" x14ac:dyDescent="0.2">
      <c r="Y1856" s="1" t="s">
        <v>2697</v>
      </c>
      <c r="Z1856" s="1" t="s">
        <v>843</v>
      </c>
    </row>
    <row r="1857" spans="25:26" x14ac:dyDescent="0.2">
      <c r="Y1857" s="1" t="s">
        <v>2698</v>
      </c>
      <c r="Z1857" s="1" t="s">
        <v>843</v>
      </c>
    </row>
    <row r="1858" spans="25:26" x14ac:dyDescent="0.2">
      <c r="Y1858" s="1" t="s">
        <v>2699</v>
      </c>
      <c r="Z1858" s="1" t="s">
        <v>836</v>
      </c>
    </row>
    <row r="1859" spans="25:26" x14ac:dyDescent="0.2">
      <c r="Y1859" s="1" t="s">
        <v>2700</v>
      </c>
      <c r="Z1859" s="1" t="s">
        <v>836</v>
      </c>
    </row>
    <row r="1860" spans="25:26" x14ac:dyDescent="0.2">
      <c r="Y1860" s="1" t="s">
        <v>2701</v>
      </c>
      <c r="Z1860" s="1" t="s">
        <v>836</v>
      </c>
    </row>
    <row r="1861" spans="25:26" x14ac:dyDescent="0.2">
      <c r="Y1861" s="1" t="s">
        <v>2702</v>
      </c>
      <c r="Z1861" s="1" t="s">
        <v>836</v>
      </c>
    </row>
    <row r="1862" spans="25:26" x14ac:dyDescent="0.2">
      <c r="Y1862" s="1" t="s">
        <v>2703</v>
      </c>
      <c r="Z1862" s="1" t="s">
        <v>843</v>
      </c>
    </row>
    <row r="1863" spans="25:26" x14ac:dyDescent="0.2">
      <c r="Y1863" s="1" t="s">
        <v>2704</v>
      </c>
      <c r="Z1863" s="1" t="s">
        <v>841</v>
      </c>
    </row>
    <row r="1864" spans="25:26" x14ac:dyDescent="0.2">
      <c r="Y1864" s="1" t="s">
        <v>2705</v>
      </c>
      <c r="Z1864" s="1" t="s">
        <v>836</v>
      </c>
    </row>
    <row r="1865" spans="25:26" x14ac:dyDescent="0.2">
      <c r="Y1865" s="1" t="s">
        <v>2706</v>
      </c>
      <c r="Z1865" s="1" t="s">
        <v>845</v>
      </c>
    </row>
    <row r="1866" spans="25:26" x14ac:dyDescent="0.2">
      <c r="Y1866" s="1" t="s">
        <v>2707</v>
      </c>
      <c r="Z1866" s="1" t="s">
        <v>839</v>
      </c>
    </row>
    <row r="1867" spans="25:26" x14ac:dyDescent="0.2">
      <c r="Y1867" s="1" t="s">
        <v>2708</v>
      </c>
      <c r="Z1867" s="1" t="s">
        <v>839</v>
      </c>
    </row>
    <row r="1868" spans="25:26" x14ac:dyDescent="0.2">
      <c r="Y1868" s="1" t="s">
        <v>2709</v>
      </c>
      <c r="Z1868" s="1" t="s">
        <v>851</v>
      </c>
    </row>
    <row r="1869" spans="25:26" x14ac:dyDescent="0.2">
      <c r="Y1869" s="1" t="s">
        <v>2710</v>
      </c>
      <c r="Z1869" s="1" t="s">
        <v>836</v>
      </c>
    </row>
    <row r="1870" spans="25:26" x14ac:dyDescent="0.2">
      <c r="Y1870" s="1" t="s">
        <v>2711</v>
      </c>
      <c r="Z1870" s="1" t="s">
        <v>839</v>
      </c>
    </row>
    <row r="1871" spans="25:26" x14ac:dyDescent="0.2">
      <c r="Y1871" s="1" t="s">
        <v>2712</v>
      </c>
      <c r="Z1871" s="1" t="s">
        <v>841</v>
      </c>
    </row>
    <row r="1872" spans="25:26" x14ac:dyDescent="0.2">
      <c r="Y1872" s="1" t="s">
        <v>2713</v>
      </c>
      <c r="Z1872" s="1" t="s">
        <v>845</v>
      </c>
    </row>
    <row r="1873" spans="25:26" x14ac:dyDescent="0.2">
      <c r="Y1873" s="1" t="s">
        <v>2714</v>
      </c>
      <c r="Z1873" s="1" t="s">
        <v>845</v>
      </c>
    </row>
    <row r="1874" spans="25:26" x14ac:dyDescent="0.2">
      <c r="Y1874" s="1" t="s">
        <v>2715</v>
      </c>
      <c r="Z1874" s="1" t="s">
        <v>839</v>
      </c>
    </row>
    <row r="1875" spans="25:26" x14ac:dyDescent="0.2">
      <c r="Y1875" s="1" t="s">
        <v>2716</v>
      </c>
      <c r="Z1875" s="1" t="s">
        <v>843</v>
      </c>
    </row>
    <row r="1876" spans="25:26" x14ac:dyDescent="0.2">
      <c r="Y1876" s="1" t="s">
        <v>2717</v>
      </c>
      <c r="Z1876" s="1" t="s">
        <v>843</v>
      </c>
    </row>
    <row r="1877" spans="25:26" x14ac:dyDescent="0.2">
      <c r="Y1877" s="1" t="s">
        <v>2718</v>
      </c>
      <c r="Z1877" s="1" t="s">
        <v>845</v>
      </c>
    </row>
    <row r="1878" spans="25:26" x14ac:dyDescent="0.2">
      <c r="Y1878" s="1" t="s">
        <v>2719</v>
      </c>
      <c r="Z1878" s="1" t="s">
        <v>836</v>
      </c>
    </row>
    <row r="1879" spans="25:26" x14ac:dyDescent="0.2">
      <c r="Y1879" s="1" t="s">
        <v>2720</v>
      </c>
      <c r="Z1879" s="1" t="s">
        <v>836</v>
      </c>
    </row>
    <row r="1880" spans="25:26" x14ac:dyDescent="0.2">
      <c r="Y1880" s="1" t="s">
        <v>2721</v>
      </c>
      <c r="Z1880" s="1" t="s">
        <v>836</v>
      </c>
    </row>
    <row r="1881" spans="25:26" x14ac:dyDescent="0.2">
      <c r="Y1881" s="1" t="s">
        <v>2722</v>
      </c>
      <c r="Z1881" s="1" t="s">
        <v>843</v>
      </c>
    </row>
    <row r="1882" spans="25:26" x14ac:dyDescent="0.2">
      <c r="Y1882" s="1" t="s">
        <v>2723</v>
      </c>
      <c r="Z1882" s="1" t="s">
        <v>836</v>
      </c>
    </row>
    <row r="1883" spans="25:26" x14ac:dyDescent="0.2">
      <c r="Y1883" s="1" t="s">
        <v>2724</v>
      </c>
      <c r="Z1883" s="1" t="s">
        <v>836</v>
      </c>
    </row>
    <row r="1884" spans="25:26" x14ac:dyDescent="0.2">
      <c r="Y1884" s="1" t="s">
        <v>2725</v>
      </c>
      <c r="Z1884" s="1" t="s">
        <v>836</v>
      </c>
    </row>
    <row r="1885" spans="25:26" x14ac:dyDescent="0.2">
      <c r="Y1885" s="1" t="s">
        <v>2726</v>
      </c>
      <c r="Z1885" s="1" t="s">
        <v>836</v>
      </c>
    </row>
    <row r="1886" spans="25:26" x14ac:dyDescent="0.2">
      <c r="Y1886" s="1" t="s">
        <v>2727</v>
      </c>
      <c r="Z1886" s="1" t="s">
        <v>845</v>
      </c>
    </row>
    <row r="1887" spans="25:26" x14ac:dyDescent="0.2">
      <c r="Y1887" s="1" t="s">
        <v>2728</v>
      </c>
      <c r="Z1887" s="1" t="s">
        <v>836</v>
      </c>
    </row>
    <row r="1888" spans="25:26" x14ac:dyDescent="0.2">
      <c r="Y1888" s="1" t="s">
        <v>2729</v>
      </c>
      <c r="Z1888" s="1" t="s">
        <v>836</v>
      </c>
    </row>
    <row r="1889" spans="25:26" x14ac:dyDescent="0.2">
      <c r="Y1889" s="1" t="s">
        <v>2730</v>
      </c>
      <c r="Z1889" s="1" t="s">
        <v>836</v>
      </c>
    </row>
    <row r="1890" spans="25:26" x14ac:dyDescent="0.2">
      <c r="Y1890" s="1" t="s">
        <v>2731</v>
      </c>
      <c r="Z1890" s="1" t="s">
        <v>836</v>
      </c>
    </row>
    <row r="1891" spans="25:26" x14ac:dyDescent="0.2">
      <c r="Y1891" s="1" t="s">
        <v>2732</v>
      </c>
      <c r="Z1891" s="1" t="s">
        <v>836</v>
      </c>
    </row>
    <row r="1892" spans="25:26" x14ac:dyDescent="0.2">
      <c r="Y1892" s="1" t="s">
        <v>2733</v>
      </c>
      <c r="Z1892" s="1" t="s">
        <v>836</v>
      </c>
    </row>
    <row r="1893" spans="25:26" x14ac:dyDescent="0.2">
      <c r="Y1893" s="1" t="s">
        <v>2734</v>
      </c>
      <c r="Z1893" s="1" t="s">
        <v>841</v>
      </c>
    </row>
    <row r="1894" spans="25:26" x14ac:dyDescent="0.2">
      <c r="Y1894" s="1" t="s">
        <v>2735</v>
      </c>
      <c r="Z1894" s="1" t="s">
        <v>836</v>
      </c>
    </row>
    <row r="1895" spans="25:26" x14ac:dyDescent="0.2">
      <c r="Y1895" s="1" t="s">
        <v>2736</v>
      </c>
      <c r="Z1895" s="1" t="s">
        <v>836</v>
      </c>
    </row>
    <row r="1896" spans="25:26" x14ac:dyDescent="0.2">
      <c r="Y1896" s="1" t="s">
        <v>2737</v>
      </c>
      <c r="Z1896" s="1" t="s">
        <v>843</v>
      </c>
    </row>
    <row r="1897" spans="25:26" x14ac:dyDescent="0.2">
      <c r="Y1897" s="1" t="s">
        <v>2738</v>
      </c>
      <c r="Z1897" s="1" t="s">
        <v>836</v>
      </c>
    </row>
    <row r="1898" spans="25:26" x14ac:dyDescent="0.2">
      <c r="Y1898" s="1" t="s">
        <v>2739</v>
      </c>
      <c r="Z1898" s="1" t="s">
        <v>845</v>
      </c>
    </row>
    <row r="1899" spans="25:26" x14ac:dyDescent="0.2">
      <c r="Y1899" s="1" t="s">
        <v>2740</v>
      </c>
      <c r="Z1899" s="1" t="s">
        <v>841</v>
      </c>
    </row>
    <row r="1900" spans="25:26" x14ac:dyDescent="0.2">
      <c r="Y1900" s="1" t="s">
        <v>2741</v>
      </c>
      <c r="Z1900" s="1" t="s">
        <v>836</v>
      </c>
    </row>
    <row r="1901" spans="25:26" x14ac:dyDescent="0.2">
      <c r="Y1901" s="1" t="s">
        <v>2742</v>
      </c>
      <c r="Z1901" s="1" t="s">
        <v>836</v>
      </c>
    </row>
    <row r="1902" spans="25:26" x14ac:dyDescent="0.2">
      <c r="Y1902" s="1" t="s">
        <v>2743</v>
      </c>
      <c r="Z1902" s="1" t="s">
        <v>851</v>
      </c>
    </row>
    <row r="1903" spans="25:26" x14ac:dyDescent="0.2">
      <c r="Y1903" s="1" t="s">
        <v>2744</v>
      </c>
      <c r="Z1903" s="1" t="s">
        <v>836</v>
      </c>
    </row>
    <row r="1904" spans="25:26" x14ac:dyDescent="0.2">
      <c r="Y1904" s="1" t="s">
        <v>2745</v>
      </c>
      <c r="Z1904" s="1" t="s">
        <v>836</v>
      </c>
    </row>
    <row r="1905" spans="25:26" x14ac:dyDescent="0.2">
      <c r="Y1905" s="1" t="s">
        <v>2746</v>
      </c>
      <c r="Z1905" s="1" t="s">
        <v>836</v>
      </c>
    </row>
    <row r="1906" spans="25:26" x14ac:dyDescent="0.2">
      <c r="Y1906" s="1" t="s">
        <v>2747</v>
      </c>
      <c r="Z1906" s="1" t="s">
        <v>843</v>
      </c>
    </row>
    <row r="1907" spans="25:26" x14ac:dyDescent="0.2">
      <c r="Y1907" s="1" t="s">
        <v>2748</v>
      </c>
      <c r="Z1907" s="1" t="s">
        <v>841</v>
      </c>
    </row>
    <row r="1908" spans="25:26" x14ac:dyDescent="0.2">
      <c r="Y1908" s="1" t="s">
        <v>2749</v>
      </c>
      <c r="Z1908" s="1" t="s">
        <v>836</v>
      </c>
    </row>
    <row r="1909" spans="25:26" x14ac:dyDescent="0.2">
      <c r="Y1909" s="1" t="s">
        <v>2750</v>
      </c>
      <c r="Z1909" s="1" t="s">
        <v>836</v>
      </c>
    </row>
    <row r="1910" spans="25:26" x14ac:dyDescent="0.2">
      <c r="Y1910" s="1" t="s">
        <v>2751</v>
      </c>
      <c r="Z1910" s="1" t="s">
        <v>843</v>
      </c>
    </row>
    <row r="1911" spans="25:26" x14ac:dyDescent="0.2">
      <c r="Y1911" s="1" t="s">
        <v>2752</v>
      </c>
      <c r="Z1911" s="1" t="s">
        <v>836</v>
      </c>
    </row>
    <row r="1912" spans="25:26" x14ac:dyDescent="0.2">
      <c r="Y1912" s="1" t="s">
        <v>2753</v>
      </c>
      <c r="Z1912" s="1" t="s">
        <v>839</v>
      </c>
    </row>
    <row r="1913" spans="25:26" x14ac:dyDescent="0.2">
      <c r="Y1913" s="1" t="s">
        <v>2754</v>
      </c>
      <c r="Z1913" s="1" t="s">
        <v>836</v>
      </c>
    </row>
    <row r="1914" spans="25:26" x14ac:dyDescent="0.2">
      <c r="Y1914" s="1" t="s">
        <v>2755</v>
      </c>
      <c r="Z1914" s="1" t="s">
        <v>836</v>
      </c>
    </row>
    <row r="1915" spans="25:26" x14ac:dyDescent="0.2">
      <c r="Y1915" s="1" t="s">
        <v>2756</v>
      </c>
      <c r="Z1915" s="1" t="s">
        <v>836</v>
      </c>
    </row>
    <row r="1916" spans="25:26" x14ac:dyDescent="0.2">
      <c r="Y1916" s="1" t="s">
        <v>2757</v>
      </c>
      <c r="Z1916" s="1" t="s">
        <v>836</v>
      </c>
    </row>
    <row r="1917" spans="25:26" x14ac:dyDescent="0.2">
      <c r="Y1917" s="1" t="s">
        <v>2758</v>
      </c>
      <c r="Z1917" s="1" t="s">
        <v>836</v>
      </c>
    </row>
    <row r="1918" spans="25:26" x14ac:dyDescent="0.2">
      <c r="Y1918" s="1" t="s">
        <v>2759</v>
      </c>
      <c r="Z1918" s="1" t="s">
        <v>836</v>
      </c>
    </row>
    <row r="1919" spans="25:26" x14ac:dyDescent="0.2">
      <c r="Y1919" s="1" t="s">
        <v>2760</v>
      </c>
      <c r="Z1919" s="1" t="s">
        <v>836</v>
      </c>
    </row>
    <row r="1920" spans="25:26" x14ac:dyDescent="0.2">
      <c r="Y1920" s="1" t="s">
        <v>2761</v>
      </c>
      <c r="Z1920" s="1" t="s">
        <v>836</v>
      </c>
    </row>
    <row r="1921" spans="25:26" x14ac:dyDescent="0.2">
      <c r="Y1921" s="1" t="s">
        <v>2762</v>
      </c>
      <c r="Z1921" s="1" t="s">
        <v>836</v>
      </c>
    </row>
    <row r="1922" spans="25:26" x14ac:dyDescent="0.2">
      <c r="Y1922" s="1" t="s">
        <v>2763</v>
      </c>
      <c r="Z1922" s="1" t="s">
        <v>836</v>
      </c>
    </row>
    <row r="1923" spans="25:26" x14ac:dyDescent="0.2">
      <c r="Y1923" s="1" t="s">
        <v>2764</v>
      </c>
      <c r="Z1923" s="1" t="s">
        <v>836</v>
      </c>
    </row>
    <row r="1924" spans="25:26" x14ac:dyDescent="0.2">
      <c r="Y1924" s="1" t="s">
        <v>2765</v>
      </c>
      <c r="Z1924" s="1" t="s">
        <v>851</v>
      </c>
    </row>
    <row r="1925" spans="25:26" x14ac:dyDescent="0.2">
      <c r="Y1925" s="1" t="s">
        <v>2766</v>
      </c>
      <c r="Z1925" s="1" t="s">
        <v>851</v>
      </c>
    </row>
    <row r="1926" spans="25:26" x14ac:dyDescent="0.2">
      <c r="Y1926" s="1" t="s">
        <v>2767</v>
      </c>
      <c r="Z1926" s="1" t="s">
        <v>851</v>
      </c>
    </row>
    <row r="1927" spans="25:26" x14ac:dyDescent="0.2">
      <c r="Y1927" s="1" t="s">
        <v>2768</v>
      </c>
      <c r="Z1927" s="1" t="s">
        <v>836</v>
      </c>
    </row>
    <row r="1928" spans="25:26" x14ac:dyDescent="0.2">
      <c r="Y1928" s="1" t="s">
        <v>2769</v>
      </c>
      <c r="Z1928" s="1" t="s">
        <v>836</v>
      </c>
    </row>
    <row r="1929" spans="25:26" x14ac:dyDescent="0.2">
      <c r="Y1929" s="1" t="s">
        <v>2770</v>
      </c>
      <c r="Z1929" s="1" t="s">
        <v>841</v>
      </c>
    </row>
    <row r="1930" spans="25:26" x14ac:dyDescent="0.2">
      <c r="Y1930" s="1" t="s">
        <v>2771</v>
      </c>
      <c r="Z1930" s="1" t="s">
        <v>841</v>
      </c>
    </row>
    <row r="1931" spans="25:26" x14ac:dyDescent="0.2">
      <c r="Y1931" s="1" t="s">
        <v>2772</v>
      </c>
      <c r="Z1931" s="1" t="s">
        <v>841</v>
      </c>
    </row>
    <row r="1932" spans="25:26" x14ac:dyDescent="0.2">
      <c r="Y1932" s="1" t="s">
        <v>2773</v>
      </c>
      <c r="Z1932" s="1" t="s">
        <v>836</v>
      </c>
    </row>
    <row r="1933" spans="25:26" x14ac:dyDescent="0.2">
      <c r="Y1933" s="1" t="s">
        <v>2774</v>
      </c>
      <c r="Z1933" s="1" t="s">
        <v>836</v>
      </c>
    </row>
    <row r="1934" spans="25:26" x14ac:dyDescent="0.2">
      <c r="Y1934" s="1" t="s">
        <v>2775</v>
      </c>
      <c r="Z1934" s="1" t="s">
        <v>836</v>
      </c>
    </row>
    <row r="1935" spans="25:26" x14ac:dyDescent="0.2">
      <c r="Y1935" s="1" t="s">
        <v>2776</v>
      </c>
      <c r="Z1935" s="1" t="s">
        <v>836</v>
      </c>
    </row>
    <row r="1936" spans="25:26" x14ac:dyDescent="0.2">
      <c r="Y1936" s="1" t="s">
        <v>2777</v>
      </c>
      <c r="Z1936" s="1" t="s">
        <v>836</v>
      </c>
    </row>
    <row r="1937" spans="25:26" x14ac:dyDescent="0.2">
      <c r="Y1937" s="1" t="s">
        <v>2778</v>
      </c>
      <c r="Z1937" s="1" t="s">
        <v>836</v>
      </c>
    </row>
    <row r="1938" spans="25:26" x14ac:dyDescent="0.2">
      <c r="Y1938" s="1" t="s">
        <v>2779</v>
      </c>
      <c r="Z1938" s="1" t="s">
        <v>836</v>
      </c>
    </row>
    <row r="1939" spans="25:26" x14ac:dyDescent="0.2">
      <c r="Y1939" s="1" t="s">
        <v>2780</v>
      </c>
      <c r="Z1939" s="1" t="s">
        <v>836</v>
      </c>
    </row>
    <row r="1940" spans="25:26" x14ac:dyDescent="0.2">
      <c r="Y1940" s="1" t="s">
        <v>2781</v>
      </c>
      <c r="Z1940" s="1" t="s">
        <v>841</v>
      </c>
    </row>
    <row r="1941" spans="25:26" x14ac:dyDescent="0.2">
      <c r="Y1941" s="1" t="s">
        <v>2782</v>
      </c>
      <c r="Z1941" s="1" t="s">
        <v>839</v>
      </c>
    </row>
    <row r="1942" spans="25:26" x14ac:dyDescent="0.2">
      <c r="Y1942" s="1" t="s">
        <v>2783</v>
      </c>
      <c r="Z1942" s="1" t="s">
        <v>836</v>
      </c>
    </row>
    <row r="1943" spans="25:26" x14ac:dyDescent="0.2">
      <c r="Y1943" s="1" t="s">
        <v>2784</v>
      </c>
      <c r="Z1943" s="1" t="s">
        <v>836</v>
      </c>
    </row>
    <row r="1944" spans="25:26" x14ac:dyDescent="0.2">
      <c r="Y1944" s="1" t="s">
        <v>2785</v>
      </c>
      <c r="Z1944" s="1" t="s">
        <v>836</v>
      </c>
    </row>
    <row r="1945" spans="25:26" x14ac:dyDescent="0.2">
      <c r="Y1945" s="1" t="s">
        <v>2786</v>
      </c>
      <c r="Z1945" s="1" t="s">
        <v>836</v>
      </c>
    </row>
    <row r="1946" spans="25:26" x14ac:dyDescent="0.2">
      <c r="Y1946" s="1" t="s">
        <v>2787</v>
      </c>
      <c r="Z1946" s="1" t="s">
        <v>845</v>
      </c>
    </row>
    <row r="1947" spans="25:26" x14ac:dyDescent="0.2">
      <c r="Y1947" s="1" t="s">
        <v>2788</v>
      </c>
      <c r="Z1947" s="1" t="s">
        <v>843</v>
      </c>
    </row>
    <row r="1948" spans="25:26" x14ac:dyDescent="0.2">
      <c r="Y1948" s="1" t="s">
        <v>2789</v>
      </c>
      <c r="Z1948" s="1" t="s">
        <v>836</v>
      </c>
    </row>
    <row r="1949" spans="25:26" x14ac:dyDescent="0.2">
      <c r="Y1949" s="1" t="s">
        <v>2790</v>
      </c>
      <c r="Z1949" s="1" t="s">
        <v>836</v>
      </c>
    </row>
    <row r="1950" spans="25:26" x14ac:dyDescent="0.2">
      <c r="Y1950" s="1" t="s">
        <v>2791</v>
      </c>
      <c r="Z1950" s="1" t="s">
        <v>836</v>
      </c>
    </row>
    <row r="1951" spans="25:26" x14ac:dyDescent="0.2">
      <c r="Y1951" s="1" t="s">
        <v>2792</v>
      </c>
      <c r="Z1951" s="1" t="s">
        <v>836</v>
      </c>
    </row>
    <row r="1952" spans="25:26" x14ac:dyDescent="0.2">
      <c r="Y1952" s="1" t="s">
        <v>2793</v>
      </c>
      <c r="Z1952" s="1" t="s">
        <v>836</v>
      </c>
    </row>
    <row r="1953" spans="25:26" x14ac:dyDescent="0.2">
      <c r="Y1953" s="1" t="s">
        <v>2794</v>
      </c>
      <c r="Z1953" s="1" t="s">
        <v>836</v>
      </c>
    </row>
    <row r="1954" spans="25:26" x14ac:dyDescent="0.2">
      <c r="Y1954" s="1" t="s">
        <v>2795</v>
      </c>
      <c r="Z1954" s="1" t="s">
        <v>836</v>
      </c>
    </row>
    <row r="1955" spans="25:26" x14ac:dyDescent="0.2">
      <c r="Y1955" s="1" t="s">
        <v>2796</v>
      </c>
      <c r="Z1955" s="1" t="s">
        <v>836</v>
      </c>
    </row>
    <row r="1956" spans="25:26" x14ac:dyDescent="0.2">
      <c r="Y1956" s="1" t="s">
        <v>2797</v>
      </c>
      <c r="Z1956" s="1" t="s">
        <v>845</v>
      </c>
    </row>
    <row r="1957" spans="25:26" x14ac:dyDescent="0.2">
      <c r="Y1957" s="1" t="s">
        <v>2798</v>
      </c>
      <c r="Z1957" s="1" t="s">
        <v>836</v>
      </c>
    </row>
    <row r="1958" spans="25:26" x14ac:dyDescent="0.2">
      <c r="Y1958" s="1" t="s">
        <v>2799</v>
      </c>
      <c r="Z1958" s="1" t="s">
        <v>836</v>
      </c>
    </row>
    <row r="1959" spans="25:26" x14ac:dyDescent="0.2">
      <c r="Y1959" s="1" t="s">
        <v>2800</v>
      </c>
      <c r="Z1959" s="1" t="s">
        <v>845</v>
      </c>
    </row>
    <row r="1960" spans="25:26" x14ac:dyDescent="0.2">
      <c r="Y1960" s="1" t="s">
        <v>2801</v>
      </c>
      <c r="Z1960" s="1" t="s">
        <v>836</v>
      </c>
    </row>
    <row r="1961" spans="25:26" x14ac:dyDescent="0.2">
      <c r="Y1961" s="1" t="s">
        <v>2802</v>
      </c>
      <c r="Z1961" s="1" t="s">
        <v>841</v>
      </c>
    </row>
    <row r="1962" spans="25:26" x14ac:dyDescent="0.2">
      <c r="Y1962" s="1" t="s">
        <v>2803</v>
      </c>
      <c r="Z1962" s="1" t="s">
        <v>836</v>
      </c>
    </row>
    <row r="1963" spans="25:26" x14ac:dyDescent="0.2">
      <c r="Y1963" s="1" t="s">
        <v>2804</v>
      </c>
      <c r="Z1963" s="1" t="s">
        <v>845</v>
      </c>
    </row>
    <row r="1964" spans="25:26" x14ac:dyDescent="0.2">
      <c r="Y1964" s="1" t="s">
        <v>2805</v>
      </c>
      <c r="Z1964" s="1" t="s">
        <v>836</v>
      </c>
    </row>
    <row r="1965" spans="25:26" x14ac:dyDescent="0.2">
      <c r="Y1965" s="1" t="s">
        <v>2806</v>
      </c>
      <c r="Z1965" s="1" t="s">
        <v>836</v>
      </c>
    </row>
    <row r="1966" spans="25:26" x14ac:dyDescent="0.2">
      <c r="Y1966" s="1" t="s">
        <v>2807</v>
      </c>
      <c r="Z1966" s="1" t="s">
        <v>836</v>
      </c>
    </row>
    <row r="1967" spans="25:26" x14ac:dyDescent="0.2">
      <c r="Y1967" s="1" t="s">
        <v>2808</v>
      </c>
      <c r="Z1967" s="1" t="s">
        <v>836</v>
      </c>
    </row>
    <row r="1968" spans="25:26" x14ac:dyDescent="0.2">
      <c r="Y1968" s="1" t="s">
        <v>2809</v>
      </c>
      <c r="Z1968" s="1" t="s">
        <v>841</v>
      </c>
    </row>
    <row r="1969" spans="25:26" x14ac:dyDescent="0.2">
      <c r="Y1969" s="1" t="s">
        <v>2810</v>
      </c>
      <c r="Z1969" s="1" t="s">
        <v>845</v>
      </c>
    </row>
    <row r="1970" spans="25:26" x14ac:dyDescent="0.2">
      <c r="Y1970" s="1" t="s">
        <v>2811</v>
      </c>
      <c r="Z1970" s="1" t="s">
        <v>836</v>
      </c>
    </row>
    <row r="1971" spans="25:26" x14ac:dyDescent="0.2">
      <c r="Y1971" s="1" t="s">
        <v>2812</v>
      </c>
      <c r="Z1971" s="1" t="s">
        <v>841</v>
      </c>
    </row>
    <row r="1972" spans="25:26" x14ac:dyDescent="0.2">
      <c r="Y1972" s="1" t="s">
        <v>2813</v>
      </c>
      <c r="Z1972" s="1" t="s">
        <v>845</v>
      </c>
    </row>
    <row r="1973" spans="25:26" x14ac:dyDescent="0.2">
      <c r="Y1973" s="1" t="s">
        <v>2814</v>
      </c>
      <c r="Z1973" s="1" t="s">
        <v>839</v>
      </c>
    </row>
    <row r="1974" spans="25:26" x14ac:dyDescent="0.2">
      <c r="Y1974" s="582" t="s">
        <v>2815</v>
      </c>
      <c r="Z1974" s="582" t="s">
        <v>841</v>
      </c>
    </row>
  </sheetData>
  <mergeCells count="2">
    <mergeCell ref="AH1:AJ1"/>
    <mergeCell ref="AH2:AJ2"/>
  </mergeCells>
  <conditionalFormatting sqref="AH1:AJ1048576">
    <cfRule type="expression" dxfId="53" priority="28">
      <formula>_xlfn.ISFORMULA(INDIRECT(ADDRESS(ROW(),COLUMN())))</formula>
    </cfRule>
  </conditionalFormatting>
  <conditionalFormatting sqref="AG44:AG1048576">
    <cfRule type="expression" dxfId="52" priority="1">
      <formula>_xlfn.ISFORMULA(INDIRECT(ADDRESS(ROW(),COLUMN())))</formula>
    </cfRule>
  </conditionalFormatting>
  <pageMargins left="0.511811024" right="0.511811024" top="0.78740157499999996" bottom="0.78740157499999996" header="0.31496062000000002" footer="0.31496062000000002"/>
  <pageSetup paperSize="9" orientation="portrait" r:id="rId1"/>
  <tableParts count="3">
    <tablePart r:id="rId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tabColor theme="1"/>
  </sheetPr>
  <dimension ref="B4:W20"/>
  <sheetViews>
    <sheetView showGridLines="0" showZeros="0" showOutlineSymbols="0" workbookViewId="0">
      <selection activeCell="B6" sqref="B6"/>
    </sheetView>
  </sheetViews>
  <sheetFormatPr defaultColWidth="12" defaultRowHeight="12.75" x14ac:dyDescent="0.2"/>
  <cols>
    <col min="1" max="1" width="2.85546875" style="28" customWidth="1"/>
    <col min="2" max="5" width="15.7109375" style="28" customWidth="1"/>
    <col min="6" max="6" width="11.85546875" style="28" bestFit="1" customWidth="1"/>
    <col min="7" max="9" width="15.7109375" style="28" customWidth="1"/>
    <col min="10" max="10" width="17.7109375" style="28" bestFit="1" customWidth="1"/>
    <col min="11" max="11" width="16.7109375" style="28" bestFit="1" customWidth="1"/>
    <col min="12" max="23" width="15.7109375" style="28" customWidth="1"/>
    <col min="24" max="236" width="9.140625" style="28" customWidth="1"/>
    <col min="237" max="238" width="1.28515625" style="28" customWidth="1"/>
    <col min="239" max="239" width="9.140625" style="28" customWidth="1"/>
    <col min="240" max="240" width="10.140625" style="28" customWidth="1"/>
    <col min="241" max="241" width="15.5703125" style="28" bestFit="1" customWidth="1"/>
    <col min="242" max="242" width="6.140625" style="28" bestFit="1" customWidth="1"/>
    <col min="243" max="243" width="9" style="28" bestFit="1" customWidth="1"/>
    <col min="244" max="245" width="9.140625" style="28" customWidth="1"/>
    <col min="246" max="246" width="12" style="28" bestFit="1" customWidth="1"/>
    <col min="247" max="247" width="1.140625" style="28" customWidth="1"/>
    <col min="248" max="248" width="1.5703125" style="28" customWidth="1"/>
    <col min="249" max="249" width="1.140625" style="28" customWidth="1"/>
    <col min="250" max="251" width="9.140625" style="28" customWidth="1"/>
    <col min="252" max="252" width="13.42578125" style="28" bestFit="1" customWidth="1"/>
    <col min="253" max="253" width="5.28515625" style="28" bestFit="1" customWidth="1"/>
    <col min="254" max="254" width="9" style="28" bestFit="1" customWidth="1"/>
    <col min="255" max="256" width="8.5703125" style="28" bestFit="1" customWidth="1"/>
    <col min="257" max="16384" width="12" style="28"/>
  </cols>
  <sheetData>
    <row r="4" spans="2:23" ht="16.5" customHeight="1" x14ac:dyDescent="0.2">
      <c r="B4" s="733" t="s">
        <v>261</v>
      </c>
      <c r="C4" s="733"/>
      <c r="D4" s="733"/>
      <c r="E4" s="733"/>
      <c r="F4" s="733"/>
      <c r="G4" s="733"/>
      <c r="H4" s="733"/>
      <c r="I4" s="733"/>
      <c r="J4" s="733"/>
      <c r="K4" s="733"/>
      <c r="L4" s="733"/>
      <c r="M4" s="733"/>
      <c r="N4" s="733"/>
      <c r="O4" s="733"/>
      <c r="P4" s="733"/>
      <c r="Q4" s="733"/>
      <c r="R4" s="733"/>
      <c r="S4" s="733"/>
      <c r="T4" s="733"/>
      <c r="U4" s="733"/>
      <c r="V4" s="733"/>
      <c r="W4" s="733"/>
    </row>
    <row r="5" spans="2:23" s="167" customFormat="1" ht="30" customHeight="1" x14ac:dyDescent="0.2">
      <c r="B5" s="509" t="s">
        <v>715</v>
      </c>
      <c r="C5" s="509" t="s">
        <v>716</v>
      </c>
      <c r="D5" s="509" t="s">
        <v>717</v>
      </c>
      <c r="E5" s="509" t="s">
        <v>172</v>
      </c>
      <c r="F5" s="509" t="s">
        <v>173</v>
      </c>
      <c r="G5" s="509" t="s">
        <v>178</v>
      </c>
      <c r="H5" s="509" t="s">
        <v>177</v>
      </c>
      <c r="I5" s="509" t="s">
        <v>718</v>
      </c>
      <c r="J5" s="509" t="s">
        <v>183</v>
      </c>
      <c r="K5" s="509" t="s">
        <v>184</v>
      </c>
      <c r="L5" s="509" t="s">
        <v>828</v>
      </c>
      <c r="M5" s="509" t="s">
        <v>827</v>
      </c>
      <c r="N5" s="647" t="s">
        <v>826</v>
      </c>
      <c r="O5" s="509" t="s">
        <v>182</v>
      </c>
      <c r="P5" s="509" t="s">
        <v>181</v>
      </c>
      <c r="Q5" s="509" t="s">
        <v>180</v>
      </c>
      <c r="R5" s="509" t="s">
        <v>179</v>
      </c>
      <c r="S5" s="509" t="s">
        <v>176</v>
      </c>
      <c r="T5" s="509" t="s">
        <v>174</v>
      </c>
      <c r="U5" s="509" t="s">
        <v>572</v>
      </c>
      <c r="V5" s="561" t="s">
        <v>759</v>
      </c>
      <c r="W5" s="509" t="s">
        <v>175</v>
      </c>
    </row>
    <row r="6" spans="2:23" x14ac:dyDescent="0.2">
      <c r="B6" s="648"/>
      <c r="C6" s="564">
        <v>200</v>
      </c>
      <c r="D6" s="564">
        <v>60</v>
      </c>
      <c r="E6" s="564"/>
      <c r="F6" s="377"/>
      <c r="G6" s="564"/>
      <c r="H6" s="564"/>
      <c r="I6" s="364">
        <f>ROUND((PI()*(C6/1000/2)^2)*(D6/1000)*(F6)*7850,3)</f>
        <v>0</v>
      </c>
      <c r="J6" s="505">
        <v>2200</v>
      </c>
      <c r="K6" s="505">
        <v>4850</v>
      </c>
      <c r="L6" s="505">
        <v>35</v>
      </c>
      <c r="M6" s="505">
        <v>11</v>
      </c>
      <c r="N6" s="505">
        <v>2000</v>
      </c>
      <c r="O6" s="508">
        <f>I6*L6</f>
        <v>0</v>
      </c>
      <c r="P6" s="508">
        <f>I6*0.8*M6</f>
        <v>0</v>
      </c>
      <c r="Q6" s="508">
        <f>F6*N6</f>
        <v>0</v>
      </c>
      <c r="R6" s="508">
        <f>G6*J6+H6*K6</f>
        <v>0</v>
      </c>
      <c r="S6" s="505">
        <v>50000</v>
      </c>
      <c r="T6" s="505">
        <v>10000</v>
      </c>
      <c r="U6" s="505">
        <v>2400</v>
      </c>
      <c r="V6" s="563">
        <v>1</v>
      </c>
      <c r="W6" s="562">
        <f>SUM(O6,P6,Q6,R6,S6,T6,U6*V6)</f>
        <v>62400</v>
      </c>
    </row>
    <row r="9" spans="2:23" ht="15.75" customHeight="1" x14ac:dyDescent="0.2">
      <c r="B9" s="733" t="s">
        <v>262</v>
      </c>
      <c r="C9" s="733"/>
      <c r="D9" s="733"/>
      <c r="E9" s="733"/>
      <c r="F9" s="733"/>
      <c r="G9" s="733"/>
      <c r="H9" s="733"/>
      <c r="I9" s="733"/>
      <c r="J9" s="733"/>
      <c r="K9" s="733"/>
      <c r="L9" s="733"/>
      <c r="M9" s="733"/>
      <c r="N9" s="733"/>
      <c r="O9" s="733"/>
      <c r="P9" s="733"/>
      <c r="Q9" s="733"/>
      <c r="R9" s="733"/>
      <c r="S9" s="733"/>
      <c r="T9" s="733"/>
      <c r="U9" s="733"/>
      <c r="V9" s="733"/>
      <c r="W9" s="733"/>
    </row>
    <row r="10" spans="2:23" s="167" customFormat="1" ht="42" customHeight="1" x14ac:dyDescent="0.2">
      <c r="B10" s="509" t="s">
        <v>715</v>
      </c>
      <c r="D10" s="509" t="s">
        <v>719</v>
      </c>
      <c r="E10" s="509" t="s">
        <v>263</v>
      </c>
      <c r="F10" s="509" t="s">
        <v>720</v>
      </c>
      <c r="H10" s="509" t="s">
        <v>719</v>
      </c>
      <c r="I10" s="509" t="s">
        <v>266</v>
      </c>
      <c r="J10" s="509" t="s">
        <v>721</v>
      </c>
      <c r="L10" s="509" t="s">
        <v>719</v>
      </c>
      <c r="M10" s="509" t="s">
        <v>265</v>
      </c>
      <c r="N10" s="509" t="s">
        <v>264</v>
      </c>
      <c r="P10" s="509" t="s">
        <v>719</v>
      </c>
      <c r="Q10" s="509" t="s">
        <v>267</v>
      </c>
      <c r="R10" s="509" t="s">
        <v>268</v>
      </c>
      <c r="T10" s="509" t="s">
        <v>269</v>
      </c>
      <c r="W10" s="509" t="s">
        <v>175</v>
      </c>
    </row>
    <row r="11" spans="2:23" x14ac:dyDescent="0.2">
      <c r="B11" s="504" t="s">
        <v>116</v>
      </c>
      <c r="C11" s="117" t="s">
        <v>272</v>
      </c>
      <c r="D11" s="365"/>
      <c r="E11" s="505">
        <v>12000</v>
      </c>
      <c r="F11" s="364">
        <f>D11*E11</f>
        <v>0</v>
      </c>
      <c r="G11" s="117" t="s">
        <v>272</v>
      </c>
      <c r="H11" s="365"/>
      <c r="I11" s="505">
        <v>10000</v>
      </c>
      <c r="J11" s="364">
        <f>H11*I11</f>
        <v>0</v>
      </c>
      <c r="K11" s="117" t="s">
        <v>270</v>
      </c>
      <c r="L11" s="365"/>
      <c r="M11" s="505">
        <v>9000</v>
      </c>
      <c r="N11" s="364">
        <f>L11*M11</f>
        <v>0</v>
      </c>
      <c r="O11" s="117" t="s">
        <v>270</v>
      </c>
      <c r="P11" s="365"/>
      <c r="Q11" s="505">
        <v>50000</v>
      </c>
      <c r="R11" s="506">
        <f>P11*Q11</f>
        <v>0</v>
      </c>
      <c r="T11" s="507"/>
      <c r="W11" s="562">
        <f>SUM(F11:F12)+SUM(J11:J12)+SUM(N11:N12)+SUM(R11:R12)+T11</f>
        <v>0</v>
      </c>
    </row>
    <row r="12" spans="2:23" x14ac:dyDescent="0.2">
      <c r="C12" s="117" t="s">
        <v>273</v>
      </c>
      <c r="D12" s="458"/>
      <c r="E12" s="501">
        <v>20000</v>
      </c>
      <c r="F12" s="356">
        <f>D12*E12</f>
        <v>0</v>
      </c>
      <c r="G12" s="117" t="s">
        <v>273</v>
      </c>
      <c r="H12" s="458"/>
      <c r="I12" s="501">
        <v>15000</v>
      </c>
      <c r="J12" s="356">
        <f>H12*I12</f>
        <v>0</v>
      </c>
      <c r="K12" s="117" t="s">
        <v>271</v>
      </c>
      <c r="L12" s="458"/>
      <c r="M12" s="501">
        <v>14000</v>
      </c>
      <c r="N12" s="356">
        <f>L12*M12</f>
        <v>0</v>
      </c>
      <c r="O12" s="117" t="s">
        <v>271</v>
      </c>
      <c r="P12" s="458"/>
      <c r="Q12" s="501">
        <v>80000</v>
      </c>
      <c r="R12" s="502">
        <f>P12*Q12</f>
        <v>0</v>
      </c>
    </row>
    <row r="13" spans="2:23" x14ac:dyDescent="0.2">
      <c r="N13" s="118"/>
      <c r="R13" s="118"/>
    </row>
    <row r="16" spans="2:23" x14ac:dyDescent="0.2">
      <c r="B16" s="464"/>
      <c r="C16" s="28" t="s">
        <v>425</v>
      </c>
    </row>
    <row r="17" spans="2:3" x14ac:dyDescent="0.2">
      <c r="B17" s="458"/>
      <c r="C17" s="28" t="s">
        <v>421</v>
      </c>
    </row>
    <row r="18" spans="2:3" x14ac:dyDescent="0.2">
      <c r="B18" s="465"/>
      <c r="C18" s="28" t="s">
        <v>424</v>
      </c>
    </row>
    <row r="19" spans="2:3" x14ac:dyDescent="0.2">
      <c r="B19" s="356"/>
      <c r="C19" s="28" t="s">
        <v>422</v>
      </c>
    </row>
    <row r="20" spans="2:3" x14ac:dyDescent="0.2">
      <c r="B20" s="503"/>
      <c r="C20" s="28" t="s">
        <v>423</v>
      </c>
    </row>
  </sheetData>
  <mergeCells count="2">
    <mergeCell ref="B4:W4"/>
    <mergeCell ref="B9:W9"/>
  </mergeCells>
  <conditionalFormatting sqref="R11">
    <cfRule type="containsErrors" dxfId="14" priority="8">
      <formula>ISERROR(R11)</formula>
    </cfRule>
  </conditionalFormatting>
  <conditionalFormatting sqref="R12">
    <cfRule type="containsErrors" dxfId="13" priority="7">
      <formula>ISERROR(R12)</formula>
    </cfRule>
  </conditionalFormatting>
  <conditionalFormatting sqref="F12">
    <cfRule type="containsErrors" dxfId="12" priority="5">
      <formula>ISERROR(F12)</formula>
    </cfRule>
  </conditionalFormatting>
  <conditionalFormatting sqref="J12">
    <cfRule type="containsErrors" dxfId="11" priority="4">
      <formula>ISERROR(J12)</formula>
    </cfRule>
  </conditionalFormatting>
  <conditionalFormatting sqref="B20">
    <cfRule type="containsErrors" dxfId="10" priority="3">
      <formula>ISERROR(B20)</formula>
    </cfRule>
  </conditionalFormatting>
  <conditionalFormatting sqref="W6">
    <cfRule type="containsErrors" dxfId="9" priority="2">
      <formula>ISERROR(W6)</formula>
    </cfRule>
  </conditionalFormatting>
  <conditionalFormatting sqref="W11">
    <cfRule type="containsErrors" dxfId="8" priority="1">
      <formula>ISERROR(W11)</formula>
    </cfRule>
  </conditionalFormatting>
  <pageMargins left="0.78740157499999996" right="0.78740157499999996" top="0.984251969" bottom="0.984251969" header="0.49212598499999999" footer="0.49212598499999999"/>
  <pageSetup paperSize="9" orientation="portrait" r:id="rId1"/>
  <headerFooter alignWithMargins="0"/>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HOME!$D$5:$D$29</xm:f>
          </x14:formula1>
          <xm:sqref>B6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tabColor theme="1"/>
  </sheetPr>
  <dimension ref="B1:AE90"/>
  <sheetViews>
    <sheetView showRowColHeaders="0" workbookViewId="0"/>
  </sheetViews>
  <sheetFormatPr defaultRowHeight="12.75" x14ac:dyDescent="0.2"/>
  <cols>
    <col min="1" max="1" width="2" style="2" customWidth="1"/>
    <col min="2" max="2" width="1.28515625" style="2" customWidth="1"/>
    <col min="3" max="3" width="38.42578125" style="2" customWidth="1"/>
    <col min="4" max="4" width="7.7109375" style="2" customWidth="1"/>
    <col min="5" max="5" width="9.85546875" style="2" customWidth="1"/>
    <col min="6" max="6" width="14" style="2" customWidth="1"/>
    <col min="7" max="7" width="7.140625" style="2" customWidth="1"/>
    <col min="8" max="8" width="7.28515625" style="2" customWidth="1"/>
    <col min="9" max="9" width="1.5703125" style="2" customWidth="1"/>
    <col min="10" max="10" width="3" style="2" customWidth="1"/>
    <col min="11" max="14" width="9.140625" style="227"/>
    <col min="15" max="15" width="9.5703125" style="227" customWidth="1"/>
    <col min="16" max="31" width="9.140625" style="227"/>
    <col min="32" max="16384" width="9.140625" style="2"/>
  </cols>
  <sheetData>
    <row r="1" spans="2:17" ht="10.5" customHeight="1" x14ac:dyDescent="0.2"/>
    <row r="3" spans="2:17" ht="13.5" thickBot="1" x14ac:dyDescent="0.25"/>
    <row r="4" spans="2:17" ht="5.25" customHeight="1" thickTop="1" x14ac:dyDescent="0.2">
      <c r="B4" s="197"/>
      <c r="C4" s="198"/>
      <c r="D4" s="198"/>
      <c r="E4" s="198"/>
      <c r="F4" s="198"/>
      <c r="G4" s="198"/>
      <c r="H4" s="198"/>
      <c r="I4" s="199"/>
    </row>
    <row r="5" spans="2:17" ht="15" x14ac:dyDescent="0.25">
      <c r="B5" s="200"/>
      <c r="C5" s="822" t="s">
        <v>274</v>
      </c>
      <c r="D5" s="822"/>
      <c r="E5" s="822"/>
      <c r="F5" s="822"/>
      <c r="G5" s="822"/>
      <c r="H5" s="822"/>
      <c r="I5" s="201"/>
    </row>
    <row r="6" spans="2:17" ht="3.75" customHeight="1" x14ac:dyDescent="0.2">
      <c r="B6" s="200"/>
      <c r="C6" s="50"/>
      <c r="D6" s="187"/>
      <c r="E6" s="50"/>
      <c r="F6" s="50"/>
      <c r="G6" s="50"/>
      <c r="H6" s="50"/>
      <c r="I6" s="201"/>
    </row>
    <row r="7" spans="2:17" x14ac:dyDescent="0.2">
      <c r="B7" s="200"/>
      <c r="C7" s="121" t="s">
        <v>95</v>
      </c>
      <c r="D7" s="202">
        <v>2</v>
      </c>
      <c r="E7" s="50" t="s">
        <v>9</v>
      </c>
      <c r="F7" s="50"/>
      <c r="G7" s="50"/>
      <c r="H7" s="50"/>
      <c r="I7" s="201"/>
    </row>
    <row r="8" spans="2:17" ht="3" customHeight="1" x14ac:dyDescent="0.2">
      <c r="B8" s="200"/>
      <c r="C8" s="121"/>
      <c r="D8" s="187"/>
      <c r="E8" s="50"/>
      <c r="F8" s="50"/>
      <c r="G8" s="50"/>
      <c r="H8" s="50"/>
      <c r="I8" s="201"/>
    </row>
    <row r="9" spans="2:17" ht="15" x14ac:dyDescent="0.25">
      <c r="B9" s="200"/>
      <c r="C9" s="822" t="s">
        <v>275</v>
      </c>
      <c r="D9" s="822"/>
      <c r="E9" s="822"/>
      <c r="F9" s="822"/>
      <c r="G9" s="822"/>
      <c r="H9" s="822"/>
      <c r="I9" s="201"/>
    </row>
    <row r="10" spans="2:17" ht="3.75" customHeight="1" x14ac:dyDescent="0.2">
      <c r="B10" s="200"/>
      <c r="C10" s="121"/>
      <c r="D10" s="187"/>
      <c r="E10" s="50"/>
      <c r="F10" s="50"/>
      <c r="G10" s="50"/>
      <c r="H10" s="50"/>
      <c r="I10" s="201"/>
    </row>
    <row r="11" spans="2:17" x14ac:dyDescent="0.2">
      <c r="B11" s="200"/>
      <c r="C11" s="121" t="s">
        <v>276</v>
      </c>
      <c r="D11" s="202">
        <v>5</v>
      </c>
      <c r="E11" s="50" t="s">
        <v>9</v>
      </c>
      <c r="F11" s="50"/>
      <c r="G11" s="50"/>
      <c r="H11" s="50"/>
      <c r="I11" s="201"/>
    </row>
    <row r="12" spans="2:17" x14ac:dyDescent="0.2">
      <c r="B12" s="200"/>
      <c r="C12" s="121" t="s">
        <v>277</v>
      </c>
      <c r="D12" s="202">
        <v>4</v>
      </c>
      <c r="E12" s="50" t="s">
        <v>9</v>
      </c>
      <c r="F12" s="50"/>
      <c r="G12" s="50"/>
      <c r="H12" s="50"/>
      <c r="I12" s="201"/>
    </row>
    <row r="13" spans="2:17" x14ac:dyDescent="0.2">
      <c r="B13" s="200"/>
      <c r="C13" s="121" t="s">
        <v>431</v>
      </c>
      <c r="D13" s="203">
        <f>D11+D12</f>
        <v>9</v>
      </c>
      <c r="E13" s="50" t="s">
        <v>9</v>
      </c>
      <c r="F13" s="50"/>
      <c r="G13" s="50"/>
      <c r="H13" s="50"/>
      <c r="I13" s="201"/>
    </row>
    <row r="14" spans="2:17" ht="3" customHeight="1" x14ac:dyDescent="0.2">
      <c r="B14" s="200"/>
      <c r="C14" s="121"/>
      <c r="D14" s="187"/>
      <c r="E14" s="50"/>
      <c r="F14" s="50"/>
      <c r="G14" s="50"/>
      <c r="H14" s="50"/>
      <c r="I14" s="201"/>
    </row>
    <row r="15" spans="2:17" ht="15" x14ac:dyDescent="0.25">
      <c r="B15" s="200"/>
      <c r="C15" s="820" t="s">
        <v>293</v>
      </c>
      <c r="D15" s="820"/>
      <c r="E15" s="820"/>
      <c r="F15" s="820"/>
      <c r="G15" s="820"/>
      <c r="H15" s="820"/>
      <c r="I15" s="201"/>
      <c r="L15" s="225"/>
      <c r="M15" s="225"/>
      <c r="N15" s="225"/>
      <c r="O15" s="225"/>
      <c r="P15" s="225"/>
      <c r="Q15" s="225"/>
    </row>
    <row r="16" spans="2:17" ht="3" customHeight="1" x14ac:dyDescent="0.2">
      <c r="B16" s="200"/>
      <c r="C16" s="50"/>
      <c r="D16" s="187"/>
      <c r="E16" s="50"/>
      <c r="F16" s="50"/>
      <c r="G16" s="50"/>
      <c r="H16" s="50"/>
      <c r="I16" s="201"/>
      <c r="L16" s="225"/>
      <c r="M16" s="225"/>
      <c r="N16" s="225"/>
      <c r="O16" s="225"/>
      <c r="P16" s="225"/>
      <c r="Q16" s="225"/>
    </row>
    <row r="17" spans="2:31" x14ac:dyDescent="0.2">
      <c r="B17" s="200"/>
      <c r="C17" s="121" t="s">
        <v>434</v>
      </c>
      <c r="D17" s="204">
        <v>120</v>
      </c>
      <c r="E17" s="50" t="s">
        <v>279</v>
      </c>
      <c r="F17" s="50"/>
      <c r="G17" s="50"/>
      <c r="H17" s="50"/>
      <c r="I17" s="201"/>
      <c r="L17" s="121"/>
      <c r="M17" s="121"/>
      <c r="N17" s="230"/>
      <c r="O17" s="225"/>
      <c r="P17" s="225"/>
      <c r="Q17" s="225"/>
      <c r="R17" s="819"/>
      <c r="S17" s="235"/>
      <c r="T17" s="230"/>
      <c r="V17" s="121"/>
      <c r="W17" s="225"/>
      <c r="X17" s="225"/>
    </row>
    <row r="18" spans="2:31" ht="15" customHeight="1" x14ac:dyDescent="0.2">
      <c r="B18" s="200"/>
      <c r="C18" s="121" t="s">
        <v>438</v>
      </c>
      <c r="D18" s="204">
        <v>50</v>
      </c>
      <c r="E18" s="50" t="s">
        <v>9</v>
      </c>
      <c r="F18" s="50"/>
      <c r="G18" s="50"/>
      <c r="H18" s="50"/>
      <c r="I18" s="201"/>
      <c r="L18" s="121"/>
      <c r="M18" s="121"/>
      <c r="N18" s="230"/>
      <c r="O18" s="236"/>
      <c r="P18" s="230"/>
      <c r="Q18" s="225"/>
      <c r="R18" s="819"/>
      <c r="S18" s="203"/>
      <c r="T18" s="230"/>
    </row>
    <row r="19" spans="2:31" x14ac:dyDescent="0.2">
      <c r="B19" s="200"/>
      <c r="C19" s="121" t="s">
        <v>439</v>
      </c>
      <c r="D19" s="204">
        <v>40</v>
      </c>
      <c r="E19" s="50" t="s">
        <v>281</v>
      </c>
      <c r="F19" s="236">
        <f>D19/60</f>
        <v>0.66666666666666663</v>
      </c>
      <c r="G19" s="230" t="s">
        <v>394</v>
      </c>
      <c r="H19" s="50"/>
      <c r="I19" s="201"/>
      <c r="L19" s="121"/>
      <c r="M19" s="121"/>
      <c r="N19" s="230"/>
      <c r="O19" s="225"/>
      <c r="P19" s="225"/>
      <c r="Q19" s="225"/>
    </row>
    <row r="20" spans="2:31" ht="15" customHeight="1" x14ac:dyDescent="0.25">
      <c r="B20" s="200"/>
      <c r="C20" s="121" t="s">
        <v>440</v>
      </c>
      <c r="D20" s="204">
        <v>10</v>
      </c>
      <c r="E20" s="50" t="s">
        <v>446</v>
      </c>
      <c r="F20" s="50"/>
      <c r="G20" s="50"/>
      <c r="H20" s="50"/>
      <c r="I20" s="201"/>
      <c r="L20" s="121"/>
      <c r="M20" s="121"/>
      <c r="N20" s="230"/>
      <c r="O20" s="225"/>
      <c r="P20" s="225"/>
      <c r="Q20" s="225"/>
    </row>
    <row r="21" spans="2:31" x14ac:dyDescent="0.2">
      <c r="B21" s="200"/>
      <c r="C21" s="121" t="s">
        <v>464</v>
      </c>
      <c r="D21" s="204">
        <v>50</v>
      </c>
      <c r="E21" s="50" t="s">
        <v>292</v>
      </c>
      <c r="F21" s="50"/>
      <c r="G21" s="50"/>
      <c r="H21" s="50"/>
      <c r="I21" s="201"/>
      <c r="L21" s="121"/>
      <c r="M21" s="236"/>
      <c r="N21" s="230"/>
      <c r="O21" s="225"/>
      <c r="P21" s="225"/>
      <c r="Q21" s="225"/>
    </row>
    <row r="22" spans="2:31" ht="4.5" customHeight="1" x14ac:dyDescent="0.2">
      <c r="B22" s="200"/>
      <c r="C22" s="121"/>
      <c r="D22" s="187"/>
      <c r="E22" s="50"/>
      <c r="F22" s="50"/>
      <c r="G22" s="50"/>
      <c r="H22" s="50"/>
      <c r="I22" s="201"/>
      <c r="L22" s="225"/>
      <c r="M22" s="225"/>
      <c r="N22" s="225"/>
      <c r="O22" s="225"/>
      <c r="P22" s="225"/>
      <c r="Q22" s="225"/>
    </row>
    <row r="23" spans="2:31" ht="13.5" customHeight="1" x14ac:dyDescent="0.2">
      <c r="B23" s="200"/>
      <c r="C23" s="121" t="s">
        <v>286</v>
      </c>
      <c r="D23" s="213">
        <v>152</v>
      </c>
      <c r="E23" s="50" t="s">
        <v>9</v>
      </c>
      <c r="F23" s="50"/>
      <c r="G23" s="50"/>
      <c r="H23" s="50"/>
      <c r="I23" s="201"/>
      <c r="L23" s="121"/>
      <c r="M23" s="225"/>
      <c r="N23" s="225"/>
      <c r="O23" s="121"/>
      <c r="P23" s="230"/>
      <c r="Q23" s="225"/>
    </row>
    <row r="24" spans="2:31" ht="3.75" customHeight="1" x14ac:dyDescent="0.2">
      <c r="B24" s="200"/>
      <c r="C24" s="121"/>
      <c r="D24" s="187"/>
      <c r="E24" s="50"/>
      <c r="F24" s="50"/>
      <c r="G24" s="50"/>
      <c r="H24" s="50"/>
      <c r="I24" s="201"/>
    </row>
    <row r="25" spans="2:31" x14ac:dyDescent="0.2">
      <c r="B25" s="200"/>
      <c r="C25" s="205" t="s">
        <v>282</v>
      </c>
      <c r="D25" s="205"/>
      <c r="E25" s="205"/>
      <c r="F25" s="205"/>
      <c r="G25" s="205"/>
      <c r="H25" s="205"/>
      <c r="I25" s="201"/>
    </row>
    <row r="26" spans="2:31" ht="5.25" customHeight="1" x14ac:dyDescent="0.2">
      <c r="B26" s="200"/>
      <c r="C26" s="121"/>
      <c r="D26" s="187"/>
      <c r="E26" s="50"/>
      <c r="F26" s="50"/>
      <c r="G26" s="50"/>
      <c r="H26" s="50"/>
      <c r="I26" s="201"/>
    </row>
    <row r="27" spans="2:31" ht="15.75" thickBot="1" x14ac:dyDescent="0.3">
      <c r="B27" s="200"/>
      <c r="C27" s="121" t="s">
        <v>283</v>
      </c>
      <c r="D27" s="206">
        <f>(D17/60)^-1</f>
        <v>0.5</v>
      </c>
      <c r="E27" s="188" t="s">
        <v>292</v>
      </c>
      <c r="F27" s="188" t="s">
        <v>432</v>
      </c>
      <c r="G27" s="188" t="s">
        <v>433</v>
      </c>
      <c r="H27" s="238"/>
      <c r="I27" s="201"/>
      <c r="L27" s="234"/>
      <c r="M27" s="225"/>
      <c r="N27" s="225"/>
      <c r="O27" s="225"/>
      <c r="P27" s="225"/>
      <c r="Q27" s="225"/>
      <c r="R27" s="225"/>
      <c r="S27" s="225"/>
      <c r="T27" s="225"/>
      <c r="U27" s="225"/>
      <c r="V27" s="225"/>
      <c r="W27" s="225"/>
      <c r="X27" s="42"/>
      <c r="Z27" s="42"/>
      <c r="AB27" s="42"/>
      <c r="AD27" s="42"/>
    </row>
    <row r="28" spans="2:31" ht="16.5" thickTop="1" thickBot="1" x14ac:dyDescent="0.3">
      <c r="B28" s="200"/>
      <c r="C28" s="220" t="s">
        <v>285</v>
      </c>
      <c r="D28" s="206">
        <f>D27-D29</f>
        <v>0.41000000000000003</v>
      </c>
      <c r="E28" s="189">
        <f>D28/D27</f>
        <v>0.82000000000000006</v>
      </c>
      <c r="F28" s="190">
        <f>E28*360</f>
        <v>295.20000000000005</v>
      </c>
      <c r="G28" s="191">
        <f>E28*$D$18</f>
        <v>41</v>
      </c>
      <c r="H28" s="239"/>
      <c r="I28" s="201"/>
      <c r="L28" s="234"/>
      <c r="M28" s="233"/>
      <c r="N28" s="233"/>
      <c r="O28" s="233"/>
      <c r="P28" s="233"/>
      <c r="Q28" s="233"/>
      <c r="R28" s="233"/>
      <c r="S28" s="233"/>
      <c r="T28" s="233"/>
      <c r="U28" s="233"/>
      <c r="V28" s="233"/>
      <c r="W28" s="233"/>
      <c r="X28" s="228"/>
      <c r="Y28" s="228"/>
      <c r="Z28" s="228"/>
      <c r="AA28" s="228"/>
      <c r="AB28" s="228"/>
      <c r="AC28" s="228"/>
      <c r="AD28" s="228"/>
      <c r="AE28" s="228"/>
    </row>
    <row r="29" spans="2:31" ht="16.5" thickTop="1" thickBot="1" x14ac:dyDescent="0.3">
      <c r="B29" s="200"/>
      <c r="C29" s="219" t="s">
        <v>284</v>
      </c>
      <c r="D29" s="224">
        <f>D13/D18*D27</f>
        <v>0.09</v>
      </c>
      <c r="E29" s="192">
        <f>D29/D27</f>
        <v>0.18</v>
      </c>
      <c r="F29" s="193">
        <f>E29*360</f>
        <v>64.8</v>
      </c>
      <c r="G29" s="194">
        <f>E29*$D$18</f>
        <v>9</v>
      </c>
      <c r="H29" s="239"/>
      <c r="I29" s="201"/>
      <c r="L29" s="121"/>
      <c r="M29" s="203"/>
      <c r="N29" s="203"/>
      <c r="O29" s="203"/>
      <c r="P29" s="203"/>
      <c r="Q29" s="203"/>
      <c r="R29" s="203"/>
      <c r="S29" s="203"/>
      <c r="T29" s="203"/>
      <c r="U29" s="203"/>
      <c r="V29" s="203"/>
      <c r="W29" s="203"/>
    </row>
    <row r="30" spans="2:31" ht="6" customHeight="1" thickTop="1" x14ac:dyDescent="0.2">
      <c r="B30" s="200"/>
      <c r="C30" s="121"/>
      <c r="D30" s="172"/>
      <c r="E30" s="50"/>
      <c r="F30" s="50"/>
      <c r="G30" s="50"/>
      <c r="H30" s="50"/>
      <c r="I30" s="201"/>
    </row>
    <row r="31" spans="2:31" x14ac:dyDescent="0.2">
      <c r="B31" s="200"/>
      <c r="C31" s="819" t="s">
        <v>441</v>
      </c>
      <c r="D31" s="218">
        <f>180+(F29/2)</f>
        <v>212.4</v>
      </c>
      <c r="E31" s="50" t="s">
        <v>442</v>
      </c>
      <c r="F31" s="50"/>
      <c r="G31" s="50"/>
      <c r="H31" s="50"/>
      <c r="I31" s="201"/>
    </row>
    <row r="32" spans="2:31" x14ac:dyDescent="0.2">
      <c r="B32" s="200"/>
      <c r="C32" s="819"/>
      <c r="D32" s="218">
        <f>180-(F29/2)</f>
        <v>147.6</v>
      </c>
      <c r="E32" s="50" t="s">
        <v>443</v>
      </c>
      <c r="F32" s="50"/>
      <c r="G32" s="50"/>
      <c r="H32" s="50"/>
      <c r="I32" s="201"/>
      <c r="L32" s="226"/>
      <c r="M32" s="203"/>
      <c r="N32" s="230"/>
      <c r="O32" s="235"/>
      <c r="P32" s="230"/>
      <c r="Q32" s="172"/>
      <c r="R32" s="230"/>
    </row>
    <row r="33" spans="2:21" x14ac:dyDescent="0.2">
      <c r="B33" s="200"/>
      <c r="C33" s="121"/>
      <c r="D33" s="172"/>
      <c r="E33" s="50"/>
      <c r="F33" s="50"/>
      <c r="G33" s="50">
        <f>D17</f>
        <v>120</v>
      </c>
      <c r="H33" s="50" t="s">
        <v>279</v>
      </c>
      <c r="I33" s="201"/>
      <c r="L33" s="226"/>
      <c r="M33" s="203"/>
      <c r="N33" s="230"/>
      <c r="O33" s="235"/>
      <c r="P33" s="230"/>
      <c r="Q33" s="172"/>
      <c r="R33" s="230"/>
    </row>
    <row r="34" spans="2:21" x14ac:dyDescent="0.2">
      <c r="B34" s="200"/>
      <c r="C34" s="121"/>
      <c r="D34" s="172"/>
      <c r="E34" s="50"/>
      <c r="F34" s="50"/>
      <c r="G34" s="50"/>
      <c r="H34" s="50"/>
      <c r="I34" s="201"/>
      <c r="L34" s="226"/>
      <c r="M34" s="171"/>
      <c r="N34" s="230"/>
      <c r="O34" s="235"/>
      <c r="P34" s="230"/>
      <c r="Q34" s="172"/>
      <c r="R34" s="230"/>
    </row>
    <row r="35" spans="2:21" ht="15" x14ac:dyDescent="0.25">
      <c r="B35" s="200"/>
      <c r="C35" s="121"/>
      <c r="D35" s="172"/>
      <c r="E35" s="50"/>
      <c r="F35" s="50"/>
      <c r="G35" s="50"/>
      <c r="H35" s="50"/>
      <c r="I35" s="201"/>
      <c r="U35" s="232"/>
    </row>
    <row r="36" spans="2:21" ht="15" x14ac:dyDescent="0.25">
      <c r="B36" s="200"/>
      <c r="C36" s="121"/>
      <c r="D36" s="172"/>
      <c r="E36" s="50"/>
      <c r="F36" s="50"/>
      <c r="G36" s="50"/>
      <c r="H36" s="50"/>
      <c r="I36" s="201"/>
      <c r="S36" s="231"/>
    </row>
    <row r="37" spans="2:21" ht="15" x14ac:dyDescent="0.25">
      <c r="B37" s="200"/>
      <c r="E37" s="221">
        <f>F28/2</f>
        <v>147.60000000000002</v>
      </c>
      <c r="F37" s="222">
        <f>F29</f>
        <v>64.8</v>
      </c>
      <c r="G37" s="223">
        <f>F28/2</f>
        <v>147.60000000000002</v>
      </c>
      <c r="H37" s="50"/>
      <c r="I37" s="201"/>
      <c r="S37" s="231"/>
      <c r="T37" s="42"/>
    </row>
    <row r="38" spans="2:21" ht="15" x14ac:dyDescent="0.25">
      <c r="B38" s="200"/>
      <c r="E38" s="50"/>
      <c r="F38" s="50"/>
      <c r="G38" s="50">
        <f>D19</f>
        <v>40</v>
      </c>
      <c r="H38" s="50" t="s">
        <v>281</v>
      </c>
      <c r="I38" s="201"/>
      <c r="S38" s="231"/>
      <c r="T38" s="42"/>
    </row>
    <row r="39" spans="2:21" ht="15" customHeight="1" x14ac:dyDescent="0.25">
      <c r="B39" s="200"/>
      <c r="F39" s="50"/>
      <c r="G39" s="21">
        <f>D20</f>
        <v>10</v>
      </c>
      <c r="H39" s="21" t="s">
        <v>467</v>
      </c>
      <c r="I39" s="201"/>
      <c r="S39" s="231"/>
      <c r="T39" s="42"/>
    </row>
    <row r="40" spans="2:21" ht="15" x14ac:dyDescent="0.25">
      <c r="B40" s="200"/>
      <c r="C40" s="121" t="s">
        <v>447</v>
      </c>
      <c r="D40" s="235">
        <f>(F19^2-0^2)/(2*D20)</f>
        <v>2.222222222222222E-2</v>
      </c>
      <c r="E40" s="50" t="s">
        <v>391</v>
      </c>
      <c r="I40" s="201"/>
      <c r="S40" s="231"/>
      <c r="T40" s="42"/>
    </row>
    <row r="41" spans="2:21" ht="15" x14ac:dyDescent="0.25">
      <c r="B41" s="200"/>
      <c r="C41" s="121" t="s">
        <v>448</v>
      </c>
      <c r="D41" s="172">
        <f>SQRT(D40/(0.5*D20))</f>
        <v>6.6666666666666666E-2</v>
      </c>
      <c r="E41" s="50" t="s">
        <v>187</v>
      </c>
      <c r="I41" s="201"/>
      <c r="S41" s="231"/>
      <c r="T41" s="42"/>
    </row>
    <row r="42" spans="2:21" ht="15" x14ac:dyDescent="0.25">
      <c r="B42" s="200"/>
      <c r="C42" s="121" t="s">
        <v>449</v>
      </c>
      <c r="D42" s="235">
        <f>D23/1000-2*D40</f>
        <v>0.10755555555555556</v>
      </c>
      <c r="E42" s="50" t="s">
        <v>391</v>
      </c>
      <c r="I42" s="201"/>
      <c r="S42" s="231"/>
      <c r="T42" s="42"/>
    </row>
    <row r="43" spans="2:21" ht="15" x14ac:dyDescent="0.25">
      <c r="B43" s="200"/>
      <c r="C43" s="121" t="s">
        <v>450</v>
      </c>
      <c r="D43" s="172">
        <f>(D19/D42)^(-1)*60</f>
        <v>0.16133333333333336</v>
      </c>
      <c r="E43" s="50" t="s">
        <v>187</v>
      </c>
      <c r="I43" s="201"/>
      <c r="S43" s="231"/>
      <c r="T43" s="42"/>
    </row>
    <row r="44" spans="2:21" ht="15" x14ac:dyDescent="0.25">
      <c r="B44" s="200"/>
      <c r="C44" s="121"/>
      <c r="D44" s="172"/>
      <c r="E44" s="50"/>
      <c r="I44" s="201"/>
      <c r="S44" s="231"/>
      <c r="T44" s="42"/>
    </row>
    <row r="45" spans="2:21" ht="15" x14ac:dyDescent="0.25">
      <c r="B45" s="200"/>
      <c r="C45" s="121" t="s">
        <v>466</v>
      </c>
      <c r="D45" s="172">
        <f>D41*2+D43</f>
        <v>0.29466666666666669</v>
      </c>
      <c r="E45" s="50" t="s">
        <v>187</v>
      </c>
      <c r="F45" s="50"/>
      <c r="G45" s="50"/>
      <c r="H45" s="50"/>
      <c r="I45" s="201"/>
      <c r="S45" s="231"/>
      <c r="T45" s="42"/>
    </row>
    <row r="46" spans="2:21" ht="15" x14ac:dyDescent="0.25">
      <c r="B46" s="200"/>
      <c r="C46" s="121" t="s">
        <v>463</v>
      </c>
      <c r="D46" s="250">
        <v>0.16</v>
      </c>
      <c r="E46" s="249" t="s">
        <v>187</v>
      </c>
      <c r="F46" s="254" t="s">
        <v>461</v>
      </c>
      <c r="G46" s="50"/>
      <c r="H46" s="50"/>
      <c r="I46" s="201"/>
      <c r="K46" s="248" t="s">
        <v>461</v>
      </c>
      <c r="L46" s="247" t="s">
        <v>462</v>
      </c>
      <c r="S46" s="231"/>
      <c r="T46" s="42"/>
    </row>
    <row r="47" spans="2:21" ht="15" x14ac:dyDescent="0.25">
      <c r="B47" s="200"/>
      <c r="C47" s="121" t="s">
        <v>465</v>
      </c>
      <c r="D47" s="172">
        <f>IF(F46=K46,D45+D46,D45)</f>
        <v>0.45466666666666666</v>
      </c>
      <c r="E47" s="50" t="s">
        <v>187</v>
      </c>
      <c r="F47" s="50"/>
      <c r="G47" s="50"/>
      <c r="H47" s="50"/>
      <c r="I47" s="201"/>
      <c r="K47" s="248"/>
      <c r="L47" s="247"/>
      <c r="S47" s="231"/>
      <c r="T47" s="42"/>
    </row>
    <row r="48" spans="2:21" ht="15" x14ac:dyDescent="0.25">
      <c r="B48" s="200"/>
      <c r="C48" s="121" t="s">
        <v>451</v>
      </c>
      <c r="D48" s="203">
        <f>IF(F46=K46,(D23/1000)/((D45+D46)/60),(D23/1000)/(D45/60))</f>
        <v>20.058651026392962</v>
      </c>
      <c r="E48" s="50" t="s">
        <v>281</v>
      </c>
      <c r="F48" s="50"/>
      <c r="G48" s="50"/>
      <c r="H48" s="50"/>
      <c r="I48" s="201"/>
      <c r="S48" s="231"/>
      <c r="T48" s="42"/>
    </row>
    <row r="49" spans="2:20" ht="15" x14ac:dyDescent="0.25">
      <c r="B49" s="200"/>
      <c r="C49" s="121" t="s">
        <v>457</v>
      </c>
      <c r="D49" s="246">
        <f>D48/D19</f>
        <v>0.50146627565982405</v>
      </c>
      <c r="E49" s="50"/>
      <c r="F49" s="50"/>
      <c r="G49" s="50"/>
      <c r="H49" s="50"/>
      <c r="I49" s="201"/>
      <c r="S49" s="231"/>
      <c r="T49" s="42"/>
    </row>
    <row r="50" spans="2:20" ht="15" x14ac:dyDescent="0.25">
      <c r="B50" s="200"/>
      <c r="C50" s="121"/>
      <c r="D50" s="172"/>
      <c r="E50" s="50"/>
      <c r="F50" s="188" t="s">
        <v>456</v>
      </c>
      <c r="G50" s="188" t="s">
        <v>444</v>
      </c>
      <c r="H50" s="188" t="s">
        <v>445</v>
      </c>
      <c r="I50" s="201"/>
      <c r="S50" s="231"/>
      <c r="T50" s="42"/>
    </row>
    <row r="51" spans="2:20" ht="18" x14ac:dyDescent="0.35">
      <c r="B51" s="200"/>
      <c r="C51" s="121"/>
      <c r="D51" s="172"/>
      <c r="E51" s="237" t="s">
        <v>452</v>
      </c>
      <c r="F51" s="243">
        <v>0</v>
      </c>
      <c r="G51" s="243">
        <v>0</v>
      </c>
      <c r="H51" s="243">
        <v>0</v>
      </c>
      <c r="I51" s="201"/>
      <c r="S51" s="231"/>
      <c r="T51" s="42"/>
    </row>
    <row r="52" spans="2:20" ht="18" x14ac:dyDescent="0.35">
      <c r="B52" s="200"/>
      <c r="C52" s="121"/>
      <c r="D52" s="172"/>
      <c r="E52" s="237" t="s">
        <v>453</v>
      </c>
      <c r="F52" s="244">
        <f>D40*1000</f>
        <v>22.222222222222218</v>
      </c>
      <c r="G52" s="240">
        <f>D41</f>
        <v>6.6666666666666666E-2</v>
      </c>
      <c r="H52" s="241">
        <f>D19</f>
        <v>40</v>
      </c>
      <c r="I52" s="201"/>
      <c r="S52" s="231"/>
      <c r="T52" s="42"/>
    </row>
    <row r="53" spans="2:20" ht="18" x14ac:dyDescent="0.35">
      <c r="B53" s="200"/>
      <c r="C53" s="121"/>
      <c r="D53" s="172"/>
      <c r="E53" s="237" t="s">
        <v>454</v>
      </c>
      <c r="F53" s="245">
        <f>(D40+D42)*1000</f>
        <v>129.77777777777777</v>
      </c>
      <c r="G53" s="242">
        <f>G52+D43</f>
        <v>0.22800000000000004</v>
      </c>
      <c r="H53" s="243">
        <f>D19</f>
        <v>40</v>
      </c>
      <c r="I53" s="201"/>
      <c r="S53" s="231"/>
      <c r="T53" s="42"/>
    </row>
    <row r="54" spans="2:20" ht="18" x14ac:dyDescent="0.35">
      <c r="B54" s="200"/>
      <c r="C54" s="121"/>
      <c r="D54" s="172"/>
      <c r="E54" s="237" t="s">
        <v>455</v>
      </c>
      <c r="F54" s="244">
        <f>(D40+D42+D40)*1000</f>
        <v>152</v>
      </c>
      <c r="G54" s="240">
        <f>G53+D41</f>
        <v>0.29466666666666669</v>
      </c>
      <c r="H54" s="241">
        <v>0</v>
      </c>
      <c r="I54" s="201"/>
      <c r="S54" s="231"/>
      <c r="T54" s="42"/>
    </row>
    <row r="55" spans="2:20" ht="15" x14ac:dyDescent="0.25">
      <c r="B55" s="200"/>
      <c r="C55" s="121"/>
      <c r="D55" s="172"/>
      <c r="I55" s="201"/>
      <c r="S55" s="231"/>
      <c r="T55" s="42"/>
    </row>
    <row r="56" spans="2:20" ht="15" x14ac:dyDescent="0.25">
      <c r="B56" s="200"/>
      <c r="C56" s="121"/>
      <c r="D56" s="172"/>
      <c r="E56" s="50"/>
      <c r="F56" s="50"/>
      <c r="G56" s="50"/>
      <c r="H56" s="50"/>
      <c r="I56" s="201"/>
      <c r="S56" s="231"/>
      <c r="T56" s="42"/>
    </row>
    <row r="57" spans="2:20" ht="15" x14ac:dyDescent="0.25">
      <c r="B57" s="200"/>
      <c r="C57" s="121" t="s">
        <v>287</v>
      </c>
      <c r="D57" s="172">
        <f>IF(F57=K57,D23/((D19*(D21/100)/60)*1000),D47)</f>
        <v>0.45466666666666666</v>
      </c>
      <c r="E57" s="50" t="s">
        <v>187</v>
      </c>
      <c r="F57" s="249" t="s">
        <v>460</v>
      </c>
      <c r="G57" s="50"/>
      <c r="H57" s="50"/>
      <c r="I57" s="201"/>
      <c r="K57" s="247" t="s">
        <v>459</v>
      </c>
      <c r="L57" s="247" t="s">
        <v>460</v>
      </c>
      <c r="S57" s="231"/>
      <c r="T57" s="42"/>
    </row>
    <row r="58" spans="2:20" ht="15" customHeight="1" x14ac:dyDescent="0.2">
      <c r="B58" s="200"/>
      <c r="C58" s="121" t="s">
        <v>284</v>
      </c>
      <c r="D58" s="172">
        <f>D29</f>
        <v>0.09</v>
      </c>
      <c r="E58" s="50" t="s">
        <v>187</v>
      </c>
      <c r="F58" s="50"/>
      <c r="G58" s="50"/>
      <c r="H58" s="50"/>
      <c r="I58" s="201"/>
    </row>
    <row r="59" spans="2:20" ht="15" x14ac:dyDescent="0.25">
      <c r="B59" s="200"/>
      <c r="C59" s="121" t="s">
        <v>458</v>
      </c>
      <c r="D59" s="172">
        <f>D57+D58</f>
        <v>0.54466666666666663</v>
      </c>
      <c r="E59" s="50" t="s">
        <v>187</v>
      </c>
      <c r="F59" s="50"/>
      <c r="G59" s="50"/>
      <c r="H59" s="50"/>
      <c r="I59" s="201"/>
      <c r="S59" s="231"/>
      <c r="T59" s="229"/>
    </row>
    <row r="60" spans="2:20" ht="3.75" customHeight="1" x14ac:dyDescent="0.2">
      <c r="B60" s="200"/>
      <c r="C60" s="121"/>
      <c r="D60" s="172"/>
      <c r="E60" s="50"/>
      <c r="F60" s="50"/>
      <c r="G60" s="50"/>
      <c r="H60" s="50"/>
      <c r="I60" s="201"/>
    </row>
    <row r="61" spans="2:20" ht="15" customHeight="1" x14ac:dyDescent="0.2">
      <c r="B61" s="200"/>
      <c r="C61" s="214" t="s">
        <v>436</v>
      </c>
      <c r="D61" s="215">
        <f>(D59/60)^-1</f>
        <v>110.1591187270502</v>
      </c>
      <c r="E61" s="216" t="s">
        <v>279</v>
      </c>
      <c r="F61" s="50"/>
      <c r="G61" s="50"/>
      <c r="H61" s="50"/>
      <c r="I61" s="201"/>
    </row>
    <row r="62" spans="2:20" ht="15" customHeight="1" x14ac:dyDescent="0.2">
      <c r="B62" s="200"/>
      <c r="C62" s="217" t="s">
        <v>437</v>
      </c>
      <c r="D62" s="215">
        <f>IF(D57&gt;D28,D61,D17)</f>
        <v>110.1591187270502</v>
      </c>
      <c r="E62" s="216" t="s">
        <v>279</v>
      </c>
      <c r="F62" s="50"/>
      <c r="G62" s="50"/>
      <c r="H62" s="50"/>
      <c r="I62" s="201"/>
    </row>
    <row r="63" spans="2:20" ht="3" customHeight="1" x14ac:dyDescent="0.2">
      <c r="B63" s="200"/>
      <c r="C63" s="121"/>
      <c r="D63" s="171"/>
      <c r="E63" s="50"/>
      <c r="F63" s="50"/>
      <c r="G63" s="50"/>
      <c r="H63" s="50"/>
      <c r="I63" s="201"/>
    </row>
    <row r="64" spans="2:20" ht="15" x14ac:dyDescent="0.25">
      <c r="B64" s="200"/>
      <c r="C64" s="121" t="s">
        <v>296</v>
      </c>
      <c r="D64" s="195">
        <f>D62*D23/1000</f>
        <v>16.744186046511629</v>
      </c>
      <c r="E64" s="50" t="s">
        <v>281</v>
      </c>
      <c r="F64" s="50"/>
      <c r="G64" s="50"/>
      <c r="H64" s="50"/>
      <c r="I64" s="201"/>
    </row>
    <row r="65" spans="2:9" ht="5.25" customHeight="1" x14ac:dyDescent="0.2">
      <c r="B65" s="200"/>
      <c r="C65" s="50"/>
      <c r="D65" s="50"/>
      <c r="E65" s="50"/>
      <c r="F65" s="50"/>
      <c r="G65" s="50"/>
      <c r="H65" s="50"/>
      <c r="I65" s="201"/>
    </row>
    <row r="66" spans="2:9" ht="15" x14ac:dyDescent="0.2">
      <c r="B66" s="200"/>
      <c r="C66" s="821" t="s">
        <v>290</v>
      </c>
      <c r="D66" s="821"/>
      <c r="E66" s="821"/>
      <c r="F66" s="821"/>
      <c r="G66" s="821"/>
      <c r="H66" s="821"/>
      <c r="I66" s="201"/>
    </row>
    <row r="67" spans="2:9" ht="6" customHeight="1" x14ac:dyDescent="0.2">
      <c r="B67" s="200"/>
      <c r="C67" s="50"/>
      <c r="D67" s="50"/>
      <c r="E67" s="50"/>
      <c r="F67" s="50"/>
      <c r="G67" s="50"/>
      <c r="H67" s="50"/>
      <c r="I67" s="201"/>
    </row>
    <row r="68" spans="2:9" x14ac:dyDescent="0.2">
      <c r="B68" s="200"/>
      <c r="C68" s="121" t="s">
        <v>278</v>
      </c>
      <c r="D68" s="204">
        <v>100</v>
      </c>
      <c r="E68" s="50" t="s">
        <v>279</v>
      </c>
      <c r="F68" s="50"/>
      <c r="G68" s="50"/>
      <c r="H68" s="50"/>
      <c r="I68" s="201"/>
    </row>
    <row r="69" spans="2:9" x14ac:dyDescent="0.2">
      <c r="B69" s="200"/>
      <c r="C69" s="121" t="s">
        <v>280</v>
      </c>
      <c r="D69" s="204">
        <v>40</v>
      </c>
      <c r="E69" s="50" t="s">
        <v>281</v>
      </c>
      <c r="F69" s="50"/>
      <c r="G69" s="50"/>
      <c r="H69" s="50"/>
      <c r="I69" s="201"/>
    </row>
    <row r="70" spans="2:9" ht="4.5" customHeight="1" x14ac:dyDescent="0.2">
      <c r="B70" s="200"/>
      <c r="C70" s="50"/>
      <c r="D70" s="50"/>
      <c r="E70" s="50"/>
      <c r="F70" s="50"/>
      <c r="G70" s="50"/>
      <c r="H70" s="50"/>
      <c r="I70" s="201"/>
    </row>
    <row r="71" spans="2:9" x14ac:dyDescent="0.2">
      <c r="B71" s="200"/>
      <c r="C71" s="121" t="s">
        <v>291</v>
      </c>
      <c r="D71" s="204">
        <v>76</v>
      </c>
      <c r="E71" s="50" t="s">
        <v>9</v>
      </c>
      <c r="F71" s="50"/>
      <c r="G71" s="50"/>
      <c r="H71" s="50"/>
      <c r="I71" s="201"/>
    </row>
    <row r="72" spans="2:9" ht="4.5" customHeight="1" thickBot="1" x14ac:dyDescent="0.25">
      <c r="B72" s="200"/>
      <c r="C72" s="50"/>
      <c r="D72" s="50"/>
      <c r="E72" s="50"/>
      <c r="F72" s="50"/>
      <c r="G72" s="50"/>
      <c r="H72" s="50"/>
      <c r="I72" s="201"/>
    </row>
    <row r="73" spans="2:9" ht="42" customHeight="1" thickBot="1" x14ac:dyDescent="0.25">
      <c r="B73" s="200"/>
      <c r="C73" s="119" t="s">
        <v>294</v>
      </c>
      <c r="D73" s="120" t="s">
        <v>288</v>
      </c>
      <c r="E73" s="120" t="s">
        <v>295</v>
      </c>
      <c r="F73" s="120" t="s">
        <v>299</v>
      </c>
      <c r="G73" s="120" t="s">
        <v>468</v>
      </c>
      <c r="H73" s="120" t="s">
        <v>289</v>
      </c>
      <c r="I73" s="201"/>
    </row>
    <row r="74" spans="2:9" ht="15.75" thickBot="1" x14ac:dyDescent="0.3">
      <c r="B74" s="200"/>
      <c r="C74" s="251">
        <v>1</v>
      </c>
      <c r="D74" s="251">
        <v>152</v>
      </c>
      <c r="E74" s="252">
        <v>1</v>
      </c>
      <c r="F74" s="4">
        <f>D74*E74</f>
        <v>152</v>
      </c>
      <c r="G74" s="4">
        <v>50</v>
      </c>
      <c r="H74" s="253">
        <f>((($D$69*(G74/100))^-1*(D74/1000))+($D$68^-1))*E74</f>
        <v>1.7600000000000001E-2</v>
      </c>
      <c r="I74" s="201"/>
    </row>
    <row r="75" spans="2:9" ht="15.75" thickBot="1" x14ac:dyDescent="0.3">
      <c r="B75" s="200"/>
      <c r="C75" s="251"/>
      <c r="D75" s="251"/>
      <c r="E75" s="252"/>
      <c r="F75" s="4"/>
      <c r="G75" s="4"/>
      <c r="H75" s="253"/>
      <c r="I75" s="201"/>
    </row>
    <row r="76" spans="2:9" ht="15" x14ac:dyDescent="0.25">
      <c r="B76" s="200"/>
      <c r="C76" s="122"/>
      <c r="D76" s="122"/>
      <c r="E76" s="123"/>
      <c r="F76" s="187"/>
      <c r="G76" s="124"/>
      <c r="H76" s="50"/>
      <c r="I76" s="201"/>
    </row>
    <row r="77" spans="2:9" ht="15" x14ac:dyDescent="0.25">
      <c r="B77" s="200"/>
      <c r="C77" s="125" t="s">
        <v>298</v>
      </c>
      <c r="D77" s="122">
        <f>SUM(F74:F76)</f>
        <v>152</v>
      </c>
      <c r="E77" s="126" t="s">
        <v>300</v>
      </c>
      <c r="F77" s="123"/>
      <c r="G77" s="124"/>
      <c r="H77" s="50"/>
      <c r="I77" s="201"/>
    </row>
    <row r="78" spans="2:9" ht="3.75" customHeight="1" x14ac:dyDescent="0.25">
      <c r="B78" s="200"/>
      <c r="C78" s="125"/>
      <c r="D78" s="122"/>
      <c r="E78" s="126"/>
      <c r="F78" s="123"/>
      <c r="G78" s="124"/>
      <c r="H78" s="50"/>
      <c r="I78" s="201"/>
    </row>
    <row r="79" spans="2:9" ht="15" x14ac:dyDescent="0.25">
      <c r="B79" s="200"/>
      <c r="C79" s="121" t="s">
        <v>296</v>
      </c>
      <c r="D79" s="195">
        <f>(SUM(H74:H76)^-1)*($D$77/1000)</f>
        <v>8.6363636363636349</v>
      </c>
      <c r="E79" s="50" t="s">
        <v>297</v>
      </c>
      <c r="F79" s="50"/>
      <c r="G79" s="50"/>
      <c r="H79" s="50"/>
      <c r="I79" s="201"/>
    </row>
    <row r="80" spans="2:9" ht="6.75" customHeight="1" x14ac:dyDescent="0.2">
      <c r="B80" s="200"/>
      <c r="C80" s="50"/>
      <c r="D80" s="50"/>
      <c r="E80" s="50"/>
      <c r="F80" s="50"/>
      <c r="G80" s="50"/>
      <c r="H80" s="50"/>
      <c r="I80" s="201"/>
    </row>
    <row r="81" spans="2:9" ht="15" x14ac:dyDescent="0.25">
      <c r="B81" s="207"/>
      <c r="C81" s="822" t="s">
        <v>302</v>
      </c>
      <c r="D81" s="822"/>
      <c r="E81" s="822"/>
      <c r="F81" s="822"/>
      <c r="G81" s="822"/>
      <c r="H81" s="822"/>
      <c r="I81" s="201"/>
    </row>
    <row r="82" spans="2:9" ht="3" customHeight="1" x14ac:dyDescent="0.2">
      <c r="B82" s="200"/>
      <c r="C82" s="50"/>
      <c r="D82" s="50"/>
      <c r="E82" s="50"/>
      <c r="F82" s="50"/>
      <c r="G82" s="50"/>
      <c r="H82" s="50"/>
      <c r="I82" s="201"/>
    </row>
    <row r="83" spans="2:9" x14ac:dyDescent="0.2">
      <c r="B83" s="200"/>
      <c r="C83" s="121" t="s">
        <v>305</v>
      </c>
      <c r="D83" s="208">
        <v>20000</v>
      </c>
      <c r="E83" s="50" t="s">
        <v>304</v>
      </c>
      <c r="F83" s="50"/>
      <c r="G83" s="50"/>
      <c r="H83" s="50"/>
      <c r="I83" s="201"/>
    </row>
    <row r="84" spans="2:9" x14ac:dyDescent="0.2">
      <c r="B84" s="200"/>
      <c r="C84" s="121" t="s">
        <v>303</v>
      </c>
      <c r="D84" s="204">
        <v>10</v>
      </c>
      <c r="E84" s="50" t="s">
        <v>304</v>
      </c>
      <c r="F84" s="50"/>
      <c r="G84" s="50"/>
      <c r="H84" s="50"/>
      <c r="I84" s="201"/>
    </row>
    <row r="85" spans="2:9" x14ac:dyDescent="0.2">
      <c r="B85" s="200"/>
      <c r="C85" s="121" t="s">
        <v>306</v>
      </c>
      <c r="D85" s="187">
        <v>400</v>
      </c>
      <c r="E85" s="50" t="s">
        <v>9</v>
      </c>
      <c r="F85" s="50"/>
      <c r="G85" s="50"/>
      <c r="H85" s="50"/>
      <c r="I85" s="201"/>
    </row>
    <row r="86" spans="2:9" ht="15" x14ac:dyDescent="0.25">
      <c r="B86" s="200"/>
      <c r="C86" s="121" t="s">
        <v>307</v>
      </c>
      <c r="D86" s="195">
        <f>10/D83*D85</f>
        <v>0.2</v>
      </c>
      <c r="E86" s="50" t="s">
        <v>9</v>
      </c>
      <c r="F86" s="50"/>
      <c r="G86" s="50"/>
      <c r="H86" s="50"/>
      <c r="I86" s="201"/>
    </row>
    <row r="87" spans="2:9" ht="13.5" thickBot="1" x14ac:dyDescent="0.25">
      <c r="B87" s="209"/>
      <c r="C87" s="210"/>
      <c r="D87" s="211"/>
      <c r="E87" s="211"/>
      <c r="F87" s="211"/>
      <c r="G87" s="211"/>
      <c r="H87" s="211"/>
      <c r="I87" s="212"/>
    </row>
    <row r="88" spans="2:9" ht="13.5" thickTop="1" x14ac:dyDescent="0.2"/>
    <row r="89" spans="2:9" x14ac:dyDescent="0.2">
      <c r="C89" s="2" t="s">
        <v>435</v>
      </c>
    </row>
    <row r="90" spans="2:9" x14ac:dyDescent="0.2">
      <c r="C90" s="196">
        <v>41957</v>
      </c>
    </row>
  </sheetData>
  <mergeCells count="7">
    <mergeCell ref="R17:R18"/>
    <mergeCell ref="C15:H15"/>
    <mergeCell ref="C66:H66"/>
    <mergeCell ref="C81:H81"/>
    <mergeCell ref="C5:H5"/>
    <mergeCell ref="C9:H9"/>
    <mergeCell ref="C31:C32"/>
  </mergeCells>
  <conditionalFormatting sqref="D62">
    <cfRule type="cellIs" dxfId="7" priority="4" stopIfTrue="1" operator="equal">
      <formula>$D$17</formula>
    </cfRule>
  </conditionalFormatting>
  <conditionalFormatting sqref="D61">
    <cfRule type="cellIs" dxfId="6" priority="3" stopIfTrue="1" operator="equal">
      <formula>$D$62</formula>
    </cfRule>
  </conditionalFormatting>
  <conditionalFormatting sqref="C62:E62">
    <cfRule type="expression" dxfId="5" priority="2" stopIfTrue="1">
      <formula>$D$62&lt;&gt;$D$17</formula>
    </cfRule>
  </conditionalFormatting>
  <conditionalFormatting sqref="C61:E61">
    <cfRule type="expression" dxfId="4" priority="1" stopIfTrue="1">
      <formula>$D$61&lt;&gt;$D$62</formula>
    </cfRule>
  </conditionalFormatting>
  <dataValidations count="3">
    <dataValidation type="list" allowBlank="1" showInputMessage="1" showErrorMessage="1" sqref="D72">
      <formula1>$K$69:$K$72</formula1>
    </dataValidation>
    <dataValidation type="list" allowBlank="1" showInputMessage="1" showErrorMessage="1" sqref="F57">
      <formula1>$K$57:$L$57</formula1>
    </dataValidation>
    <dataValidation type="list" allowBlank="1" showInputMessage="1" showErrorMessage="1" sqref="F46:F47">
      <formula1>$K$46:$L$46</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666" r:id="rId4" name="Spinner 162">
              <controlPr defaultSize="0" autoPict="0" macro="[0]!RotacaoDaPrensa" altText="Comando utilizado para controlar a velocidade da prensa.">
                <anchor moveWithCells="1" sizeWithCells="1">
                  <from>
                    <xdr:col>4</xdr:col>
                    <xdr:colOff>552450</xdr:colOff>
                    <xdr:row>16</xdr:row>
                    <xdr:rowOff>38100</xdr:rowOff>
                  </from>
                  <to>
                    <xdr:col>5</xdr:col>
                    <xdr:colOff>47625</xdr:colOff>
                    <xdr:row>17</xdr:row>
                    <xdr:rowOff>0</xdr:rowOff>
                  </to>
                </anchor>
              </controlPr>
            </control>
          </mc:Choice>
        </mc:AlternateContent>
        <mc:AlternateContent xmlns:mc="http://schemas.openxmlformats.org/markup-compatibility/2006">
          <mc:Choice Requires="x14">
            <control shapeId="21667" r:id="rId5" name="Spinner 163">
              <controlPr defaultSize="0" autoPict="0" macro="[0]!AceleracaoDoFeeder" altText="Comando utilizado para controlar a velocidade da prensa.">
                <anchor moveWithCells="1" sizeWithCells="1">
                  <from>
                    <xdr:col>4</xdr:col>
                    <xdr:colOff>552450</xdr:colOff>
                    <xdr:row>19</xdr:row>
                    <xdr:rowOff>28575</xdr:rowOff>
                  </from>
                  <to>
                    <xdr:col>5</xdr:col>
                    <xdr:colOff>47625</xdr:colOff>
                    <xdr:row>19</xdr:row>
                    <xdr:rowOff>180975</xdr:rowOff>
                  </to>
                </anchor>
              </controlPr>
            </control>
          </mc:Choice>
        </mc:AlternateContent>
        <mc:AlternateContent xmlns:mc="http://schemas.openxmlformats.org/markup-compatibility/2006">
          <mc:Choice Requires="x14">
            <control shapeId="21668" r:id="rId6" name="Scroll Bar 164">
              <controlPr defaultSize="0" autoPict="0">
                <anchor moveWithCells="1">
                  <from>
                    <xdr:col>4</xdr:col>
                    <xdr:colOff>552450</xdr:colOff>
                    <xdr:row>22</xdr:row>
                    <xdr:rowOff>9525</xdr:rowOff>
                  </from>
                  <to>
                    <xdr:col>7</xdr:col>
                    <xdr:colOff>361950</xdr:colOff>
                    <xdr:row>22</xdr:row>
                    <xdr:rowOff>161925</xdr:rowOff>
                  </to>
                </anchor>
              </controlPr>
            </control>
          </mc:Choice>
        </mc:AlternateContent>
        <mc:AlternateContent xmlns:mc="http://schemas.openxmlformats.org/markup-compatibility/2006">
          <mc:Choice Requires="x14">
            <control shapeId="21669" r:id="rId7" name="Spinner 165">
              <controlPr defaultSize="0" autoPict="0" macro="[0]!AceleracaoDoFeeder" altText="Comando utilizado para controlar a velocidade da prensa.">
                <anchor moveWithCells="1" sizeWithCells="1">
                  <from>
                    <xdr:col>4</xdr:col>
                    <xdr:colOff>552450</xdr:colOff>
                    <xdr:row>18</xdr:row>
                    <xdr:rowOff>19050</xdr:rowOff>
                  </from>
                  <to>
                    <xdr:col>5</xdr:col>
                    <xdr:colOff>47625</xdr:colOff>
                    <xdr:row>18</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tabColor theme="1"/>
  </sheetPr>
  <dimension ref="B1:CI92"/>
  <sheetViews>
    <sheetView showGridLines="0" showRowColHeaders="0" topLeftCell="A55" workbookViewId="0"/>
  </sheetViews>
  <sheetFormatPr defaultRowHeight="12.75" x14ac:dyDescent="0.2"/>
  <cols>
    <col min="1" max="1" width="9.140625" style="257"/>
    <col min="2" max="2" width="25.85546875" style="257" customWidth="1"/>
    <col min="3" max="3" width="11.42578125" style="257" customWidth="1"/>
    <col min="4" max="4" width="10.140625" style="257" customWidth="1"/>
    <col min="5" max="5" width="15.5703125" style="257" customWidth="1"/>
    <col min="6" max="6" width="9.140625" style="257"/>
    <col min="7" max="10" width="15.7109375" style="257" hidden="1" customWidth="1"/>
    <col min="11" max="72" width="9.140625" style="257" hidden="1" customWidth="1"/>
    <col min="73" max="74" width="9.140625" style="257" customWidth="1"/>
    <col min="75" max="16384" width="9.140625" style="257"/>
  </cols>
  <sheetData>
    <row r="1" spans="2:75" ht="13.5" thickBot="1" x14ac:dyDescent="0.25"/>
    <row r="2" spans="2:75" ht="15" x14ac:dyDescent="0.25">
      <c r="B2" s="834" t="s">
        <v>470</v>
      </c>
      <c r="C2" s="835"/>
      <c r="D2" s="835"/>
      <c r="E2" s="835"/>
      <c r="F2" s="836"/>
    </row>
    <row r="3" spans="2:75" ht="13.5" thickBot="1" x14ac:dyDescent="0.25">
      <c r="B3" s="259"/>
      <c r="C3" s="260"/>
      <c r="D3" s="260"/>
      <c r="E3" s="260"/>
      <c r="F3" s="261"/>
    </row>
    <row r="4" spans="2:75" ht="15.75" thickBot="1" x14ac:dyDescent="0.3">
      <c r="B4" s="264" t="s">
        <v>473</v>
      </c>
      <c r="C4" s="265">
        <v>10</v>
      </c>
      <c r="D4" s="266" t="s">
        <v>281</v>
      </c>
      <c r="E4" s="260"/>
      <c r="F4" s="261"/>
    </row>
    <row r="5" spans="2:75" ht="15.75" thickBot="1" x14ac:dyDescent="0.25">
      <c r="B5" s="268"/>
      <c r="C5" s="269">
        <f>C4/60</f>
        <v>0.16666666666666666</v>
      </c>
      <c r="D5" s="266" t="s">
        <v>394</v>
      </c>
      <c r="E5" s="260"/>
      <c r="F5" s="261"/>
      <c r="BV5" s="258" t="s">
        <v>471</v>
      </c>
    </row>
    <row r="6" spans="2:75" ht="15.75" thickBot="1" x14ac:dyDescent="0.3">
      <c r="B6" s="264" t="s">
        <v>475</v>
      </c>
      <c r="C6" s="265">
        <v>5</v>
      </c>
      <c r="D6" s="266" t="s">
        <v>476</v>
      </c>
      <c r="E6" s="260"/>
      <c r="F6" s="261"/>
      <c r="BV6" s="262"/>
      <c r="BW6" s="263" t="s">
        <v>472</v>
      </c>
    </row>
    <row r="7" spans="2:75" ht="13.5" thickBot="1" x14ac:dyDescent="0.25">
      <c r="B7" s="259"/>
      <c r="C7" s="260"/>
      <c r="D7" s="260"/>
      <c r="E7" s="260"/>
      <c r="F7" s="261"/>
      <c r="BV7" s="267"/>
      <c r="BW7" s="263" t="s">
        <v>474</v>
      </c>
    </row>
    <row r="8" spans="2:75" ht="15.75" thickBot="1" x14ac:dyDescent="0.3">
      <c r="B8" s="828" t="s">
        <v>477</v>
      </c>
      <c r="C8" s="829"/>
      <c r="D8" s="829"/>
      <c r="E8" s="829"/>
      <c r="F8" s="830"/>
    </row>
    <row r="9" spans="2:75" ht="13.5" thickBot="1" x14ac:dyDescent="0.25">
      <c r="B9" s="270"/>
      <c r="C9" s="271"/>
      <c r="D9" s="271"/>
      <c r="E9" s="271"/>
      <c r="F9" s="272"/>
    </row>
    <row r="10" spans="2:75" ht="15.75" thickBot="1" x14ac:dyDescent="0.3">
      <c r="B10" s="264" t="s">
        <v>286</v>
      </c>
      <c r="C10" s="265">
        <v>50</v>
      </c>
      <c r="D10" s="273" t="s">
        <v>9</v>
      </c>
      <c r="E10" s="260"/>
      <c r="F10" s="261"/>
      <c r="G10" s="274" t="s">
        <v>478</v>
      </c>
      <c r="H10" s="275" t="s">
        <v>479</v>
      </c>
      <c r="I10" s="275" t="s">
        <v>480</v>
      </c>
      <c r="J10" s="275" t="s">
        <v>481</v>
      </c>
      <c r="K10" s="276"/>
      <c r="L10" s="238" t="s">
        <v>456</v>
      </c>
      <c r="M10" s="238" t="s">
        <v>444</v>
      </c>
      <c r="N10" s="238" t="s">
        <v>445</v>
      </c>
    </row>
    <row r="11" spans="2:75" ht="18.75" thickBot="1" x14ac:dyDescent="0.4">
      <c r="B11" s="264" t="s">
        <v>482</v>
      </c>
      <c r="C11" s="277">
        <f>(H11*2+(J11))</f>
        <v>0.33333333333333337</v>
      </c>
      <c r="D11" s="273" t="s">
        <v>187</v>
      </c>
      <c r="E11" s="260"/>
      <c r="F11" s="261"/>
      <c r="G11" s="278">
        <f>(($C$5^2)/(2*$C$6))</f>
        <v>2.7777777777777775E-3</v>
      </c>
      <c r="H11" s="279">
        <f>SQRT(2*G11/$C$6)</f>
        <v>3.3333333333333333E-2</v>
      </c>
      <c r="I11" s="279">
        <f>C10/1000-(2*G11)</f>
        <v>4.4444444444444446E-2</v>
      </c>
      <c r="J11" s="279">
        <f>I11/$C$5</f>
        <v>0.26666666666666672</v>
      </c>
      <c r="K11" s="280" t="s">
        <v>452</v>
      </c>
      <c r="L11" s="243">
        <v>0</v>
      </c>
      <c r="M11" s="243">
        <v>0</v>
      </c>
      <c r="N11" s="243">
        <v>0</v>
      </c>
    </row>
    <row r="12" spans="2:75" ht="18.75" thickBot="1" x14ac:dyDescent="0.4">
      <c r="B12" s="264" t="s">
        <v>483</v>
      </c>
      <c r="C12" s="281">
        <f>(C10/1000)*60/(C11)</f>
        <v>8.9999999999999982</v>
      </c>
      <c r="D12" s="273" t="s">
        <v>281</v>
      </c>
      <c r="E12" s="260"/>
      <c r="F12" s="261"/>
      <c r="K12" s="280" t="s">
        <v>453</v>
      </c>
      <c r="L12" s="244">
        <f>G11*1000</f>
        <v>2.7777777777777772</v>
      </c>
      <c r="M12" s="240">
        <f>H11</f>
        <v>3.3333333333333333E-2</v>
      </c>
      <c r="N12" s="244">
        <f>C4</f>
        <v>10</v>
      </c>
    </row>
    <row r="13" spans="2:75" ht="18" x14ac:dyDescent="0.35">
      <c r="B13" s="259"/>
      <c r="C13" s="260"/>
      <c r="D13" s="260"/>
      <c r="E13" s="260"/>
      <c r="F13" s="261"/>
      <c r="K13" s="280" t="s">
        <v>454</v>
      </c>
      <c r="L13" s="245">
        <f>(G11+I11)*1000</f>
        <v>47.222222222222221</v>
      </c>
      <c r="M13" s="242">
        <f>M12+J11</f>
        <v>0.30000000000000004</v>
      </c>
      <c r="N13" s="245">
        <f>C4</f>
        <v>10</v>
      </c>
    </row>
    <row r="14" spans="2:75" ht="18" x14ac:dyDescent="0.35">
      <c r="B14" s="259"/>
      <c r="C14" s="260"/>
      <c r="D14" s="260"/>
      <c r="E14" s="297" t="s">
        <v>484</v>
      </c>
      <c r="F14" s="323">
        <f>(C4/C12)^-1</f>
        <v>0.8999999999999998</v>
      </c>
      <c r="K14" s="280" t="s">
        <v>455</v>
      </c>
      <c r="L14" s="244">
        <f>L12+L13</f>
        <v>50</v>
      </c>
      <c r="M14" s="240">
        <f>C11</f>
        <v>0.33333333333333337</v>
      </c>
      <c r="N14" s="241">
        <v>0</v>
      </c>
    </row>
    <row r="15" spans="2:75" ht="15" x14ac:dyDescent="0.2">
      <c r="B15" s="259"/>
      <c r="C15" s="260"/>
      <c r="D15" s="260"/>
      <c r="E15" s="300" t="s">
        <v>525</v>
      </c>
      <c r="F15" s="323">
        <f>100%-F14</f>
        <v>0.1000000000000002</v>
      </c>
    </row>
    <row r="16" spans="2:75" ht="15.75" thickBot="1" x14ac:dyDescent="0.25">
      <c r="B16" s="259"/>
      <c r="C16" s="260"/>
      <c r="D16" s="260"/>
      <c r="E16" s="260"/>
      <c r="F16" s="261"/>
      <c r="G16" s="282"/>
    </row>
    <row r="17" spans="2:87" ht="13.5" thickTop="1" x14ac:dyDescent="0.2">
      <c r="B17" s="259"/>
      <c r="C17" s="260"/>
      <c r="D17" s="260"/>
      <c r="E17" s="260"/>
      <c r="F17" s="261"/>
      <c r="BX17" s="283"/>
    </row>
    <row r="18" spans="2:87" x14ac:dyDescent="0.2">
      <c r="B18" s="259"/>
      <c r="C18" s="260"/>
      <c r="D18" s="260"/>
      <c r="E18" s="260"/>
      <c r="F18" s="261"/>
    </row>
    <row r="19" spans="2:87" x14ac:dyDescent="0.2">
      <c r="B19" s="259"/>
      <c r="C19" s="260"/>
      <c r="D19" s="260"/>
      <c r="E19" s="260"/>
      <c r="F19" s="261"/>
    </row>
    <row r="20" spans="2:87" x14ac:dyDescent="0.2">
      <c r="B20" s="259"/>
      <c r="C20" s="260"/>
      <c r="D20" s="260"/>
      <c r="E20" s="260"/>
      <c r="F20" s="261"/>
    </row>
    <row r="21" spans="2:87" x14ac:dyDescent="0.2">
      <c r="B21" s="259"/>
      <c r="C21" s="260"/>
      <c r="D21" s="260"/>
      <c r="E21" s="260"/>
      <c r="F21" s="261"/>
    </row>
    <row r="22" spans="2:87" x14ac:dyDescent="0.2">
      <c r="B22" s="259"/>
      <c r="C22" s="260"/>
      <c r="D22" s="260"/>
      <c r="E22" s="260"/>
      <c r="F22" s="261"/>
    </row>
    <row r="23" spans="2:87" x14ac:dyDescent="0.2">
      <c r="B23" s="259"/>
      <c r="C23" s="260"/>
      <c r="D23" s="260"/>
      <c r="E23" s="260"/>
      <c r="F23" s="261"/>
    </row>
    <row r="24" spans="2:87" ht="13.5" thickBot="1" x14ac:dyDescent="0.25">
      <c r="B24" s="284"/>
      <c r="C24" s="285"/>
      <c r="D24" s="285"/>
      <c r="E24" s="285"/>
      <c r="F24" s="286"/>
    </row>
    <row r="25" spans="2:87" ht="15.75" thickBot="1" x14ac:dyDescent="0.3">
      <c r="B25" s="837" t="s">
        <v>485</v>
      </c>
      <c r="C25" s="838"/>
      <c r="D25" s="838"/>
      <c r="E25" s="838"/>
      <c r="F25" s="839"/>
      <c r="BU25" s="287"/>
      <c r="BV25" s="288"/>
      <c r="BW25" s="288"/>
      <c r="BX25" s="288"/>
      <c r="BY25" s="288"/>
      <c r="BZ25" s="288"/>
      <c r="CA25" s="288"/>
      <c r="CB25" s="288"/>
      <c r="CC25" s="288"/>
      <c r="CD25" s="288"/>
      <c r="CE25" s="288"/>
      <c r="CF25" s="288"/>
      <c r="CG25" s="288"/>
      <c r="CH25" s="288"/>
      <c r="CI25" s="289"/>
    </row>
    <row r="26" spans="2:87" ht="13.5" thickBot="1" x14ac:dyDescent="0.25">
      <c r="B26" s="259"/>
      <c r="C26" s="260"/>
      <c r="D26" s="260"/>
      <c r="E26" s="260"/>
      <c r="F26" s="261"/>
      <c r="BU26" s="259"/>
      <c r="BV26" s="260"/>
      <c r="BW26" s="260"/>
      <c r="BX26" s="260"/>
      <c r="BY26" s="260"/>
      <c r="BZ26" s="260"/>
      <c r="CA26" s="260"/>
      <c r="CB26" s="260"/>
      <c r="CC26" s="260"/>
      <c r="CD26" s="260"/>
      <c r="CE26" s="260"/>
      <c r="CF26" s="260"/>
      <c r="CG26" s="260"/>
      <c r="CH26" s="260"/>
      <c r="CI26" s="261"/>
    </row>
    <row r="27" spans="2:87" ht="26.25" thickBot="1" x14ac:dyDescent="0.25">
      <c r="B27" s="256" t="s">
        <v>294</v>
      </c>
      <c r="C27" s="255" t="s">
        <v>288</v>
      </c>
      <c r="D27" s="255" t="s">
        <v>295</v>
      </c>
      <c r="E27" s="255" t="s">
        <v>299</v>
      </c>
      <c r="F27" s="255" t="s">
        <v>486</v>
      </c>
      <c r="G27" s="274" t="s">
        <v>478</v>
      </c>
      <c r="H27" s="275" t="s">
        <v>479</v>
      </c>
      <c r="I27" s="275" t="s">
        <v>480</v>
      </c>
      <c r="J27" s="275" t="s">
        <v>481</v>
      </c>
      <c r="L27" s="290"/>
      <c r="M27" s="823" t="s">
        <v>487</v>
      </c>
      <c r="N27" s="823"/>
      <c r="O27" s="823"/>
      <c r="P27" s="823" t="s">
        <v>488</v>
      </c>
      <c r="Q27" s="823"/>
      <c r="R27" s="823"/>
      <c r="S27" s="823" t="s">
        <v>489</v>
      </c>
      <c r="T27" s="823"/>
      <c r="U27" s="823"/>
      <c r="V27" s="823" t="s">
        <v>490</v>
      </c>
      <c r="W27" s="823"/>
      <c r="X27" s="823"/>
      <c r="Y27" s="823" t="s">
        <v>491</v>
      </c>
      <c r="Z27" s="823"/>
      <c r="AA27" s="823"/>
      <c r="AB27" s="823" t="s">
        <v>492</v>
      </c>
      <c r="AC27" s="823"/>
      <c r="AD27" s="823"/>
      <c r="AE27" s="823" t="s">
        <v>493</v>
      </c>
      <c r="AF27" s="823"/>
      <c r="AG27" s="823"/>
      <c r="AH27" s="823" t="s">
        <v>494</v>
      </c>
      <c r="AI27" s="823"/>
      <c r="AJ27" s="823"/>
      <c r="AK27" s="823" t="s">
        <v>495</v>
      </c>
      <c r="AL27" s="823"/>
      <c r="AM27" s="823"/>
      <c r="AN27" s="823" t="s">
        <v>496</v>
      </c>
      <c r="AO27" s="823"/>
      <c r="AP27" s="823"/>
      <c r="AQ27" s="823" t="s">
        <v>497</v>
      </c>
      <c r="AR27" s="823"/>
      <c r="AS27" s="823"/>
      <c r="AT27" s="823" t="s">
        <v>498</v>
      </c>
      <c r="AU27" s="823"/>
      <c r="AV27" s="823"/>
      <c r="AW27" s="823" t="s">
        <v>499</v>
      </c>
      <c r="AX27" s="823"/>
      <c r="AY27" s="823"/>
      <c r="AZ27" s="823" t="s">
        <v>500</v>
      </c>
      <c r="BA27" s="823"/>
      <c r="BB27" s="823"/>
      <c r="BC27" s="823" t="s">
        <v>501</v>
      </c>
      <c r="BD27" s="823"/>
      <c r="BE27" s="823"/>
      <c r="BF27" s="823" t="s">
        <v>502</v>
      </c>
      <c r="BG27" s="823"/>
      <c r="BH27" s="823"/>
      <c r="BI27" s="823" t="s">
        <v>503</v>
      </c>
      <c r="BJ27" s="823"/>
      <c r="BK27" s="823"/>
      <c r="BL27" s="823" t="s">
        <v>504</v>
      </c>
      <c r="BM27" s="823"/>
      <c r="BN27" s="823"/>
      <c r="BO27" s="823" t="s">
        <v>505</v>
      </c>
      <c r="BP27" s="823"/>
      <c r="BQ27" s="823"/>
      <c r="BR27" s="823" t="s">
        <v>506</v>
      </c>
      <c r="BS27" s="823"/>
      <c r="BT27" s="823"/>
      <c r="BU27" s="259"/>
      <c r="BV27" s="260"/>
      <c r="BW27" s="260"/>
      <c r="BX27" s="260"/>
      <c r="BY27" s="260"/>
      <c r="BZ27" s="260"/>
      <c r="CA27" s="260"/>
      <c r="CB27" s="260"/>
      <c r="CC27" s="260"/>
      <c r="CD27" s="260"/>
      <c r="CE27" s="260"/>
      <c r="CF27" s="260"/>
      <c r="CG27" s="260"/>
      <c r="CH27" s="260"/>
      <c r="CI27" s="261"/>
    </row>
    <row r="28" spans="2:87" ht="15.75" thickBot="1" x14ac:dyDescent="0.3">
      <c r="B28" s="291">
        <v>1</v>
      </c>
      <c r="C28" s="292">
        <v>100</v>
      </c>
      <c r="D28" s="292">
        <v>1</v>
      </c>
      <c r="E28" s="291">
        <f>C28*D28</f>
        <v>100</v>
      </c>
      <c r="F28" s="291">
        <f>IF(C28&gt;0,(H28*2+(J28)),0)</f>
        <v>0.63333333333333341</v>
      </c>
      <c r="G28" s="278">
        <f>(($C$5^2)/(2*$C$6))</f>
        <v>2.7777777777777775E-3</v>
      </c>
      <c r="H28" s="279">
        <f>SQRT(2*G28/$C$6)</f>
        <v>3.3333333333333333E-2</v>
      </c>
      <c r="I28" s="279">
        <f>C28/1000-(2*G28)</f>
        <v>9.4444444444444456E-2</v>
      </c>
      <c r="J28" s="279">
        <f>I28/$C$5</f>
        <v>0.56666666666666676</v>
      </c>
      <c r="L28" s="276"/>
      <c r="M28" s="238" t="s">
        <v>456</v>
      </c>
      <c r="N28" s="238" t="s">
        <v>444</v>
      </c>
      <c r="O28" s="238" t="s">
        <v>445</v>
      </c>
      <c r="P28" s="238" t="s">
        <v>456</v>
      </c>
      <c r="Q28" s="238" t="s">
        <v>444</v>
      </c>
      <c r="R28" s="238" t="s">
        <v>445</v>
      </c>
      <c r="S28" s="238" t="s">
        <v>456</v>
      </c>
      <c r="T28" s="238" t="s">
        <v>444</v>
      </c>
      <c r="U28" s="238" t="s">
        <v>445</v>
      </c>
      <c r="V28" s="238" t="s">
        <v>456</v>
      </c>
      <c r="W28" s="238" t="s">
        <v>444</v>
      </c>
      <c r="X28" s="238" t="s">
        <v>445</v>
      </c>
      <c r="Y28" s="238" t="s">
        <v>456</v>
      </c>
      <c r="Z28" s="238" t="s">
        <v>444</v>
      </c>
      <c r="AA28" s="238" t="s">
        <v>445</v>
      </c>
      <c r="AB28" s="238" t="s">
        <v>456</v>
      </c>
      <c r="AC28" s="238" t="s">
        <v>444</v>
      </c>
      <c r="AD28" s="238" t="s">
        <v>445</v>
      </c>
      <c r="AE28" s="238" t="s">
        <v>456</v>
      </c>
      <c r="AF28" s="238" t="s">
        <v>444</v>
      </c>
      <c r="AG28" s="238" t="s">
        <v>445</v>
      </c>
      <c r="AH28" s="238" t="s">
        <v>456</v>
      </c>
      <c r="AI28" s="238" t="s">
        <v>444</v>
      </c>
      <c r="AJ28" s="238" t="s">
        <v>445</v>
      </c>
      <c r="AK28" s="238" t="s">
        <v>456</v>
      </c>
      <c r="AL28" s="238" t="s">
        <v>444</v>
      </c>
      <c r="AM28" s="238" t="s">
        <v>445</v>
      </c>
      <c r="AN28" s="238" t="s">
        <v>456</v>
      </c>
      <c r="AO28" s="238" t="s">
        <v>444</v>
      </c>
      <c r="AP28" s="238" t="s">
        <v>445</v>
      </c>
      <c r="AQ28" s="238" t="s">
        <v>456</v>
      </c>
      <c r="AR28" s="238" t="s">
        <v>444</v>
      </c>
      <c r="AS28" s="238" t="s">
        <v>445</v>
      </c>
      <c r="AT28" s="238" t="s">
        <v>456</v>
      </c>
      <c r="AU28" s="238" t="s">
        <v>444</v>
      </c>
      <c r="AV28" s="238" t="s">
        <v>445</v>
      </c>
      <c r="AW28" s="238" t="s">
        <v>456</v>
      </c>
      <c r="AX28" s="238" t="s">
        <v>444</v>
      </c>
      <c r="AY28" s="238" t="s">
        <v>445</v>
      </c>
      <c r="AZ28" s="238" t="s">
        <v>456</v>
      </c>
      <c r="BA28" s="238" t="s">
        <v>444</v>
      </c>
      <c r="BB28" s="238" t="s">
        <v>445</v>
      </c>
      <c r="BC28" s="238" t="s">
        <v>456</v>
      </c>
      <c r="BD28" s="238" t="s">
        <v>444</v>
      </c>
      <c r="BE28" s="238" t="s">
        <v>445</v>
      </c>
      <c r="BF28" s="238" t="s">
        <v>456</v>
      </c>
      <c r="BG28" s="238" t="s">
        <v>444</v>
      </c>
      <c r="BH28" s="238" t="s">
        <v>445</v>
      </c>
      <c r="BI28" s="238" t="s">
        <v>456</v>
      </c>
      <c r="BJ28" s="238" t="s">
        <v>444</v>
      </c>
      <c r="BK28" s="238" t="s">
        <v>445</v>
      </c>
      <c r="BL28" s="238" t="s">
        <v>456</v>
      </c>
      <c r="BM28" s="238" t="s">
        <v>444</v>
      </c>
      <c r="BN28" s="238" t="s">
        <v>445</v>
      </c>
      <c r="BO28" s="238" t="s">
        <v>456</v>
      </c>
      <c r="BP28" s="238" t="s">
        <v>444</v>
      </c>
      <c r="BQ28" s="238" t="s">
        <v>445</v>
      </c>
      <c r="BR28" s="238" t="s">
        <v>456</v>
      </c>
      <c r="BS28" s="238" t="s">
        <v>444</v>
      </c>
      <c r="BT28" s="238" t="s">
        <v>445</v>
      </c>
      <c r="BU28" s="259"/>
      <c r="BV28" s="260"/>
      <c r="BW28" s="260"/>
      <c r="BX28" s="260"/>
      <c r="BY28" s="260"/>
      <c r="BZ28" s="260"/>
      <c r="CA28" s="260"/>
      <c r="CB28" s="260"/>
      <c r="CC28" s="260"/>
      <c r="CD28" s="260"/>
      <c r="CE28" s="260"/>
      <c r="CF28" s="260"/>
      <c r="CG28" s="260"/>
      <c r="CH28" s="260"/>
      <c r="CI28" s="261"/>
    </row>
    <row r="29" spans="2:87" ht="18.75" thickBot="1" x14ac:dyDescent="0.4">
      <c r="B29" s="291">
        <v>2</v>
      </c>
      <c r="C29" s="292">
        <v>342</v>
      </c>
      <c r="D29" s="292">
        <v>1</v>
      </c>
      <c r="E29" s="291">
        <f t="shared" ref="E29:E47" si="0">C29*D29</f>
        <v>342</v>
      </c>
      <c r="F29" s="291">
        <f t="shared" ref="F29:F47" si="1">IF(C29&gt;0,(H29*2+(J29)),0)</f>
        <v>2.0853333333333341</v>
      </c>
      <c r="G29" s="278">
        <f t="shared" ref="G29:G47" si="2">(($C$5^2)/(2*$C$6))</f>
        <v>2.7777777777777775E-3</v>
      </c>
      <c r="H29" s="279">
        <f t="shared" ref="H29:H47" si="3">SQRT(2*G29/$C$6)</f>
        <v>3.3333333333333333E-2</v>
      </c>
      <c r="I29" s="279">
        <f t="shared" ref="I29:I47" si="4">C29/1000-(2*G29)</f>
        <v>0.33644444444444449</v>
      </c>
      <c r="J29" s="279">
        <f t="shared" ref="J29:J47" si="5">I29/$C$5</f>
        <v>2.0186666666666673</v>
      </c>
      <c r="L29" s="280" t="s">
        <v>452</v>
      </c>
      <c r="M29" s="243">
        <v>0</v>
      </c>
      <c r="N29" s="243">
        <v>0</v>
      </c>
      <c r="O29" s="243">
        <v>0</v>
      </c>
      <c r="P29" s="243">
        <v>0</v>
      </c>
      <c r="Q29" s="243">
        <v>0</v>
      </c>
      <c r="R29" s="243">
        <v>0</v>
      </c>
      <c r="S29" s="243">
        <v>0</v>
      </c>
      <c r="T29" s="243">
        <v>0</v>
      </c>
      <c r="U29" s="243">
        <v>0</v>
      </c>
      <c r="V29" s="243">
        <v>0</v>
      </c>
      <c r="W29" s="243">
        <v>0</v>
      </c>
      <c r="X29" s="243">
        <v>0</v>
      </c>
      <c r="Y29" s="243">
        <v>0</v>
      </c>
      <c r="Z29" s="243">
        <v>0</v>
      </c>
      <c r="AA29" s="243">
        <v>0</v>
      </c>
      <c r="AB29" s="243">
        <v>0</v>
      </c>
      <c r="AC29" s="243">
        <v>0</v>
      </c>
      <c r="AD29" s="243">
        <v>0</v>
      </c>
      <c r="AE29" s="243">
        <v>0</v>
      </c>
      <c r="AF29" s="243">
        <v>0</v>
      </c>
      <c r="AG29" s="243">
        <v>0</v>
      </c>
      <c r="AH29" s="243">
        <v>0</v>
      </c>
      <c r="AI29" s="243">
        <v>0</v>
      </c>
      <c r="AJ29" s="243">
        <v>0</v>
      </c>
      <c r="AK29" s="243">
        <v>0</v>
      </c>
      <c r="AL29" s="243">
        <v>0</v>
      </c>
      <c r="AM29" s="243">
        <v>0</v>
      </c>
      <c r="AN29" s="243">
        <v>0</v>
      </c>
      <c r="AO29" s="243">
        <v>0</v>
      </c>
      <c r="AP29" s="243">
        <v>0</v>
      </c>
      <c r="AQ29" s="243">
        <v>0</v>
      </c>
      <c r="AR29" s="243">
        <v>0</v>
      </c>
      <c r="AS29" s="243">
        <v>0</v>
      </c>
      <c r="AT29" s="243">
        <v>0</v>
      </c>
      <c r="AU29" s="243">
        <v>0</v>
      </c>
      <c r="AV29" s="243">
        <v>0</v>
      </c>
      <c r="AW29" s="243">
        <v>0</v>
      </c>
      <c r="AX29" s="243">
        <v>0</v>
      </c>
      <c r="AY29" s="243">
        <v>0</v>
      </c>
      <c r="AZ29" s="243">
        <v>0</v>
      </c>
      <c r="BA29" s="243">
        <v>0</v>
      </c>
      <c r="BB29" s="243">
        <v>0</v>
      </c>
      <c r="BC29" s="243">
        <v>0</v>
      </c>
      <c r="BD29" s="243">
        <v>0</v>
      </c>
      <c r="BE29" s="243">
        <v>0</v>
      </c>
      <c r="BF29" s="243">
        <v>0</v>
      </c>
      <c r="BG29" s="243">
        <v>0</v>
      </c>
      <c r="BH29" s="243">
        <v>0</v>
      </c>
      <c r="BI29" s="243">
        <v>0</v>
      </c>
      <c r="BJ29" s="243">
        <v>0</v>
      </c>
      <c r="BK29" s="243">
        <v>0</v>
      </c>
      <c r="BL29" s="243">
        <v>0</v>
      </c>
      <c r="BM29" s="243">
        <v>0</v>
      </c>
      <c r="BN29" s="243">
        <v>0</v>
      </c>
      <c r="BO29" s="243">
        <v>0</v>
      </c>
      <c r="BP29" s="243">
        <v>0</v>
      </c>
      <c r="BQ29" s="243">
        <v>0</v>
      </c>
      <c r="BR29" s="243">
        <v>0</v>
      </c>
      <c r="BS29" s="243">
        <v>0</v>
      </c>
      <c r="BT29" s="293">
        <v>0</v>
      </c>
      <c r="BU29" s="259"/>
      <c r="BV29" s="260"/>
      <c r="BW29" s="260"/>
      <c r="BX29" s="260"/>
      <c r="BY29" s="260"/>
      <c r="BZ29" s="260"/>
      <c r="CA29" s="260"/>
      <c r="CB29" s="260"/>
      <c r="CC29" s="260"/>
      <c r="CD29" s="260"/>
      <c r="CE29" s="260"/>
      <c r="CF29" s="260"/>
      <c r="CG29" s="260"/>
      <c r="CH29" s="260"/>
      <c r="CI29" s="261"/>
    </row>
    <row r="30" spans="2:87" ht="18.75" thickBot="1" x14ac:dyDescent="0.4">
      <c r="B30" s="291">
        <v>3</v>
      </c>
      <c r="C30" s="292">
        <v>1300</v>
      </c>
      <c r="D30" s="292">
        <v>1</v>
      </c>
      <c r="E30" s="291">
        <f t="shared" si="0"/>
        <v>1300</v>
      </c>
      <c r="F30" s="291">
        <f t="shared" si="1"/>
        <v>7.8333333333333339</v>
      </c>
      <c r="G30" s="278">
        <f t="shared" si="2"/>
        <v>2.7777777777777775E-3</v>
      </c>
      <c r="H30" s="279">
        <f t="shared" si="3"/>
        <v>3.3333333333333333E-2</v>
      </c>
      <c r="I30" s="279">
        <f t="shared" si="4"/>
        <v>1.2944444444444445</v>
      </c>
      <c r="J30" s="279">
        <f t="shared" si="5"/>
        <v>7.7666666666666675</v>
      </c>
      <c r="L30" s="280" t="s">
        <v>453</v>
      </c>
      <c r="M30" s="244">
        <f>G28*1000</f>
        <v>2.7777777777777772</v>
      </c>
      <c r="N30" s="240">
        <f>H28</f>
        <v>3.3333333333333333E-2</v>
      </c>
      <c r="O30" s="244">
        <f>$C$4</f>
        <v>10</v>
      </c>
      <c r="P30" s="244">
        <f>G29*1000</f>
        <v>2.7777777777777772</v>
      </c>
      <c r="Q30" s="240">
        <f>H29</f>
        <v>3.3333333333333333E-2</v>
      </c>
      <c r="R30" s="244">
        <f>$C$4</f>
        <v>10</v>
      </c>
      <c r="S30" s="244">
        <f>$G$30*1000</f>
        <v>2.7777777777777772</v>
      </c>
      <c r="T30" s="240">
        <f>$H$30</f>
        <v>3.3333333333333333E-2</v>
      </c>
      <c r="U30" s="244">
        <f>$C$4</f>
        <v>10</v>
      </c>
      <c r="V30" s="244">
        <f>$G$31*1000</f>
        <v>2.7777777777777772</v>
      </c>
      <c r="W30" s="240">
        <f>$H$31</f>
        <v>3.3333333333333333E-2</v>
      </c>
      <c r="X30" s="244">
        <f>$C$4</f>
        <v>10</v>
      </c>
      <c r="Y30" s="244">
        <f>$G$32*1000</f>
        <v>2.7777777777777772</v>
      </c>
      <c r="Z30" s="240">
        <f>$H$32</f>
        <v>3.3333333333333333E-2</v>
      </c>
      <c r="AA30" s="244">
        <f>$C$4</f>
        <v>10</v>
      </c>
      <c r="AB30" s="244">
        <f>$G$33*1000</f>
        <v>2.7777777777777772</v>
      </c>
      <c r="AC30" s="240">
        <f>$H$33</f>
        <v>3.3333333333333333E-2</v>
      </c>
      <c r="AD30" s="244">
        <f>$C$4</f>
        <v>10</v>
      </c>
      <c r="AE30" s="244">
        <f>$G$34*1000</f>
        <v>2.7777777777777772</v>
      </c>
      <c r="AF30" s="240">
        <f>$H$34</f>
        <v>3.3333333333333333E-2</v>
      </c>
      <c r="AG30" s="244">
        <f>$C$4</f>
        <v>10</v>
      </c>
      <c r="AH30" s="244">
        <f>$G$35*1000</f>
        <v>2.7777777777777772</v>
      </c>
      <c r="AI30" s="240">
        <f>$H$35</f>
        <v>3.3333333333333333E-2</v>
      </c>
      <c r="AJ30" s="244">
        <f>$C$4</f>
        <v>10</v>
      </c>
      <c r="AK30" s="244">
        <f>$G$36*1000</f>
        <v>2.7777777777777772</v>
      </c>
      <c r="AL30" s="240">
        <f>$H$36</f>
        <v>3.3333333333333333E-2</v>
      </c>
      <c r="AM30" s="244">
        <f>$C$4</f>
        <v>10</v>
      </c>
      <c r="AN30" s="244">
        <f>$G$37*1000</f>
        <v>2.7777777777777772</v>
      </c>
      <c r="AO30" s="240">
        <f>$H$37</f>
        <v>3.3333333333333333E-2</v>
      </c>
      <c r="AP30" s="244">
        <f>$C$4</f>
        <v>10</v>
      </c>
      <c r="AQ30" s="244">
        <f>$G$38*1000</f>
        <v>2.7777777777777772</v>
      </c>
      <c r="AR30" s="240">
        <f>$H$38</f>
        <v>3.3333333333333333E-2</v>
      </c>
      <c r="AS30" s="244">
        <f>$C$4</f>
        <v>10</v>
      </c>
      <c r="AT30" s="244">
        <f>$G$39*1000</f>
        <v>2.7777777777777772</v>
      </c>
      <c r="AU30" s="240">
        <f>$H$39</f>
        <v>3.3333333333333333E-2</v>
      </c>
      <c r="AV30" s="244">
        <f>$C$4</f>
        <v>10</v>
      </c>
      <c r="AW30" s="244">
        <f>$G$40*1000</f>
        <v>2.7777777777777772</v>
      </c>
      <c r="AX30" s="240">
        <f>$H$40</f>
        <v>3.3333333333333333E-2</v>
      </c>
      <c r="AY30" s="244">
        <f>$C$4</f>
        <v>10</v>
      </c>
      <c r="AZ30" s="244">
        <f>$G$41*1000</f>
        <v>2.7777777777777772</v>
      </c>
      <c r="BA30" s="240">
        <f>$H$41</f>
        <v>3.3333333333333333E-2</v>
      </c>
      <c r="BB30" s="244">
        <f>$C$4</f>
        <v>10</v>
      </c>
      <c r="BC30" s="244">
        <f>$G$42*1000</f>
        <v>2.7777777777777772</v>
      </c>
      <c r="BD30" s="240">
        <f>$H$42</f>
        <v>3.3333333333333333E-2</v>
      </c>
      <c r="BE30" s="244">
        <f>$C$4</f>
        <v>10</v>
      </c>
      <c r="BF30" s="244">
        <f>$G$43*1000</f>
        <v>2.7777777777777772</v>
      </c>
      <c r="BG30" s="240">
        <f>$H$43</f>
        <v>3.3333333333333333E-2</v>
      </c>
      <c r="BH30" s="244">
        <f>$C$4</f>
        <v>10</v>
      </c>
      <c r="BI30" s="244">
        <f>$G$44*1000</f>
        <v>2.7777777777777772</v>
      </c>
      <c r="BJ30" s="240">
        <f>$H$44</f>
        <v>3.3333333333333333E-2</v>
      </c>
      <c r="BK30" s="244">
        <f>$C$4</f>
        <v>10</v>
      </c>
      <c r="BL30" s="244">
        <f>$G$45*1000</f>
        <v>2.7777777777777772</v>
      </c>
      <c r="BM30" s="240">
        <f>$H$45</f>
        <v>3.3333333333333333E-2</v>
      </c>
      <c r="BN30" s="244">
        <f>$C$4</f>
        <v>10</v>
      </c>
      <c r="BO30" s="244">
        <f>$G$46*1000</f>
        <v>2.7777777777777772</v>
      </c>
      <c r="BP30" s="240">
        <f>$H$46</f>
        <v>3.3333333333333333E-2</v>
      </c>
      <c r="BQ30" s="244">
        <f>$C$4</f>
        <v>10</v>
      </c>
      <c r="BR30" s="244">
        <f>$G$47*1000</f>
        <v>2.7777777777777772</v>
      </c>
      <c r="BS30" s="240">
        <f>$H$47</f>
        <v>3.3333333333333333E-2</v>
      </c>
      <c r="BT30" s="294">
        <f>$C$4</f>
        <v>10</v>
      </c>
      <c r="BU30" s="259"/>
      <c r="BV30" s="260"/>
      <c r="BW30" s="260"/>
      <c r="BX30" s="260"/>
      <c r="BY30" s="260"/>
      <c r="BZ30" s="260"/>
      <c r="CA30" s="260"/>
      <c r="CB30" s="260"/>
      <c r="CC30" s="260"/>
      <c r="CD30" s="260"/>
      <c r="CE30" s="260"/>
      <c r="CF30" s="260"/>
      <c r="CG30" s="260"/>
      <c r="CH30" s="260"/>
      <c r="CI30" s="261"/>
    </row>
    <row r="31" spans="2:87" ht="18.75" thickBot="1" x14ac:dyDescent="0.4">
      <c r="B31" s="291">
        <v>4</v>
      </c>
      <c r="C31" s="292">
        <v>661</v>
      </c>
      <c r="D31" s="292">
        <v>1</v>
      </c>
      <c r="E31" s="291">
        <f t="shared" si="0"/>
        <v>661</v>
      </c>
      <c r="F31" s="291">
        <f t="shared" si="1"/>
        <v>3.9993333333333339</v>
      </c>
      <c r="G31" s="278">
        <f t="shared" si="2"/>
        <v>2.7777777777777775E-3</v>
      </c>
      <c r="H31" s="279">
        <f t="shared" si="3"/>
        <v>3.3333333333333333E-2</v>
      </c>
      <c r="I31" s="279">
        <f t="shared" si="4"/>
        <v>0.6554444444444445</v>
      </c>
      <c r="J31" s="279">
        <f t="shared" si="5"/>
        <v>3.932666666666667</v>
      </c>
      <c r="L31" s="280" t="s">
        <v>454</v>
      </c>
      <c r="M31" s="245">
        <f>(G28+I28)*1000</f>
        <v>97.222222222222243</v>
      </c>
      <c r="N31" s="242">
        <f>N30+J28</f>
        <v>0.60000000000000009</v>
      </c>
      <c r="O31" s="245">
        <f>$C$4</f>
        <v>10</v>
      </c>
      <c r="P31" s="245">
        <f>(G29+N29)*1000</f>
        <v>2.7777777777777772</v>
      </c>
      <c r="Q31" s="242">
        <f>Q30+J29</f>
        <v>2.0520000000000005</v>
      </c>
      <c r="R31" s="245">
        <f>$C$4</f>
        <v>10</v>
      </c>
      <c r="S31" s="245">
        <f>($G$30+$I$30)*1000</f>
        <v>1297.2222222222222</v>
      </c>
      <c r="T31" s="242">
        <f>T30+$J$30</f>
        <v>7.8000000000000007</v>
      </c>
      <c r="U31" s="245">
        <f>$C$4</f>
        <v>10</v>
      </c>
      <c r="V31" s="245">
        <f>($G$31+$I$31)*1000</f>
        <v>658.22222222222229</v>
      </c>
      <c r="W31" s="242">
        <f>W30+$J$31</f>
        <v>3.9660000000000002</v>
      </c>
      <c r="X31" s="245">
        <f>$C$4</f>
        <v>10</v>
      </c>
      <c r="Y31" s="245">
        <f>($G$32+$I$32)*1000</f>
        <v>1028.2222222222222</v>
      </c>
      <c r="Z31" s="242">
        <f>Z30+$J$32</f>
        <v>6.1859999999999999</v>
      </c>
      <c r="AA31" s="245">
        <f>$C$4</f>
        <v>10</v>
      </c>
      <c r="AB31" s="245">
        <f>($G$33+$I$33)*1000</f>
        <v>266.22222222222223</v>
      </c>
      <c r="AC31" s="242">
        <f>AC30+$J$33</f>
        <v>1.6140000000000003</v>
      </c>
      <c r="AD31" s="245">
        <f>$C$4</f>
        <v>10</v>
      </c>
      <c r="AE31" s="245">
        <f>($G$34+$I$34)*1000</f>
        <v>658.22222222222229</v>
      </c>
      <c r="AF31" s="242">
        <f>AF30+$J$34</f>
        <v>3.9660000000000002</v>
      </c>
      <c r="AG31" s="245">
        <f>$C$4</f>
        <v>10</v>
      </c>
      <c r="AH31" s="245">
        <f>($G$35+$I$35)*1000</f>
        <v>1297.2222222222222</v>
      </c>
      <c r="AI31" s="242">
        <f>AI30+$J$35</f>
        <v>7.8000000000000007</v>
      </c>
      <c r="AJ31" s="245">
        <f>$C$4</f>
        <v>10</v>
      </c>
      <c r="AK31" s="245">
        <f>($G$36+$I$36)*1000</f>
        <v>658.22222222222229</v>
      </c>
      <c r="AL31" s="242">
        <f>AL30+$J$36</f>
        <v>3.9660000000000002</v>
      </c>
      <c r="AM31" s="245">
        <f>$C$4</f>
        <v>10</v>
      </c>
      <c r="AN31" s="245">
        <f>($G$37+$I$37)*1000</f>
        <v>731.22222222222217</v>
      </c>
      <c r="AO31" s="242">
        <f>AO30+$J$37</f>
        <v>4.4039999999999999</v>
      </c>
      <c r="AP31" s="245">
        <f>$C$4</f>
        <v>10</v>
      </c>
      <c r="AQ31" s="245">
        <f>($G$38+$I$38)*1000</f>
        <v>563.22222222222217</v>
      </c>
      <c r="AR31" s="242">
        <f>AR30+$J$38</f>
        <v>3.3959999999999999</v>
      </c>
      <c r="AS31" s="245">
        <f>$C$4</f>
        <v>10</v>
      </c>
      <c r="AT31" s="245">
        <f>($G$39+$I$39)*1000</f>
        <v>658.22222222222229</v>
      </c>
      <c r="AU31" s="242">
        <f>AU30+$J$39</f>
        <v>3.9660000000000002</v>
      </c>
      <c r="AV31" s="245">
        <f>$C$4</f>
        <v>10</v>
      </c>
      <c r="AW31" s="245">
        <f>($G$40+$I$40)*1000</f>
        <v>1297.2222222222222</v>
      </c>
      <c r="AX31" s="242">
        <f>AX30+$J$40</f>
        <v>7.8000000000000007</v>
      </c>
      <c r="AY31" s="245">
        <f>$C$4</f>
        <v>10</v>
      </c>
      <c r="AZ31" s="245">
        <f>($G$41+$I$41)*1000</f>
        <v>1306.7222222222224</v>
      </c>
      <c r="BA31" s="242">
        <f>BA30+$J$41</f>
        <v>7.8570000000000011</v>
      </c>
      <c r="BB31" s="245">
        <f>$C$4</f>
        <v>10</v>
      </c>
      <c r="BC31" s="245">
        <f>($G$42+$I$42)*1000</f>
        <v>-2.7777777777777772</v>
      </c>
      <c r="BD31" s="242">
        <f>BD30+$J$42</f>
        <v>0</v>
      </c>
      <c r="BE31" s="245">
        <f>$C$4</f>
        <v>10</v>
      </c>
      <c r="BF31" s="245">
        <f>($G$43+$I$43)*1000</f>
        <v>-2.7777777777777772</v>
      </c>
      <c r="BG31" s="242">
        <f>BG30+$J$43</f>
        <v>0</v>
      </c>
      <c r="BH31" s="245">
        <f>$C$4</f>
        <v>10</v>
      </c>
      <c r="BI31" s="245">
        <f>($G$44+$I$44)*1000</f>
        <v>-2.7777777777777772</v>
      </c>
      <c r="BJ31" s="242">
        <f>BJ30+$J$44</f>
        <v>0</v>
      </c>
      <c r="BK31" s="245">
        <f>$C$4</f>
        <v>10</v>
      </c>
      <c r="BL31" s="245">
        <f>($G$45+$I$45)*1000</f>
        <v>-2.7777777777777772</v>
      </c>
      <c r="BM31" s="242">
        <f>BM30+$J$45</f>
        <v>0</v>
      </c>
      <c r="BN31" s="245">
        <f>$C$4</f>
        <v>10</v>
      </c>
      <c r="BO31" s="245">
        <f>($G$46+$I$46)*1000</f>
        <v>-2.7777777777777772</v>
      </c>
      <c r="BP31" s="242">
        <f>BP30+$J$46</f>
        <v>0</v>
      </c>
      <c r="BQ31" s="245">
        <f>$C$4</f>
        <v>10</v>
      </c>
      <c r="BR31" s="245">
        <f>($G$47+$I$47)*1000</f>
        <v>-2.7777777777777772</v>
      </c>
      <c r="BS31" s="242">
        <f>BS30+$J$47</f>
        <v>0</v>
      </c>
      <c r="BT31" s="295">
        <f>$C$4</f>
        <v>10</v>
      </c>
      <c r="BU31" s="259"/>
      <c r="BV31" s="260"/>
      <c r="BW31" s="260"/>
      <c r="BX31" s="260"/>
      <c r="BY31" s="260"/>
      <c r="BZ31" s="260"/>
      <c r="CA31" s="260"/>
      <c r="CB31" s="260"/>
      <c r="CC31" s="260"/>
      <c r="CD31" s="296"/>
      <c r="CE31" s="297" t="s">
        <v>484</v>
      </c>
      <c r="CF31" s="298">
        <f>(C4/E51)^-1</f>
        <v>0.99291207428146133</v>
      </c>
      <c r="CG31" s="296"/>
      <c r="CH31" s="260"/>
      <c r="CI31" s="261"/>
    </row>
    <row r="32" spans="2:87" ht="18.75" thickBot="1" x14ac:dyDescent="0.4">
      <c r="B32" s="291">
        <v>5</v>
      </c>
      <c r="C32" s="292">
        <v>1031</v>
      </c>
      <c r="D32" s="292">
        <v>1</v>
      </c>
      <c r="E32" s="291">
        <f t="shared" si="0"/>
        <v>1031</v>
      </c>
      <c r="F32" s="291">
        <f t="shared" si="1"/>
        <v>6.2193333333333332</v>
      </c>
      <c r="G32" s="278">
        <f t="shared" si="2"/>
        <v>2.7777777777777775E-3</v>
      </c>
      <c r="H32" s="279">
        <f t="shared" si="3"/>
        <v>3.3333333333333333E-2</v>
      </c>
      <c r="I32" s="279">
        <f t="shared" si="4"/>
        <v>1.0254444444444444</v>
      </c>
      <c r="J32" s="279">
        <f t="shared" si="5"/>
        <v>6.1526666666666667</v>
      </c>
      <c r="L32" s="280" t="s">
        <v>455</v>
      </c>
      <c r="M32" s="244">
        <f>M30+M31</f>
        <v>100.00000000000001</v>
      </c>
      <c r="N32" s="240">
        <f>F28</f>
        <v>0.63333333333333341</v>
      </c>
      <c r="O32" s="241">
        <v>0</v>
      </c>
      <c r="P32" s="244">
        <f>P30+P31</f>
        <v>5.5555555555555545</v>
      </c>
      <c r="Q32" s="240">
        <f>F29</f>
        <v>2.0853333333333341</v>
      </c>
      <c r="R32" s="241">
        <v>0</v>
      </c>
      <c r="S32" s="244">
        <f>S30+S31</f>
        <v>1300</v>
      </c>
      <c r="T32" s="240">
        <f>$F$30</f>
        <v>7.8333333333333339</v>
      </c>
      <c r="U32" s="241">
        <v>0</v>
      </c>
      <c r="V32" s="244">
        <f>V30+V31</f>
        <v>661.00000000000011</v>
      </c>
      <c r="W32" s="240">
        <f>$F$31</f>
        <v>3.9993333333333339</v>
      </c>
      <c r="X32" s="241">
        <v>0</v>
      </c>
      <c r="Y32" s="244">
        <f>Y30+Y31</f>
        <v>1031</v>
      </c>
      <c r="Z32" s="240">
        <f>$F$32</f>
        <v>6.2193333333333332</v>
      </c>
      <c r="AA32" s="241">
        <v>0</v>
      </c>
      <c r="AB32" s="244">
        <f>AB30+AB31</f>
        <v>269</v>
      </c>
      <c r="AC32" s="240">
        <f>$F$33</f>
        <v>1.6473333333333335</v>
      </c>
      <c r="AD32" s="241">
        <v>0</v>
      </c>
      <c r="AE32" s="244">
        <f>AE30+AE31</f>
        <v>661.00000000000011</v>
      </c>
      <c r="AF32" s="240">
        <f>$F$34</f>
        <v>3.9993333333333339</v>
      </c>
      <c r="AG32" s="241">
        <v>0</v>
      </c>
      <c r="AH32" s="244">
        <f>AH30+AH31</f>
        <v>1300</v>
      </c>
      <c r="AI32" s="240">
        <f>$F$35</f>
        <v>7.8333333333333339</v>
      </c>
      <c r="AJ32" s="241">
        <v>0</v>
      </c>
      <c r="AK32" s="244">
        <f>AK30+AK31</f>
        <v>661.00000000000011</v>
      </c>
      <c r="AL32" s="240">
        <f>$F$36</f>
        <v>3.9993333333333339</v>
      </c>
      <c r="AM32" s="241">
        <v>0</v>
      </c>
      <c r="AN32" s="244">
        <f>AN30+AN31</f>
        <v>734</v>
      </c>
      <c r="AO32" s="240">
        <f>$F$37</f>
        <v>4.4373333333333331</v>
      </c>
      <c r="AP32" s="241">
        <v>0</v>
      </c>
      <c r="AQ32" s="244">
        <f>AQ30+AQ31</f>
        <v>566</v>
      </c>
      <c r="AR32" s="240">
        <f>$F$38</f>
        <v>3.4293333333333336</v>
      </c>
      <c r="AS32" s="241">
        <v>0</v>
      </c>
      <c r="AT32" s="244">
        <f>AT30+AT31</f>
        <v>661.00000000000011</v>
      </c>
      <c r="AU32" s="240">
        <f>$F$39</f>
        <v>3.9993333333333339</v>
      </c>
      <c r="AV32" s="241">
        <v>0</v>
      </c>
      <c r="AW32" s="244">
        <f>AW30+AW31</f>
        <v>1300</v>
      </c>
      <c r="AX32" s="240">
        <f>$F$40</f>
        <v>7.8333333333333339</v>
      </c>
      <c r="AY32" s="241">
        <v>0</v>
      </c>
      <c r="AZ32" s="244">
        <f>AZ30+AZ31</f>
        <v>1309.5000000000002</v>
      </c>
      <c r="BA32" s="240">
        <f>$F$41</f>
        <v>7.8903333333333343</v>
      </c>
      <c r="BB32" s="241">
        <v>0</v>
      </c>
      <c r="BC32" s="244">
        <f>BC30+BC31</f>
        <v>0</v>
      </c>
      <c r="BD32" s="240">
        <f>$F$42</f>
        <v>0</v>
      </c>
      <c r="BE32" s="241">
        <v>0</v>
      </c>
      <c r="BF32" s="244">
        <f>BF30+BF31</f>
        <v>0</v>
      </c>
      <c r="BG32" s="240">
        <f>$F$43</f>
        <v>0</v>
      </c>
      <c r="BH32" s="241">
        <v>0</v>
      </c>
      <c r="BI32" s="244">
        <f>BI30+BI31</f>
        <v>0</v>
      </c>
      <c r="BJ32" s="240">
        <f>$F$44</f>
        <v>0</v>
      </c>
      <c r="BK32" s="241">
        <v>0</v>
      </c>
      <c r="BL32" s="244">
        <f>BL30+BL31</f>
        <v>0</v>
      </c>
      <c r="BM32" s="240">
        <f>$F$45</f>
        <v>0</v>
      </c>
      <c r="BN32" s="241">
        <v>0</v>
      </c>
      <c r="BO32" s="244">
        <f>BO30+BO31</f>
        <v>0</v>
      </c>
      <c r="BP32" s="240">
        <f>$F$46</f>
        <v>0</v>
      </c>
      <c r="BQ32" s="241">
        <v>0</v>
      </c>
      <c r="BR32" s="244">
        <f>BR30+BR31</f>
        <v>0</v>
      </c>
      <c r="BS32" s="240">
        <f>$F$47</f>
        <v>0</v>
      </c>
      <c r="BT32" s="299">
        <v>0</v>
      </c>
      <c r="BU32" s="259"/>
      <c r="BV32" s="260"/>
      <c r="BW32" s="260"/>
      <c r="BX32" s="260"/>
      <c r="BY32" s="260"/>
      <c r="BZ32" s="260"/>
      <c r="CA32" s="260"/>
      <c r="CB32" s="260"/>
      <c r="CC32" s="260"/>
      <c r="CD32" s="296"/>
      <c r="CE32" s="300" t="s">
        <v>507</v>
      </c>
      <c r="CF32" s="298">
        <f>100%-CF31</f>
        <v>7.0879257185386679E-3</v>
      </c>
      <c r="CG32" s="296"/>
      <c r="CH32" s="260"/>
      <c r="CI32" s="261"/>
    </row>
    <row r="33" spans="2:87" ht="15.75" thickBot="1" x14ac:dyDescent="0.25">
      <c r="B33" s="291">
        <v>6</v>
      </c>
      <c r="C33" s="292">
        <v>269</v>
      </c>
      <c r="D33" s="292">
        <v>1</v>
      </c>
      <c r="E33" s="291">
        <f t="shared" si="0"/>
        <v>269</v>
      </c>
      <c r="F33" s="291">
        <f t="shared" si="1"/>
        <v>1.6473333333333335</v>
      </c>
      <c r="G33" s="278">
        <f t="shared" si="2"/>
        <v>2.7777777777777775E-3</v>
      </c>
      <c r="H33" s="279">
        <f t="shared" si="3"/>
        <v>3.3333333333333333E-2</v>
      </c>
      <c r="I33" s="279">
        <f t="shared" si="4"/>
        <v>0.26344444444444448</v>
      </c>
      <c r="J33" s="279">
        <f t="shared" si="5"/>
        <v>1.5806666666666669</v>
      </c>
      <c r="BU33" s="259"/>
      <c r="BV33" s="260"/>
      <c r="BW33" s="260"/>
      <c r="BX33" s="260"/>
      <c r="BY33" s="260"/>
      <c r="BZ33" s="260"/>
      <c r="CA33" s="260"/>
      <c r="CB33" s="260"/>
      <c r="CC33" s="260"/>
      <c r="CD33" s="296"/>
      <c r="CE33" s="296"/>
      <c r="CF33" s="296"/>
      <c r="CG33" s="296"/>
      <c r="CH33" s="260"/>
      <c r="CI33" s="261"/>
    </row>
    <row r="34" spans="2:87" ht="13.5" thickBot="1" x14ac:dyDescent="0.25">
      <c r="B34" s="291">
        <v>7</v>
      </c>
      <c r="C34" s="292">
        <v>661</v>
      </c>
      <c r="D34" s="292">
        <v>1</v>
      </c>
      <c r="E34" s="291">
        <f t="shared" si="0"/>
        <v>661</v>
      </c>
      <c r="F34" s="291">
        <f t="shared" si="1"/>
        <v>3.9993333333333339</v>
      </c>
      <c r="G34" s="278">
        <f t="shared" si="2"/>
        <v>2.7777777777777775E-3</v>
      </c>
      <c r="H34" s="279">
        <f t="shared" si="3"/>
        <v>3.3333333333333333E-2</v>
      </c>
      <c r="I34" s="279">
        <f t="shared" si="4"/>
        <v>0.6554444444444445</v>
      </c>
      <c r="J34" s="279">
        <f t="shared" si="5"/>
        <v>3.932666666666667</v>
      </c>
      <c r="BU34" s="259"/>
      <c r="BV34" s="260"/>
      <c r="BW34" s="260"/>
      <c r="BX34" s="260"/>
      <c r="BY34" s="260"/>
      <c r="BZ34" s="260"/>
      <c r="CA34" s="260"/>
      <c r="CB34" s="260"/>
      <c r="CC34" s="260"/>
      <c r="CD34" s="260"/>
      <c r="CE34" s="260"/>
      <c r="CF34" s="260"/>
      <c r="CG34" s="260"/>
      <c r="CH34" s="260"/>
      <c r="CI34" s="261"/>
    </row>
    <row r="35" spans="2:87" ht="13.5" thickBot="1" x14ac:dyDescent="0.25">
      <c r="B35" s="291">
        <v>8</v>
      </c>
      <c r="C35" s="292">
        <v>1300</v>
      </c>
      <c r="D35" s="292">
        <v>1</v>
      </c>
      <c r="E35" s="291">
        <f t="shared" si="0"/>
        <v>1300</v>
      </c>
      <c r="F35" s="291">
        <f t="shared" si="1"/>
        <v>7.8333333333333339</v>
      </c>
      <c r="G35" s="278">
        <f t="shared" si="2"/>
        <v>2.7777777777777775E-3</v>
      </c>
      <c r="H35" s="279">
        <f t="shared" si="3"/>
        <v>3.3333333333333333E-2</v>
      </c>
      <c r="I35" s="279">
        <f t="shared" si="4"/>
        <v>1.2944444444444445</v>
      </c>
      <c r="J35" s="279">
        <f t="shared" si="5"/>
        <v>7.7666666666666675</v>
      </c>
      <c r="BU35" s="259"/>
      <c r="BV35" s="260"/>
      <c r="BW35" s="260"/>
      <c r="BX35" s="260"/>
      <c r="BY35" s="260"/>
      <c r="BZ35" s="260"/>
      <c r="CA35" s="260"/>
      <c r="CB35" s="260"/>
      <c r="CC35" s="260"/>
      <c r="CD35" s="260"/>
      <c r="CE35" s="260"/>
      <c r="CF35" s="260"/>
      <c r="CG35" s="260"/>
      <c r="CH35" s="260"/>
      <c r="CI35" s="261"/>
    </row>
    <row r="36" spans="2:87" ht="13.5" thickBot="1" x14ac:dyDescent="0.25">
      <c r="B36" s="291">
        <v>9</v>
      </c>
      <c r="C36" s="292">
        <v>661</v>
      </c>
      <c r="D36" s="292">
        <v>1</v>
      </c>
      <c r="E36" s="291">
        <f t="shared" si="0"/>
        <v>661</v>
      </c>
      <c r="F36" s="291">
        <f t="shared" si="1"/>
        <v>3.9993333333333339</v>
      </c>
      <c r="G36" s="278">
        <f t="shared" si="2"/>
        <v>2.7777777777777775E-3</v>
      </c>
      <c r="H36" s="279">
        <f t="shared" si="3"/>
        <v>3.3333333333333333E-2</v>
      </c>
      <c r="I36" s="279">
        <f t="shared" si="4"/>
        <v>0.6554444444444445</v>
      </c>
      <c r="J36" s="279">
        <f t="shared" si="5"/>
        <v>3.932666666666667</v>
      </c>
      <c r="BU36" s="259"/>
      <c r="BV36" s="260"/>
      <c r="BW36" s="260"/>
      <c r="BX36" s="260"/>
      <c r="BY36" s="260"/>
      <c r="BZ36" s="260"/>
      <c r="CA36" s="260"/>
      <c r="CB36" s="260"/>
      <c r="CC36" s="260"/>
      <c r="CD36" s="260"/>
      <c r="CE36" s="260"/>
      <c r="CF36" s="260"/>
      <c r="CG36" s="260"/>
      <c r="CH36" s="260"/>
      <c r="CI36" s="261"/>
    </row>
    <row r="37" spans="2:87" ht="13.5" thickBot="1" x14ac:dyDescent="0.25">
      <c r="B37" s="291">
        <v>10</v>
      </c>
      <c r="C37" s="292">
        <v>734</v>
      </c>
      <c r="D37" s="292">
        <v>1</v>
      </c>
      <c r="E37" s="291">
        <f t="shared" si="0"/>
        <v>734</v>
      </c>
      <c r="F37" s="291">
        <f t="shared" si="1"/>
        <v>4.4373333333333331</v>
      </c>
      <c r="G37" s="278">
        <f t="shared" si="2"/>
        <v>2.7777777777777775E-3</v>
      </c>
      <c r="H37" s="279">
        <f t="shared" si="3"/>
        <v>3.3333333333333333E-2</v>
      </c>
      <c r="I37" s="279">
        <f t="shared" si="4"/>
        <v>0.72844444444444445</v>
      </c>
      <c r="J37" s="279">
        <f t="shared" si="5"/>
        <v>4.3706666666666667</v>
      </c>
      <c r="BU37" s="259"/>
      <c r="BV37" s="260"/>
      <c r="BW37" s="260"/>
      <c r="BX37" s="260"/>
      <c r="BY37" s="260"/>
      <c r="BZ37" s="260"/>
      <c r="CA37" s="260"/>
      <c r="CB37" s="260"/>
      <c r="CC37" s="260"/>
      <c r="CD37" s="260"/>
      <c r="CE37" s="260"/>
      <c r="CF37" s="260"/>
      <c r="CG37" s="260"/>
      <c r="CH37" s="260"/>
      <c r="CI37" s="261"/>
    </row>
    <row r="38" spans="2:87" ht="13.5" thickBot="1" x14ac:dyDescent="0.25">
      <c r="B38" s="291">
        <v>11</v>
      </c>
      <c r="C38" s="292">
        <v>566</v>
      </c>
      <c r="D38" s="292">
        <v>1</v>
      </c>
      <c r="E38" s="291">
        <f t="shared" si="0"/>
        <v>566</v>
      </c>
      <c r="F38" s="291">
        <f t="shared" si="1"/>
        <v>3.4293333333333336</v>
      </c>
      <c r="G38" s="278">
        <f t="shared" si="2"/>
        <v>2.7777777777777775E-3</v>
      </c>
      <c r="H38" s="279">
        <f t="shared" si="3"/>
        <v>3.3333333333333333E-2</v>
      </c>
      <c r="I38" s="279">
        <f t="shared" si="4"/>
        <v>0.56044444444444441</v>
      </c>
      <c r="J38" s="279">
        <f t="shared" si="5"/>
        <v>3.3626666666666667</v>
      </c>
      <c r="BU38" s="259"/>
      <c r="BV38" s="260"/>
      <c r="BW38" s="260"/>
      <c r="BX38" s="260"/>
      <c r="BY38" s="260"/>
      <c r="BZ38" s="260"/>
      <c r="CA38" s="260"/>
      <c r="CB38" s="260"/>
      <c r="CC38" s="260"/>
      <c r="CD38" s="260"/>
      <c r="CE38" s="260"/>
      <c r="CF38" s="260"/>
      <c r="CG38" s="260"/>
      <c r="CH38" s="260"/>
      <c r="CI38" s="261"/>
    </row>
    <row r="39" spans="2:87" ht="13.5" thickBot="1" x14ac:dyDescent="0.25">
      <c r="B39" s="291">
        <v>12</v>
      </c>
      <c r="C39" s="292">
        <v>661</v>
      </c>
      <c r="D39" s="292">
        <v>1</v>
      </c>
      <c r="E39" s="291">
        <f t="shared" si="0"/>
        <v>661</v>
      </c>
      <c r="F39" s="291">
        <f t="shared" si="1"/>
        <v>3.9993333333333339</v>
      </c>
      <c r="G39" s="278">
        <f t="shared" si="2"/>
        <v>2.7777777777777775E-3</v>
      </c>
      <c r="H39" s="279">
        <f t="shared" si="3"/>
        <v>3.3333333333333333E-2</v>
      </c>
      <c r="I39" s="279">
        <f t="shared" si="4"/>
        <v>0.6554444444444445</v>
      </c>
      <c r="J39" s="279">
        <f t="shared" si="5"/>
        <v>3.932666666666667</v>
      </c>
      <c r="BU39" s="259"/>
      <c r="BV39" s="260"/>
      <c r="BW39" s="260"/>
      <c r="BX39" s="260"/>
      <c r="BY39" s="260"/>
      <c r="BZ39" s="260"/>
      <c r="CA39" s="260"/>
      <c r="CB39" s="260"/>
      <c r="CC39" s="260"/>
      <c r="CD39" s="260"/>
      <c r="CE39" s="260"/>
      <c r="CF39" s="260"/>
      <c r="CG39" s="260"/>
      <c r="CH39" s="260"/>
      <c r="CI39" s="261"/>
    </row>
    <row r="40" spans="2:87" ht="13.5" thickBot="1" x14ac:dyDescent="0.25">
      <c r="B40" s="291">
        <v>13</v>
      </c>
      <c r="C40" s="292">
        <v>1300</v>
      </c>
      <c r="D40" s="292">
        <v>1</v>
      </c>
      <c r="E40" s="291">
        <f t="shared" si="0"/>
        <v>1300</v>
      </c>
      <c r="F40" s="291">
        <f t="shared" si="1"/>
        <v>7.8333333333333339</v>
      </c>
      <c r="G40" s="278">
        <f t="shared" si="2"/>
        <v>2.7777777777777775E-3</v>
      </c>
      <c r="H40" s="279">
        <f t="shared" si="3"/>
        <v>3.3333333333333333E-2</v>
      </c>
      <c r="I40" s="279">
        <f t="shared" si="4"/>
        <v>1.2944444444444445</v>
      </c>
      <c r="J40" s="279">
        <f t="shared" si="5"/>
        <v>7.7666666666666675</v>
      </c>
      <c r="BU40" s="259"/>
      <c r="BV40" s="260"/>
      <c r="BW40" s="260"/>
      <c r="BX40" s="260"/>
      <c r="BY40" s="260"/>
      <c r="BZ40" s="260"/>
      <c r="CA40" s="260"/>
      <c r="CB40" s="260"/>
      <c r="CC40" s="260"/>
      <c r="CD40" s="260"/>
      <c r="CE40" s="260"/>
      <c r="CF40" s="260"/>
      <c r="CG40" s="260"/>
      <c r="CH40" s="260"/>
      <c r="CI40" s="261"/>
    </row>
    <row r="41" spans="2:87" ht="13.5" thickBot="1" x14ac:dyDescent="0.25">
      <c r="B41" s="291">
        <v>14</v>
      </c>
      <c r="C41" s="292">
        <v>1309.5</v>
      </c>
      <c r="D41" s="292">
        <v>1</v>
      </c>
      <c r="E41" s="291">
        <f t="shared" si="0"/>
        <v>1309.5</v>
      </c>
      <c r="F41" s="291">
        <f t="shared" si="1"/>
        <v>7.8903333333333343</v>
      </c>
      <c r="G41" s="278">
        <f t="shared" si="2"/>
        <v>2.7777777777777775E-3</v>
      </c>
      <c r="H41" s="279">
        <f t="shared" si="3"/>
        <v>3.3333333333333333E-2</v>
      </c>
      <c r="I41" s="279">
        <f t="shared" si="4"/>
        <v>1.3039444444444446</v>
      </c>
      <c r="J41" s="279">
        <f t="shared" si="5"/>
        <v>7.8236666666666679</v>
      </c>
      <c r="BU41" s="259"/>
      <c r="BV41" s="260"/>
      <c r="BW41" s="260"/>
      <c r="BX41" s="260"/>
      <c r="BY41" s="260"/>
      <c r="BZ41" s="260"/>
      <c r="CA41" s="260"/>
      <c r="CB41" s="260"/>
      <c r="CC41" s="260"/>
      <c r="CD41" s="260"/>
      <c r="CE41" s="260"/>
      <c r="CF41" s="260"/>
      <c r="CG41" s="260"/>
      <c r="CH41" s="260"/>
      <c r="CI41" s="261"/>
    </row>
    <row r="42" spans="2:87" ht="13.5" thickBot="1" x14ac:dyDescent="0.25">
      <c r="B42" s="291">
        <v>15</v>
      </c>
      <c r="C42" s="292">
        <v>0</v>
      </c>
      <c r="D42" s="292">
        <v>0</v>
      </c>
      <c r="E42" s="291">
        <f t="shared" si="0"/>
        <v>0</v>
      </c>
      <c r="F42" s="291">
        <f t="shared" si="1"/>
        <v>0</v>
      </c>
      <c r="G42" s="278">
        <f t="shared" si="2"/>
        <v>2.7777777777777775E-3</v>
      </c>
      <c r="H42" s="279">
        <f t="shared" si="3"/>
        <v>3.3333333333333333E-2</v>
      </c>
      <c r="I42" s="279">
        <f t="shared" si="4"/>
        <v>-5.5555555555555549E-3</v>
      </c>
      <c r="J42" s="279">
        <f t="shared" si="5"/>
        <v>-3.3333333333333333E-2</v>
      </c>
      <c r="BU42" s="259"/>
      <c r="BV42" s="260"/>
      <c r="BW42" s="260"/>
      <c r="BX42" s="260"/>
      <c r="BY42" s="260"/>
      <c r="BZ42" s="260"/>
      <c r="CA42" s="260"/>
      <c r="CB42" s="260"/>
      <c r="CC42" s="260"/>
      <c r="CD42" s="260"/>
      <c r="CE42" s="260"/>
      <c r="CF42" s="260"/>
      <c r="CG42" s="260"/>
      <c r="CH42" s="260"/>
      <c r="CI42" s="261"/>
    </row>
    <row r="43" spans="2:87" ht="13.5" thickBot="1" x14ac:dyDescent="0.25">
      <c r="B43" s="291">
        <v>16</v>
      </c>
      <c r="C43" s="292">
        <v>0</v>
      </c>
      <c r="D43" s="292">
        <v>0</v>
      </c>
      <c r="E43" s="291">
        <f t="shared" si="0"/>
        <v>0</v>
      </c>
      <c r="F43" s="291">
        <f t="shared" si="1"/>
        <v>0</v>
      </c>
      <c r="G43" s="278">
        <f t="shared" si="2"/>
        <v>2.7777777777777775E-3</v>
      </c>
      <c r="H43" s="279">
        <f t="shared" si="3"/>
        <v>3.3333333333333333E-2</v>
      </c>
      <c r="I43" s="279">
        <f t="shared" si="4"/>
        <v>-5.5555555555555549E-3</v>
      </c>
      <c r="J43" s="279">
        <f t="shared" si="5"/>
        <v>-3.3333333333333333E-2</v>
      </c>
      <c r="BU43" s="259"/>
      <c r="BV43" s="260"/>
      <c r="BW43" s="260"/>
      <c r="BX43" s="260"/>
      <c r="BY43" s="260"/>
      <c r="BZ43" s="260"/>
      <c r="CA43" s="260"/>
      <c r="CB43" s="260"/>
      <c r="CC43" s="260"/>
      <c r="CD43" s="260"/>
      <c r="CE43" s="260"/>
      <c r="CF43" s="260"/>
      <c r="CG43" s="260"/>
      <c r="CH43" s="260"/>
      <c r="CI43" s="261"/>
    </row>
    <row r="44" spans="2:87" ht="13.5" thickBot="1" x14ac:dyDescent="0.25">
      <c r="B44" s="291">
        <v>17</v>
      </c>
      <c r="C44" s="292">
        <v>0</v>
      </c>
      <c r="D44" s="292">
        <v>0</v>
      </c>
      <c r="E44" s="291">
        <f t="shared" si="0"/>
        <v>0</v>
      </c>
      <c r="F44" s="291">
        <f t="shared" si="1"/>
        <v>0</v>
      </c>
      <c r="G44" s="278">
        <f t="shared" si="2"/>
        <v>2.7777777777777775E-3</v>
      </c>
      <c r="H44" s="279">
        <f t="shared" si="3"/>
        <v>3.3333333333333333E-2</v>
      </c>
      <c r="I44" s="279">
        <f t="shared" si="4"/>
        <v>-5.5555555555555549E-3</v>
      </c>
      <c r="J44" s="279">
        <f t="shared" si="5"/>
        <v>-3.3333333333333333E-2</v>
      </c>
      <c r="BU44" s="259"/>
      <c r="BV44" s="260"/>
      <c r="BW44" s="260"/>
      <c r="BX44" s="260"/>
      <c r="BY44" s="260"/>
      <c r="BZ44" s="260"/>
      <c r="CA44" s="260"/>
      <c r="CB44" s="260"/>
      <c r="CC44" s="260"/>
      <c r="CD44" s="260"/>
      <c r="CE44" s="260"/>
      <c r="CF44" s="260"/>
      <c r="CG44" s="260"/>
      <c r="CH44" s="260"/>
      <c r="CI44" s="261"/>
    </row>
    <row r="45" spans="2:87" ht="13.5" thickBot="1" x14ac:dyDescent="0.25">
      <c r="B45" s="291">
        <v>18</v>
      </c>
      <c r="C45" s="292">
        <v>0</v>
      </c>
      <c r="D45" s="292">
        <v>0</v>
      </c>
      <c r="E45" s="291">
        <f t="shared" si="0"/>
        <v>0</v>
      </c>
      <c r="F45" s="291">
        <f t="shared" si="1"/>
        <v>0</v>
      </c>
      <c r="G45" s="278">
        <f t="shared" si="2"/>
        <v>2.7777777777777775E-3</v>
      </c>
      <c r="H45" s="279">
        <f t="shared" si="3"/>
        <v>3.3333333333333333E-2</v>
      </c>
      <c r="I45" s="279">
        <f t="shared" si="4"/>
        <v>-5.5555555555555549E-3</v>
      </c>
      <c r="J45" s="279">
        <f t="shared" si="5"/>
        <v>-3.3333333333333333E-2</v>
      </c>
      <c r="BU45" s="259"/>
      <c r="BV45" s="260"/>
      <c r="BW45" s="260"/>
      <c r="BX45" s="260"/>
      <c r="BY45" s="260"/>
      <c r="BZ45" s="260"/>
      <c r="CA45" s="260"/>
      <c r="CB45" s="260"/>
      <c r="CC45" s="260"/>
      <c r="CD45" s="260"/>
      <c r="CE45" s="260"/>
      <c r="CF45" s="260"/>
      <c r="CG45" s="260"/>
      <c r="CH45" s="260"/>
      <c r="CI45" s="261"/>
    </row>
    <row r="46" spans="2:87" ht="13.5" thickBot="1" x14ac:dyDescent="0.25">
      <c r="B46" s="291">
        <v>19</v>
      </c>
      <c r="C46" s="292">
        <v>0</v>
      </c>
      <c r="D46" s="292">
        <v>0</v>
      </c>
      <c r="E46" s="291">
        <f t="shared" si="0"/>
        <v>0</v>
      </c>
      <c r="F46" s="291">
        <f t="shared" si="1"/>
        <v>0</v>
      </c>
      <c r="G46" s="278">
        <f t="shared" si="2"/>
        <v>2.7777777777777775E-3</v>
      </c>
      <c r="H46" s="279">
        <f t="shared" si="3"/>
        <v>3.3333333333333333E-2</v>
      </c>
      <c r="I46" s="279">
        <f t="shared" si="4"/>
        <v>-5.5555555555555549E-3</v>
      </c>
      <c r="J46" s="279">
        <f t="shared" si="5"/>
        <v>-3.3333333333333333E-2</v>
      </c>
      <c r="BU46" s="259"/>
      <c r="BV46" s="260"/>
      <c r="BW46" s="260"/>
      <c r="BX46" s="260"/>
      <c r="BY46" s="260"/>
      <c r="BZ46" s="260"/>
      <c r="CA46" s="260"/>
      <c r="CB46" s="260"/>
      <c r="CC46" s="260"/>
      <c r="CD46" s="260"/>
      <c r="CE46" s="260"/>
      <c r="CF46" s="260"/>
      <c r="CG46" s="260"/>
      <c r="CH46" s="260"/>
      <c r="CI46" s="261"/>
    </row>
    <row r="47" spans="2:87" ht="13.5" thickBot="1" x14ac:dyDescent="0.25">
      <c r="B47" s="291">
        <v>20</v>
      </c>
      <c r="C47" s="292">
        <v>0</v>
      </c>
      <c r="D47" s="292">
        <v>0</v>
      </c>
      <c r="E47" s="291">
        <f t="shared" si="0"/>
        <v>0</v>
      </c>
      <c r="F47" s="291">
        <f t="shared" si="1"/>
        <v>0</v>
      </c>
      <c r="G47" s="278">
        <f t="shared" si="2"/>
        <v>2.7777777777777775E-3</v>
      </c>
      <c r="H47" s="279">
        <f t="shared" si="3"/>
        <v>3.3333333333333333E-2</v>
      </c>
      <c r="I47" s="279">
        <f t="shared" si="4"/>
        <v>-5.5555555555555549E-3</v>
      </c>
      <c r="J47" s="279">
        <f t="shared" si="5"/>
        <v>-3.3333333333333333E-2</v>
      </c>
      <c r="BU47" s="259"/>
      <c r="BV47" s="260"/>
      <c r="BW47" s="260"/>
      <c r="BX47" s="260"/>
      <c r="BY47" s="260"/>
      <c r="BZ47" s="260"/>
      <c r="CA47" s="260"/>
      <c r="CB47" s="260"/>
      <c r="CC47" s="260"/>
      <c r="CD47" s="260"/>
      <c r="CE47" s="260"/>
      <c r="CF47" s="260"/>
      <c r="CG47" s="260"/>
      <c r="CH47" s="260"/>
      <c r="CI47" s="261"/>
    </row>
    <row r="48" spans="2:87" ht="13.5" thickBot="1" x14ac:dyDescent="0.25">
      <c r="B48" s="259"/>
      <c r="C48" s="260"/>
      <c r="D48" s="260"/>
      <c r="E48" s="260"/>
      <c r="F48" s="261"/>
      <c r="BU48" s="259"/>
      <c r="BV48" s="260"/>
      <c r="BW48" s="260"/>
      <c r="BX48" s="260"/>
      <c r="BY48" s="260"/>
      <c r="BZ48" s="260"/>
      <c r="CA48" s="260"/>
      <c r="CB48" s="260"/>
      <c r="CC48" s="260"/>
      <c r="CD48" s="260"/>
      <c r="CE48" s="260"/>
      <c r="CF48" s="260"/>
      <c r="CG48" s="260"/>
      <c r="CH48" s="260"/>
      <c r="CI48" s="261"/>
    </row>
    <row r="49" spans="2:87" ht="15.75" thickBot="1" x14ac:dyDescent="0.3">
      <c r="B49" s="259"/>
      <c r="C49" s="833" t="s">
        <v>508</v>
      </c>
      <c r="D49" s="833"/>
      <c r="E49" s="301">
        <f>SUM(E28:E47)</f>
        <v>10895.5</v>
      </c>
      <c r="F49" s="302" t="s">
        <v>9</v>
      </c>
      <c r="BU49" s="259"/>
      <c r="BV49" s="260"/>
      <c r="BW49" s="260"/>
      <c r="BX49" s="260"/>
      <c r="BY49" s="260"/>
      <c r="BZ49" s="260"/>
      <c r="CA49" s="260"/>
      <c r="CB49" s="260"/>
      <c r="CC49" s="260"/>
      <c r="CD49" s="260"/>
      <c r="CE49" s="260"/>
      <c r="CF49" s="260"/>
      <c r="CG49" s="260"/>
      <c r="CH49" s="260"/>
      <c r="CI49" s="261"/>
    </row>
    <row r="50" spans="2:87" ht="15.75" thickBot="1" x14ac:dyDescent="0.3">
      <c r="B50" s="259"/>
      <c r="C50" s="833" t="s">
        <v>509</v>
      </c>
      <c r="D50" s="833"/>
      <c r="E50" s="303">
        <f>(SUM(F28:F47))/60</f>
        <v>1.0973277777777779</v>
      </c>
      <c r="F50" s="302" t="s">
        <v>510</v>
      </c>
      <c r="BU50" s="259"/>
      <c r="BV50" s="260"/>
      <c r="BW50" s="260"/>
      <c r="BX50" s="260"/>
      <c r="BY50" s="260"/>
      <c r="BZ50" s="260"/>
      <c r="CA50" s="260"/>
      <c r="CB50" s="260"/>
      <c r="CC50" s="260"/>
      <c r="CD50" s="260"/>
      <c r="CE50" s="260"/>
      <c r="CF50" s="260"/>
      <c r="CG50" s="260"/>
      <c r="CH50" s="260"/>
      <c r="CI50" s="261"/>
    </row>
    <row r="51" spans="2:87" ht="15.75" thickBot="1" x14ac:dyDescent="0.3">
      <c r="B51" s="259"/>
      <c r="C51" s="833" t="s">
        <v>511</v>
      </c>
      <c r="D51" s="833"/>
      <c r="E51" s="301">
        <f>(E49/1000)/E50</f>
        <v>9.9291207428146144</v>
      </c>
      <c r="F51" s="302" t="s">
        <v>281</v>
      </c>
      <c r="BU51" s="259"/>
      <c r="BV51" s="260"/>
      <c r="BW51" s="260"/>
      <c r="BX51" s="260"/>
      <c r="BY51" s="260"/>
      <c r="BZ51" s="260"/>
      <c r="CA51" s="260"/>
      <c r="CB51" s="260"/>
      <c r="CC51" s="260"/>
      <c r="CD51" s="260"/>
      <c r="CE51" s="260"/>
      <c r="CF51" s="260"/>
      <c r="CG51" s="260"/>
      <c r="CH51" s="260"/>
      <c r="CI51" s="261"/>
    </row>
    <row r="52" spans="2:87" ht="13.5" thickBot="1" x14ac:dyDescent="0.25">
      <c r="B52" s="259"/>
      <c r="C52" s="260"/>
      <c r="D52" s="260"/>
      <c r="E52" s="260"/>
      <c r="F52" s="261"/>
      <c r="BU52" s="259"/>
      <c r="BV52" s="260"/>
      <c r="BW52" s="260"/>
      <c r="BX52" s="260"/>
      <c r="BY52" s="260"/>
      <c r="BZ52" s="260"/>
      <c r="CA52" s="260"/>
      <c r="CB52" s="260"/>
      <c r="CC52" s="260"/>
      <c r="CD52" s="260"/>
      <c r="CE52" s="260"/>
      <c r="CF52" s="260"/>
      <c r="CG52" s="260"/>
      <c r="CH52" s="260"/>
      <c r="CI52" s="261"/>
    </row>
    <row r="53" spans="2:87" ht="15.75" thickBot="1" x14ac:dyDescent="0.3">
      <c r="B53" s="825" t="s">
        <v>512</v>
      </c>
      <c r="C53" s="826"/>
      <c r="D53" s="826"/>
      <c r="E53" s="826"/>
      <c r="F53" s="827"/>
      <c r="BU53" s="304"/>
      <c r="BV53" s="305"/>
      <c r="BW53" s="305"/>
      <c r="BX53" s="305"/>
      <c r="BY53" s="305"/>
      <c r="BZ53" s="305"/>
      <c r="CA53" s="305"/>
      <c r="CB53" s="305"/>
      <c r="CC53" s="305"/>
      <c r="CD53" s="305"/>
      <c r="CE53" s="305"/>
      <c r="CF53" s="305"/>
      <c r="CG53" s="305"/>
      <c r="CH53" s="305"/>
      <c r="CI53" s="306"/>
    </row>
    <row r="54" spans="2:87" ht="13.5" thickBot="1" x14ac:dyDescent="0.25">
      <c r="B54" s="307"/>
      <c r="C54" s="308"/>
      <c r="D54" s="308"/>
      <c r="E54" s="308"/>
      <c r="F54" s="309"/>
      <c r="BU54" s="270"/>
      <c r="BV54" s="271"/>
      <c r="BW54" s="271"/>
      <c r="BX54" s="271"/>
      <c r="BY54" s="271"/>
      <c r="BZ54" s="271"/>
      <c r="CA54" s="271"/>
      <c r="CB54" s="271"/>
      <c r="CC54" s="271"/>
      <c r="CD54" s="271"/>
      <c r="CE54" s="271"/>
      <c r="CF54" s="271"/>
      <c r="CG54" s="271"/>
      <c r="CH54" s="271"/>
      <c r="CI54" s="272"/>
    </row>
    <row r="55" spans="2:87" ht="15.75" thickBot="1" x14ac:dyDescent="0.3">
      <c r="B55" s="828" t="s">
        <v>513</v>
      </c>
      <c r="C55" s="829"/>
      <c r="D55" s="829"/>
      <c r="E55" s="829"/>
      <c r="F55" s="830"/>
      <c r="BU55" s="259"/>
      <c r="BV55" s="260"/>
      <c r="BW55" s="260"/>
      <c r="BX55" s="260"/>
      <c r="BY55" s="260"/>
      <c r="BZ55" s="260"/>
      <c r="CA55" s="260"/>
      <c r="CB55" s="260"/>
      <c r="CC55" s="260"/>
      <c r="CD55" s="260"/>
      <c r="CE55" s="260"/>
      <c r="CF55" s="260"/>
      <c r="CG55" s="260"/>
      <c r="CH55" s="260"/>
      <c r="CI55" s="261"/>
    </row>
    <row r="56" spans="2:87" ht="13.5" thickBot="1" x14ac:dyDescent="0.25">
      <c r="B56" s="259"/>
      <c r="C56" s="260"/>
      <c r="D56" s="260"/>
      <c r="E56" s="260"/>
      <c r="F56" s="261"/>
      <c r="BU56" s="259"/>
      <c r="BV56" s="260"/>
      <c r="BW56" s="260"/>
      <c r="BX56" s="260"/>
      <c r="BY56" s="260"/>
      <c r="BZ56" s="260"/>
      <c r="CA56" s="260"/>
      <c r="CB56" s="260"/>
      <c r="CC56" s="260"/>
      <c r="CD56" s="260"/>
      <c r="CE56" s="260"/>
      <c r="CF56" s="260"/>
      <c r="CG56" s="260"/>
      <c r="CH56" s="260"/>
      <c r="CI56" s="261"/>
    </row>
    <row r="57" spans="2:87" ht="15.75" thickBot="1" x14ac:dyDescent="0.3">
      <c r="B57" s="310" t="s">
        <v>514</v>
      </c>
      <c r="C57" s="311">
        <f>(60/C62)</f>
        <v>41.142857142857139</v>
      </c>
      <c r="D57" s="312" t="s">
        <v>279</v>
      </c>
      <c r="E57" s="260"/>
      <c r="F57" s="261"/>
      <c r="BU57" s="259"/>
      <c r="BV57" s="260"/>
      <c r="BW57" s="260"/>
      <c r="BX57" s="260"/>
      <c r="BY57" s="260"/>
      <c r="BZ57" s="260"/>
      <c r="CA57" s="260"/>
      <c r="CB57" s="260"/>
      <c r="CC57" s="260"/>
      <c r="CD57" s="260"/>
      <c r="CE57" s="260"/>
      <c r="CF57" s="260"/>
      <c r="CG57" s="260"/>
      <c r="CH57" s="260"/>
      <c r="CI57" s="261"/>
    </row>
    <row r="58" spans="2:87" ht="13.5" thickBot="1" x14ac:dyDescent="0.25">
      <c r="B58" s="310" t="s">
        <v>438</v>
      </c>
      <c r="C58" s="313">
        <v>20</v>
      </c>
      <c r="D58" s="312" t="s">
        <v>9</v>
      </c>
      <c r="E58" s="260"/>
      <c r="F58" s="261"/>
      <c r="BU58" s="259"/>
      <c r="BV58" s="260"/>
      <c r="BW58" s="260"/>
      <c r="BX58" s="260"/>
      <c r="BY58" s="260"/>
      <c r="BZ58" s="260"/>
      <c r="CA58" s="260"/>
      <c r="CB58" s="260"/>
      <c r="CC58" s="260"/>
      <c r="CD58" s="260"/>
      <c r="CE58" s="260"/>
      <c r="CF58" s="260"/>
      <c r="CG58" s="260"/>
      <c r="CH58" s="260"/>
      <c r="CI58" s="261"/>
    </row>
    <row r="59" spans="2:87" ht="13.5" thickBot="1" x14ac:dyDescent="0.25">
      <c r="B59" s="259"/>
      <c r="C59" s="260"/>
      <c r="D59" s="314"/>
      <c r="E59" s="260"/>
      <c r="F59" s="261"/>
      <c r="BU59" s="259"/>
      <c r="BV59" s="260"/>
      <c r="BW59" s="260"/>
      <c r="BX59" s="260"/>
      <c r="BY59" s="260"/>
      <c r="BZ59" s="260"/>
      <c r="CA59" s="260"/>
      <c r="CB59" s="260"/>
      <c r="CC59" s="260"/>
      <c r="CD59" s="260"/>
      <c r="CE59" s="260"/>
      <c r="CF59" s="260"/>
      <c r="CG59" s="260"/>
      <c r="CH59" s="260"/>
      <c r="CI59" s="261"/>
    </row>
    <row r="60" spans="2:87" ht="15.75" thickBot="1" x14ac:dyDescent="0.3">
      <c r="B60" s="315" t="s">
        <v>515</v>
      </c>
      <c r="C60" s="316">
        <f>(C58/1000)/0.02</f>
        <v>1</v>
      </c>
      <c r="D60" s="302" t="s">
        <v>187</v>
      </c>
      <c r="E60" s="260"/>
      <c r="F60" s="261"/>
      <c r="BU60" s="259"/>
      <c r="BV60" s="260"/>
      <c r="BW60" s="260"/>
      <c r="BX60" s="260"/>
      <c r="BY60" s="260"/>
      <c r="BZ60" s="260"/>
      <c r="CA60" s="260"/>
      <c r="CB60" s="260"/>
      <c r="CC60" s="260"/>
      <c r="CD60" s="260"/>
      <c r="CE60" s="260"/>
      <c r="CF60" s="260"/>
      <c r="CG60" s="260"/>
      <c r="CH60" s="260"/>
      <c r="CI60" s="261"/>
    </row>
    <row r="61" spans="2:87" ht="15.75" thickBot="1" x14ac:dyDescent="0.3">
      <c r="B61" s="315" t="s">
        <v>516</v>
      </c>
      <c r="C61" s="317">
        <f>C11</f>
        <v>0.33333333333333337</v>
      </c>
      <c r="D61" s="302" t="s">
        <v>187</v>
      </c>
      <c r="E61" s="260"/>
      <c r="F61" s="261"/>
      <c r="BU61" s="259"/>
      <c r="BV61" s="260"/>
      <c r="BW61" s="260"/>
      <c r="BX61" s="260"/>
      <c r="BY61" s="260"/>
      <c r="BZ61" s="260"/>
      <c r="CA61" s="260"/>
      <c r="CB61" s="260"/>
      <c r="CC61" s="260"/>
      <c r="CD61" s="260"/>
      <c r="CE61" s="260"/>
      <c r="CF61" s="260"/>
      <c r="CG61" s="260"/>
      <c r="CH61" s="260"/>
      <c r="CI61" s="261"/>
    </row>
    <row r="62" spans="2:87" ht="15.75" thickBot="1" x14ac:dyDescent="0.25">
      <c r="B62" s="318" t="s">
        <v>517</v>
      </c>
      <c r="C62" s="317">
        <f>(C60+C61)+(C63/100)</f>
        <v>1.4583333333333335</v>
      </c>
      <c r="D62" s="302" t="s">
        <v>187</v>
      </c>
      <c r="E62" s="260"/>
      <c r="F62" s="261"/>
      <c r="BU62" s="259"/>
      <c r="BV62" s="260"/>
      <c r="BW62" s="260"/>
      <c r="BX62" s="260"/>
      <c r="BY62" s="260"/>
      <c r="BZ62" s="260"/>
      <c r="CA62" s="260"/>
      <c r="CB62" s="260"/>
      <c r="CC62" s="260"/>
      <c r="CD62" s="260"/>
      <c r="CE62" s="260"/>
      <c r="CF62" s="260"/>
      <c r="CG62" s="260"/>
      <c r="CH62" s="260"/>
      <c r="CI62" s="261"/>
    </row>
    <row r="63" spans="2:87" ht="15.75" thickBot="1" x14ac:dyDescent="0.3">
      <c r="B63" s="315" t="s">
        <v>518</v>
      </c>
      <c r="C63" s="319">
        <f>IF($C$6=2.5,17,IF($C$6=5,12.5,IF($C$6&gt;=7.5,10)))</f>
        <v>12.5</v>
      </c>
      <c r="D63" s="302" t="s">
        <v>292</v>
      </c>
      <c r="E63" s="260"/>
      <c r="F63" s="261"/>
      <c r="BU63" s="259"/>
      <c r="BV63" s="260"/>
      <c r="BW63" s="260"/>
      <c r="BX63" s="260"/>
      <c r="BY63" s="260"/>
      <c r="BZ63" s="260"/>
      <c r="CA63" s="260"/>
      <c r="CB63" s="260"/>
      <c r="CC63" s="260"/>
      <c r="CD63" s="260"/>
      <c r="CE63" s="260"/>
      <c r="CF63" s="260"/>
      <c r="CG63" s="260"/>
      <c r="CH63" s="260"/>
      <c r="CI63" s="261"/>
    </row>
    <row r="64" spans="2:87" ht="13.5" thickBot="1" x14ac:dyDescent="0.25">
      <c r="B64" s="320" t="s">
        <v>519</v>
      </c>
      <c r="C64" s="321">
        <f>C62-(C60+C61)</f>
        <v>0.125</v>
      </c>
      <c r="D64" s="302" t="s">
        <v>187</v>
      </c>
      <c r="E64" s="260"/>
      <c r="F64" s="261"/>
      <c r="BU64" s="259"/>
      <c r="BV64" s="260"/>
      <c r="BW64" s="260"/>
      <c r="BX64" s="260"/>
      <c r="BY64" s="260"/>
      <c r="BZ64" s="260"/>
      <c r="CA64" s="260"/>
      <c r="CB64" s="260"/>
      <c r="CC64" s="260"/>
      <c r="CD64" s="260"/>
      <c r="CE64" s="260"/>
      <c r="CF64" s="260"/>
      <c r="CG64" s="260"/>
      <c r="CH64" s="260"/>
      <c r="CI64" s="261"/>
    </row>
    <row r="65" spans="2:87" ht="13.5" thickBot="1" x14ac:dyDescent="0.25">
      <c r="B65" s="259"/>
      <c r="C65" s="260"/>
      <c r="D65" s="260"/>
      <c r="E65" s="260"/>
      <c r="F65" s="261"/>
      <c r="BU65" s="259"/>
      <c r="BV65" s="260"/>
      <c r="BW65" s="260"/>
      <c r="BX65" s="260"/>
      <c r="BY65" s="260"/>
      <c r="BZ65" s="260"/>
      <c r="CA65" s="260"/>
      <c r="CB65" s="260"/>
      <c r="CC65" s="260"/>
      <c r="CD65" s="260"/>
      <c r="CE65" s="260"/>
      <c r="CF65" s="260"/>
      <c r="CG65" s="260"/>
      <c r="CH65" s="260"/>
      <c r="CI65" s="261"/>
    </row>
    <row r="66" spans="2:87" ht="15.75" thickBot="1" x14ac:dyDescent="0.3">
      <c r="B66" s="828" t="s">
        <v>520</v>
      </c>
      <c r="C66" s="829"/>
      <c r="D66" s="829"/>
      <c r="E66" s="829"/>
      <c r="F66" s="830"/>
      <c r="BU66" s="259"/>
      <c r="BV66" s="260"/>
      <c r="BW66" s="260"/>
      <c r="BX66" s="260"/>
      <c r="BY66" s="260"/>
      <c r="BZ66" s="260"/>
      <c r="CA66" s="260"/>
      <c r="CB66" s="260"/>
      <c r="CC66" s="260"/>
      <c r="CD66" s="260"/>
      <c r="CE66" s="260"/>
      <c r="CF66" s="260"/>
      <c r="CG66" s="260"/>
      <c r="CH66" s="260"/>
      <c r="CI66" s="261"/>
    </row>
    <row r="67" spans="2:87" ht="13.5" thickBot="1" x14ac:dyDescent="0.25">
      <c r="B67" s="259"/>
      <c r="C67" s="260"/>
      <c r="D67" s="260"/>
      <c r="E67" s="260"/>
      <c r="F67" s="261"/>
      <c r="BU67" s="259"/>
      <c r="BV67" s="260"/>
      <c r="BW67" s="260"/>
      <c r="BX67" s="260"/>
      <c r="BY67" s="260"/>
      <c r="BZ67" s="260"/>
      <c r="CA67" s="260"/>
      <c r="CB67" s="260"/>
      <c r="CC67" s="260"/>
      <c r="CD67" s="260"/>
      <c r="CE67" s="260"/>
      <c r="CF67" s="260"/>
      <c r="CG67" s="260"/>
      <c r="CH67" s="260"/>
      <c r="CI67" s="261"/>
    </row>
    <row r="68" spans="2:87" ht="15.75" thickBot="1" x14ac:dyDescent="0.3">
      <c r="B68" s="310" t="s">
        <v>514</v>
      </c>
      <c r="C68" s="311">
        <f>60/(C73/(SUM(D28:D47)))</f>
        <v>10.5046395491342</v>
      </c>
      <c r="D68" s="312" t="s">
        <v>279</v>
      </c>
      <c r="E68" s="260"/>
      <c r="F68" s="261"/>
      <c r="BU68" s="259"/>
      <c r="BV68" s="260"/>
      <c r="BW68" s="260"/>
      <c r="BX68" s="260"/>
      <c r="BY68" s="260"/>
      <c r="BZ68" s="260"/>
      <c r="CA68" s="260"/>
      <c r="CB68" s="260"/>
      <c r="CC68" s="260"/>
      <c r="CD68" s="260"/>
      <c r="CE68" s="260"/>
      <c r="CF68" s="260"/>
      <c r="CG68" s="260"/>
      <c r="CH68" s="260"/>
      <c r="CI68" s="261"/>
    </row>
    <row r="69" spans="2:87" ht="13.5" thickBot="1" x14ac:dyDescent="0.25">
      <c r="B69" s="310" t="s">
        <v>438</v>
      </c>
      <c r="C69" s="313">
        <v>20</v>
      </c>
      <c r="D69" s="312" t="s">
        <v>9</v>
      </c>
      <c r="E69" s="260"/>
      <c r="F69" s="261"/>
      <c r="BU69" s="259"/>
      <c r="BV69" s="260"/>
      <c r="BW69" s="260"/>
      <c r="BX69" s="260"/>
      <c r="BY69" s="260"/>
      <c r="BZ69" s="260"/>
      <c r="CA69" s="260"/>
      <c r="CB69" s="260"/>
      <c r="CC69" s="260"/>
      <c r="CD69" s="260"/>
      <c r="CE69" s="260"/>
      <c r="CF69" s="260"/>
      <c r="CG69" s="260"/>
      <c r="CH69" s="260"/>
      <c r="CI69" s="261"/>
    </row>
    <row r="70" spans="2:87" ht="13.5" thickBot="1" x14ac:dyDescent="0.25">
      <c r="B70" s="259"/>
      <c r="C70" s="260"/>
      <c r="D70" s="314"/>
      <c r="E70" s="260"/>
      <c r="F70" s="261"/>
      <c r="BU70" s="259"/>
      <c r="BV70" s="260"/>
      <c r="BW70" s="260"/>
      <c r="BX70" s="260"/>
      <c r="BY70" s="260"/>
      <c r="BZ70" s="260"/>
      <c r="CA70" s="260"/>
      <c r="CB70" s="260"/>
      <c r="CC70" s="260"/>
      <c r="CD70" s="260"/>
      <c r="CE70" s="260"/>
      <c r="CF70" s="260"/>
      <c r="CG70" s="260"/>
      <c r="CH70" s="260"/>
      <c r="CI70" s="261"/>
    </row>
    <row r="71" spans="2:87" ht="15.75" thickBot="1" x14ac:dyDescent="0.3">
      <c r="B71" s="315" t="s">
        <v>515</v>
      </c>
      <c r="C71" s="316">
        <f>(C69/1000)/0.02</f>
        <v>1</v>
      </c>
      <c r="D71" s="302" t="s">
        <v>187</v>
      </c>
      <c r="E71" s="260"/>
      <c r="F71" s="261"/>
      <c r="BU71" s="259"/>
      <c r="BV71" s="260"/>
      <c r="BW71" s="260"/>
      <c r="BX71" s="260"/>
      <c r="BY71" s="260"/>
      <c r="BZ71" s="260"/>
      <c r="CA71" s="260"/>
      <c r="CB71" s="260"/>
      <c r="CC71" s="260"/>
      <c r="CD71" s="260"/>
      <c r="CE71" s="260"/>
      <c r="CF71" s="260"/>
      <c r="CG71" s="260"/>
      <c r="CH71" s="260"/>
      <c r="CI71" s="261"/>
    </row>
    <row r="72" spans="2:87" ht="15.75" thickBot="1" x14ac:dyDescent="0.3">
      <c r="B72" s="315" t="s">
        <v>516</v>
      </c>
      <c r="C72" s="317">
        <f>SUM(F28:F47)</f>
        <v>65.839666666666673</v>
      </c>
      <c r="D72" s="302" t="s">
        <v>187</v>
      </c>
      <c r="E72" s="260"/>
      <c r="F72" s="261"/>
      <c r="BU72" s="259"/>
      <c r="BV72" s="260"/>
      <c r="BW72" s="260"/>
      <c r="BX72" s="260"/>
      <c r="BY72" s="260"/>
      <c r="BZ72" s="260"/>
      <c r="CA72" s="260"/>
      <c r="CB72" s="260"/>
      <c r="CC72" s="260"/>
      <c r="CD72" s="260"/>
      <c r="CE72" s="260"/>
      <c r="CF72" s="260"/>
      <c r="CG72" s="260"/>
      <c r="CH72" s="260"/>
      <c r="CI72" s="261"/>
    </row>
    <row r="73" spans="2:87" ht="15.75" thickBot="1" x14ac:dyDescent="0.25">
      <c r="B73" s="318" t="s">
        <v>517</v>
      </c>
      <c r="C73" s="317">
        <f>SUM(D28:D47)*C71+C72+(C74/100)</f>
        <v>79.964666666666673</v>
      </c>
      <c r="D73" s="302" t="s">
        <v>187</v>
      </c>
      <c r="E73" s="260"/>
      <c r="F73" s="261"/>
      <c r="BU73" s="259"/>
      <c r="BV73" s="260"/>
      <c r="BW73" s="260"/>
      <c r="BX73" s="260"/>
      <c r="BY73" s="260"/>
      <c r="BZ73" s="260"/>
      <c r="CA73" s="260"/>
      <c r="CB73" s="260"/>
      <c r="CC73" s="260"/>
      <c r="CD73" s="260"/>
      <c r="CE73" s="260"/>
      <c r="CF73" s="260"/>
      <c r="CG73" s="260"/>
      <c r="CH73" s="260"/>
      <c r="CI73" s="261"/>
    </row>
    <row r="74" spans="2:87" ht="15.75" thickBot="1" x14ac:dyDescent="0.3">
      <c r="B74" s="315" t="s">
        <v>518</v>
      </c>
      <c r="C74" s="319">
        <f>IF(C6=2.5,17,IF(C6=5,12.5,IF(C6&gt;=7.5,10)))</f>
        <v>12.5</v>
      </c>
      <c r="D74" s="302" t="s">
        <v>292</v>
      </c>
      <c r="E74" s="260"/>
      <c r="F74" s="261"/>
      <c r="BU74" s="259"/>
      <c r="BV74" s="260"/>
      <c r="BW74" s="260"/>
      <c r="BX74" s="260"/>
      <c r="BY74" s="260"/>
      <c r="BZ74" s="260"/>
      <c r="CA74" s="260"/>
      <c r="CB74" s="260"/>
      <c r="CC74" s="260"/>
      <c r="CD74" s="260"/>
      <c r="CE74" s="260"/>
      <c r="CF74" s="260"/>
      <c r="CG74" s="260"/>
      <c r="CH74" s="260"/>
      <c r="CI74" s="261"/>
    </row>
    <row r="75" spans="2:87" ht="15.75" thickBot="1" x14ac:dyDescent="0.25">
      <c r="B75" s="318" t="s">
        <v>519</v>
      </c>
      <c r="C75" s="321">
        <f>C73-(C71+C72)</f>
        <v>13.125</v>
      </c>
      <c r="D75" s="302" t="s">
        <v>187</v>
      </c>
      <c r="E75" s="260"/>
      <c r="F75" s="261"/>
      <c r="BU75" s="259"/>
      <c r="BV75" s="260"/>
      <c r="BW75" s="260"/>
      <c r="BX75" s="260"/>
      <c r="BY75" s="260"/>
      <c r="BZ75" s="260"/>
      <c r="CA75" s="260"/>
      <c r="CB75" s="260"/>
      <c r="CC75" s="260"/>
      <c r="CD75" s="260"/>
      <c r="CE75" s="260"/>
      <c r="CF75" s="260"/>
      <c r="CG75" s="260"/>
      <c r="CH75" s="260"/>
      <c r="CI75" s="261"/>
    </row>
    <row r="76" spans="2:87" ht="13.5" thickBot="1" x14ac:dyDescent="0.25">
      <c r="B76" s="259"/>
      <c r="C76" s="260"/>
      <c r="D76" s="260"/>
      <c r="E76" s="260"/>
      <c r="F76" s="261"/>
      <c r="BU76" s="284"/>
      <c r="BV76" s="285"/>
      <c r="BW76" s="285"/>
      <c r="BX76" s="285"/>
      <c r="BY76" s="285"/>
      <c r="BZ76" s="285"/>
      <c r="CA76" s="285"/>
      <c r="CB76" s="285"/>
      <c r="CC76" s="285"/>
      <c r="CD76" s="285"/>
      <c r="CE76" s="285"/>
      <c r="CF76" s="285"/>
      <c r="CG76" s="285"/>
      <c r="CH76" s="285"/>
      <c r="CI76" s="286"/>
    </row>
    <row r="77" spans="2:87" ht="15.75" thickBot="1" x14ac:dyDescent="0.3">
      <c r="B77" s="825" t="s">
        <v>58</v>
      </c>
      <c r="C77" s="826"/>
      <c r="D77" s="826"/>
      <c r="E77" s="826"/>
      <c r="F77" s="827"/>
      <c r="BU77" s="304"/>
      <c r="BV77" s="305"/>
      <c r="BW77" s="305"/>
      <c r="BX77" s="305"/>
      <c r="BY77" s="305"/>
      <c r="BZ77" s="305"/>
      <c r="CA77" s="305"/>
      <c r="CB77" s="305"/>
      <c r="CC77" s="305"/>
      <c r="CD77" s="305"/>
      <c r="CE77" s="305"/>
      <c r="CF77" s="305"/>
      <c r="CG77" s="305"/>
      <c r="CH77" s="305"/>
      <c r="CI77" s="306"/>
    </row>
    <row r="78" spans="2:87" ht="13.5" thickBot="1" x14ac:dyDescent="0.25">
      <c r="B78" s="259"/>
      <c r="C78" s="260"/>
      <c r="D78" s="260"/>
      <c r="E78" s="260"/>
      <c r="F78" s="261"/>
    </row>
    <row r="79" spans="2:87" ht="15.75" thickBot="1" x14ac:dyDescent="0.3">
      <c r="B79" s="828" t="s">
        <v>477</v>
      </c>
      <c r="C79" s="829"/>
      <c r="D79" s="829"/>
      <c r="E79" s="829"/>
      <c r="F79" s="830"/>
    </row>
    <row r="80" spans="2:87" ht="13.5" thickBot="1" x14ac:dyDescent="0.25">
      <c r="B80" s="259"/>
      <c r="C80" s="260"/>
      <c r="D80" s="260"/>
      <c r="E80" s="260"/>
      <c r="F80" s="261"/>
    </row>
    <row r="81" spans="2:6" ht="15.75" thickBot="1" x14ac:dyDescent="0.3">
      <c r="B81" s="310" t="s">
        <v>521</v>
      </c>
      <c r="C81" s="322">
        <f>(C10*C57)/1000</f>
        <v>2.0571428571428569</v>
      </c>
      <c r="D81" s="312" t="s">
        <v>281</v>
      </c>
      <c r="E81" s="260"/>
      <c r="F81" s="261"/>
    </row>
    <row r="82" spans="2:6" ht="13.5" thickBot="1" x14ac:dyDescent="0.25">
      <c r="B82" s="259"/>
      <c r="C82" s="260"/>
      <c r="D82" s="260"/>
      <c r="E82" s="260"/>
      <c r="F82" s="261"/>
    </row>
    <row r="83" spans="2:6" ht="15.75" thickBot="1" x14ac:dyDescent="0.3">
      <c r="B83" s="828" t="s">
        <v>485</v>
      </c>
      <c r="C83" s="829"/>
      <c r="D83" s="829"/>
      <c r="E83" s="829"/>
      <c r="F83" s="830"/>
    </row>
    <row r="84" spans="2:6" ht="13.5" thickBot="1" x14ac:dyDescent="0.25">
      <c r="B84" s="259"/>
      <c r="C84" s="260"/>
      <c r="D84" s="260"/>
      <c r="E84" s="260"/>
      <c r="F84" s="261"/>
    </row>
    <row r="85" spans="2:6" ht="15.75" thickBot="1" x14ac:dyDescent="0.3">
      <c r="B85" s="310" t="s">
        <v>521</v>
      </c>
      <c r="C85" s="322">
        <f>((E49/1000)/(C73/60))*0.85</f>
        <v>6.9489503697466368</v>
      </c>
      <c r="D85" s="312" t="s">
        <v>281</v>
      </c>
      <c r="E85" s="260"/>
      <c r="F85" s="261"/>
    </row>
    <row r="86" spans="2:6" ht="13.5" thickBot="1" x14ac:dyDescent="0.25">
      <c r="B86" s="284"/>
      <c r="C86" s="285"/>
      <c r="D86" s="285"/>
      <c r="E86" s="285"/>
      <c r="F86" s="286"/>
    </row>
    <row r="89" spans="2:6" x14ac:dyDescent="0.2">
      <c r="B89" s="831" t="s">
        <v>522</v>
      </c>
      <c r="C89" s="831"/>
    </row>
    <row r="90" spans="2:6" x14ac:dyDescent="0.2">
      <c r="B90" s="832" t="s">
        <v>523</v>
      </c>
      <c r="C90" s="832"/>
    </row>
    <row r="91" spans="2:6" x14ac:dyDescent="0.2">
      <c r="B91" s="824" t="s">
        <v>524</v>
      </c>
      <c r="C91" s="824"/>
    </row>
    <row r="92" spans="2:6" x14ac:dyDescent="0.2">
      <c r="B92" s="824" t="s">
        <v>523</v>
      </c>
      <c r="C92" s="824"/>
    </row>
  </sheetData>
  <mergeCells count="36">
    <mergeCell ref="B2:F2"/>
    <mergeCell ref="B8:F8"/>
    <mergeCell ref="B25:F25"/>
    <mergeCell ref="M27:O27"/>
    <mergeCell ref="P27:R27"/>
    <mergeCell ref="BR27:BT27"/>
    <mergeCell ref="C49:D49"/>
    <mergeCell ref="AN27:AP27"/>
    <mergeCell ref="AQ27:AS27"/>
    <mergeCell ref="AT27:AV27"/>
    <mergeCell ref="AW27:AY27"/>
    <mergeCell ref="AE27:AG27"/>
    <mergeCell ref="AH27:AJ27"/>
    <mergeCell ref="S27:U27"/>
    <mergeCell ref="BL27:BN27"/>
    <mergeCell ref="BO27:BQ27"/>
    <mergeCell ref="BF27:BH27"/>
    <mergeCell ref="Y27:AA27"/>
    <mergeCell ref="AB27:AD27"/>
    <mergeCell ref="AK27:AM27"/>
    <mergeCell ref="AZ27:BB27"/>
    <mergeCell ref="BI27:BK27"/>
    <mergeCell ref="BC27:BE27"/>
    <mergeCell ref="B92:C92"/>
    <mergeCell ref="B77:F77"/>
    <mergeCell ref="B79:F79"/>
    <mergeCell ref="B83:F83"/>
    <mergeCell ref="B89:C89"/>
    <mergeCell ref="B90:C90"/>
    <mergeCell ref="B91:C91"/>
    <mergeCell ref="C50:D50"/>
    <mergeCell ref="C51:D51"/>
    <mergeCell ref="B53:F53"/>
    <mergeCell ref="B55:F55"/>
    <mergeCell ref="B66:F66"/>
    <mergeCell ref="V27:X27"/>
  </mergeCells>
  <dataValidations count="2">
    <dataValidation type="decimal" allowBlank="1" showInputMessage="1" showErrorMessage="1" errorTitle="Valor Acima/Abaixo" error="Valor Máx.:35m/min_x000a_Valor Mín.: 2,0m/min" sqref="C4">
      <formula1>1.5</formula1>
      <formula2>35</formula2>
    </dataValidation>
    <dataValidation type="list" allowBlank="1" showInputMessage="1" showErrorMessage="1" sqref="C6">
      <formula1>"2,5,5,0,7,5,9,9"</formula1>
    </dataValidation>
  </dataValidations>
  <pageMargins left="0.511811024" right="0.511811024" top="0.78740157499999996" bottom="0.78740157499999996" header="0.31496062000000002" footer="0.31496062000000002"/>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
    <tabColor theme="0" tint="-0.34998626667073579"/>
  </sheetPr>
  <dimension ref="B2:F4"/>
  <sheetViews>
    <sheetView showGridLines="0" showRowColHeaders="0" workbookViewId="0">
      <selection activeCell="A2" sqref="A2"/>
    </sheetView>
  </sheetViews>
  <sheetFormatPr defaultRowHeight="12.75" x14ac:dyDescent="0.2"/>
  <cols>
    <col min="1" max="1" width="12.140625" style="384" customWidth="1"/>
    <col min="2" max="2" width="10.7109375" style="384" bestFit="1" customWidth="1"/>
    <col min="3" max="3" width="9.85546875" style="384" bestFit="1" customWidth="1"/>
    <col min="4" max="4" width="11.140625" style="384" bestFit="1" customWidth="1"/>
    <col min="5" max="5" width="6.7109375" style="384" bestFit="1" customWidth="1"/>
    <col min="6" max="6" width="11.7109375" style="384" bestFit="1" customWidth="1"/>
    <col min="7" max="16384" width="9.140625" style="384"/>
  </cols>
  <sheetData>
    <row r="2" spans="2:6" s="524" customFormat="1" ht="75" x14ac:dyDescent="0.2">
      <c r="B2" s="525" t="s">
        <v>725</v>
      </c>
      <c r="C2" s="525" t="s">
        <v>726</v>
      </c>
      <c r="D2" s="525" t="s">
        <v>727</v>
      </c>
      <c r="E2" s="525" t="s">
        <v>728</v>
      </c>
      <c r="F2" s="525" t="s">
        <v>729</v>
      </c>
    </row>
    <row r="3" spans="2:6" s="385" customFormat="1" x14ac:dyDescent="0.2">
      <c r="B3" s="377" t="s">
        <v>730</v>
      </c>
      <c r="C3" s="377">
        <v>0.95</v>
      </c>
      <c r="D3" s="377">
        <v>3.85</v>
      </c>
      <c r="E3" s="377">
        <v>1.5</v>
      </c>
      <c r="F3" s="377">
        <v>0.08</v>
      </c>
    </row>
    <row r="4" spans="2:6" s="385" customFormat="1" x14ac:dyDescent="0.2">
      <c r="B4" s="377" t="s">
        <v>731</v>
      </c>
      <c r="C4" s="377">
        <v>0.35</v>
      </c>
      <c r="D4" s="377">
        <v>2.95</v>
      </c>
      <c r="E4" s="377">
        <v>2.5</v>
      </c>
      <c r="F4" s="377">
        <v>5.5E-2</v>
      </c>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tabColor theme="0" tint="-0.34998626667073579"/>
  </sheetPr>
  <dimension ref="B3:L7"/>
  <sheetViews>
    <sheetView showGridLines="0" showRowColHeaders="0" showZeros="0" showOutlineSymbols="0" workbookViewId="0">
      <selection sqref="A1:Y3505"/>
    </sheetView>
  </sheetViews>
  <sheetFormatPr defaultRowHeight="12.75" x14ac:dyDescent="0.2"/>
  <cols>
    <col min="1" max="1" width="2.85546875" style="28" customWidth="1"/>
    <col min="2" max="2" width="14" style="28" customWidth="1"/>
    <col min="3" max="3" width="15.5703125" style="28" customWidth="1"/>
    <col min="4" max="4" width="16" style="28" customWidth="1"/>
    <col min="5" max="5" width="19.5703125" style="28" customWidth="1"/>
    <col min="6" max="6" width="10" style="28" customWidth="1"/>
    <col min="7" max="7" width="14.7109375" style="28" customWidth="1"/>
    <col min="8" max="8" width="19" style="28" customWidth="1"/>
    <col min="9" max="9" width="13.5703125" style="28" customWidth="1"/>
    <col min="10" max="11" width="18.28515625" style="28" customWidth="1"/>
    <col min="12" max="12" width="20.7109375" style="28" customWidth="1"/>
    <col min="13" max="228" width="9.140625" style="28"/>
    <col min="229" max="230" width="1.28515625" style="28" customWidth="1"/>
    <col min="231" max="231" width="9.140625" style="28"/>
    <col min="232" max="232" width="10.140625" style="28" customWidth="1"/>
    <col min="233" max="233" width="15.5703125" style="28" bestFit="1" customWidth="1"/>
    <col min="234" max="234" width="6.140625" style="28" bestFit="1" customWidth="1"/>
    <col min="235" max="235" width="9" style="28" bestFit="1" customWidth="1"/>
    <col min="236" max="237" width="9.140625" style="28"/>
    <col min="238" max="238" width="12" style="28" bestFit="1" customWidth="1"/>
    <col min="239" max="239" width="1.140625" style="28" customWidth="1"/>
    <col min="240" max="240" width="1.5703125" style="28" customWidth="1"/>
    <col min="241" max="241" width="1.140625" style="28" customWidth="1"/>
    <col min="242" max="243" width="9.140625" style="28"/>
    <col min="244" max="244" width="13.42578125" style="28" bestFit="1" customWidth="1"/>
    <col min="245" max="245" width="5.28515625" style="28" bestFit="1" customWidth="1"/>
    <col min="246" max="246" width="9" style="28" bestFit="1" customWidth="1"/>
    <col min="247" max="248" width="8.5703125" style="28" bestFit="1" customWidth="1"/>
    <col min="249" max="249" width="12" style="28" bestFit="1" customWidth="1"/>
    <col min="250" max="250" width="9.140625" style="28"/>
    <col min="251" max="251" width="1.42578125" style="28" customWidth="1"/>
    <col min="252" max="16384" width="9.140625" style="28"/>
  </cols>
  <sheetData>
    <row r="3" spans="2:12" ht="13.5" thickBot="1" x14ac:dyDescent="0.25"/>
    <row r="4" spans="2:12" ht="5.0999999999999996" customHeight="1" thickBot="1" x14ac:dyDescent="0.25">
      <c r="B4" s="769"/>
      <c r="C4" s="770"/>
      <c r="D4" s="770"/>
      <c r="E4" s="770"/>
      <c r="F4" s="770"/>
      <c r="G4" s="770"/>
      <c r="H4" s="770"/>
      <c r="I4" s="770"/>
      <c r="J4" s="770"/>
      <c r="K4" s="770"/>
      <c r="L4" s="843"/>
    </row>
    <row r="5" spans="2:12" ht="18" customHeight="1" thickBot="1" x14ac:dyDescent="0.25">
      <c r="B5" s="840" t="s">
        <v>131</v>
      </c>
      <c r="C5" s="841"/>
      <c r="D5" s="841"/>
      <c r="E5" s="841"/>
      <c r="F5" s="841"/>
      <c r="G5" s="841"/>
      <c r="H5" s="841"/>
      <c r="I5" s="841"/>
      <c r="J5" s="841"/>
      <c r="K5" s="841"/>
      <c r="L5" s="842"/>
    </row>
    <row r="6" spans="2:12" ht="27.75" thickBot="1" x14ac:dyDescent="0.25">
      <c r="B6" s="29" t="s">
        <v>132</v>
      </c>
      <c r="C6" s="29" t="s">
        <v>133</v>
      </c>
      <c r="D6" s="29" t="s">
        <v>134</v>
      </c>
      <c r="E6" s="47" t="s">
        <v>141</v>
      </c>
      <c r="F6" s="29" t="s">
        <v>135</v>
      </c>
      <c r="G6" s="29" t="s">
        <v>138</v>
      </c>
      <c r="H6" s="29" t="s">
        <v>140</v>
      </c>
      <c r="I6" s="29" t="s">
        <v>136</v>
      </c>
      <c r="J6" s="29" t="s">
        <v>137</v>
      </c>
      <c r="K6" s="29" t="s">
        <v>139</v>
      </c>
      <c r="L6" s="29" t="s">
        <v>142</v>
      </c>
    </row>
    <row r="7" spans="2:12" ht="13.5" thickBot="1" x14ac:dyDescent="0.25">
      <c r="B7" s="30"/>
      <c r="C7" s="46"/>
      <c r="D7" s="46"/>
      <c r="E7" s="46"/>
      <c r="F7" s="44">
        <f>E7*(B7/1000*C7/1000*D7/1000)</f>
        <v>0</v>
      </c>
      <c r="G7" s="46"/>
      <c r="H7" s="46"/>
      <c r="I7" s="43">
        <v>21</v>
      </c>
      <c r="J7" s="45">
        <f>H7*I7</f>
        <v>0</v>
      </c>
      <c r="K7" s="45" t="e">
        <f>(F7*G7)/(J7/1000)</f>
        <v>#DIV/0!</v>
      </c>
      <c r="L7" s="31" t="e">
        <f>K7*(J7/1000)</f>
        <v>#DIV/0!</v>
      </c>
    </row>
  </sheetData>
  <mergeCells count="2">
    <mergeCell ref="B5:L5"/>
    <mergeCell ref="B4:L4"/>
  </mergeCells>
  <conditionalFormatting sqref="L7">
    <cfRule type="containsErrors" dxfId="3" priority="2">
      <formula>ISERROR(L7)</formula>
    </cfRule>
  </conditionalFormatting>
  <conditionalFormatting sqref="K7">
    <cfRule type="containsErrors" dxfId="2" priority="1">
      <formula>ISERROR(K7)</formula>
    </cfRule>
  </conditionalFormatting>
  <pageMargins left="0.78740157499999996" right="0.78740157499999996" top="0.984251969" bottom="0.984251969" header="0.49212598499999999" footer="0.49212598499999999"/>
  <pageSetup paperSize="9" orientation="portrait" r:id="rId1"/>
  <headerFooter alignWithMargins="0"/>
  <ignoredErrors>
    <ignoredError sqref="K7:L7"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tabColor theme="0" tint="-0.34998626667073579"/>
  </sheetPr>
  <dimension ref="B3:L45"/>
  <sheetViews>
    <sheetView showGridLines="0" showRowColHeaders="0" showZeros="0" showOutlineSymbols="0" workbookViewId="0"/>
  </sheetViews>
  <sheetFormatPr defaultRowHeight="12.75" x14ac:dyDescent="0.2"/>
  <cols>
    <col min="1" max="1" width="2.85546875" style="28" customWidth="1"/>
    <col min="2" max="2" width="29.28515625" style="28" customWidth="1"/>
    <col min="3" max="3" width="14" style="28" customWidth="1"/>
    <col min="4" max="4" width="16" style="28" customWidth="1"/>
    <col min="5" max="5" width="13.28515625" style="28" customWidth="1"/>
    <col min="6" max="6" width="14" style="28" customWidth="1"/>
    <col min="7"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2" ht="13.5" thickBot="1" x14ac:dyDescent="0.25"/>
    <row r="4" spans="2:12" ht="5.0999999999999996" customHeight="1" thickBot="1" x14ac:dyDescent="0.25">
      <c r="B4" s="846"/>
      <c r="C4" s="846"/>
      <c r="D4" s="846"/>
      <c r="E4" s="846"/>
      <c r="F4" s="846"/>
    </row>
    <row r="5" spans="2:12" ht="18" customHeight="1" thickBot="1" x14ac:dyDescent="0.25">
      <c r="B5" s="845" t="s">
        <v>129</v>
      </c>
      <c r="C5" s="845"/>
      <c r="D5" s="845"/>
      <c r="E5" s="845"/>
      <c r="F5" s="845"/>
      <c r="H5" s="845" t="s">
        <v>426</v>
      </c>
      <c r="I5" s="845"/>
      <c r="J5" s="845"/>
      <c r="K5" s="845"/>
      <c r="L5" s="845"/>
    </row>
    <row r="6" spans="2:12" ht="18" customHeight="1" thickBot="1" x14ac:dyDescent="0.25">
      <c r="B6" s="847" t="s">
        <v>254</v>
      </c>
      <c r="C6" s="847"/>
      <c r="D6" s="847"/>
      <c r="E6" s="847"/>
      <c r="F6" s="847"/>
    </row>
    <row r="7" spans="2:12" ht="18" customHeight="1" thickBot="1" x14ac:dyDescent="0.25">
      <c r="B7" s="33" t="s">
        <v>242</v>
      </c>
      <c r="C7" s="35"/>
      <c r="E7" s="35"/>
      <c r="F7" s="35"/>
    </row>
    <row r="8" spans="2:12" ht="18" customHeight="1" thickBot="1" x14ac:dyDescent="0.25">
      <c r="B8" s="36" t="s">
        <v>241</v>
      </c>
      <c r="C8" s="79">
        <v>22</v>
      </c>
      <c r="E8" s="35"/>
      <c r="F8" s="35"/>
    </row>
    <row r="9" spans="2:12" ht="18" customHeight="1" thickBot="1" x14ac:dyDescent="0.25">
      <c r="B9" s="36" t="s">
        <v>125</v>
      </c>
      <c r="C9" s="79">
        <v>8</v>
      </c>
      <c r="E9" s="35"/>
      <c r="F9" s="35"/>
    </row>
    <row r="10" spans="2:12" ht="18" customHeight="1" thickBot="1" x14ac:dyDescent="0.25">
      <c r="B10" s="36" t="s">
        <v>126</v>
      </c>
      <c r="C10" s="79">
        <v>1</v>
      </c>
      <c r="D10" s="38"/>
      <c r="E10" s="35"/>
      <c r="F10" s="35"/>
    </row>
    <row r="11" spans="2:12" ht="18" customHeight="1" thickBot="1" x14ac:dyDescent="0.25">
      <c r="B11" s="36" t="s">
        <v>243</v>
      </c>
      <c r="C11" s="79">
        <v>1</v>
      </c>
      <c r="D11" s="38"/>
      <c r="E11" s="80"/>
      <c r="F11" s="35"/>
    </row>
    <row r="12" spans="2:12" ht="18" customHeight="1" thickBot="1" x14ac:dyDescent="0.25">
      <c r="B12" s="88"/>
      <c r="C12" s="89"/>
      <c r="D12" s="90"/>
      <c r="E12" s="80"/>
      <c r="F12" s="91"/>
    </row>
    <row r="13" spans="2:12" ht="18" customHeight="1" thickBot="1" x14ac:dyDescent="0.25">
      <c r="B13" s="94" t="s">
        <v>252</v>
      </c>
      <c r="C13" s="86"/>
      <c r="D13" s="87"/>
      <c r="E13" s="95"/>
      <c r="F13" s="85">
        <f>F15+F21</f>
        <v>7826.666666666667</v>
      </c>
    </row>
    <row r="14" spans="2:12" ht="18" customHeight="1" thickBot="1" x14ac:dyDescent="0.25">
      <c r="B14" s="92"/>
      <c r="C14" s="92"/>
      <c r="D14" s="93"/>
      <c r="F14" s="93"/>
    </row>
    <row r="15" spans="2:12" ht="18" customHeight="1" thickBot="1" x14ac:dyDescent="0.25">
      <c r="B15" s="75" t="s">
        <v>49</v>
      </c>
      <c r="C15" s="76"/>
      <c r="D15" s="76"/>
      <c r="E15" s="76"/>
      <c r="F15" s="77">
        <f>C19/12</f>
        <v>1666.6666666666667</v>
      </c>
    </row>
    <row r="16" spans="2:12" ht="13.5" thickBot="1" x14ac:dyDescent="0.25">
      <c r="B16" s="36" t="s">
        <v>123</v>
      </c>
      <c r="C16" s="34">
        <v>200000</v>
      </c>
      <c r="E16" s="35"/>
      <c r="F16" s="35"/>
    </row>
    <row r="17" spans="2:8" ht="13.5" thickBot="1" x14ac:dyDescent="0.25">
      <c r="B17" s="36" t="s">
        <v>237</v>
      </c>
      <c r="C17" s="34">
        <v>0</v>
      </c>
      <c r="E17" s="35"/>
      <c r="F17" s="35"/>
    </row>
    <row r="18" spans="2:8" ht="13.5" thickBot="1" x14ac:dyDescent="0.25">
      <c r="B18" s="36" t="s">
        <v>251</v>
      </c>
      <c r="C18" s="79">
        <v>10</v>
      </c>
      <c r="D18" s="78"/>
      <c r="E18" s="35"/>
      <c r="F18" s="35"/>
    </row>
    <row r="19" spans="2:8" ht="13.5" thickBot="1" x14ac:dyDescent="0.25">
      <c r="B19" s="36" t="s">
        <v>248</v>
      </c>
      <c r="C19" s="35">
        <f>C18/100*(C16+C17)</f>
        <v>20000</v>
      </c>
      <c r="D19" s="169">
        <f>C19/12</f>
        <v>1666.6666666666667</v>
      </c>
      <c r="E19" s="35"/>
      <c r="F19" s="35"/>
    </row>
    <row r="20" spans="2:8" ht="13.5" thickBot="1" x14ac:dyDescent="0.25"/>
    <row r="21" spans="2:8" ht="13.5" thickBot="1" x14ac:dyDescent="0.25">
      <c r="B21" s="75" t="s">
        <v>233</v>
      </c>
      <c r="C21" s="76"/>
      <c r="D21" s="76"/>
      <c r="E21" s="76"/>
      <c r="F21" s="77">
        <f>C22</f>
        <v>6160</v>
      </c>
    </row>
    <row r="22" spans="2:8" ht="15.75" thickBot="1" x14ac:dyDescent="0.3">
      <c r="B22" s="36" t="s">
        <v>244</v>
      </c>
      <c r="C22" s="83">
        <f>35*C9*C10*C8</f>
        <v>6160</v>
      </c>
      <c r="D22" s="32"/>
      <c r="E22" s="32"/>
      <c r="F22" s="32"/>
      <c r="H22" s="28" t="s">
        <v>427</v>
      </c>
    </row>
    <row r="24" spans="2:8" ht="13.5" thickBot="1" x14ac:dyDescent="0.25"/>
    <row r="25" spans="2:8" ht="13.5" thickBot="1" x14ac:dyDescent="0.25">
      <c r="B25" s="94" t="s">
        <v>253</v>
      </c>
      <c r="C25" s="86"/>
      <c r="D25" s="87"/>
      <c r="E25" s="95"/>
      <c r="F25" s="85">
        <f>F27+F33+F37</f>
        <v>2071.0128000000004</v>
      </c>
    </row>
    <row r="26" spans="2:8" ht="13.5" thickBot="1" x14ac:dyDescent="0.25">
      <c r="B26" s="36"/>
      <c r="C26" s="32"/>
      <c r="D26" s="38"/>
      <c r="E26" s="35"/>
      <c r="F26" s="35"/>
    </row>
    <row r="27" spans="2:8" ht="13.5" thickBot="1" x14ac:dyDescent="0.25">
      <c r="B27" s="75" t="s">
        <v>124</v>
      </c>
      <c r="C27" s="76"/>
      <c r="D27" s="76"/>
      <c r="E27" s="76"/>
      <c r="F27" s="77">
        <f>(C29*C30*C31)*C9*C10*C28*C8</f>
        <v>143.45759999999999</v>
      </c>
    </row>
    <row r="28" spans="2:8" ht="15.75" thickBot="1" x14ac:dyDescent="0.3">
      <c r="B28" s="36" t="s">
        <v>250</v>
      </c>
      <c r="C28" s="84">
        <v>0.22</v>
      </c>
      <c r="D28" s="37"/>
      <c r="E28" s="32"/>
      <c r="F28" s="32"/>
    </row>
    <row r="29" spans="2:8" ht="15.75" thickBot="1" x14ac:dyDescent="0.3">
      <c r="B29" s="36" t="s">
        <v>249</v>
      </c>
      <c r="C29" s="79">
        <v>9.5</v>
      </c>
      <c r="D29" s="37"/>
      <c r="E29" s="32"/>
      <c r="F29" s="32"/>
    </row>
    <row r="30" spans="2:8" ht="15.75" thickBot="1" x14ac:dyDescent="0.3">
      <c r="B30" s="36" t="s">
        <v>238</v>
      </c>
      <c r="C30" s="81">
        <v>0.65</v>
      </c>
      <c r="D30" s="37"/>
      <c r="E30" s="32"/>
      <c r="F30" s="32"/>
    </row>
    <row r="31" spans="2:8" ht="15.75" thickBot="1" x14ac:dyDescent="0.3">
      <c r="B31" s="36" t="s">
        <v>239</v>
      </c>
      <c r="C31" s="81">
        <v>0.6</v>
      </c>
      <c r="D31" s="37"/>
      <c r="E31" s="32"/>
      <c r="F31" s="32"/>
    </row>
    <row r="32" spans="2:8" ht="13.5" thickBot="1" x14ac:dyDescent="0.25">
      <c r="B32" s="36"/>
      <c r="C32" s="16"/>
      <c r="D32" s="32"/>
      <c r="E32" s="32"/>
      <c r="F32" s="32"/>
    </row>
    <row r="33" spans="2:8" ht="13.5" thickBot="1" x14ac:dyDescent="0.25">
      <c r="B33" s="75" t="s">
        <v>127</v>
      </c>
      <c r="C33" s="76"/>
      <c r="D33" s="76"/>
      <c r="E33" s="76"/>
      <c r="F33" s="77">
        <f>C11*C34*C9*C10*C8</f>
        <v>1477.5552000000002</v>
      </c>
    </row>
    <row r="34" spans="2:8" ht="13.5" thickBot="1" x14ac:dyDescent="0.25">
      <c r="B34" s="36" t="s">
        <v>240</v>
      </c>
      <c r="C34" s="84">
        <f>0.33*25.44</f>
        <v>8.3952000000000009</v>
      </c>
      <c r="D34" s="32"/>
      <c r="E34" s="32"/>
      <c r="F34" s="32"/>
      <c r="H34" s="28" t="s">
        <v>429</v>
      </c>
    </row>
    <row r="35" spans="2:8" ht="13.5" thickBot="1" x14ac:dyDescent="0.25">
      <c r="B35" s="36" t="s">
        <v>247</v>
      </c>
      <c r="C35" s="39">
        <f>F33/(C11*C10)</f>
        <v>1477.5552000000002</v>
      </c>
      <c r="D35" s="32"/>
      <c r="E35" s="32"/>
      <c r="F35" s="32"/>
    </row>
    <row r="36" spans="2:8" ht="13.5" thickBot="1" x14ac:dyDescent="0.25">
      <c r="B36" s="36"/>
      <c r="C36" s="39"/>
      <c r="D36" s="74"/>
      <c r="E36" s="32"/>
      <c r="F36" s="32"/>
    </row>
    <row r="37" spans="2:8" ht="13.5" thickBot="1" x14ac:dyDescent="0.25">
      <c r="B37" s="75" t="s">
        <v>234</v>
      </c>
      <c r="C37" s="76"/>
      <c r="D37" s="76"/>
      <c r="E37" s="76"/>
      <c r="F37" s="77">
        <f>C38+C39</f>
        <v>450</v>
      </c>
    </row>
    <row r="38" spans="2:8" ht="15.75" thickBot="1" x14ac:dyDescent="0.3">
      <c r="B38" s="36" t="s">
        <v>235</v>
      </c>
      <c r="C38" s="83">
        <v>400</v>
      </c>
      <c r="D38" s="32"/>
      <c r="E38" s="32"/>
      <c r="F38" s="32"/>
      <c r="H38" s="28" t="s">
        <v>428</v>
      </c>
    </row>
    <row r="39" spans="2:8" ht="15.75" thickBot="1" x14ac:dyDescent="0.3">
      <c r="B39" s="36" t="s">
        <v>236</v>
      </c>
      <c r="C39" s="83">
        <v>50</v>
      </c>
      <c r="D39" s="32"/>
      <c r="E39" s="32"/>
      <c r="F39" s="32"/>
    </row>
    <row r="40" spans="2:8" ht="13.5" thickBot="1" x14ac:dyDescent="0.25">
      <c r="B40" s="36"/>
      <c r="C40" s="39"/>
      <c r="D40" s="32"/>
      <c r="E40" s="32"/>
      <c r="F40" s="32"/>
    </row>
    <row r="41" spans="2:8" ht="13.5" thickBot="1" x14ac:dyDescent="0.25">
      <c r="B41" s="94" t="s">
        <v>255</v>
      </c>
      <c r="C41" s="86"/>
      <c r="D41" s="87"/>
      <c r="E41" s="95"/>
      <c r="F41" s="85">
        <f>F13+F25</f>
        <v>9897.6794666666683</v>
      </c>
    </row>
    <row r="42" spans="2:8" ht="13.5" thickBot="1" x14ac:dyDescent="0.25">
      <c r="B42" s="32"/>
      <c r="C42" s="32"/>
      <c r="D42" s="32"/>
      <c r="E42" s="32"/>
      <c r="F42" s="32"/>
    </row>
    <row r="43" spans="2:8" ht="13.5" thickBot="1" x14ac:dyDescent="0.25">
      <c r="B43" s="844" t="s">
        <v>128</v>
      </c>
      <c r="C43" s="844"/>
      <c r="D43" s="844"/>
      <c r="E43" s="844"/>
      <c r="F43" s="96">
        <f>F41/(C8*C9*C10)</f>
        <v>56.23681515151516</v>
      </c>
    </row>
    <row r="44" spans="2:8" ht="13.5" thickBot="1" x14ac:dyDescent="0.25">
      <c r="E44" s="36" t="s">
        <v>245</v>
      </c>
      <c r="F44" s="82">
        <f>(F13)/(C8*C9*C10)</f>
        <v>44.469696969696969</v>
      </c>
    </row>
    <row r="45" spans="2:8" ht="13.5" thickBot="1" x14ac:dyDescent="0.25">
      <c r="E45" s="36" t="s">
        <v>246</v>
      </c>
      <c r="F45" s="82">
        <f>(F25)/(C8*C9*C10)</f>
        <v>11.767118181818184</v>
      </c>
    </row>
  </sheetData>
  <mergeCells count="5">
    <mergeCell ref="B43:E43"/>
    <mergeCell ref="B5:F5"/>
    <mergeCell ref="B4:F4"/>
    <mergeCell ref="B6:F6"/>
    <mergeCell ref="H5:L5"/>
  </mergeCells>
  <conditionalFormatting sqref="F43">
    <cfRule type="containsErrors" dxfId="1" priority="1">
      <formula>ISERROR(F43)</formula>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theme="0" tint="-0.34998626667073579"/>
  </sheetPr>
  <dimension ref="A1:Q24"/>
  <sheetViews>
    <sheetView showGridLines="0" showRowColHeaders="0" zoomScale="145" workbookViewId="0"/>
  </sheetViews>
  <sheetFormatPr defaultRowHeight="12.75" x14ac:dyDescent="0.2"/>
  <cols>
    <col min="1" max="1" width="1.140625" style="470" customWidth="1"/>
    <col min="2" max="2" width="4.28515625" style="468" customWidth="1"/>
    <col min="3" max="3" width="7.42578125" style="469" customWidth="1"/>
    <col min="4" max="4" width="2.28515625" style="469" customWidth="1"/>
    <col min="5" max="5" width="7.140625" style="469" customWidth="1"/>
    <col min="6" max="6" width="1.85546875" style="469" customWidth="1"/>
    <col min="7" max="7" width="33.140625" style="469" customWidth="1"/>
    <col min="8" max="8" width="3" style="469" hidden="1" customWidth="1"/>
    <col min="9" max="9" width="13.7109375" style="469" customWidth="1"/>
    <col min="10" max="10" width="4.42578125" style="469" customWidth="1"/>
    <col min="11" max="11" width="1.7109375" style="469" customWidth="1"/>
    <col min="12" max="12" width="2.5703125" style="469" customWidth="1"/>
    <col min="13" max="13" width="6.85546875" style="469" customWidth="1"/>
    <col min="14" max="14" width="10.42578125" style="469" customWidth="1"/>
    <col min="15" max="15" width="20.42578125" style="469" customWidth="1"/>
    <col min="16" max="16" width="9" style="469" customWidth="1"/>
    <col min="17" max="17" width="4.28515625" style="469" customWidth="1"/>
    <col min="18" max="16384" width="9.140625" style="469"/>
  </cols>
  <sheetData>
    <row r="1" spans="1:17" ht="23.25" customHeight="1" thickBot="1" x14ac:dyDescent="0.25">
      <c r="A1" s="467"/>
      <c r="G1" s="469" t="s">
        <v>330</v>
      </c>
    </row>
    <row r="2" spans="1:17" ht="13.5" thickTop="1" x14ac:dyDescent="0.2">
      <c r="B2" s="471"/>
      <c r="C2" s="472"/>
      <c r="D2" s="472"/>
      <c r="E2" s="473"/>
      <c r="G2" s="590" t="s">
        <v>331</v>
      </c>
      <c r="H2" s="591"/>
      <c r="I2" s="592">
        <v>76.2</v>
      </c>
      <c r="J2" s="575" t="s">
        <v>9</v>
      </c>
      <c r="L2" s="572" t="s">
        <v>166</v>
      </c>
      <c r="M2" s="573">
        <v>60</v>
      </c>
      <c r="N2" s="851" t="s">
        <v>331</v>
      </c>
      <c r="O2" s="851"/>
      <c r="P2" s="574">
        <f>(2*3.14159265359*M4+2*(M2-2*M4)+2*(M3-2*M4))/3.14159265359</f>
        <v>60.929581789403152</v>
      </c>
      <c r="Q2" s="575" t="s">
        <v>9</v>
      </c>
    </row>
    <row r="3" spans="1:17" x14ac:dyDescent="0.2">
      <c r="B3" s="848" t="s">
        <v>332</v>
      </c>
      <c r="C3" s="849"/>
      <c r="D3" s="849"/>
      <c r="E3" s="850"/>
      <c r="G3" s="576" t="s">
        <v>333</v>
      </c>
      <c r="H3" s="474"/>
      <c r="I3" s="593">
        <v>2.7</v>
      </c>
      <c r="J3" s="578" t="s">
        <v>9</v>
      </c>
      <c r="L3" s="576" t="s">
        <v>167</v>
      </c>
      <c r="M3" s="577">
        <v>40</v>
      </c>
      <c r="N3" s="852" t="s">
        <v>334</v>
      </c>
      <c r="O3" s="852"/>
      <c r="P3" s="401">
        <f>(2*3.14159265359*M4+2*(M2-2*M4)+2*(M3-2*M4))</f>
        <v>191.41592653589998</v>
      </c>
      <c r="Q3" s="578" t="s">
        <v>9</v>
      </c>
    </row>
    <row r="4" spans="1:17" ht="13.5" thickBot="1" x14ac:dyDescent="0.25">
      <c r="B4" s="478"/>
      <c r="C4" s="479"/>
      <c r="D4" s="479"/>
      <c r="E4" s="477"/>
      <c r="G4" s="576" t="s">
        <v>335</v>
      </c>
      <c r="H4" s="480" t="s">
        <v>336</v>
      </c>
      <c r="I4" s="401">
        <f>VLOOKUP(H4,A6:B22,2,0)</f>
        <v>5</v>
      </c>
      <c r="J4" s="578"/>
      <c r="L4" s="581" t="s">
        <v>337</v>
      </c>
      <c r="M4" s="582">
        <v>5</v>
      </c>
      <c r="N4" s="583">
        <f>M4/I3</f>
        <v>1.8518518518518516</v>
      </c>
      <c r="O4" s="589" t="s">
        <v>405</v>
      </c>
      <c r="P4" s="584">
        <v>0.02</v>
      </c>
      <c r="Q4" s="585"/>
    </row>
    <row r="5" spans="1:17" ht="14.25" thickTop="1" thickBot="1" x14ac:dyDescent="0.25">
      <c r="B5" s="478"/>
      <c r="C5" s="481" t="s">
        <v>338</v>
      </c>
      <c r="D5" s="482"/>
      <c r="E5" s="475" t="s">
        <v>339</v>
      </c>
      <c r="G5" s="594" t="s">
        <v>340</v>
      </c>
      <c r="H5" s="595"/>
      <c r="I5" s="596">
        <f>IF(I3&lt;=1,2,IF(I3&lt;=1.5,1.5,IF(I3&lt;=2.5,1.2,1)))</f>
        <v>1</v>
      </c>
      <c r="J5" s="580"/>
      <c r="L5" s="586" t="s">
        <v>341</v>
      </c>
      <c r="M5" s="587">
        <f>P3*(1+P4)</f>
        <v>195.24424506661799</v>
      </c>
      <c r="N5" s="853" t="s">
        <v>331</v>
      </c>
      <c r="O5" s="853"/>
      <c r="P5" s="587">
        <f>M5/3.14159265359</f>
        <v>62.148173425191217</v>
      </c>
      <c r="Q5" s="588" t="s">
        <v>9</v>
      </c>
    </row>
    <row r="6" spans="1:17" ht="14.25" thickTop="1" thickBot="1" x14ac:dyDescent="0.25">
      <c r="A6" s="483" t="str">
        <f>CONCATENATE(IF($I$3&gt;=C6,"&gt;",""),IF($I$3&lt;=E6,"&gt;",""))</f>
        <v>&gt;</v>
      </c>
      <c r="B6" s="484">
        <v>0</v>
      </c>
      <c r="C6" s="476">
        <v>0.6</v>
      </c>
      <c r="D6" s="482" t="s">
        <v>116</v>
      </c>
      <c r="E6" s="485">
        <v>1.06</v>
      </c>
    </row>
    <row r="7" spans="1:17" ht="13.5" thickTop="1" x14ac:dyDescent="0.2">
      <c r="A7" s="483" t="str">
        <f t="shared" ref="A7:A22" si="0">CONCATENATE(IF($I$3&gt;=C7,"&gt;",""),IF($I$3&lt;=E7,"&gt;",""))</f>
        <v>&gt;</v>
      </c>
      <c r="B7" s="484">
        <v>1</v>
      </c>
      <c r="C7" s="476">
        <v>1.2</v>
      </c>
      <c r="D7" s="482" t="s">
        <v>116</v>
      </c>
      <c r="E7" s="485">
        <v>1.35</v>
      </c>
      <c r="G7" s="572" t="s">
        <v>334</v>
      </c>
      <c r="H7" s="597"/>
      <c r="I7" s="574">
        <f>I2*3.14159265359</f>
        <v>239.38936020355803</v>
      </c>
      <c r="J7" s="575" t="s">
        <v>9</v>
      </c>
    </row>
    <row r="8" spans="1:17" x14ac:dyDescent="0.2">
      <c r="A8" s="483" t="str">
        <f t="shared" si="0"/>
        <v>&gt;</v>
      </c>
      <c r="B8" s="484">
        <v>2</v>
      </c>
      <c r="C8" s="476">
        <v>1.5</v>
      </c>
      <c r="D8" s="482" t="s">
        <v>116</v>
      </c>
      <c r="E8" s="485">
        <v>1.55</v>
      </c>
      <c r="G8" s="576" t="s">
        <v>342</v>
      </c>
      <c r="H8" s="486"/>
      <c r="I8" s="401">
        <f>(I2-I3)*3.14159265359</f>
        <v>230.90706003886501</v>
      </c>
      <c r="J8" s="578" t="s">
        <v>9</v>
      </c>
      <c r="L8" s="487"/>
      <c r="M8" s="488"/>
      <c r="N8" s="488"/>
      <c r="O8" s="487"/>
      <c r="P8" s="489"/>
      <c r="Q8" s="488"/>
    </row>
    <row r="9" spans="1:17" x14ac:dyDescent="0.2">
      <c r="A9" s="483" t="str">
        <f t="shared" si="0"/>
        <v>&gt;</v>
      </c>
      <c r="B9" s="484">
        <v>3</v>
      </c>
      <c r="C9" s="476">
        <v>1.8</v>
      </c>
      <c r="D9" s="482" t="s">
        <v>116</v>
      </c>
      <c r="E9" s="485">
        <v>2</v>
      </c>
      <c r="G9" s="598" t="s">
        <v>343</v>
      </c>
      <c r="H9" s="490"/>
      <c r="I9" s="401">
        <f>(I2-I3+0.7)*3.14159265359+1.2</f>
        <v>234.306174896378</v>
      </c>
      <c r="J9" s="578" t="s">
        <v>9</v>
      </c>
      <c r="L9" s="487"/>
      <c r="M9" s="491"/>
      <c r="N9" s="491"/>
      <c r="O9" s="487"/>
      <c r="P9" s="487"/>
      <c r="Q9" s="487"/>
    </row>
    <row r="10" spans="1:17" x14ac:dyDescent="0.2">
      <c r="A10" s="483" t="str">
        <f t="shared" si="0"/>
        <v>&gt;</v>
      </c>
      <c r="B10" s="484">
        <v>4</v>
      </c>
      <c r="C10" s="476">
        <v>2.25</v>
      </c>
      <c r="D10" s="482" t="s">
        <v>116</v>
      </c>
      <c r="E10" s="485">
        <v>2.2999999999999998</v>
      </c>
      <c r="G10" s="598" t="s">
        <v>344</v>
      </c>
      <c r="H10" s="490"/>
      <c r="I10" s="401">
        <f>(I2-I3+1.2)*3.14159265359+1.9</f>
        <v>236.57697122317302</v>
      </c>
      <c r="J10" s="578" t="s">
        <v>9</v>
      </c>
      <c r="L10" s="487"/>
      <c r="M10" s="491"/>
      <c r="N10" s="491"/>
      <c r="O10" s="487"/>
      <c r="P10" s="487"/>
      <c r="Q10" s="487"/>
    </row>
    <row r="11" spans="1:17" x14ac:dyDescent="0.2">
      <c r="A11" s="483" t="str">
        <f t="shared" si="0"/>
        <v>&gt;&gt;</v>
      </c>
      <c r="B11" s="484">
        <v>5</v>
      </c>
      <c r="C11" s="476">
        <v>2.65</v>
      </c>
      <c r="D11" s="482" t="s">
        <v>116</v>
      </c>
      <c r="E11" s="485">
        <v>2.7</v>
      </c>
      <c r="G11" s="576" t="s">
        <v>345</v>
      </c>
      <c r="H11" s="486"/>
      <c r="I11" s="401">
        <f>I2*3.14159265359-I4</f>
        <v>234.38936020355803</v>
      </c>
      <c r="J11" s="578" t="s">
        <v>9</v>
      </c>
      <c r="L11" s="487"/>
      <c r="M11" s="491"/>
      <c r="N11" s="491"/>
      <c r="O11" s="487"/>
      <c r="P11" s="487"/>
      <c r="Q11" s="487"/>
    </row>
    <row r="12" spans="1:17" ht="13.5" thickBot="1" x14ac:dyDescent="0.25">
      <c r="A12" s="483" t="str">
        <f t="shared" si="0"/>
        <v>&gt;</v>
      </c>
      <c r="B12" s="484">
        <v>6</v>
      </c>
      <c r="C12" s="476">
        <v>3</v>
      </c>
      <c r="D12" s="482" t="s">
        <v>116</v>
      </c>
      <c r="E12" s="485">
        <v>3</v>
      </c>
      <c r="G12" s="579" t="s">
        <v>346</v>
      </c>
      <c r="H12" s="599"/>
      <c r="I12" s="596">
        <f>(I2-(I3/2))*3.14159265359</f>
        <v>235.14821012121152</v>
      </c>
      <c r="J12" s="580" t="s">
        <v>9</v>
      </c>
      <c r="L12" s="492"/>
      <c r="M12" s="492"/>
      <c r="N12" s="492"/>
      <c r="O12" s="492"/>
      <c r="P12" s="492"/>
      <c r="Q12" s="492"/>
    </row>
    <row r="13" spans="1:17" ht="13.5" thickTop="1" x14ac:dyDescent="0.2">
      <c r="A13" s="483" t="str">
        <f t="shared" si="0"/>
        <v>&gt;</v>
      </c>
      <c r="B13" s="484">
        <v>7</v>
      </c>
      <c r="C13" s="476">
        <v>3.35</v>
      </c>
      <c r="D13" s="482" t="s">
        <v>116</v>
      </c>
      <c r="E13" s="485">
        <v>3.35</v>
      </c>
      <c r="G13" s="590" t="s">
        <v>773</v>
      </c>
      <c r="H13" s="600"/>
      <c r="I13" s="574">
        <f>(I2*3.14159265359)-(1.5*I3)</f>
        <v>235.33936020355802</v>
      </c>
      <c r="J13" s="575" t="s">
        <v>9</v>
      </c>
    </row>
    <row r="14" spans="1:17" x14ac:dyDescent="0.2">
      <c r="A14" s="483" t="str">
        <f t="shared" si="0"/>
        <v>&gt;</v>
      </c>
      <c r="B14" s="484">
        <v>8</v>
      </c>
      <c r="C14" s="476">
        <v>3.75</v>
      </c>
      <c r="D14" s="482" t="s">
        <v>116</v>
      </c>
      <c r="E14" s="485">
        <v>3.75</v>
      </c>
      <c r="G14" s="598" t="s">
        <v>774</v>
      </c>
      <c r="H14" s="493"/>
      <c r="I14" s="401">
        <f>(I2*3.14159265359)-(2.5*I3)</f>
        <v>232.63936020355803</v>
      </c>
      <c r="J14" s="578" t="s">
        <v>9</v>
      </c>
    </row>
    <row r="15" spans="1:17" x14ac:dyDescent="0.2">
      <c r="A15" s="483" t="str">
        <f>CONCATENATE(IF($I$3&gt;=C15,"&gt;",""),IF($I$3&lt;=E15,"&gt;",""))</f>
        <v>&gt;</v>
      </c>
      <c r="B15" s="484">
        <v>9</v>
      </c>
      <c r="C15" s="476">
        <v>4.25</v>
      </c>
      <c r="D15" s="482" t="s">
        <v>116</v>
      </c>
      <c r="E15" s="485">
        <v>4.25</v>
      </c>
      <c r="G15" s="576" t="s">
        <v>775</v>
      </c>
      <c r="H15" s="494"/>
      <c r="I15" s="401">
        <f>(M2*2)+(M3*2)-1.5*I3</f>
        <v>195.95</v>
      </c>
      <c r="J15" s="578" t="s">
        <v>9</v>
      </c>
    </row>
    <row r="16" spans="1:17" x14ac:dyDescent="0.2">
      <c r="A16" s="483" t="str">
        <f t="shared" si="0"/>
        <v>&gt;</v>
      </c>
      <c r="B16" s="484">
        <v>10</v>
      </c>
      <c r="C16" s="476">
        <v>4.75</v>
      </c>
      <c r="D16" s="482" t="s">
        <v>116</v>
      </c>
      <c r="E16" s="485">
        <v>4.75</v>
      </c>
      <c r="G16" s="576" t="s">
        <v>776</v>
      </c>
      <c r="H16" s="494"/>
      <c r="I16" s="401">
        <f>(M2*2)+(M3*2)-2.5*I3</f>
        <v>193.25</v>
      </c>
      <c r="J16" s="578" t="s">
        <v>9</v>
      </c>
    </row>
    <row r="17" spans="1:16" x14ac:dyDescent="0.2">
      <c r="A17" s="483" t="str">
        <f t="shared" si="0"/>
        <v>&gt;</v>
      </c>
      <c r="B17" s="484">
        <v>11</v>
      </c>
      <c r="C17" s="476">
        <v>5.4</v>
      </c>
      <c r="D17" s="482" t="s">
        <v>116</v>
      </c>
      <c r="E17" s="485">
        <v>5.4</v>
      </c>
      <c r="G17" s="598" t="s">
        <v>777</v>
      </c>
      <c r="H17" s="493"/>
      <c r="I17" s="401">
        <f>(I2-I3)*3.14159265359+I5*I3</f>
        <v>233.607060038865</v>
      </c>
      <c r="J17" s="578" t="s">
        <v>9</v>
      </c>
    </row>
    <row r="18" spans="1:16" ht="13.5" thickBot="1" x14ac:dyDescent="0.25">
      <c r="A18" s="483" t="str">
        <f t="shared" si="0"/>
        <v>&gt;</v>
      </c>
      <c r="B18" s="484">
        <v>12</v>
      </c>
      <c r="C18" s="476">
        <v>6.3</v>
      </c>
      <c r="D18" s="482" t="s">
        <v>116</v>
      </c>
      <c r="E18" s="485">
        <v>6.3</v>
      </c>
      <c r="G18" s="579" t="s">
        <v>347</v>
      </c>
      <c r="H18" s="601"/>
      <c r="I18" s="602"/>
      <c r="J18" s="580" t="s">
        <v>9</v>
      </c>
    </row>
    <row r="19" spans="1:16" ht="13.5" thickTop="1" x14ac:dyDescent="0.2">
      <c r="A19" s="483" t="str">
        <f t="shared" si="0"/>
        <v>&gt;</v>
      </c>
      <c r="B19" s="484">
        <v>13</v>
      </c>
      <c r="C19" s="476">
        <v>7</v>
      </c>
      <c r="D19" s="482" t="s">
        <v>116</v>
      </c>
      <c r="E19" s="485">
        <v>7</v>
      </c>
      <c r="I19" s="495"/>
      <c r="J19" s="496"/>
      <c r="K19" s="497"/>
      <c r="L19" s="497"/>
      <c r="M19" s="497"/>
      <c r="N19" s="497"/>
      <c r="O19" s="497"/>
      <c r="P19" s="497"/>
    </row>
    <row r="20" spans="1:16" x14ac:dyDescent="0.2">
      <c r="A20" s="483" t="str">
        <f t="shared" si="0"/>
        <v>&gt;</v>
      </c>
      <c r="B20" s="484">
        <v>14</v>
      </c>
      <c r="C20" s="476">
        <v>8</v>
      </c>
      <c r="D20" s="482" t="s">
        <v>116</v>
      </c>
      <c r="E20" s="485">
        <v>8</v>
      </c>
      <c r="O20" s="497"/>
      <c r="P20" s="497"/>
    </row>
    <row r="21" spans="1:16" x14ac:dyDescent="0.2">
      <c r="A21" s="483" t="str">
        <f t="shared" si="0"/>
        <v>&gt;</v>
      </c>
      <c r="B21" s="484">
        <v>15</v>
      </c>
      <c r="C21" s="476">
        <v>9.5</v>
      </c>
      <c r="D21" s="482" t="s">
        <v>116</v>
      </c>
      <c r="E21" s="485">
        <v>9.5</v>
      </c>
      <c r="O21" s="497"/>
      <c r="P21" s="497"/>
    </row>
    <row r="22" spans="1:16" ht="13.5" thickBot="1" x14ac:dyDescent="0.25">
      <c r="A22" s="483" t="str">
        <f t="shared" si="0"/>
        <v>&gt;</v>
      </c>
      <c r="B22" s="498"/>
      <c r="C22" s="499"/>
      <c r="D22" s="499"/>
      <c r="E22" s="500"/>
      <c r="O22" s="497"/>
      <c r="P22" s="497"/>
    </row>
    <row r="23" spans="1:16" ht="13.5" thickTop="1" x14ac:dyDescent="0.2">
      <c r="O23" s="497"/>
      <c r="P23" s="497"/>
    </row>
    <row r="24" spans="1:16" x14ac:dyDescent="0.2">
      <c r="B24" s="469"/>
    </row>
  </sheetData>
  <mergeCells count="4">
    <mergeCell ref="B3:E3"/>
    <mergeCell ref="N2:O2"/>
    <mergeCell ref="N3:O3"/>
    <mergeCell ref="N5:O5"/>
  </mergeCells>
  <conditionalFormatting sqref="A6:A22">
    <cfRule type="cellIs" dxfId="0" priority="1" stopIfTrue="1" operator="equal">
      <formula>"&gt;&gt;"</formula>
    </cfRule>
  </conditionalFormatting>
  <pageMargins left="0.78740157499999996" right="0.78740157499999996" top="0.984251969" bottom="0.984251969" header="0.49212598499999999" footer="0.49212598499999999"/>
  <pageSetup paperSize="9" orientation="portrait" horizontalDpi="4294967295"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theme="0" tint="-0.34998626667073579"/>
  </sheetPr>
  <dimension ref="B3:E15"/>
  <sheetViews>
    <sheetView showGridLines="0" showRowColHeaders="0" showZeros="0" showOutlineSymbols="0" workbookViewId="0">
      <selection activeCell="F23" sqref="F23"/>
    </sheetView>
  </sheetViews>
  <sheetFormatPr defaultRowHeight="12.75" x14ac:dyDescent="0.2"/>
  <cols>
    <col min="1" max="1" width="2.85546875" style="28" customWidth="1"/>
    <col min="2" max="2" width="16.140625" style="28" customWidth="1"/>
    <col min="3" max="3" width="16.42578125" style="28" customWidth="1"/>
    <col min="4" max="4" width="14.7109375" style="28" customWidth="1"/>
    <col min="5" max="5" width="15.5703125" style="28" customWidth="1"/>
    <col min="6" max="217" width="9.140625" style="28"/>
    <col min="218" max="219" width="1.28515625" style="28" customWidth="1"/>
    <col min="220" max="220" width="9.140625" style="28"/>
    <col min="221" max="221" width="10.140625" style="28" customWidth="1"/>
    <col min="222" max="222" width="15.5703125" style="28" bestFit="1" customWidth="1"/>
    <col min="223" max="223" width="6.140625" style="28" bestFit="1" customWidth="1"/>
    <col min="224" max="224" width="9" style="28" bestFit="1" customWidth="1"/>
    <col min="225" max="226" width="9.140625" style="28"/>
    <col min="227" max="227" width="12" style="28" bestFit="1" customWidth="1"/>
    <col min="228" max="228" width="1.140625" style="28" customWidth="1"/>
    <col min="229" max="229" width="1.5703125" style="28" customWidth="1"/>
    <col min="230" max="230" width="1.140625" style="28" customWidth="1"/>
    <col min="231" max="232" width="9.140625" style="28"/>
    <col min="233" max="233" width="13.42578125" style="28" bestFit="1" customWidth="1"/>
    <col min="234" max="234" width="5.28515625" style="28" bestFit="1" customWidth="1"/>
    <col min="235" max="235" width="9" style="28" bestFit="1" customWidth="1"/>
    <col min="236" max="237" width="8.5703125" style="28" bestFit="1" customWidth="1"/>
    <col min="238" max="238" width="12" style="28" bestFit="1" customWidth="1"/>
    <col min="239" max="239" width="9.140625" style="28"/>
    <col min="240" max="240" width="1.42578125" style="28" customWidth="1"/>
    <col min="241" max="16384" width="9.140625" style="28"/>
  </cols>
  <sheetData>
    <row r="3" spans="2:5" ht="13.5" thickBot="1" x14ac:dyDescent="0.25"/>
    <row r="4" spans="2:5" ht="3.75" customHeight="1" thickBot="1" x14ac:dyDescent="0.25">
      <c r="B4" s="846"/>
      <c r="C4" s="846"/>
      <c r="D4" s="846"/>
      <c r="E4" s="846"/>
    </row>
    <row r="5" spans="2:5" ht="16.5" customHeight="1" thickBot="1" x14ac:dyDescent="0.25">
      <c r="B5" s="840" t="s">
        <v>193</v>
      </c>
      <c r="C5" s="841"/>
      <c r="D5" s="841"/>
      <c r="E5" s="841"/>
    </row>
    <row r="6" spans="2:5" ht="30" customHeight="1" thickBot="1" x14ac:dyDescent="0.25">
      <c r="B6" s="854" t="s">
        <v>189</v>
      </c>
      <c r="C6" s="855"/>
      <c r="D6" s="854" t="s">
        <v>190</v>
      </c>
      <c r="E6" s="855"/>
    </row>
    <row r="7" spans="2:5" ht="13.5" thickBot="1" x14ac:dyDescent="0.25">
      <c r="B7" s="60" t="s">
        <v>192</v>
      </c>
      <c r="C7" s="60" t="s">
        <v>191</v>
      </c>
      <c r="D7" s="60" t="s">
        <v>192</v>
      </c>
      <c r="E7" s="60" t="s">
        <v>191</v>
      </c>
    </row>
    <row r="8" spans="2:5" ht="13.5" thickBot="1" x14ac:dyDescent="0.25">
      <c r="B8" s="52" t="s">
        <v>194</v>
      </c>
      <c r="C8" s="52" t="s">
        <v>200</v>
      </c>
      <c r="D8" s="52" t="s">
        <v>207</v>
      </c>
      <c r="E8" s="52" t="s">
        <v>208</v>
      </c>
    </row>
    <row r="9" spans="2:5" ht="13.5" thickBot="1" x14ac:dyDescent="0.25">
      <c r="B9" s="52" t="s">
        <v>195</v>
      </c>
      <c r="C9" s="52" t="s">
        <v>203</v>
      </c>
      <c r="D9" s="52" t="s">
        <v>208</v>
      </c>
      <c r="E9" s="52" t="s">
        <v>214</v>
      </c>
    </row>
    <row r="10" spans="2:5" ht="13.5" thickBot="1" x14ac:dyDescent="0.25">
      <c r="B10" s="52" t="s">
        <v>196</v>
      </c>
      <c r="C10" s="52" t="s">
        <v>202</v>
      </c>
      <c r="D10" s="52" t="s">
        <v>209</v>
      </c>
      <c r="E10" s="52" t="s">
        <v>215</v>
      </c>
    </row>
    <row r="11" spans="2:5" ht="13.5" thickBot="1" x14ac:dyDescent="0.25">
      <c r="B11" s="52" t="s">
        <v>197</v>
      </c>
      <c r="C11" s="52" t="s">
        <v>199</v>
      </c>
      <c r="D11" s="52" t="s">
        <v>210</v>
      </c>
      <c r="E11" s="52" t="s">
        <v>216</v>
      </c>
    </row>
    <row r="12" spans="2:5" ht="13.5" thickBot="1" x14ac:dyDescent="0.25">
      <c r="B12" s="52" t="s">
        <v>200</v>
      </c>
      <c r="C12" s="52" t="s">
        <v>204</v>
      </c>
      <c r="D12" s="52" t="s">
        <v>211</v>
      </c>
      <c r="E12" s="52" t="s">
        <v>217</v>
      </c>
    </row>
    <row r="13" spans="2:5" ht="13.5" thickBot="1" x14ac:dyDescent="0.25">
      <c r="B13" s="52" t="s">
        <v>198</v>
      </c>
      <c r="C13" s="52" t="s">
        <v>201</v>
      </c>
      <c r="D13" s="52" t="s">
        <v>212</v>
      </c>
    </row>
    <row r="14" spans="2:5" ht="13.5" thickBot="1" x14ac:dyDescent="0.25">
      <c r="B14" s="52" t="s">
        <v>199</v>
      </c>
      <c r="C14" s="52" t="s">
        <v>205</v>
      </c>
      <c r="D14" s="52" t="s">
        <v>213</v>
      </c>
    </row>
    <row r="15" spans="2:5" ht="13.5" thickBot="1" x14ac:dyDescent="0.25">
      <c r="B15" s="52" t="s">
        <v>201</v>
      </c>
      <c r="C15" s="52" t="s">
        <v>206</v>
      </c>
    </row>
  </sheetData>
  <mergeCells count="4">
    <mergeCell ref="B4:E4"/>
    <mergeCell ref="B5:E5"/>
    <mergeCell ref="B6:C6"/>
    <mergeCell ref="D6:E6"/>
  </mergeCells>
  <pageMargins left="0.78740157499999996" right="0.78740157499999996" top="0.984251969" bottom="0.984251969" header="0.49212598499999999" footer="0.49212598499999999"/>
  <pageSetup paperSize="9" orientation="portrait"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5">
    <tabColor theme="0" tint="-0.34998626667073579"/>
  </sheetPr>
  <dimension ref="B3:G18"/>
  <sheetViews>
    <sheetView showGridLines="0" showRowColHeaders="0" showZeros="0" showOutlineSymbols="0" workbookViewId="0"/>
  </sheetViews>
  <sheetFormatPr defaultRowHeight="12.75" x14ac:dyDescent="0.2"/>
  <cols>
    <col min="1" max="1" width="2.85546875" style="28" customWidth="1"/>
    <col min="2" max="2" width="17.5703125" style="28" customWidth="1"/>
    <col min="3" max="3" width="12.140625" style="28" customWidth="1"/>
    <col min="4" max="4" width="16" style="28" customWidth="1"/>
    <col min="5" max="5" width="12.140625" style="28" customWidth="1"/>
    <col min="6" max="6" width="9.140625" style="28"/>
    <col min="7" max="7" width="12.140625" style="28" customWidth="1"/>
    <col min="8" max="221" width="9.140625" style="28"/>
    <col min="222" max="223" width="1.28515625" style="28" customWidth="1"/>
    <col min="224" max="224" width="9.140625" style="28"/>
    <col min="225" max="225" width="10.140625" style="28" customWidth="1"/>
    <col min="226" max="226" width="15.5703125" style="28" bestFit="1" customWidth="1"/>
    <col min="227" max="227" width="6.140625" style="28" bestFit="1" customWidth="1"/>
    <col min="228" max="228" width="9" style="28" bestFit="1" customWidth="1"/>
    <col min="229" max="230" width="9.140625" style="28"/>
    <col min="231" max="231" width="12" style="28" bestFit="1" customWidth="1"/>
    <col min="232" max="232" width="1.140625" style="28" customWidth="1"/>
    <col min="233" max="233" width="1.5703125" style="28" customWidth="1"/>
    <col min="234" max="234" width="1.140625" style="28" customWidth="1"/>
    <col min="235" max="236" width="9.140625" style="28"/>
    <col min="237" max="237" width="13.42578125" style="28" bestFit="1" customWidth="1"/>
    <col min="238" max="238" width="5.28515625" style="28" bestFit="1" customWidth="1"/>
    <col min="239" max="239" width="9" style="28" bestFit="1" customWidth="1"/>
    <col min="240" max="241" width="8.5703125" style="28" bestFit="1" customWidth="1"/>
    <col min="242" max="242" width="12" style="28" bestFit="1" customWidth="1"/>
    <col min="243" max="243" width="9.140625" style="28"/>
    <col min="244" max="244" width="1.42578125" style="28" customWidth="1"/>
    <col min="245" max="16384" width="9.140625" style="28"/>
  </cols>
  <sheetData>
    <row r="3" spans="2:7" ht="13.5" thickBot="1" x14ac:dyDescent="0.25"/>
    <row r="4" spans="2:7" ht="5.0999999999999996" customHeight="1" thickBot="1" x14ac:dyDescent="0.25">
      <c r="B4" s="769"/>
      <c r="C4" s="770"/>
      <c r="D4" s="770"/>
      <c r="E4" s="770"/>
      <c r="F4" s="770"/>
      <c r="G4" s="770"/>
    </row>
    <row r="5" spans="2:7" ht="18" customHeight="1" thickBot="1" x14ac:dyDescent="0.25">
      <c r="B5" s="840" t="s">
        <v>420</v>
      </c>
      <c r="C5" s="841"/>
      <c r="D5" s="841"/>
      <c r="E5" s="841"/>
      <c r="F5" s="841"/>
      <c r="G5" s="842"/>
    </row>
    <row r="6" spans="2:7" ht="18" customHeight="1" thickBot="1" x14ac:dyDescent="0.25">
      <c r="B6" s="860"/>
      <c r="C6" s="861"/>
      <c r="D6" s="861"/>
      <c r="E6" s="861"/>
      <c r="F6" s="861"/>
      <c r="G6" s="862"/>
    </row>
    <row r="7" spans="2:7" ht="13.5" thickBot="1" x14ac:dyDescent="0.25">
      <c r="B7" s="32"/>
      <c r="C7" s="32"/>
      <c r="D7" s="71" t="s">
        <v>9</v>
      </c>
      <c r="E7" s="71" t="s">
        <v>232</v>
      </c>
      <c r="F7" s="71" t="s">
        <v>50</v>
      </c>
      <c r="G7" s="71" t="s">
        <v>231</v>
      </c>
    </row>
    <row r="8" spans="2:7" ht="15.75" customHeight="1" thickBot="1" x14ac:dyDescent="0.25">
      <c r="B8" s="858" t="s">
        <v>230</v>
      </c>
      <c r="C8" s="859"/>
      <c r="D8" s="68">
        <v>596</v>
      </c>
    </row>
    <row r="9" spans="2:7" ht="15.75" customHeight="1" thickBot="1" x14ac:dyDescent="0.25">
      <c r="B9" s="858" t="s">
        <v>229</v>
      </c>
      <c r="C9" s="859"/>
      <c r="D9" s="68">
        <v>8</v>
      </c>
    </row>
    <row r="10" spans="2:7" ht="13.5" thickBot="1" x14ac:dyDescent="0.25">
      <c r="B10" s="858" t="s">
        <v>228</v>
      </c>
      <c r="C10" s="859"/>
      <c r="D10" s="68">
        <v>2</v>
      </c>
    </row>
    <row r="11" spans="2:7" ht="13.5" thickBot="1" x14ac:dyDescent="0.25">
      <c r="B11" s="858" t="s">
        <v>227</v>
      </c>
      <c r="C11" s="859"/>
      <c r="D11" s="70">
        <f>6*D9</f>
        <v>48</v>
      </c>
      <c r="E11" s="168" t="s">
        <v>406</v>
      </c>
    </row>
    <row r="12" spans="2:7" ht="13.5" thickBot="1" x14ac:dyDescent="0.25">
      <c r="B12" s="69"/>
      <c r="C12" s="69"/>
    </row>
    <row r="13" spans="2:7" ht="13.5" thickBot="1" x14ac:dyDescent="0.25">
      <c r="B13" s="856" t="s">
        <v>226</v>
      </c>
      <c r="C13" s="863"/>
      <c r="D13" s="68">
        <v>1200</v>
      </c>
      <c r="E13" s="66"/>
      <c r="F13" s="73">
        <f>(D13-($D$10*$D$8))/D13</f>
        <v>6.6666666666666671E-3</v>
      </c>
      <c r="G13" s="65">
        <f>E13*F13+E13</f>
        <v>0</v>
      </c>
    </row>
    <row r="14" spans="2:7" ht="13.5" thickBot="1" x14ac:dyDescent="0.25">
      <c r="B14" s="856" t="s">
        <v>225</v>
      </c>
      <c r="C14" s="857"/>
      <c r="D14" s="67">
        <f>D8*D10+D11</f>
        <v>1240</v>
      </c>
      <c r="E14" s="66"/>
      <c r="F14" s="73">
        <f>(D14-($D$10*$D$8))/D14</f>
        <v>3.870967741935484E-2</v>
      </c>
      <c r="G14" s="65">
        <f>E14*F14+E14</f>
        <v>0</v>
      </c>
    </row>
    <row r="18" spans="4:4" ht="15" x14ac:dyDescent="0.25">
      <c r="D18" s="72"/>
    </row>
  </sheetData>
  <mergeCells count="9">
    <mergeCell ref="B5:G5"/>
    <mergeCell ref="B4:G4"/>
    <mergeCell ref="B14:C14"/>
    <mergeCell ref="B11:C11"/>
    <mergeCell ref="B10:C10"/>
    <mergeCell ref="B9:C9"/>
    <mergeCell ref="B8:C8"/>
    <mergeCell ref="B6:G6"/>
    <mergeCell ref="B13:C13"/>
  </mergeCells>
  <conditionalFormatting sqref="G13:G14">
    <cfRule type="colorScale" priority="1">
      <colorScale>
        <cfvo type="min"/>
        <cfvo type="percentile" val="50"/>
        <cfvo type="max"/>
        <color rgb="FF63BE7B"/>
        <color rgb="FFFFEB84"/>
        <color rgb="FFF8696B"/>
      </colorScale>
    </cfRule>
  </conditionalFormatting>
  <conditionalFormatting sqref="G14">
    <cfRule type="colorScale" priority="3">
      <colorScale>
        <cfvo type="min"/>
        <cfvo type="percentile" val="50"/>
        <cfvo type="max"/>
        <color rgb="FF63BE7B"/>
        <color rgb="FFFFEB84"/>
        <color rgb="FFF8696B"/>
      </colorScale>
    </cfRule>
  </conditionalFormatting>
  <pageMargins left="0.78740157499999996" right="0.78740157499999996" top="0.984251969" bottom="0.984251969" header="0.49212598499999999" footer="0.49212598499999999"/>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7">
    <tabColor theme="0" tint="-0.34998626667073579"/>
    <pageSetUpPr fitToPage="1"/>
  </sheetPr>
  <dimension ref="B3:J51"/>
  <sheetViews>
    <sheetView showGridLines="0" showRowColHeaders="0" showZeros="0" showOutlineSymbols="0" workbookViewId="0"/>
  </sheetViews>
  <sheetFormatPr defaultRowHeight="12.75" x14ac:dyDescent="0.2"/>
  <cols>
    <col min="1" max="1" width="2.140625" style="28" customWidth="1"/>
    <col min="2" max="2" width="27.28515625" style="133" customWidth="1"/>
    <col min="3" max="3" width="12.7109375" style="28" customWidth="1"/>
    <col min="4" max="4" width="16" style="28" customWidth="1"/>
    <col min="5" max="5" width="2.28515625" style="28" customWidth="1"/>
    <col min="6" max="218" width="9.140625" style="28"/>
    <col min="219" max="220" width="1.28515625" style="28" customWidth="1"/>
    <col min="221" max="221" width="9.140625" style="28"/>
    <col min="222" max="222" width="10.140625" style="28" customWidth="1"/>
    <col min="223" max="223" width="15.5703125" style="28" bestFit="1" customWidth="1"/>
    <col min="224" max="224" width="6.140625" style="28" bestFit="1" customWidth="1"/>
    <col min="225" max="225" width="9" style="28" bestFit="1" customWidth="1"/>
    <col min="226" max="227" width="9.140625" style="28"/>
    <col min="228" max="228" width="12" style="28" bestFit="1" customWidth="1"/>
    <col min="229" max="229" width="1.140625" style="28" customWidth="1"/>
    <col min="230" max="230" width="1.5703125" style="28" customWidth="1"/>
    <col min="231" max="231" width="1.140625" style="28" customWidth="1"/>
    <col min="232" max="233" width="9.140625" style="28"/>
    <col min="234" max="234" width="13.42578125" style="28" bestFit="1" customWidth="1"/>
    <col min="235" max="235" width="5.28515625" style="28" bestFit="1" customWidth="1"/>
    <col min="236" max="236" width="9" style="28" bestFit="1" customWidth="1"/>
    <col min="237" max="238" width="8.5703125" style="28" bestFit="1" customWidth="1"/>
    <col min="239" max="239" width="12" style="28" bestFit="1" customWidth="1"/>
    <col min="240" max="240" width="9.140625" style="28"/>
    <col min="241" max="241" width="1.42578125" style="28" customWidth="1"/>
    <col min="242" max="16384" width="9.140625" style="28"/>
  </cols>
  <sheetData>
    <row r="3" spans="2:10" ht="13.5" thickBot="1" x14ac:dyDescent="0.25"/>
    <row r="4" spans="2:10" ht="5.0999999999999996" customHeight="1" thickBot="1" x14ac:dyDescent="0.25">
      <c r="B4" s="769"/>
      <c r="C4" s="770"/>
      <c r="D4" s="770"/>
    </row>
    <row r="5" spans="2:10" ht="18" customHeight="1" thickBot="1" x14ac:dyDescent="0.25">
      <c r="B5" s="840" t="s">
        <v>308</v>
      </c>
      <c r="C5" s="841"/>
      <c r="D5" s="841"/>
    </row>
    <row r="6" spans="2:10" ht="13.5" thickBot="1" x14ac:dyDescent="0.25">
      <c r="B6" s="134"/>
      <c r="C6" s="32"/>
      <c r="D6" s="71"/>
    </row>
    <row r="7" spans="2:10" ht="15.75" customHeight="1" thickBot="1" x14ac:dyDescent="0.25">
      <c r="B7" s="130" t="s">
        <v>314</v>
      </c>
      <c r="C7" s="131" t="s">
        <v>430</v>
      </c>
    </row>
    <row r="8" spans="2:10" ht="15.75" customHeight="1" thickBot="1" x14ac:dyDescent="0.25">
      <c r="B8" s="132" t="s">
        <v>95</v>
      </c>
      <c r="C8" s="127">
        <v>2.75</v>
      </c>
      <c r="D8" s="28" t="s">
        <v>9</v>
      </c>
    </row>
    <row r="9" spans="2:10" ht="15.75" customHeight="1" thickBot="1" x14ac:dyDescent="0.25">
      <c r="B9" s="132" t="s">
        <v>312</v>
      </c>
      <c r="C9" s="129">
        <v>98</v>
      </c>
      <c r="D9" s="28" t="s">
        <v>9</v>
      </c>
    </row>
    <row r="10" spans="2:10" ht="13.5" thickBot="1" x14ac:dyDescent="0.25">
      <c r="B10" s="132" t="s">
        <v>309</v>
      </c>
      <c r="C10" s="128">
        <v>100</v>
      </c>
      <c r="D10" s="28" t="s">
        <v>310</v>
      </c>
    </row>
    <row r="11" spans="2:10" ht="13.5" thickBot="1" x14ac:dyDescent="0.25">
      <c r="B11" s="132" t="s">
        <v>311</v>
      </c>
      <c r="C11" s="129">
        <f>C10*(C9*C8)/1000</f>
        <v>26.95</v>
      </c>
      <c r="D11" s="28" t="s">
        <v>313</v>
      </c>
    </row>
    <row r="12" spans="2:10" ht="13.5" thickBot="1" x14ac:dyDescent="0.25"/>
    <row r="13" spans="2:10" ht="15.75" customHeight="1" thickBot="1" x14ac:dyDescent="0.25">
      <c r="B13" s="130" t="s">
        <v>315</v>
      </c>
      <c r="C13" s="131" t="s">
        <v>430</v>
      </c>
      <c r="F13" s="864"/>
      <c r="G13" s="864"/>
      <c r="H13" s="864"/>
      <c r="I13" s="864"/>
      <c r="J13" s="864"/>
    </row>
    <row r="14" spans="2:10" ht="13.5" customHeight="1" thickBot="1" x14ac:dyDescent="0.25">
      <c r="B14" s="132" t="s">
        <v>95</v>
      </c>
      <c r="C14" s="127">
        <v>3</v>
      </c>
      <c r="D14" s="28" t="s">
        <v>9</v>
      </c>
      <c r="F14" s="864"/>
      <c r="G14" s="864"/>
      <c r="H14" s="864"/>
      <c r="I14" s="864"/>
      <c r="J14" s="864"/>
    </row>
    <row r="15" spans="2:10" ht="13.5" thickBot="1" x14ac:dyDescent="0.25">
      <c r="B15" s="132" t="s">
        <v>312</v>
      </c>
      <c r="C15" s="129">
        <v>98</v>
      </c>
      <c r="D15" s="28" t="s">
        <v>9</v>
      </c>
      <c r="F15" s="864"/>
      <c r="G15" s="864"/>
      <c r="H15" s="864"/>
      <c r="I15" s="864"/>
      <c r="J15" s="864"/>
    </row>
    <row r="16" spans="2:10" ht="13.5" thickBot="1" x14ac:dyDescent="0.25">
      <c r="B16" s="132" t="s">
        <v>309</v>
      </c>
      <c r="C16" s="128">
        <v>100</v>
      </c>
      <c r="D16" s="28" t="s">
        <v>310</v>
      </c>
      <c r="F16" s="864"/>
      <c r="G16" s="864"/>
      <c r="H16" s="864"/>
      <c r="I16" s="864"/>
      <c r="J16" s="864"/>
    </row>
    <row r="17" spans="2:4" ht="13.5" thickBot="1" x14ac:dyDescent="0.25">
      <c r="B17" s="132" t="s">
        <v>311</v>
      </c>
      <c r="C17" s="129">
        <f>C16*(C15*C14)/1000</f>
        <v>29.4</v>
      </c>
      <c r="D17" s="28" t="s">
        <v>313</v>
      </c>
    </row>
    <row r="19" spans="2:4" x14ac:dyDescent="0.2">
      <c r="C19" s="174">
        <f>1-C17/C11</f>
        <v>-9.0909090909090828E-2</v>
      </c>
    </row>
    <row r="20" spans="2:4" ht="13.5" thickBot="1" x14ac:dyDescent="0.25"/>
    <row r="21" spans="2:4" ht="3.75" customHeight="1" thickBot="1" x14ac:dyDescent="0.25">
      <c r="B21" s="769"/>
      <c r="C21" s="770"/>
      <c r="D21" s="770"/>
    </row>
    <row r="22" spans="2:4" ht="13.5" thickBot="1" x14ac:dyDescent="0.25">
      <c r="B22" s="840" t="s">
        <v>325</v>
      </c>
      <c r="C22" s="841"/>
      <c r="D22" s="841"/>
    </row>
    <row r="23" spans="2:4" ht="13.5" thickBot="1" x14ac:dyDescent="0.25"/>
    <row r="24" spans="2:4" ht="13.5" thickBot="1" x14ac:dyDescent="0.25">
      <c r="B24" s="130" t="s">
        <v>316</v>
      </c>
      <c r="C24" s="131" t="s">
        <v>317</v>
      </c>
    </row>
    <row r="25" spans="2:4" x14ac:dyDescent="0.2">
      <c r="B25" s="133" t="s">
        <v>318</v>
      </c>
      <c r="C25" s="28">
        <v>470699</v>
      </c>
      <c r="D25" s="28" t="s">
        <v>319</v>
      </c>
    </row>
    <row r="26" spans="2:4" x14ac:dyDescent="0.2">
      <c r="B26" s="133" t="s">
        <v>309</v>
      </c>
      <c r="C26" s="28">
        <v>460</v>
      </c>
      <c r="D26" s="28" t="s">
        <v>310</v>
      </c>
    </row>
    <row r="27" spans="2:4" x14ac:dyDescent="0.2">
      <c r="B27" s="133" t="s">
        <v>322</v>
      </c>
      <c r="C27" s="28">
        <v>60</v>
      </c>
      <c r="D27" s="28" t="s">
        <v>9</v>
      </c>
    </row>
    <row r="28" spans="2:4" x14ac:dyDescent="0.2">
      <c r="B28" s="133" t="s">
        <v>95</v>
      </c>
      <c r="C28" s="28">
        <v>4</v>
      </c>
      <c r="D28" s="28" t="s">
        <v>9</v>
      </c>
    </row>
    <row r="29" spans="2:4" x14ac:dyDescent="0.2">
      <c r="B29" s="133" t="s">
        <v>324</v>
      </c>
      <c r="C29" s="28">
        <v>423</v>
      </c>
      <c r="D29" s="28" t="s">
        <v>9</v>
      </c>
    </row>
    <row r="30" spans="2:4" x14ac:dyDescent="0.2">
      <c r="B30" s="133" t="s">
        <v>323</v>
      </c>
      <c r="C30" s="135">
        <f>(C26*C25)/(C27/2*C29/2)/1000</f>
        <v>34.124750197005518</v>
      </c>
      <c r="D30" s="28" t="s">
        <v>313</v>
      </c>
    </row>
    <row r="31" spans="2:4" ht="13.5" thickBot="1" x14ac:dyDescent="0.25"/>
    <row r="32" spans="2:4" ht="13.5" thickBot="1" x14ac:dyDescent="0.25">
      <c r="B32" s="130" t="s">
        <v>321</v>
      </c>
      <c r="C32" s="131" t="s">
        <v>320</v>
      </c>
    </row>
    <row r="33" spans="2:4" x14ac:dyDescent="0.2">
      <c r="B33" s="133" t="s">
        <v>318</v>
      </c>
      <c r="C33" s="28">
        <v>767659</v>
      </c>
      <c r="D33" s="28" t="s">
        <v>319</v>
      </c>
    </row>
    <row r="34" spans="2:4" x14ac:dyDescent="0.2">
      <c r="B34" s="133" t="s">
        <v>309</v>
      </c>
      <c r="C34" s="28">
        <v>275</v>
      </c>
      <c r="D34" s="28" t="s">
        <v>310</v>
      </c>
    </row>
    <row r="35" spans="2:4" x14ac:dyDescent="0.2">
      <c r="B35" s="133" t="s">
        <v>322</v>
      </c>
      <c r="C35" s="28">
        <v>60</v>
      </c>
      <c r="D35" s="28" t="s">
        <v>9</v>
      </c>
    </row>
    <row r="36" spans="2:4" x14ac:dyDescent="0.2">
      <c r="B36" s="133" t="s">
        <v>95</v>
      </c>
      <c r="C36" s="28">
        <v>8</v>
      </c>
      <c r="D36" s="28" t="s">
        <v>9</v>
      </c>
    </row>
    <row r="37" spans="2:4" x14ac:dyDescent="0.2">
      <c r="B37" s="133" t="s">
        <v>324</v>
      </c>
      <c r="C37" s="28">
        <v>423</v>
      </c>
      <c r="D37" s="28" t="s">
        <v>9</v>
      </c>
    </row>
    <row r="38" spans="2:4" x14ac:dyDescent="0.2">
      <c r="B38" s="133" t="s">
        <v>323</v>
      </c>
      <c r="C38" s="135">
        <f>(C34*C33)/(C35/2*C37/2)/1000</f>
        <v>33.271272655634355</v>
      </c>
      <c r="D38" s="28" t="s">
        <v>313</v>
      </c>
    </row>
    <row r="40" spans="2:4" x14ac:dyDescent="0.2">
      <c r="C40" s="136">
        <f>1-C38/C30</f>
        <v>2.501051396549292E-2</v>
      </c>
    </row>
    <row r="42" spans="2:4" ht="13.5" thickBot="1" x14ac:dyDescent="0.25"/>
    <row r="43" spans="2:4" ht="4.5" customHeight="1" thickBot="1" x14ac:dyDescent="0.25">
      <c r="B43" s="769"/>
      <c r="C43" s="770"/>
      <c r="D43" s="770"/>
    </row>
    <row r="44" spans="2:4" ht="13.5" thickBot="1" x14ac:dyDescent="0.25">
      <c r="B44" s="840" t="s">
        <v>326</v>
      </c>
      <c r="C44" s="841"/>
      <c r="D44" s="841"/>
    </row>
    <row r="46" spans="2:4" x14ac:dyDescent="0.2">
      <c r="B46" s="133" t="s">
        <v>309</v>
      </c>
      <c r="C46" s="28">
        <v>460</v>
      </c>
      <c r="D46" s="28" t="s">
        <v>310</v>
      </c>
    </row>
    <row r="47" spans="2:4" x14ac:dyDescent="0.2">
      <c r="B47" s="133" t="s">
        <v>95</v>
      </c>
      <c r="C47" s="137">
        <v>4</v>
      </c>
      <c r="D47" s="28" t="s">
        <v>9</v>
      </c>
    </row>
    <row r="48" spans="2:4" x14ac:dyDescent="0.2">
      <c r="B48" s="133" t="s">
        <v>327</v>
      </c>
      <c r="C48" s="28">
        <v>60</v>
      </c>
      <c r="D48" s="28" t="s">
        <v>9</v>
      </c>
    </row>
    <row r="49" spans="2:4" x14ac:dyDescent="0.2">
      <c r="B49" s="133" t="s">
        <v>328</v>
      </c>
      <c r="C49" s="28">
        <v>10</v>
      </c>
      <c r="D49" s="28" t="s">
        <v>9</v>
      </c>
    </row>
    <row r="50" spans="2:4" x14ac:dyDescent="0.2">
      <c r="B50" s="133" t="s">
        <v>318</v>
      </c>
      <c r="C50" s="138">
        <f>1/12*C49*C47^3</f>
        <v>53.333333333333329</v>
      </c>
      <c r="D50" s="28" t="s">
        <v>319</v>
      </c>
    </row>
    <row r="51" spans="2:4" x14ac:dyDescent="0.2">
      <c r="B51" s="133" t="s">
        <v>326</v>
      </c>
      <c r="C51" s="138">
        <f>C46*C50/C48</f>
        <v>408.88888888888886</v>
      </c>
      <c r="D51" s="28" t="s">
        <v>329</v>
      </c>
    </row>
  </sheetData>
  <mergeCells count="7">
    <mergeCell ref="F13:J16"/>
    <mergeCell ref="B44:D44"/>
    <mergeCell ref="B4:D4"/>
    <mergeCell ref="B5:D5"/>
    <mergeCell ref="B21:D21"/>
    <mergeCell ref="B22:D22"/>
    <mergeCell ref="B43:D43"/>
  </mergeCells>
  <pageMargins left="0.78740157480314965" right="0.78740157480314965" top="0.98425196850393704" bottom="0.98425196850393704" header="0.51181102362204722" footer="0.51181102362204722"/>
  <pageSetup paperSize="9" scale="81"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0">
    <tabColor theme="0" tint="-0.34998626667073579"/>
    <pageSetUpPr fitToPage="1"/>
  </sheetPr>
  <dimension ref="B1:M42"/>
  <sheetViews>
    <sheetView showRowColHeaders="0" zoomScale="115" zoomScaleNormal="100" workbookViewId="0">
      <selection activeCell="D29" sqref="D29"/>
    </sheetView>
  </sheetViews>
  <sheetFormatPr defaultRowHeight="12.75" x14ac:dyDescent="0.2"/>
  <cols>
    <col min="1" max="1" width="2.42578125" style="139" customWidth="1"/>
    <col min="2" max="2" width="9.28515625" style="139" customWidth="1"/>
    <col min="3" max="3" width="9.42578125" style="139" customWidth="1"/>
    <col min="4" max="6" width="9.85546875" style="139" customWidth="1"/>
    <col min="7" max="10" width="10.85546875" style="139" customWidth="1"/>
    <col min="11" max="12" width="11.28515625" style="139" customWidth="1"/>
    <col min="13" max="16384" width="9.140625" style="139"/>
  </cols>
  <sheetData>
    <row r="1" spans="2:13" ht="13.5" thickBot="1" x14ac:dyDescent="0.25"/>
    <row r="2" spans="2:13" ht="19.5" thickBot="1" x14ac:dyDescent="0.25">
      <c r="B2" s="614" t="s">
        <v>419</v>
      </c>
      <c r="C2" s="615" t="s">
        <v>351</v>
      </c>
      <c r="D2" s="616" t="s">
        <v>15</v>
      </c>
      <c r="E2" s="616" t="s">
        <v>23</v>
      </c>
      <c r="F2" s="616" t="s">
        <v>27</v>
      </c>
      <c r="G2" s="616" t="s">
        <v>30</v>
      </c>
      <c r="H2" s="616" t="s">
        <v>32</v>
      </c>
      <c r="I2" s="616" t="s">
        <v>34</v>
      </c>
      <c r="J2" s="616" t="s">
        <v>352</v>
      </c>
      <c r="K2" s="616" t="s">
        <v>353</v>
      </c>
      <c r="L2" s="617" t="s">
        <v>354</v>
      </c>
      <c r="M2" s="610"/>
    </row>
    <row r="3" spans="2:13" s="154" customFormat="1" ht="14.25" x14ac:dyDescent="0.2">
      <c r="B3" s="618" t="s">
        <v>351</v>
      </c>
      <c r="C3" s="619" t="s">
        <v>116</v>
      </c>
      <c r="D3" s="620">
        <v>25400</v>
      </c>
      <c r="E3" s="620">
        <v>50800</v>
      </c>
      <c r="F3" s="620">
        <v>76200</v>
      </c>
      <c r="G3" s="620">
        <v>101600</v>
      </c>
      <c r="H3" s="619" t="s">
        <v>355</v>
      </c>
      <c r="I3" s="620">
        <v>152400</v>
      </c>
      <c r="J3" s="620">
        <v>177800</v>
      </c>
      <c r="K3" s="620">
        <v>203200</v>
      </c>
      <c r="L3" s="621">
        <v>228600</v>
      </c>
      <c r="M3" s="611"/>
    </row>
    <row r="4" spans="2:13" ht="14.25" x14ac:dyDescent="0.2">
      <c r="B4" s="618"/>
      <c r="C4" s="619"/>
      <c r="D4" s="619"/>
      <c r="E4" s="619"/>
      <c r="F4" s="619"/>
      <c r="G4" s="619"/>
      <c r="H4" s="619"/>
      <c r="I4" s="619"/>
      <c r="J4" s="619"/>
      <c r="K4" s="619"/>
      <c r="L4" s="622"/>
      <c r="M4" s="612"/>
    </row>
    <row r="5" spans="2:13" ht="14.25" x14ac:dyDescent="0.2">
      <c r="B5" s="618" t="s">
        <v>356</v>
      </c>
      <c r="C5" s="619" t="s">
        <v>357</v>
      </c>
      <c r="D5" s="620">
        <v>26194</v>
      </c>
      <c r="E5" s="620">
        <v>51594</v>
      </c>
      <c r="F5" s="620">
        <v>76994</v>
      </c>
      <c r="G5" s="620">
        <v>102394</v>
      </c>
      <c r="H5" s="620">
        <v>127794</v>
      </c>
      <c r="I5" s="620">
        <v>153194</v>
      </c>
      <c r="J5" s="620">
        <v>178594</v>
      </c>
      <c r="K5" s="620">
        <v>203994</v>
      </c>
      <c r="L5" s="621">
        <v>229394</v>
      </c>
      <c r="M5" s="611"/>
    </row>
    <row r="6" spans="2:13" ht="17.25" customHeight="1" x14ac:dyDescent="0.2">
      <c r="B6" s="618" t="s">
        <v>358</v>
      </c>
      <c r="C6" s="620">
        <v>1588</v>
      </c>
      <c r="D6" s="620">
        <v>26988</v>
      </c>
      <c r="E6" s="620">
        <v>52388</v>
      </c>
      <c r="F6" s="620">
        <v>77788</v>
      </c>
      <c r="G6" s="620">
        <v>103188</v>
      </c>
      <c r="H6" s="620">
        <v>128588</v>
      </c>
      <c r="I6" s="620">
        <v>153388</v>
      </c>
      <c r="J6" s="620">
        <v>179388</v>
      </c>
      <c r="K6" s="620">
        <v>204788</v>
      </c>
      <c r="L6" s="621">
        <v>230188</v>
      </c>
      <c r="M6" s="613"/>
    </row>
    <row r="7" spans="2:13" ht="14.25" x14ac:dyDescent="0.2">
      <c r="B7" s="618" t="s">
        <v>359</v>
      </c>
      <c r="C7" s="620">
        <v>2381</v>
      </c>
      <c r="D7" s="620">
        <v>27781</v>
      </c>
      <c r="E7" s="620">
        <v>53181</v>
      </c>
      <c r="F7" s="620">
        <v>78581</v>
      </c>
      <c r="G7" s="620">
        <v>103981</v>
      </c>
      <c r="H7" s="620">
        <v>129381</v>
      </c>
      <c r="I7" s="620">
        <v>154781</v>
      </c>
      <c r="J7" s="620">
        <v>180181</v>
      </c>
      <c r="K7" s="620">
        <v>205581</v>
      </c>
      <c r="L7" s="621">
        <v>230981</v>
      </c>
      <c r="M7" s="613"/>
    </row>
    <row r="8" spans="2:13" ht="14.25" x14ac:dyDescent="0.2">
      <c r="B8" s="618" t="s">
        <v>360</v>
      </c>
      <c r="C8" s="620">
        <v>3175</v>
      </c>
      <c r="D8" s="620">
        <v>28575</v>
      </c>
      <c r="E8" s="620">
        <v>53975</v>
      </c>
      <c r="F8" s="620">
        <v>79375</v>
      </c>
      <c r="G8" s="620">
        <v>104775</v>
      </c>
      <c r="H8" s="620">
        <v>130175</v>
      </c>
      <c r="I8" s="620">
        <v>155575</v>
      </c>
      <c r="J8" s="620">
        <v>180975</v>
      </c>
      <c r="K8" s="620">
        <v>206375</v>
      </c>
      <c r="L8" s="621">
        <v>231775</v>
      </c>
      <c r="M8" s="613"/>
    </row>
    <row r="9" spans="2:13" ht="14.25" x14ac:dyDescent="0.2">
      <c r="B9" s="618"/>
      <c r="C9" s="619"/>
      <c r="D9" s="619"/>
      <c r="E9" s="619"/>
      <c r="F9" s="619"/>
      <c r="G9" s="619"/>
      <c r="H9" s="619"/>
      <c r="I9" s="619"/>
      <c r="J9" s="619"/>
      <c r="K9" s="619"/>
      <c r="L9" s="622"/>
      <c r="M9" s="612"/>
    </row>
    <row r="10" spans="2:13" ht="14.25" x14ac:dyDescent="0.2">
      <c r="B10" s="618" t="s">
        <v>361</v>
      </c>
      <c r="C10" s="620">
        <v>3969</v>
      </c>
      <c r="D10" s="620">
        <v>29369</v>
      </c>
      <c r="E10" s="620">
        <v>54769</v>
      </c>
      <c r="F10" s="620">
        <v>80169</v>
      </c>
      <c r="G10" s="620">
        <v>105569</v>
      </c>
      <c r="H10" s="620">
        <v>130969</v>
      </c>
      <c r="I10" s="620">
        <v>156369</v>
      </c>
      <c r="J10" s="620">
        <v>181769</v>
      </c>
      <c r="K10" s="620">
        <v>207169</v>
      </c>
      <c r="L10" s="621">
        <v>232569</v>
      </c>
      <c r="M10" s="611"/>
    </row>
    <row r="11" spans="2:13" ht="14.25" x14ac:dyDescent="0.2">
      <c r="B11" s="618" t="s">
        <v>362</v>
      </c>
      <c r="C11" s="620">
        <v>4763</v>
      </c>
      <c r="D11" s="620">
        <v>30163</v>
      </c>
      <c r="E11" s="620">
        <v>55563</v>
      </c>
      <c r="F11" s="620">
        <v>80963</v>
      </c>
      <c r="G11" s="620">
        <v>106363</v>
      </c>
      <c r="H11" s="620">
        <v>131763</v>
      </c>
      <c r="I11" s="620">
        <v>157163</v>
      </c>
      <c r="J11" s="620">
        <v>182563</v>
      </c>
      <c r="K11" s="620">
        <v>207963</v>
      </c>
      <c r="L11" s="621">
        <v>233363</v>
      </c>
      <c r="M11" s="613"/>
    </row>
    <row r="12" spans="2:13" ht="14.25" x14ac:dyDescent="0.2">
      <c r="B12" s="618" t="s">
        <v>363</v>
      </c>
      <c r="C12" s="620">
        <v>5556</v>
      </c>
      <c r="D12" s="620">
        <v>30950</v>
      </c>
      <c r="E12" s="620">
        <v>56356</v>
      </c>
      <c r="F12" s="620">
        <v>81756</v>
      </c>
      <c r="G12" s="620">
        <v>107156</v>
      </c>
      <c r="H12" s="620">
        <v>132556</v>
      </c>
      <c r="I12" s="620">
        <v>157956</v>
      </c>
      <c r="J12" s="620">
        <v>183356</v>
      </c>
      <c r="K12" s="620">
        <v>208756</v>
      </c>
      <c r="L12" s="621">
        <v>234156</v>
      </c>
      <c r="M12" s="611"/>
    </row>
    <row r="13" spans="2:13" ht="14.25" x14ac:dyDescent="0.2">
      <c r="B13" s="618" t="s">
        <v>364</v>
      </c>
      <c r="C13" s="620">
        <v>6350</v>
      </c>
      <c r="D13" s="620">
        <v>31750</v>
      </c>
      <c r="E13" s="620">
        <v>57150</v>
      </c>
      <c r="F13" s="620">
        <v>82550</v>
      </c>
      <c r="G13" s="620">
        <v>107950</v>
      </c>
      <c r="H13" s="620">
        <v>133350</v>
      </c>
      <c r="I13" s="620">
        <v>158750</v>
      </c>
      <c r="J13" s="620">
        <v>184150</v>
      </c>
      <c r="K13" s="620">
        <v>209550</v>
      </c>
      <c r="L13" s="621">
        <v>234950</v>
      </c>
      <c r="M13" s="613"/>
    </row>
    <row r="14" spans="2:13" ht="14.25" x14ac:dyDescent="0.2">
      <c r="B14" s="618"/>
      <c r="C14" s="619"/>
      <c r="D14" s="619"/>
      <c r="E14" s="619"/>
      <c r="F14" s="619"/>
      <c r="G14" s="619"/>
      <c r="H14" s="619"/>
      <c r="I14" s="619"/>
      <c r="J14" s="619"/>
      <c r="K14" s="619"/>
      <c r="L14" s="622"/>
      <c r="M14" s="612"/>
    </row>
    <row r="15" spans="2:13" ht="14.25" x14ac:dyDescent="0.2">
      <c r="B15" s="618" t="s">
        <v>365</v>
      </c>
      <c r="C15" s="620">
        <v>7144</v>
      </c>
      <c r="D15" s="620">
        <v>32544</v>
      </c>
      <c r="E15" s="620">
        <v>57944</v>
      </c>
      <c r="F15" s="620">
        <v>83344</v>
      </c>
      <c r="G15" s="620">
        <v>108744</v>
      </c>
      <c r="H15" s="620">
        <v>134144</v>
      </c>
      <c r="I15" s="620">
        <v>159544</v>
      </c>
      <c r="J15" s="620">
        <v>184944</v>
      </c>
      <c r="K15" s="620">
        <v>210344</v>
      </c>
      <c r="L15" s="621">
        <v>235744</v>
      </c>
      <c r="M15" s="611"/>
    </row>
    <row r="16" spans="2:13" ht="14.25" x14ac:dyDescent="0.2">
      <c r="B16" s="618" t="s">
        <v>366</v>
      </c>
      <c r="C16" s="620">
        <v>7938</v>
      </c>
      <c r="D16" s="620">
        <v>33338</v>
      </c>
      <c r="E16" s="620">
        <v>58738</v>
      </c>
      <c r="F16" s="620">
        <v>84138</v>
      </c>
      <c r="G16" s="620">
        <v>109538</v>
      </c>
      <c r="H16" s="620">
        <v>134938</v>
      </c>
      <c r="I16" s="620">
        <v>160388</v>
      </c>
      <c r="J16" s="620">
        <v>185738</v>
      </c>
      <c r="K16" s="620">
        <v>211138</v>
      </c>
      <c r="L16" s="621">
        <v>236538</v>
      </c>
      <c r="M16" s="613"/>
    </row>
    <row r="17" spans="2:13" ht="14.25" x14ac:dyDescent="0.2">
      <c r="B17" s="618" t="s">
        <v>367</v>
      </c>
      <c r="C17" s="620">
        <v>8731</v>
      </c>
      <c r="D17" s="620">
        <v>34131</v>
      </c>
      <c r="E17" s="620">
        <v>59531</v>
      </c>
      <c r="F17" s="620">
        <v>84931</v>
      </c>
      <c r="G17" s="620">
        <v>110331</v>
      </c>
      <c r="H17" s="620">
        <v>135731</v>
      </c>
      <c r="I17" s="620">
        <v>161131</v>
      </c>
      <c r="J17" s="620">
        <v>186531</v>
      </c>
      <c r="K17" s="620">
        <v>211931</v>
      </c>
      <c r="L17" s="621">
        <v>237331</v>
      </c>
      <c r="M17" s="611"/>
    </row>
    <row r="18" spans="2:13" ht="14.25" x14ac:dyDescent="0.2">
      <c r="B18" s="618" t="s">
        <v>10</v>
      </c>
      <c r="C18" s="620">
        <v>9525</v>
      </c>
      <c r="D18" s="620">
        <v>34925</v>
      </c>
      <c r="E18" s="620">
        <v>60325</v>
      </c>
      <c r="F18" s="620">
        <v>85725</v>
      </c>
      <c r="G18" s="620">
        <v>111125</v>
      </c>
      <c r="H18" s="620">
        <v>136525</v>
      </c>
      <c r="I18" s="620">
        <v>161925</v>
      </c>
      <c r="J18" s="620">
        <v>187325</v>
      </c>
      <c r="K18" s="620">
        <v>212725</v>
      </c>
      <c r="L18" s="621">
        <v>238125</v>
      </c>
      <c r="M18" s="613"/>
    </row>
    <row r="19" spans="2:13" ht="14.25" x14ac:dyDescent="0.2">
      <c r="B19" s="618"/>
      <c r="C19" s="619"/>
      <c r="D19" s="619"/>
      <c r="E19" s="619"/>
      <c r="F19" s="619"/>
      <c r="G19" s="619"/>
      <c r="H19" s="619"/>
      <c r="I19" s="619"/>
      <c r="J19" s="619"/>
      <c r="K19" s="619"/>
      <c r="L19" s="622"/>
      <c r="M19" s="612"/>
    </row>
    <row r="20" spans="2:13" ht="14.25" x14ac:dyDescent="0.2">
      <c r="B20" s="618" t="s">
        <v>368</v>
      </c>
      <c r="C20" s="620">
        <v>10319</v>
      </c>
      <c r="D20" s="620">
        <v>35719</v>
      </c>
      <c r="E20" s="620">
        <v>61119</v>
      </c>
      <c r="F20" s="620">
        <v>86519</v>
      </c>
      <c r="G20" s="620">
        <v>111919</v>
      </c>
      <c r="H20" s="620">
        <v>137319</v>
      </c>
      <c r="I20" s="620">
        <v>162719</v>
      </c>
      <c r="J20" s="620">
        <v>188199</v>
      </c>
      <c r="K20" s="620">
        <v>213519</v>
      </c>
      <c r="L20" s="621">
        <v>238919</v>
      </c>
      <c r="M20" s="611"/>
    </row>
    <row r="21" spans="2:13" ht="14.25" x14ac:dyDescent="0.2">
      <c r="B21" s="618" t="s">
        <v>369</v>
      </c>
      <c r="C21" s="620">
        <v>11113</v>
      </c>
      <c r="D21" s="620">
        <v>36513</v>
      </c>
      <c r="E21" s="620">
        <v>61913</v>
      </c>
      <c r="F21" s="620">
        <v>87313</v>
      </c>
      <c r="G21" s="620">
        <v>112713</v>
      </c>
      <c r="H21" s="620">
        <v>138113</v>
      </c>
      <c r="I21" s="620">
        <v>163513</v>
      </c>
      <c r="J21" s="620">
        <v>188913</v>
      </c>
      <c r="K21" s="620">
        <v>214313</v>
      </c>
      <c r="L21" s="621">
        <v>239713</v>
      </c>
      <c r="M21" s="613"/>
    </row>
    <row r="22" spans="2:13" ht="14.25" x14ac:dyDescent="0.2">
      <c r="B22" s="618" t="s">
        <v>370</v>
      </c>
      <c r="C22" s="620">
        <v>11906</v>
      </c>
      <c r="D22" s="620">
        <v>37306</v>
      </c>
      <c r="E22" s="620">
        <v>62706</v>
      </c>
      <c r="F22" s="620">
        <v>88106</v>
      </c>
      <c r="G22" s="620">
        <v>113506</v>
      </c>
      <c r="H22" s="620">
        <v>138906</v>
      </c>
      <c r="I22" s="620">
        <v>164306</v>
      </c>
      <c r="J22" s="620">
        <v>189706</v>
      </c>
      <c r="K22" s="620">
        <v>215106</v>
      </c>
      <c r="L22" s="621">
        <v>240506</v>
      </c>
      <c r="M22" s="611"/>
    </row>
    <row r="23" spans="2:13" ht="14.25" x14ac:dyDescent="0.2">
      <c r="B23" s="618" t="s">
        <v>11</v>
      </c>
      <c r="C23" s="620">
        <v>12700</v>
      </c>
      <c r="D23" s="620">
        <v>38100</v>
      </c>
      <c r="E23" s="620">
        <v>63500</v>
      </c>
      <c r="F23" s="620">
        <v>88900</v>
      </c>
      <c r="G23" s="620">
        <v>114300</v>
      </c>
      <c r="H23" s="620">
        <v>139700</v>
      </c>
      <c r="I23" s="620">
        <v>165100</v>
      </c>
      <c r="J23" s="620">
        <v>190500</v>
      </c>
      <c r="K23" s="620">
        <v>215900</v>
      </c>
      <c r="L23" s="621">
        <v>241300</v>
      </c>
      <c r="M23" s="613"/>
    </row>
    <row r="24" spans="2:13" ht="14.25" x14ac:dyDescent="0.2">
      <c r="B24" s="618"/>
      <c r="C24" s="619"/>
      <c r="D24" s="619"/>
      <c r="E24" s="619"/>
      <c r="F24" s="619"/>
      <c r="G24" s="619"/>
      <c r="H24" s="619"/>
      <c r="I24" s="619"/>
      <c r="J24" s="619"/>
      <c r="K24" s="619"/>
      <c r="L24" s="622"/>
      <c r="M24" s="612"/>
    </row>
    <row r="25" spans="2:13" ht="14.25" x14ac:dyDescent="0.2">
      <c r="B25" s="618" t="s">
        <v>371</v>
      </c>
      <c r="C25" s="620">
        <v>13494</v>
      </c>
      <c r="D25" s="620">
        <v>38894</v>
      </c>
      <c r="E25" s="620">
        <v>64294</v>
      </c>
      <c r="F25" s="620">
        <v>89694</v>
      </c>
      <c r="G25" s="620">
        <v>115094</v>
      </c>
      <c r="H25" s="620">
        <v>140494</v>
      </c>
      <c r="I25" s="620">
        <v>165894</v>
      </c>
      <c r="J25" s="620">
        <v>191294</v>
      </c>
      <c r="K25" s="620">
        <v>216694</v>
      </c>
      <c r="L25" s="621">
        <v>242094</v>
      </c>
      <c r="M25" s="611"/>
    </row>
    <row r="26" spans="2:13" ht="14.25" x14ac:dyDescent="0.2">
      <c r="B26" s="618" t="s">
        <v>372</v>
      </c>
      <c r="C26" s="620">
        <v>14288</v>
      </c>
      <c r="D26" s="620">
        <v>39688</v>
      </c>
      <c r="E26" s="620">
        <v>65088</v>
      </c>
      <c r="F26" s="620">
        <v>90488</v>
      </c>
      <c r="G26" s="620">
        <v>115888</v>
      </c>
      <c r="H26" s="620">
        <v>141288</v>
      </c>
      <c r="I26" s="620">
        <v>166688</v>
      </c>
      <c r="J26" s="620">
        <v>192088</v>
      </c>
      <c r="K26" s="620">
        <v>217488</v>
      </c>
      <c r="L26" s="621">
        <v>242888</v>
      </c>
      <c r="M26" s="613"/>
    </row>
    <row r="27" spans="2:13" ht="14.25" x14ac:dyDescent="0.2">
      <c r="B27" s="618" t="s">
        <v>373</v>
      </c>
      <c r="C27" s="620">
        <v>15081</v>
      </c>
      <c r="D27" s="620">
        <v>40481</v>
      </c>
      <c r="E27" s="620">
        <v>65881</v>
      </c>
      <c r="F27" s="620">
        <v>91281</v>
      </c>
      <c r="G27" s="620">
        <v>116681</v>
      </c>
      <c r="H27" s="620">
        <v>142081</v>
      </c>
      <c r="I27" s="620">
        <v>167481</v>
      </c>
      <c r="J27" s="620">
        <v>198881</v>
      </c>
      <c r="K27" s="620">
        <v>218281</v>
      </c>
      <c r="L27" s="621">
        <v>243681</v>
      </c>
      <c r="M27" s="611"/>
    </row>
    <row r="28" spans="2:13" ht="14.25" x14ac:dyDescent="0.2">
      <c r="B28" s="618" t="s">
        <v>12</v>
      </c>
      <c r="C28" s="620">
        <v>15875</v>
      </c>
      <c r="D28" s="620">
        <v>41275</v>
      </c>
      <c r="E28" s="620">
        <v>66675</v>
      </c>
      <c r="F28" s="620">
        <v>92075</v>
      </c>
      <c r="G28" s="620">
        <v>117475</v>
      </c>
      <c r="H28" s="620">
        <v>142875</v>
      </c>
      <c r="I28" s="620">
        <v>168275</v>
      </c>
      <c r="J28" s="620">
        <v>193675</v>
      </c>
      <c r="K28" s="620">
        <v>219075</v>
      </c>
      <c r="L28" s="621">
        <v>244475</v>
      </c>
      <c r="M28" s="613"/>
    </row>
    <row r="29" spans="2:13" ht="14.25" x14ac:dyDescent="0.2">
      <c r="B29" s="618"/>
      <c r="C29" s="619"/>
      <c r="D29" s="619"/>
      <c r="E29" s="619"/>
      <c r="F29" s="619"/>
      <c r="G29" s="619"/>
      <c r="H29" s="619"/>
      <c r="I29" s="619"/>
      <c r="J29" s="619"/>
      <c r="K29" s="619"/>
      <c r="L29" s="622"/>
      <c r="M29" s="612"/>
    </row>
    <row r="30" spans="2:13" ht="14.25" x14ac:dyDescent="0.2">
      <c r="B30" s="618" t="s">
        <v>374</v>
      </c>
      <c r="C30" s="620">
        <v>16669</v>
      </c>
      <c r="D30" s="620">
        <v>42069</v>
      </c>
      <c r="E30" s="620">
        <v>67469</v>
      </c>
      <c r="F30" s="620">
        <v>92869</v>
      </c>
      <c r="G30" s="620">
        <v>118269</v>
      </c>
      <c r="H30" s="620">
        <v>143669</v>
      </c>
      <c r="I30" s="620">
        <v>169069</v>
      </c>
      <c r="J30" s="620">
        <v>194469</v>
      </c>
      <c r="K30" s="620">
        <v>219869</v>
      </c>
      <c r="L30" s="621">
        <v>245269</v>
      </c>
      <c r="M30" s="611"/>
    </row>
    <row r="31" spans="2:13" ht="14.25" x14ac:dyDescent="0.2">
      <c r="B31" s="618" t="s">
        <v>375</v>
      </c>
      <c r="C31" s="620">
        <v>17463</v>
      </c>
      <c r="D31" s="620">
        <v>42863</v>
      </c>
      <c r="E31" s="620">
        <v>68263</v>
      </c>
      <c r="F31" s="620">
        <v>93663</v>
      </c>
      <c r="G31" s="620">
        <v>119063</v>
      </c>
      <c r="H31" s="620">
        <v>144463</v>
      </c>
      <c r="I31" s="620">
        <v>169863</v>
      </c>
      <c r="J31" s="620">
        <v>195263</v>
      </c>
      <c r="K31" s="620">
        <v>220663</v>
      </c>
      <c r="L31" s="621">
        <v>246063</v>
      </c>
      <c r="M31" s="613"/>
    </row>
    <row r="32" spans="2:13" ht="14.25" x14ac:dyDescent="0.2">
      <c r="B32" s="618" t="s">
        <v>376</v>
      </c>
      <c r="C32" s="620">
        <v>18256</v>
      </c>
      <c r="D32" s="620">
        <v>43656</v>
      </c>
      <c r="E32" s="620">
        <v>69056</v>
      </c>
      <c r="F32" s="620">
        <v>94456</v>
      </c>
      <c r="G32" s="620">
        <v>119856</v>
      </c>
      <c r="H32" s="620">
        <v>145656</v>
      </c>
      <c r="I32" s="620">
        <v>170656</v>
      </c>
      <c r="J32" s="620">
        <v>196056</v>
      </c>
      <c r="K32" s="620">
        <v>221456</v>
      </c>
      <c r="L32" s="621">
        <v>246856</v>
      </c>
      <c r="M32" s="611"/>
    </row>
    <row r="33" spans="2:13" ht="14.25" x14ac:dyDescent="0.2">
      <c r="B33" s="618" t="s">
        <v>13</v>
      </c>
      <c r="C33" s="620">
        <v>19050</v>
      </c>
      <c r="D33" s="620">
        <v>44450</v>
      </c>
      <c r="E33" s="620">
        <v>69850</v>
      </c>
      <c r="F33" s="620">
        <v>95250</v>
      </c>
      <c r="G33" s="620">
        <v>120650</v>
      </c>
      <c r="H33" s="620">
        <v>146050</v>
      </c>
      <c r="I33" s="620">
        <v>171450</v>
      </c>
      <c r="J33" s="620">
        <v>196850</v>
      </c>
      <c r="K33" s="620">
        <v>222250</v>
      </c>
      <c r="L33" s="621">
        <v>274650</v>
      </c>
      <c r="M33" s="613"/>
    </row>
    <row r="34" spans="2:13" ht="14.25" x14ac:dyDescent="0.2">
      <c r="B34" s="618"/>
      <c r="C34" s="619"/>
      <c r="D34" s="619"/>
      <c r="E34" s="619"/>
      <c r="F34" s="619"/>
      <c r="G34" s="619"/>
      <c r="H34" s="619"/>
      <c r="I34" s="619"/>
      <c r="J34" s="619"/>
      <c r="K34" s="619"/>
      <c r="L34" s="622"/>
      <c r="M34" s="612"/>
    </row>
    <row r="35" spans="2:13" ht="14.25" x14ac:dyDescent="0.2">
      <c r="B35" s="618" t="s">
        <v>377</v>
      </c>
      <c r="C35" s="620">
        <v>19844</v>
      </c>
      <c r="D35" s="620">
        <v>45244</v>
      </c>
      <c r="E35" s="620">
        <v>70644</v>
      </c>
      <c r="F35" s="620">
        <v>96044</v>
      </c>
      <c r="G35" s="620">
        <v>121444</v>
      </c>
      <c r="H35" s="620">
        <v>146844</v>
      </c>
      <c r="I35" s="620">
        <v>172244</v>
      </c>
      <c r="J35" s="620">
        <v>197644</v>
      </c>
      <c r="K35" s="620">
        <v>223044</v>
      </c>
      <c r="L35" s="621">
        <v>248444</v>
      </c>
      <c r="M35" s="611"/>
    </row>
    <row r="36" spans="2:13" ht="14.25" x14ac:dyDescent="0.2">
      <c r="B36" s="618" t="s">
        <v>378</v>
      </c>
      <c r="C36" s="620">
        <v>20638</v>
      </c>
      <c r="D36" s="620">
        <v>46038</v>
      </c>
      <c r="E36" s="620">
        <v>71438</v>
      </c>
      <c r="F36" s="620">
        <v>96838</v>
      </c>
      <c r="G36" s="620">
        <v>122238</v>
      </c>
      <c r="H36" s="620">
        <v>147638</v>
      </c>
      <c r="I36" s="620">
        <v>173038</v>
      </c>
      <c r="J36" s="620">
        <v>198438</v>
      </c>
      <c r="K36" s="620">
        <v>223838</v>
      </c>
      <c r="L36" s="621">
        <v>249238</v>
      </c>
      <c r="M36" s="613"/>
    </row>
    <row r="37" spans="2:13" ht="14.25" x14ac:dyDescent="0.2">
      <c r="B37" s="618" t="s">
        <v>379</v>
      </c>
      <c r="C37" s="620">
        <v>21431</v>
      </c>
      <c r="D37" s="620">
        <v>46831</v>
      </c>
      <c r="E37" s="620">
        <v>72231</v>
      </c>
      <c r="F37" s="620">
        <v>97631</v>
      </c>
      <c r="G37" s="620">
        <v>123031</v>
      </c>
      <c r="H37" s="620">
        <v>148431</v>
      </c>
      <c r="I37" s="620">
        <v>173831</v>
      </c>
      <c r="J37" s="620">
        <v>199231</v>
      </c>
      <c r="K37" s="620">
        <v>224631</v>
      </c>
      <c r="L37" s="621">
        <v>250031</v>
      </c>
      <c r="M37" s="611"/>
    </row>
    <row r="38" spans="2:13" ht="14.25" x14ac:dyDescent="0.2">
      <c r="B38" s="618" t="s">
        <v>14</v>
      </c>
      <c r="C38" s="620">
        <v>22225</v>
      </c>
      <c r="D38" s="620">
        <v>47625</v>
      </c>
      <c r="E38" s="620">
        <v>73025</v>
      </c>
      <c r="F38" s="620">
        <v>98425</v>
      </c>
      <c r="G38" s="620">
        <v>123825</v>
      </c>
      <c r="H38" s="620">
        <v>149255</v>
      </c>
      <c r="I38" s="620">
        <v>174225</v>
      </c>
      <c r="J38" s="620">
        <v>200025</v>
      </c>
      <c r="K38" s="620">
        <v>225425</v>
      </c>
      <c r="L38" s="621">
        <v>250825</v>
      </c>
      <c r="M38" s="613"/>
    </row>
    <row r="39" spans="2:13" ht="14.25" x14ac:dyDescent="0.2">
      <c r="B39" s="618"/>
      <c r="C39" s="619"/>
      <c r="D39" s="619"/>
      <c r="E39" s="619"/>
      <c r="F39" s="619"/>
      <c r="G39" s="619"/>
      <c r="H39" s="619"/>
      <c r="I39" s="619"/>
      <c r="J39" s="619"/>
      <c r="K39" s="619"/>
      <c r="L39" s="622"/>
      <c r="M39" s="612"/>
    </row>
    <row r="40" spans="2:13" ht="14.25" x14ac:dyDescent="0.2">
      <c r="B40" s="618" t="s">
        <v>380</v>
      </c>
      <c r="C40" s="620">
        <v>23019</v>
      </c>
      <c r="D40" s="620">
        <v>48419</v>
      </c>
      <c r="E40" s="620">
        <v>73819</v>
      </c>
      <c r="F40" s="620">
        <v>99219</v>
      </c>
      <c r="G40" s="620">
        <v>124619</v>
      </c>
      <c r="H40" s="620">
        <v>150019</v>
      </c>
      <c r="I40" s="620">
        <v>175419</v>
      </c>
      <c r="J40" s="620">
        <v>200819</v>
      </c>
      <c r="K40" s="620">
        <v>226219</v>
      </c>
      <c r="L40" s="621">
        <v>251619</v>
      </c>
      <c r="M40" s="611"/>
    </row>
    <row r="41" spans="2:13" ht="14.25" x14ac:dyDescent="0.2">
      <c r="B41" s="618" t="s">
        <v>381</v>
      </c>
      <c r="C41" s="620">
        <v>23813</v>
      </c>
      <c r="D41" s="620">
        <v>49213</v>
      </c>
      <c r="E41" s="620">
        <v>74613</v>
      </c>
      <c r="F41" s="620">
        <v>100013</v>
      </c>
      <c r="G41" s="620">
        <v>125413</v>
      </c>
      <c r="H41" s="620">
        <v>150813</v>
      </c>
      <c r="I41" s="620">
        <v>176213</v>
      </c>
      <c r="J41" s="620">
        <v>201613</v>
      </c>
      <c r="K41" s="620">
        <v>227013</v>
      </c>
      <c r="L41" s="621">
        <v>252413</v>
      </c>
      <c r="M41" s="613"/>
    </row>
    <row r="42" spans="2:13" ht="15" thickBot="1" x14ac:dyDescent="0.25">
      <c r="B42" s="623" t="s">
        <v>791</v>
      </c>
      <c r="C42" s="624">
        <v>24606</v>
      </c>
      <c r="D42" s="624">
        <v>50006</v>
      </c>
      <c r="E42" s="624">
        <v>75406</v>
      </c>
      <c r="F42" s="624">
        <v>100806</v>
      </c>
      <c r="G42" s="624">
        <v>126206</v>
      </c>
      <c r="H42" s="624">
        <v>151606</v>
      </c>
      <c r="I42" s="624">
        <v>177006</v>
      </c>
      <c r="J42" s="624">
        <v>202406</v>
      </c>
      <c r="K42" s="624">
        <v>227806</v>
      </c>
      <c r="L42" s="625">
        <v>253206</v>
      </c>
      <c r="M42" s="613"/>
    </row>
  </sheetData>
  <printOptions horizontalCentered="1" verticalCentered="1"/>
  <pageMargins left="0.78740157480314965" right="0.78740157480314965" top="0.98425196850393704" bottom="0.98425196850393704" header="0.51181102362204722" footer="0.51181102362204722"/>
  <pageSetup paperSize="9" scale="76"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1">
    <tabColor theme="0" tint="-0.34998626667073579"/>
    <pageSetUpPr fitToPage="1"/>
  </sheetPr>
  <dimension ref="B1:Y25"/>
  <sheetViews>
    <sheetView showGridLines="0" showRowColHeaders="0" view="pageBreakPreview" zoomScale="115" zoomScaleNormal="100" zoomScaleSheetLayoutView="85" workbookViewId="0"/>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8554687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25" ht="13.5" thickBot="1" x14ac:dyDescent="0.25"/>
    <row r="2" spans="2:25"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4"/>
    </row>
    <row r="3" spans="2:25" ht="12.75" customHeight="1" x14ac:dyDescent="0.2">
      <c r="B3" s="145"/>
      <c r="C3" s="865"/>
      <c r="D3" s="866"/>
      <c r="E3" s="866"/>
      <c r="F3" s="866"/>
      <c r="G3" s="866"/>
      <c r="H3" s="866"/>
      <c r="I3" s="866"/>
      <c r="J3" s="866"/>
      <c r="K3" s="867"/>
      <c r="L3" s="878" t="s">
        <v>382</v>
      </c>
      <c r="M3" s="879"/>
      <c r="N3" s="879"/>
      <c r="O3" s="879"/>
      <c r="P3" s="879"/>
      <c r="Q3" s="879"/>
      <c r="R3" s="879"/>
      <c r="S3" s="879"/>
      <c r="T3" s="879"/>
      <c r="U3" s="879"/>
      <c r="V3" s="879"/>
      <c r="W3" s="879"/>
      <c r="X3" s="880"/>
      <c r="Y3" s="146"/>
    </row>
    <row r="4" spans="2:25" ht="12.75" customHeight="1" x14ac:dyDescent="0.2">
      <c r="B4" s="145"/>
      <c r="C4" s="868"/>
      <c r="D4" s="869"/>
      <c r="E4" s="869"/>
      <c r="F4" s="869"/>
      <c r="G4" s="869"/>
      <c r="H4" s="869"/>
      <c r="I4" s="869"/>
      <c r="J4" s="869"/>
      <c r="K4" s="870"/>
      <c r="L4" s="881"/>
      <c r="M4" s="882"/>
      <c r="N4" s="882"/>
      <c r="O4" s="882"/>
      <c r="P4" s="882"/>
      <c r="Q4" s="882"/>
      <c r="R4" s="882"/>
      <c r="S4" s="882"/>
      <c r="T4" s="882"/>
      <c r="U4" s="882"/>
      <c r="V4" s="882"/>
      <c r="W4" s="882"/>
      <c r="X4" s="883"/>
      <c r="Y4" s="146"/>
    </row>
    <row r="5" spans="2:25" ht="12.75" customHeight="1" x14ac:dyDescent="0.2">
      <c r="B5" s="145"/>
      <c r="C5" s="868"/>
      <c r="D5" s="869"/>
      <c r="E5" s="869"/>
      <c r="F5" s="869"/>
      <c r="G5" s="869"/>
      <c r="H5" s="869"/>
      <c r="I5" s="869"/>
      <c r="J5" s="869"/>
      <c r="K5" s="870"/>
      <c r="L5" s="881"/>
      <c r="M5" s="882"/>
      <c r="N5" s="882"/>
      <c r="O5" s="882"/>
      <c r="P5" s="882"/>
      <c r="Q5" s="882"/>
      <c r="R5" s="882"/>
      <c r="S5" s="882"/>
      <c r="T5" s="882"/>
      <c r="U5" s="882"/>
      <c r="V5" s="882"/>
      <c r="W5" s="882"/>
      <c r="X5" s="883"/>
      <c r="Y5" s="146"/>
    </row>
    <row r="6" spans="2:25" ht="12.75" customHeight="1" x14ac:dyDescent="0.2">
      <c r="B6" s="145"/>
      <c r="C6" s="868"/>
      <c r="D6" s="869"/>
      <c r="E6" s="869"/>
      <c r="F6" s="869"/>
      <c r="G6" s="869"/>
      <c r="H6" s="869"/>
      <c r="I6" s="869"/>
      <c r="J6" s="869"/>
      <c r="K6" s="870"/>
      <c r="L6" s="881"/>
      <c r="M6" s="882"/>
      <c r="N6" s="882"/>
      <c r="O6" s="882"/>
      <c r="P6" s="882"/>
      <c r="Q6" s="882"/>
      <c r="R6" s="882"/>
      <c r="S6" s="882"/>
      <c r="T6" s="882"/>
      <c r="U6" s="882"/>
      <c r="V6" s="882"/>
      <c r="W6" s="882"/>
      <c r="X6" s="883"/>
      <c r="Y6" s="146"/>
    </row>
    <row r="7" spans="2:25" ht="13.5" customHeight="1" thickBot="1" x14ac:dyDescent="0.25">
      <c r="B7" s="145"/>
      <c r="C7" s="871"/>
      <c r="D7" s="872"/>
      <c r="E7" s="872"/>
      <c r="F7" s="872"/>
      <c r="G7" s="872"/>
      <c r="H7" s="872"/>
      <c r="I7" s="872"/>
      <c r="J7" s="872"/>
      <c r="K7" s="873"/>
      <c r="L7" s="884"/>
      <c r="M7" s="885"/>
      <c r="N7" s="885"/>
      <c r="O7" s="885"/>
      <c r="P7" s="885"/>
      <c r="Q7" s="885"/>
      <c r="R7" s="885"/>
      <c r="S7" s="885"/>
      <c r="T7" s="885"/>
      <c r="U7" s="885"/>
      <c r="V7" s="885"/>
      <c r="W7" s="885"/>
      <c r="X7" s="886"/>
      <c r="Y7" s="146"/>
    </row>
    <row r="8" spans="2:25"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6"/>
    </row>
    <row r="9" spans="2:25" x14ac:dyDescent="0.2">
      <c r="B9" s="145"/>
      <c r="C9" s="887" t="s">
        <v>383</v>
      </c>
      <c r="D9" s="887"/>
      <c r="E9" s="887"/>
      <c r="F9" s="887"/>
      <c r="G9" s="887"/>
      <c r="H9" s="141"/>
      <c r="I9" s="155" t="s">
        <v>382</v>
      </c>
      <c r="J9" s="141"/>
      <c r="K9" s="141"/>
      <c r="L9" s="141"/>
      <c r="M9" s="141"/>
      <c r="N9" s="141"/>
      <c r="O9" s="141"/>
      <c r="P9" s="141"/>
      <c r="Q9" s="141"/>
      <c r="R9" s="141"/>
      <c r="S9" s="141"/>
      <c r="T9" s="141"/>
      <c r="U9" s="141"/>
      <c r="V9" s="141"/>
      <c r="W9" s="141"/>
      <c r="X9" s="141"/>
      <c r="Y9" s="146"/>
    </row>
    <row r="10" spans="2:25"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46"/>
    </row>
    <row r="11" spans="2:25" ht="13.5" thickBot="1" x14ac:dyDescent="0.25">
      <c r="B11" s="145"/>
      <c r="C11" s="151" t="s">
        <v>384</v>
      </c>
      <c r="D11" s="888" t="s">
        <v>385</v>
      </c>
      <c r="E11" s="888"/>
      <c r="F11" s="888"/>
      <c r="G11" s="888"/>
      <c r="H11" s="141"/>
      <c r="I11" s="156" t="s">
        <v>384</v>
      </c>
      <c r="J11" s="874">
        <v>762</v>
      </c>
      <c r="K11" s="875"/>
      <c r="L11" s="141"/>
      <c r="M11" s="141"/>
      <c r="N11" s="141"/>
      <c r="O11" s="141"/>
      <c r="P11" s="141"/>
      <c r="Q11" s="141"/>
      <c r="R11" s="141"/>
      <c r="S11" s="141"/>
      <c r="T11" s="141"/>
      <c r="U11" s="141"/>
      <c r="V11" s="141"/>
      <c r="W11" s="141"/>
      <c r="X11" s="141"/>
      <c r="Y11" s="146"/>
    </row>
    <row r="12" spans="2:25" ht="13.5" thickBot="1" x14ac:dyDescent="0.25">
      <c r="B12" s="145"/>
      <c r="C12" s="151" t="s">
        <v>386</v>
      </c>
      <c r="D12" s="888" t="s">
        <v>469</v>
      </c>
      <c r="E12" s="888"/>
      <c r="F12" s="888"/>
      <c r="G12" s="888"/>
      <c r="H12" s="141"/>
      <c r="I12" s="156" t="s">
        <v>386</v>
      </c>
      <c r="J12" s="874">
        <v>1829</v>
      </c>
      <c r="K12" s="875"/>
      <c r="L12" s="141"/>
      <c r="M12" s="141"/>
      <c r="N12" s="891">
        <f>(((PI()*(J12/1000/2)^2)*J13/1000)-((PI()*(J11/1000/2)^2)*J13/1000))*7.85</f>
        <v>20.453734607667172</v>
      </c>
      <c r="O12" s="891"/>
      <c r="P12" s="891"/>
      <c r="Q12" s="157" t="s">
        <v>350</v>
      </c>
      <c r="R12" s="141"/>
      <c r="S12" s="141"/>
      <c r="T12" s="141"/>
      <c r="U12" s="141"/>
      <c r="V12" s="141"/>
      <c r="W12" s="141"/>
      <c r="X12" s="141"/>
      <c r="Y12" s="146"/>
    </row>
    <row r="13" spans="2:25" ht="13.5" thickBot="1" x14ac:dyDescent="0.25">
      <c r="B13" s="145"/>
      <c r="C13" s="141"/>
      <c r="D13" s="141"/>
      <c r="E13" s="141"/>
      <c r="F13" s="141"/>
      <c r="G13" s="141"/>
      <c r="H13" s="141"/>
      <c r="I13" s="149" t="s">
        <v>168</v>
      </c>
      <c r="J13" s="874">
        <v>1200</v>
      </c>
      <c r="K13" s="875"/>
      <c r="L13" s="141"/>
      <c r="M13" s="141"/>
      <c r="N13" s="141"/>
      <c r="O13" s="141"/>
      <c r="P13" s="141"/>
      <c r="Q13" s="141"/>
      <c r="R13" s="141"/>
      <c r="S13" s="141"/>
      <c r="T13" s="141"/>
      <c r="U13" s="141"/>
      <c r="V13" s="141"/>
      <c r="W13" s="141"/>
      <c r="X13" s="141"/>
      <c r="Y13" s="146"/>
    </row>
    <row r="14" spans="2:25" x14ac:dyDescent="0.2">
      <c r="B14" s="145"/>
      <c r="C14" s="141"/>
      <c r="D14" s="141"/>
      <c r="E14" s="141"/>
      <c r="F14" s="141"/>
      <c r="G14" s="141"/>
      <c r="H14" s="141"/>
      <c r="I14" s="141"/>
      <c r="J14" s="141"/>
      <c r="K14" s="141"/>
      <c r="L14" s="141"/>
      <c r="M14" s="141"/>
      <c r="N14" s="141"/>
      <c r="O14" s="141"/>
      <c r="P14" s="141"/>
      <c r="Q14" s="141"/>
      <c r="R14" s="141"/>
      <c r="S14" s="141"/>
      <c r="T14" s="141"/>
      <c r="U14" s="141"/>
      <c r="V14" s="141"/>
      <c r="W14" s="141"/>
      <c r="X14" s="141"/>
      <c r="Y14" s="146"/>
    </row>
    <row r="15" spans="2:25" x14ac:dyDescent="0.2">
      <c r="B15" s="145"/>
      <c r="C15" s="887" t="s">
        <v>387</v>
      </c>
      <c r="D15" s="887"/>
      <c r="E15" s="887"/>
      <c r="F15" s="887"/>
      <c r="G15" s="887"/>
      <c r="H15" s="141"/>
      <c r="I15" s="155" t="s">
        <v>388</v>
      </c>
      <c r="J15" s="141"/>
      <c r="K15" s="141"/>
      <c r="L15" s="141"/>
      <c r="M15" s="141"/>
      <c r="N15" s="141"/>
      <c r="O15" s="141"/>
      <c r="P15" s="141"/>
      <c r="Q15" s="141"/>
      <c r="R15" s="141"/>
      <c r="W15" s="141"/>
      <c r="X15" s="141"/>
      <c r="Y15" s="146"/>
    </row>
    <row r="16" spans="2:25" ht="13.5" thickBot="1" x14ac:dyDescent="0.25">
      <c r="B16" s="145"/>
      <c r="C16" s="158"/>
      <c r="D16" s="158"/>
      <c r="E16" s="158"/>
      <c r="F16" s="158"/>
      <c r="G16" s="158"/>
      <c r="H16" s="141"/>
      <c r="I16" s="155"/>
      <c r="J16" s="141"/>
      <c r="K16" s="141"/>
      <c r="L16" s="141"/>
      <c r="M16" s="141"/>
      <c r="N16" s="141"/>
      <c r="O16" s="141"/>
      <c r="P16" s="141"/>
      <c r="Q16" s="141"/>
      <c r="R16" s="141"/>
      <c r="S16" s="141"/>
      <c r="T16" s="141"/>
      <c r="U16" s="141"/>
      <c r="V16" s="141"/>
      <c r="W16" s="141"/>
      <c r="X16" s="141"/>
      <c r="Y16" s="146"/>
    </row>
    <row r="17" spans="2:25" ht="13.5" thickBot="1" x14ac:dyDescent="0.25">
      <c r="B17" s="145"/>
      <c r="C17" s="151" t="s">
        <v>384</v>
      </c>
      <c r="D17" s="888">
        <v>508</v>
      </c>
      <c r="E17" s="888"/>
      <c r="F17" s="888"/>
      <c r="G17" s="888"/>
      <c r="H17" s="141"/>
      <c r="I17" s="141" t="s">
        <v>85</v>
      </c>
      <c r="J17" s="141"/>
      <c r="K17" s="141"/>
      <c r="L17" s="876">
        <v>0.6</v>
      </c>
      <c r="M17" s="877"/>
      <c r="N17" s="157" t="s">
        <v>350</v>
      </c>
      <c r="O17" s="141"/>
      <c r="P17" s="141"/>
      <c r="Q17" s="141"/>
      <c r="R17" s="141"/>
      <c r="S17" s="141"/>
      <c r="T17" s="141"/>
      <c r="U17" s="141"/>
      <c r="V17" s="141"/>
      <c r="W17" s="141"/>
      <c r="X17" s="141"/>
      <c r="Y17" s="146"/>
    </row>
    <row r="18" spans="2:25" ht="13.5" thickBot="1" x14ac:dyDescent="0.25">
      <c r="B18" s="145"/>
      <c r="C18" s="151" t="s">
        <v>386</v>
      </c>
      <c r="D18" s="888" t="s">
        <v>389</v>
      </c>
      <c r="E18" s="888"/>
      <c r="F18" s="888"/>
      <c r="G18" s="888"/>
      <c r="H18" s="141"/>
      <c r="I18" s="141" t="s">
        <v>390</v>
      </c>
      <c r="J18" s="141"/>
      <c r="K18" s="141"/>
      <c r="L18" s="874">
        <v>109</v>
      </c>
      <c r="M18" s="875"/>
      <c r="N18" s="157" t="s">
        <v>9</v>
      </c>
      <c r="O18" s="141"/>
      <c r="Q18" s="892">
        <f>(L17*1000)/((L19/1000)*(L18/1000)*7850)</f>
        <v>233.74043125109569</v>
      </c>
      <c r="R18" s="892"/>
      <c r="S18" s="892"/>
      <c r="T18" s="157" t="s">
        <v>391</v>
      </c>
      <c r="U18" s="141"/>
      <c r="V18" s="141"/>
      <c r="W18" s="141"/>
      <c r="X18" s="141"/>
      <c r="Y18" s="146"/>
    </row>
    <row r="19" spans="2:25" ht="13.5" thickBot="1" x14ac:dyDescent="0.25">
      <c r="B19" s="145"/>
      <c r="C19" s="151"/>
      <c r="D19" s="159"/>
      <c r="E19" s="159"/>
      <c r="F19" s="159"/>
      <c r="G19" s="159"/>
      <c r="H19" s="141"/>
      <c r="I19" s="160" t="s">
        <v>95</v>
      </c>
      <c r="J19" s="141"/>
      <c r="K19" s="141"/>
      <c r="L19" s="874">
        <v>3</v>
      </c>
      <c r="M19" s="875"/>
      <c r="N19" s="157" t="s">
        <v>9</v>
      </c>
      <c r="O19" s="141"/>
      <c r="P19" s="141"/>
      <c r="Q19" s="141"/>
      <c r="R19" s="141"/>
      <c r="S19" s="141"/>
      <c r="T19" s="141"/>
      <c r="U19" s="141"/>
      <c r="V19" s="141"/>
      <c r="W19" s="141"/>
      <c r="X19" s="141"/>
      <c r="Y19" s="146"/>
    </row>
    <row r="20" spans="2:25" ht="13.5" thickBot="1" x14ac:dyDescent="0.25">
      <c r="B20" s="145"/>
      <c r="C20" s="151"/>
      <c r="D20" s="159"/>
      <c r="E20" s="159"/>
      <c r="F20" s="159"/>
      <c r="G20" s="159"/>
      <c r="H20" s="141"/>
      <c r="I20" s="160"/>
      <c r="J20" s="141"/>
      <c r="K20" s="141"/>
      <c r="L20" s="159"/>
      <c r="M20" s="141"/>
      <c r="N20" s="157"/>
      <c r="O20" s="141"/>
      <c r="P20" s="141"/>
      <c r="Q20" s="141"/>
      <c r="R20" s="141"/>
      <c r="S20" s="141"/>
      <c r="T20" s="141"/>
      <c r="U20" s="141"/>
      <c r="V20" s="141"/>
      <c r="W20" s="141"/>
      <c r="X20" s="141"/>
      <c r="Y20" s="146"/>
    </row>
    <row r="21" spans="2:25" ht="13.5" thickBot="1" x14ac:dyDescent="0.25">
      <c r="B21" s="145"/>
      <c r="C21" s="151"/>
      <c r="D21" s="159"/>
      <c r="E21" s="159"/>
      <c r="F21" s="159"/>
      <c r="G21" s="159"/>
      <c r="H21" s="141"/>
      <c r="I21" s="141" t="s">
        <v>85</v>
      </c>
      <c r="J21" s="141"/>
      <c r="K21" s="141"/>
      <c r="L21" s="876">
        <v>0.6</v>
      </c>
      <c r="M21" s="877"/>
      <c r="N21" s="157" t="s">
        <v>350</v>
      </c>
      <c r="O21" s="141"/>
      <c r="P21" s="141"/>
      <c r="U21" s="141"/>
      <c r="V21" s="141"/>
      <c r="W21" s="141"/>
      <c r="X21" s="141"/>
      <c r="Y21" s="146"/>
    </row>
    <row r="22" spans="2:25" ht="13.5" thickBot="1" x14ac:dyDescent="0.25">
      <c r="B22" s="145"/>
      <c r="C22" s="151"/>
      <c r="D22" s="159"/>
      <c r="E22" s="159"/>
      <c r="F22" s="159"/>
      <c r="G22" s="159"/>
      <c r="H22" s="141"/>
      <c r="O22" s="141"/>
      <c r="P22" s="141"/>
      <c r="Q22" s="892">
        <f>L21*1000/L23</f>
        <v>233.73587845734318</v>
      </c>
      <c r="R22" s="892"/>
      <c r="S22" s="892"/>
      <c r="T22" s="157" t="s">
        <v>391</v>
      </c>
      <c r="U22" s="141"/>
      <c r="V22" s="141"/>
      <c r="W22" s="141"/>
      <c r="X22" s="141"/>
      <c r="Y22" s="146"/>
    </row>
    <row r="23" spans="2:25" ht="13.5" thickBot="1" x14ac:dyDescent="0.25">
      <c r="B23" s="145"/>
      <c r="C23" s="151"/>
      <c r="D23" s="159"/>
      <c r="E23" s="159"/>
      <c r="F23" s="159"/>
      <c r="G23" s="159"/>
      <c r="H23" s="141"/>
      <c r="I23" s="153" t="s">
        <v>392</v>
      </c>
      <c r="J23" s="141"/>
      <c r="K23" s="141"/>
      <c r="L23" s="889">
        <v>2.5670000000000002</v>
      </c>
      <c r="M23" s="890"/>
      <c r="N23" s="157" t="s">
        <v>393</v>
      </c>
      <c r="O23" s="141"/>
      <c r="P23" s="141"/>
      <c r="Q23" s="141"/>
      <c r="R23" s="141"/>
      <c r="S23" s="141"/>
      <c r="T23" s="141"/>
      <c r="U23" s="141"/>
      <c r="V23" s="141"/>
      <c r="W23" s="141"/>
      <c r="X23" s="141"/>
      <c r="Y23" s="146"/>
    </row>
    <row r="24" spans="2:25" x14ac:dyDescent="0.2">
      <c r="B24" s="145"/>
      <c r="C24" s="151"/>
      <c r="D24" s="159"/>
      <c r="E24" s="159"/>
      <c r="F24" s="159"/>
      <c r="G24" s="159"/>
      <c r="H24" s="141"/>
      <c r="I24" s="160"/>
      <c r="J24" s="141"/>
      <c r="K24" s="141"/>
      <c r="L24" s="159"/>
      <c r="M24" s="141"/>
      <c r="N24" s="157"/>
      <c r="O24" s="141"/>
      <c r="P24" s="141"/>
      <c r="Q24" s="141"/>
      <c r="R24" s="141"/>
      <c r="S24" s="141"/>
      <c r="T24" s="141"/>
      <c r="U24" s="141"/>
      <c r="V24" s="141"/>
      <c r="W24" s="141"/>
      <c r="X24" s="141"/>
      <c r="Y24" s="146"/>
    </row>
    <row r="25" spans="2:25" ht="13.5" thickBot="1" x14ac:dyDescent="0.25">
      <c r="B25" s="147"/>
      <c r="C25" s="148"/>
      <c r="D25" s="148"/>
      <c r="E25" s="148"/>
      <c r="F25" s="148"/>
      <c r="G25" s="148"/>
      <c r="H25" s="148"/>
      <c r="I25" s="148"/>
      <c r="J25" s="148"/>
      <c r="K25" s="148"/>
      <c r="L25" s="148"/>
      <c r="M25" s="148"/>
      <c r="N25" s="148"/>
      <c r="O25" s="148"/>
      <c r="P25" s="148"/>
      <c r="Q25" s="148"/>
      <c r="R25" s="148"/>
      <c r="S25" s="148"/>
      <c r="T25" s="148"/>
      <c r="U25" s="148"/>
      <c r="V25" s="148"/>
      <c r="W25" s="148"/>
      <c r="X25" s="148"/>
      <c r="Y25" s="150"/>
    </row>
  </sheetData>
  <mergeCells count="19">
    <mergeCell ref="Q22:S22"/>
    <mergeCell ref="J13:K13"/>
    <mergeCell ref="C15:G15"/>
    <mergeCell ref="D17:G17"/>
    <mergeCell ref="L17:M17"/>
    <mergeCell ref="Q18:S18"/>
    <mergeCell ref="L23:M23"/>
    <mergeCell ref="D18:G18"/>
    <mergeCell ref="L18:M18"/>
    <mergeCell ref="J12:K12"/>
    <mergeCell ref="N12:P12"/>
    <mergeCell ref="D12:G12"/>
    <mergeCell ref="C3:K7"/>
    <mergeCell ref="L19:M19"/>
    <mergeCell ref="L21:M21"/>
    <mergeCell ref="L3:X7"/>
    <mergeCell ref="C9:G9"/>
    <mergeCell ref="D11:G11"/>
    <mergeCell ref="J11:K11"/>
  </mergeCells>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3">
    <tabColor theme="0" tint="-0.34998626667073579"/>
    <pageSetUpPr fitToPage="1"/>
  </sheetPr>
  <dimension ref="B1:AV33"/>
  <sheetViews>
    <sheetView showGridLines="0" showRowColHeaders="0" view="pageBreakPreview" zoomScale="115" zoomScaleNormal="100" zoomScaleSheetLayoutView="85" workbookViewId="0">
      <selection activeCell="D12" sqref="D12:E12"/>
    </sheetView>
  </sheetViews>
  <sheetFormatPr defaultColWidth="3.28515625" defaultRowHeight="12.75" x14ac:dyDescent="0.2"/>
  <cols>
    <col min="1" max="1" width="2.5703125" style="140" customWidth="1"/>
    <col min="2" max="5" width="3.28515625" style="140" customWidth="1"/>
    <col min="6" max="6" width="2.7109375" style="140" customWidth="1"/>
    <col min="7" max="10" width="3.28515625" style="140" customWidth="1"/>
    <col min="11" max="11" width="3.42578125" style="140" customWidth="1"/>
    <col min="12" max="12" width="3.28515625" style="140" customWidth="1"/>
    <col min="13" max="13" width="3.42578125" style="140" customWidth="1"/>
    <col min="14" max="22" width="3.28515625" style="140" customWidth="1"/>
    <col min="23" max="23" width="3.5703125" style="140" customWidth="1"/>
    <col min="24" max="16384" width="3.28515625" style="140"/>
  </cols>
  <sheetData>
    <row r="1" spans="2:48" ht="13.5" thickBot="1" x14ac:dyDescent="0.25"/>
    <row r="2" spans="2:48" ht="13.5" thickBot="1" x14ac:dyDescent="0.25">
      <c r="B2" s="142"/>
      <c r="C2" s="143"/>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c r="AT2" s="143"/>
      <c r="AU2" s="143"/>
      <c r="AV2" s="144"/>
    </row>
    <row r="3" spans="2:48" ht="12.75" customHeight="1" x14ac:dyDescent="0.2">
      <c r="B3" s="145"/>
      <c r="C3" s="865"/>
      <c r="D3" s="866"/>
      <c r="E3" s="866"/>
      <c r="F3" s="866"/>
      <c r="G3" s="866"/>
      <c r="H3" s="866"/>
      <c r="I3" s="866"/>
      <c r="J3" s="866"/>
      <c r="K3" s="867"/>
      <c r="L3" s="895" t="s">
        <v>395</v>
      </c>
      <c r="M3" s="896"/>
      <c r="N3" s="896"/>
      <c r="O3" s="896"/>
      <c r="P3" s="896"/>
      <c r="Q3" s="896"/>
      <c r="R3" s="896"/>
      <c r="S3" s="896"/>
      <c r="T3" s="896"/>
      <c r="U3" s="896"/>
      <c r="V3" s="896"/>
      <c r="W3" s="896"/>
      <c r="X3" s="896"/>
      <c r="Y3" s="896"/>
      <c r="Z3" s="896"/>
      <c r="AA3" s="896"/>
      <c r="AB3" s="896"/>
      <c r="AC3" s="896"/>
      <c r="AD3" s="896"/>
      <c r="AE3" s="896"/>
      <c r="AF3" s="896"/>
      <c r="AG3" s="896"/>
      <c r="AH3" s="896"/>
      <c r="AI3" s="896"/>
      <c r="AJ3" s="896"/>
      <c r="AK3" s="896"/>
      <c r="AL3" s="896"/>
      <c r="AM3" s="896"/>
      <c r="AN3" s="896"/>
      <c r="AO3" s="896"/>
      <c r="AP3" s="896"/>
      <c r="AQ3" s="896"/>
      <c r="AR3" s="896"/>
      <c r="AS3" s="896"/>
      <c r="AT3" s="896"/>
      <c r="AU3" s="897"/>
      <c r="AV3" s="146"/>
    </row>
    <row r="4" spans="2:48" ht="12.75" customHeight="1" x14ac:dyDescent="0.2">
      <c r="B4" s="145"/>
      <c r="C4" s="868"/>
      <c r="D4" s="869"/>
      <c r="E4" s="869"/>
      <c r="F4" s="869"/>
      <c r="G4" s="869"/>
      <c r="H4" s="869"/>
      <c r="I4" s="869"/>
      <c r="J4" s="869"/>
      <c r="K4" s="870"/>
      <c r="L4" s="898"/>
      <c r="M4" s="899"/>
      <c r="N4" s="899"/>
      <c r="O4" s="899"/>
      <c r="P4" s="899"/>
      <c r="Q4" s="899"/>
      <c r="R4" s="899"/>
      <c r="S4" s="899"/>
      <c r="T4" s="899"/>
      <c r="U4" s="899"/>
      <c r="V4" s="899"/>
      <c r="W4" s="899"/>
      <c r="X4" s="899"/>
      <c r="Y4" s="899"/>
      <c r="Z4" s="899"/>
      <c r="AA4" s="899"/>
      <c r="AB4" s="899"/>
      <c r="AC4" s="899"/>
      <c r="AD4" s="899"/>
      <c r="AE4" s="899"/>
      <c r="AF4" s="899"/>
      <c r="AG4" s="899"/>
      <c r="AH4" s="899"/>
      <c r="AI4" s="899"/>
      <c r="AJ4" s="899"/>
      <c r="AK4" s="899"/>
      <c r="AL4" s="899"/>
      <c r="AM4" s="899"/>
      <c r="AN4" s="899"/>
      <c r="AO4" s="899"/>
      <c r="AP4" s="899"/>
      <c r="AQ4" s="899"/>
      <c r="AR4" s="899"/>
      <c r="AS4" s="899"/>
      <c r="AT4" s="899"/>
      <c r="AU4" s="900"/>
      <c r="AV4" s="146"/>
    </row>
    <row r="5" spans="2:48" ht="12.75" customHeight="1" x14ac:dyDescent="0.2">
      <c r="B5" s="145"/>
      <c r="C5" s="868"/>
      <c r="D5" s="869"/>
      <c r="E5" s="869"/>
      <c r="F5" s="869"/>
      <c r="G5" s="869"/>
      <c r="H5" s="869"/>
      <c r="I5" s="869"/>
      <c r="J5" s="869"/>
      <c r="K5" s="870"/>
      <c r="L5" s="898"/>
      <c r="M5" s="899"/>
      <c r="N5" s="899"/>
      <c r="O5" s="899"/>
      <c r="P5" s="899"/>
      <c r="Q5" s="899"/>
      <c r="R5" s="899"/>
      <c r="S5" s="899"/>
      <c r="T5" s="899"/>
      <c r="U5" s="899"/>
      <c r="V5" s="899"/>
      <c r="W5" s="899"/>
      <c r="X5" s="899"/>
      <c r="Y5" s="899"/>
      <c r="Z5" s="899"/>
      <c r="AA5" s="899"/>
      <c r="AB5" s="899"/>
      <c r="AC5" s="899"/>
      <c r="AD5" s="899"/>
      <c r="AE5" s="899"/>
      <c r="AF5" s="899"/>
      <c r="AG5" s="899"/>
      <c r="AH5" s="899"/>
      <c r="AI5" s="899"/>
      <c r="AJ5" s="899"/>
      <c r="AK5" s="899"/>
      <c r="AL5" s="899"/>
      <c r="AM5" s="899"/>
      <c r="AN5" s="899"/>
      <c r="AO5" s="899"/>
      <c r="AP5" s="899"/>
      <c r="AQ5" s="899"/>
      <c r="AR5" s="899"/>
      <c r="AS5" s="899"/>
      <c r="AT5" s="899"/>
      <c r="AU5" s="900"/>
      <c r="AV5" s="146"/>
    </row>
    <row r="6" spans="2:48" ht="12.75" customHeight="1" x14ac:dyDescent="0.2">
      <c r="B6" s="145"/>
      <c r="C6" s="868"/>
      <c r="D6" s="869"/>
      <c r="E6" s="869"/>
      <c r="F6" s="869"/>
      <c r="G6" s="869"/>
      <c r="H6" s="869"/>
      <c r="I6" s="869"/>
      <c r="J6" s="869"/>
      <c r="K6" s="870"/>
      <c r="L6" s="898"/>
      <c r="M6" s="899"/>
      <c r="N6" s="899"/>
      <c r="O6" s="899"/>
      <c r="P6" s="899"/>
      <c r="Q6" s="899"/>
      <c r="R6" s="899"/>
      <c r="S6" s="899"/>
      <c r="T6" s="899"/>
      <c r="U6" s="899"/>
      <c r="V6" s="899"/>
      <c r="W6" s="899"/>
      <c r="X6" s="899"/>
      <c r="Y6" s="899"/>
      <c r="Z6" s="899"/>
      <c r="AA6" s="899"/>
      <c r="AB6" s="899"/>
      <c r="AC6" s="899"/>
      <c r="AD6" s="899"/>
      <c r="AE6" s="899"/>
      <c r="AF6" s="899"/>
      <c r="AG6" s="899"/>
      <c r="AH6" s="899"/>
      <c r="AI6" s="899"/>
      <c r="AJ6" s="899"/>
      <c r="AK6" s="899"/>
      <c r="AL6" s="899"/>
      <c r="AM6" s="899"/>
      <c r="AN6" s="899"/>
      <c r="AO6" s="899"/>
      <c r="AP6" s="899"/>
      <c r="AQ6" s="899"/>
      <c r="AR6" s="899"/>
      <c r="AS6" s="899"/>
      <c r="AT6" s="899"/>
      <c r="AU6" s="900"/>
      <c r="AV6" s="146"/>
    </row>
    <row r="7" spans="2:48" ht="13.5" customHeight="1" thickBot="1" x14ac:dyDescent="0.25">
      <c r="B7" s="145"/>
      <c r="C7" s="871"/>
      <c r="D7" s="872"/>
      <c r="E7" s="872"/>
      <c r="F7" s="872"/>
      <c r="G7" s="872"/>
      <c r="H7" s="872"/>
      <c r="I7" s="872"/>
      <c r="J7" s="872"/>
      <c r="K7" s="873"/>
      <c r="L7" s="901"/>
      <c r="M7" s="902"/>
      <c r="N7" s="902"/>
      <c r="O7" s="902"/>
      <c r="P7" s="902"/>
      <c r="Q7" s="902"/>
      <c r="R7" s="902"/>
      <c r="S7" s="902"/>
      <c r="T7" s="902"/>
      <c r="U7" s="902"/>
      <c r="V7" s="902"/>
      <c r="W7" s="902"/>
      <c r="X7" s="902"/>
      <c r="Y7" s="902"/>
      <c r="Z7" s="902"/>
      <c r="AA7" s="902"/>
      <c r="AB7" s="902"/>
      <c r="AC7" s="902"/>
      <c r="AD7" s="902"/>
      <c r="AE7" s="902"/>
      <c r="AF7" s="902"/>
      <c r="AG7" s="902"/>
      <c r="AH7" s="902"/>
      <c r="AI7" s="902"/>
      <c r="AJ7" s="902"/>
      <c r="AK7" s="902"/>
      <c r="AL7" s="902"/>
      <c r="AM7" s="902"/>
      <c r="AN7" s="902"/>
      <c r="AO7" s="902"/>
      <c r="AP7" s="902"/>
      <c r="AQ7" s="902"/>
      <c r="AR7" s="902"/>
      <c r="AS7" s="902"/>
      <c r="AT7" s="902"/>
      <c r="AU7" s="903"/>
      <c r="AV7" s="146"/>
    </row>
    <row r="8" spans="2:48" x14ac:dyDescent="0.2">
      <c r="B8" s="145"/>
      <c r="C8" s="141"/>
      <c r="D8" s="141"/>
      <c r="E8" s="141"/>
      <c r="F8" s="141"/>
      <c r="G8" s="141"/>
      <c r="H8" s="141"/>
      <c r="I8" s="141"/>
      <c r="J8" s="141"/>
      <c r="K8" s="141"/>
      <c r="L8" s="141"/>
      <c r="M8" s="141"/>
      <c r="N8" s="141"/>
      <c r="O8" s="141"/>
      <c r="P8" s="141"/>
      <c r="Q8" s="141"/>
      <c r="R8" s="141"/>
      <c r="S8" s="141"/>
      <c r="T8" s="141"/>
      <c r="U8" s="141"/>
      <c r="V8" s="141"/>
      <c r="W8" s="141"/>
      <c r="X8" s="141"/>
      <c r="Y8" s="141"/>
      <c r="Z8" s="141"/>
      <c r="AA8" s="141"/>
      <c r="AB8" s="141"/>
      <c r="AC8" s="141"/>
      <c r="AD8" s="141"/>
      <c r="AE8" s="141"/>
      <c r="AF8" s="141"/>
      <c r="AG8" s="141"/>
      <c r="AH8" s="141"/>
      <c r="AI8" s="141"/>
      <c r="AJ8" s="141"/>
      <c r="AK8" s="141"/>
      <c r="AL8" s="141"/>
      <c r="AM8" s="141"/>
      <c r="AN8" s="141"/>
      <c r="AO8" s="141"/>
      <c r="AP8" s="141"/>
      <c r="AQ8" s="141"/>
      <c r="AR8" s="141"/>
      <c r="AS8" s="141"/>
      <c r="AT8" s="141"/>
      <c r="AU8" s="141"/>
      <c r="AV8" s="146"/>
    </row>
    <row r="9" spans="2:48" x14ac:dyDescent="0.2">
      <c r="B9" s="145"/>
      <c r="C9" s="887" t="s">
        <v>395</v>
      </c>
      <c r="D9" s="887"/>
      <c r="E9" s="887"/>
      <c r="F9" s="887"/>
      <c r="G9" s="887"/>
      <c r="H9" s="887"/>
      <c r="I9" s="887"/>
      <c r="J9" s="887"/>
      <c r="K9" s="891">
        <f>D11+(D12/6)+(D13/15)+(D14/5)+(D15/13)+(D16/4)</f>
        <v>0.16255512820512821</v>
      </c>
      <c r="L9" s="891"/>
      <c r="M9" s="161" t="s">
        <v>292</v>
      </c>
      <c r="N9" s="141"/>
      <c r="O9" s="141"/>
      <c r="P9" s="141"/>
      <c r="Q9" s="141"/>
      <c r="R9" s="141"/>
      <c r="S9" s="141"/>
      <c r="T9" s="141"/>
      <c r="U9" s="141"/>
      <c r="V9" s="141"/>
      <c r="W9" s="141"/>
      <c r="X9" s="141"/>
      <c r="Y9" s="162"/>
      <c r="Z9" s="887" t="s">
        <v>395</v>
      </c>
      <c r="AA9" s="887"/>
      <c r="AB9" s="887"/>
      <c r="AC9" s="887"/>
      <c r="AD9" s="887"/>
      <c r="AE9" s="887"/>
      <c r="AF9" s="887"/>
      <c r="AG9" s="887"/>
      <c r="AH9" s="891">
        <f>AA11+AA12/6+(AA13+AA14+AA15)/5+(AA16+AA17)/15</f>
        <v>0.16283333333333333</v>
      </c>
      <c r="AI9" s="891"/>
      <c r="AJ9" s="161" t="s">
        <v>292</v>
      </c>
      <c r="AK9" s="141"/>
      <c r="AL9" s="141"/>
      <c r="AM9" s="141"/>
      <c r="AN9" s="141"/>
      <c r="AO9" s="141"/>
      <c r="AP9" s="141"/>
      <c r="AQ9" s="141"/>
      <c r="AR9" s="141"/>
      <c r="AS9" s="141"/>
      <c r="AT9" s="141"/>
      <c r="AU9" s="141"/>
      <c r="AV9" s="146"/>
    </row>
    <row r="10" spans="2:48" ht="13.5" thickBot="1" x14ac:dyDescent="0.25">
      <c r="B10" s="145"/>
      <c r="C10" s="141"/>
      <c r="D10" s="141"/>
      <c r="E10" s="141"/>
      <c r="F10" s="141"/>
      <c r="G10" s="141"/>
      <c r="H10" s="141"/>
      <c r="I10" s="141"/>
      <c r="J10" s="141"/>
      <c r="K10" s="141"/>
      <c r="L10" s="141"/>
      <c r="M10" s="141"/>
      <c r="N10" s="141"/>
      <c r="O10" s="141"/>
      <c r="P10" s="141"/>
      <c r="Q10" s="141"/>
      <c r="R10" s="141"/>
      <c r="S10" s="141"/>
      <c r="T10" s="141"/>
      <c r="U10" s="141"/>
      <c r="V10" s="141"/>
      <c r="W10" s="141"/>
      <c r="X10" s="141"/>
      <c r="Y10" s="162"/>
      <c r="Z10" s="141"/>
      <c r="AA10" s="141"/>
      <c r="AB10" s="141"/>
      <c r="AC10" s="141"/>
      <c r="AD10" s="141"/>
      <c r="AE10" s="141"/>
      <c r="AF10" s="141"/>
      <c r="AG10" s="141"/>
      <c r="AH10" s="141"/>
      <c r="AI10" s="141"/>
      <c r="AJ10" s="141"/>
      <c r="AK10" s="141"/>
      <c r="AL10" s="141"/>
      <c r="AM10" s="141"/>
      <c r="AN10" s="141"/>
      <c r="AO10" s="141"/>
      <c r="AP10" s="141"/>
      <c r="AQ10" s="141"/>
      <c r="AR10" s="141"/>
      <c r="AS10" s="141"/>
      <c r="AT10" s="141"/>
      <c r="AU10" s="141"/>
      <c r="AV10" s="146"/>
    </row>
    <row r="11" spans="2:48" ht="14.25" thickTop="1" thickBot="1" x14ac:dyDescent="0.25">
      <c r="B11" s="145"/>
      <c r="C11" s="157" t="s">
        <v>396</v>
      </c>
      <c r="D11" s="893">
        <v>0.08</v>
      </c>
      <c r="E11" s="894"/>
      <c r="F11" s="163" t="s">
        <v>292</v>
      </c>
      <c r="G11" s="141"/>
      <c r="H11" s="141"/>
      <c r="I11" s="141"/>
      <c r="J11" s="141"/>
      <c r="K11" s="141"/>
      <c r="L11" s="141"/>
      <c r="M11" s="141"/>
      <c r="N11" s="141"/>
      <c r="O11" s="141"/>
      <c r="P11" s="141"/>
      <c r="Q11" s="141"/>
      <c r="R11" s="141"/>
      <c r="S11" s="141"/>
      <c r="T11" s="141"/>
      <c r="U11" s="141"/>
      <c r="V11" s="141"/>
      <c r="W11" s="141"/>
      <c r="X11" s="141"/>
      <c r="Y11" s="162"/>
      <c r="Z11" s="157" t="s">
        <v>396</v>
      </c>
      <c r="AA11" s="893">
        <v>0.08</v>
      </c>
      <c r="AB11" s="894"/>
      <c r="AC11" s="163" t="s">
        <v>292</v>
      </c>
      <c r="AD11" s="141"/>
      <c r="AE11" s="141"/>
      <c r="AF11" s="141"/>
      <c r="AG11" s="141"/>
      <c r="AH11" s="141"/>
      <c r="AI11" s="141"/>
      <c r="AJ11" s="141"/>
      <c r="AK11" s="141"/>
      <c r="AL11" s="141"/>
      <c r="AM11" s="141"/>
      <c r="AN11" s="141"/>
      <c r="AO11" s="141"/>
      <c r="AP11" s="141"/>
      <c r="AQ11" s="141"/>
      <c r="AR11" s="141"/>
      <c r="AS11" s="141"/>
      <c r="AT11" s="141"/>
      <c r="AU11" s="141"/>
      <c r="AV11" s="146"/>
    </row>
    <row r="12" spans="2:48" ht="14.25" thickTop="1" thickBot="1" x14ac:dyDescent="0.25">
      <c r="B12" s="145"/>
      <c r="C12" s="157" t="s">
        <v>397</v>
      </c>
      <c r="D12" s="893">
        <v>0.47099999999999997</v>
      </c>
      <c r="E12" s="894"/>
      <c r="F12" s="163" t="s">
        <v>292</v>
      </c>
      <c r="G12" s="141"/>
      <c r="H12" s="141"/>
      <c r="I12" s="141"/>
      <c r="J12" s="141"/>
      <c r="K12" s="141"/>
      <c r="L12" s="141"/>
      <c r="M12" s="141"/>
      <c r="N12" s="141"/>
      <c r="O12" s="141"/>
      <c r="P12" s="141"/>
      <c r="Q12" s="141"/>
      <c r="R12" s="141"/>
      <c r="S12" s="141"/>
      <c r="T12" s="141"/>
      <c r="U12" s="141"/>
      <c r="V12" s="141"/>
      <c r="W12" s="141"/>
      <c r="X12" s="141"/>
      <c r="Y12" s="162"/>
      <c r="Z12" s="157" t="s">
        <v>397</v>
      </c>
      <c r="AA12" s="893">
        <v>0.47099999999999997</v>
      </c>
      <c r="AB12" s="894"/>
      <c r="AC12" s="163" t="s">
        <v>292</v>
      </c>
      <c r="AD12" s="141"/>
      <c r="AE12" s="141"/>
      <c r="AF12" s="141"/>
      <c r="AG12" s="141"/>
      <c r="AH12" s="141"/>
      <c r="AI12" s="141"/>
      <c r="AJ12" s="141"/>
      <c r="AK12" s="141"/>
      <c r="AL12" s="141"/>
      <c r="AM12" s="141"/>
      <c r="AN12" s="141"/>
      <c r="AO12" s="141"/>
      <c r="AP12" s="141"/>
      <c r="AQ12" s="141"/>
      <c r="AR12" s="141"/>
      <c r="AS12" s="141"/>
      <c r="AT12" s="141"/>
      <c r="AU12" s="141"/>
      <c r="AV12" s="146"/>
    </row>
    <row r="13" spans="2:48" ht="14.25" thickTop="1" thickBot="1" x14ac:dyDescent="0.25">
      <c r="B13" s="145"/>
      <c r="C13" s="157" t="s">
        <v>398</v>
      </c>
      <c r="D13" s="893">
        <v>4.0000000000000001E-3</v>
      </c>
      <c r="E13" s="894"/>
      <c r="F13" s="163" t="s">
        <v>292</v>
      </c>
      <c r="G13" s="141"/>
      <c r="H13" s="141"/>
      <c r="I13" s="141"/>
      <c r="J13" s="141"/>
      <c r="K13" s="141"/>
      <c r="L13" s="141"/>
      <c r="M13" s="141"/>
      <c r="N13" s="141"/>
      <c r="O13" s="141"/>
      <c r="P13" s="141"/>
      <c r="Q13" s="141"/>
      <c r="R13" s="141"/>
      <c r="S13" s="141"/>
      <c r="T13" s="141"/>
      <c r="U13" s="141"/>
      <c r="V13" s="141"/>
      <c r="W13" s="141"/>
      <c r="X13" s="141"/>
      <c r="Y13" s="162"/>
      <c r="Z13" s="157" t="s">
        <v>399</v>
      </c>
      <c r="AA13" s="893">
        <v>1.4999999999999999E-2</v>
      </c>
      <c r="AB13" s="894"/>
      <c r="AC13" s="163" t="s">
        <v>292</v>
      </c>
      <c r="AD13" s="141"/>
      <c r="AE13" s="141"/>
      <c r="AF13" s="141"/>
      <c r="AG13" s="141"/>
      <c r="AH13" s="141"/>
      <c r="AI13" s="141"/>
      <c r="AJ13" s="141"/>
      <c r="AK13" s="141"/>
      <c r="AL13" s="141"/>
      <c r="AM13" s="141"/>
      <c r="AN13" s="141"/>
      <c r="AO13" s="141"/>
      <c r="AP13" s="141"/>
      <c r="AQ13" s="141"/>
      <c r="AR13" s="141"/>
      <c r="AS13" s="141"/>
      <c r="AT13" s="141"/>
      <c r="AU13" s="141"/>
      <c r="AV13" s="146"/>
    </row>
    <row r="14" spans="2:48" ht="14.25" thickTop="1" thickBot="1" x14ac:dyDescent="0.25">
      <c r="B14" s="145"/>
      <c r="C14" s="164" t="s">
        <v>399</v>
      </c>
      <c r="D14" s="893">
        <v>1.4999999999999999E-2</v>
      </c>
      <c r="E14" s="894"/>
      <c r="F14" s="163" t="s">
        <v>292</v>
      </c>
      <c r="G14" s="141"/>
      <c r="H14" s="141"/>
      <c r="I14" s="141"/>
      <c r="J14" s="141"/>
      <c r="K14" s="141"/>
      <c r="L14" s="141"/>
      <c r="M14" s="141"/>
      <c r="N14" s="141"/>
      <c r="O14" s="141"/>
      <c r="P14" s="141"/>
      <c r="Q14" s="141"/>
      <c r="R14" s="141"/>
      <c r="S14" s="141"/>
      <c r="T14" s="141"/>
      <c r="U14" s="141"/>
      <c r="V14" s="141"/>
      <c r="W14" s="141"/>
      <c r="X14" s="141"/>
      <c r="Y14" s="162"/>
      <c r="Z14" s="164" t="s">
        <v>400</v>
      </c>
      <c r="AA14" s="893">
        <v>1E-3</v>
      </c>
      <c r="AB14" s="894"/>
      <c r="AC14" s="163" t="s">
        <v>292</v>
      </c>
      <c r="AD14" s="141"/>
      <c r="AE14" s="141"/>
      <c r="AF14" s="141"/>
      <c r="AG14" s="141"/>
      <c r="AH14" s="141"/>
      <c r="AI14" s="141"/>
      <c r="AJ14" s="141"/>
      <c r="AK14" s="141"/>
      <c r="AL14" s="141"/>
      <c r="AM14" s="141"/>
      <c r="AN14" s="141"/>
      <c r="AO14" s="141"/>
      <c r="AP14" s="141"/>
      <c r="AQ14" s="141"/>
      <c r="AR14" s="141"/>
      <c r="AS14" s="141"/>
      <c r="AT14" s="141"/>
      <c r="AU14" s="141"/>
      <c r="AV14" s="146"/>
    </row>
    <row r="15" spans="2:48" ht="14.25" thickTop="1" thickBot="1" x14ac:dyDescent="0.25">
      <c r="B15" s="145"/>
      <c r="C15" s="164" t="s">
        <v>401</v>
      </c>
      <c r="D15" s="893">
        <v>7.0000000000000001E-3</v>
      </c>
      <c r="E15" s="894"/>
      <c r="F15" s="163" t="s">
        <v>292</v>
      </c>
      <c r="G15" s="141"/>
      <c r="H15" s="141"/>
      <c r="I15" s="141"/>
      <c r="J15" s="141"/>
      <c r="K15" s="141"/>
      <c r="L15" s="141"/>
      <c r="M15" s="141"/>
      <c r="N15" s="141"/>
      <c r="O15" s="141"/>
      <c r="P15" s="141"/>
      <c r="Q15" s="141"/>
      <c r="R15" s="141"/>
      <c r="S15" s="141"/>
      <c r="T15" s="141"/>
      <c r="U15" s="141"/>
      <c r="V15" s="141"/>
      <c r="W15" s="141"/>
      <c r="X15" s="141"/>
      <c r="Y15" s="162"/>
      <c r="Z15" s="164" t="s">
        <v>402</v>
      </c>
      <c r="AA15" s="893">
        <v>2E-3</v>
      </c>
      <c r="AB15" s="894"/>
      <c r="AC15" s="163" t="s">
        <v>292</v>
      </c>
      <c r="AD15" s="141"/>
      <c r="AE15" s="141"/>
      <c r="AF15" s="141"/>
      <c r="AG15" s="141"/>
      <c r="AH15" s="141"/>
      <c r="AI15" s="141"/>
      <c r="AJ15" s="141"/>
      <c r="AK15" s="141"/>
      <c r="AL15" s="141"/>
      <c r="AM15" s="141"/>
      <c r="AN15" s="141"/>
      <c r="AO15" s="141"/>
      <c r="AP15" s="141"/>
      <c r="AQ15" s="141"/>
      <c r="AR15" s="141"/>
      <c r="AS15" s="141"/>
      <c r="AT15" s="141"/>
      <c r="AU15" s="141"/>
      <c r="AV15" s="146"/>
    </row>
    <row r="16" spans="2:48" ht="14.25" thickTop="1" thickBot="1" x14ac:dyDescent="0.25">
      <c r="B16" s="145"/>
      <c r="C16" s="164" t="s">
        <v>400</v>
      </c>
      <c r="D16" s="893">
        <v>1E-3</v>
      </c>
      <c r="E16" s="894"/>
      <c r="F16" s="163" t="s">
        <v>292</v>
      </c>
      <c r="G16" s="141"/>
      <c r="H16" s="141"/>
      <c r="I16" s="141"/>
      <c r="J16" s="141"/>
      <c r="K16" s="141"/>
      <c r="L16" s="141"/>
      <c r="M16" s="141"/>
      <c r="N16" s="141"/>
      <c r="O16" s="141"/>
      <c r="P16" s="141"/>
      <c r="Q16" s="141"/>
      <c r="R16" s="141"/>
      <c r="S16" s="141"/>
      <c r="T16" s="141"/>
      <c r="U16" s="141"/>
      <c r="V16" s="141"/>
      <c r="W16" s="141"/>
      <c r="X16" s="141"/>
      <c r="Y16" s="162"/>
      <c r="Z16" s="164" t="s">
        <v>398</v>
      </c>
      <c r="AA16" s="893">
        <v>4.0000000000000001E-3</v>
      </c>
      <c r="AB16" s="894"/>
      <c r="AC16" s="163" t="s">
        <v>292</v>
      </c>
      <c r="AD16" s="141"/>
      <c r="AE16" s="141"/>
      <c r="AF16" s="141"/>
      <c r="AG16" s="141"/>
      <c r="AH16" s="141"/>
      <c r="AI16" s="141"/>
      <c r="AJ16" s="141"/>
      <c r="AK16" s="141"/>
      <c r="AL16" s="141"/>
      <c r="AM16" s="141"/>
      <c r="AN16" s="141"/>
      <c r="AO16" s="141"/>
      <c r="AP16" s="141"/>
      <c r="AQ16" s="141"/>
      <c r="AR16" s="141"/>
      <c r="AS16" s="141"/>
      <c r="AT16" s="141"/>
      <c r="AU16" s="141"/>
      <c r="AV16" s="146"/>
    </row>
    <row r="17" spans="2:48" ht="14.25" thickTop="1" thickBot="1" x14ac:dyDescent="0.25">
      <c r="B17" s="145"/>
      <c r="C17" s="152"/>
      <c r="D17" s="141"/>
      <c r="E17" s="141"/>
      <c r="F17" s="141"/>
      <c r="G17" s="141"/>
      <c r="H17" s="141"/>
      <c r="I17" s="141"/>
      <c r="J17" s="141"/>
      <c r="K17" s="141"/>
      <c r="L17" s="141"/>
      <c r="M17" s="141"/>
      <c r="N17" s="141"/>
      <c r="O17" s="141"/>
      <c r="P17" s="141"/>
      <c r="Q17" s="141"/>
      <c r="R17" s="141"/>
      <c r="S17" s="141"/>
      <c r="T17" s="141"/>
      <c r="U17" s="141"/>
      <c r="V17" s="141"/>
      <c r="W17" s="141"/>
      <c r="X17" s="141"/>
      <c r="Y17" s="162"/>
      <c r="Z17" s="164" t="s">
        <v>401</v>
      </c>
      <c r="AA17" s="893">
        <v>7.0000000000000001E-3</v>
      </c>
      <c r="AB17" s="894"/>
      <c r="AC17" s="163" t="s">
        <v>292</v>
      </c>
      <c r="AD17" s="141"/>
      <c r="AE17" s="141"/>
      <c r="AF17" s="141"/>
      <c r="AG17" s="141"/>
      <c r="AH17" s="141"/>
      <c r="AI17" s="141"/>
      <c r="AJ17" s="141"/>
      <c r="AK17" s="141"/>
      <c r="AL17" s="141"/>
      <c r="AM17" s="141"/>
      <c r="AN17" s="141"/>
      <c r="AO17" s="141"/>
      <c r="AP17" s="141"/>
      <c r="AQ17" s="141"/>
      <c r="AR17" s="141"/>
      <c r="AS17" s="141"/>
      <c r="AT17" s="141"/>
      <c r="AU17" s="141"/>
      <c r="AV17" s="146"/>
    </row>
    <row r="18" spans="2:48" ht="13.5" thickTop="1" x14ac:dyDescent="0.2">
      <c r="B18" s="145"/>
      <c r="C18" s="141"/>
      <c r="D18" s="141"/>
      <c r="E18" s="141"/>
      <c r="F18" s="141"/>
      <c r="G18" s="141"/>
      <c r="H18" s="141"/>
      <c r="I18" s="141"/>
      <c r="J18" s="141"/>
      <c r="K18" s="141"/>
      <c r="L18" s="141"/>
      <c r="M18" s="141"/>
      <c r="N18" s="141"/>
      <c r="O18" s="141"/>
      <c r="P18" s="141"/>
      <c r="Q18" s="141"/>
      <c r="R18" s="141"/>
      <c r="S18" s="141"/>
      <c r="T18" s="141"/>
      <c r="U18" s="141"/>
      <c r="V18" s="141"/>
      <c r="W18" s="141"/>
      <c r="X18" s="141"/>
      <c r="Y18" s="162"/>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6"/>
    </row>
    <row r="19" spans="2:48" x14ac:dyDescent="0.2">
      <c r="B19" s="145"/>
      <c r="C19" s="141"/>
      <c r="D19" s="141"/>
      <c r="E19" s="141"/>
      <c r="F19" s="141"/>
      <c r="G19" s="141"/>
      <c r="H19" s="141"/>
      <c r="I19" s="141"/>
      <c r="J19" s="141"/>
      <c r="K19" s="141"/>
      <c r="L19" s="141"/>
      <c r="M19" s="141"/>
      <c r="N19" s="141"/>
      <c r="O19" s="141"/>
      <c r="P19" s="141"/>
      <c r="Q19" s="141"/>
      <c r="R19" s="141"/>
      <c r="S19" s="141"/>
      <c r="T19" s="141"/>
      <c r="U19" s="141"/>
      <c r="V19" s="141"/>
      <c r="W19" s="141"/>
      <c r="X19" s="141"/>
      <c r="Y19" s="162"/>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6"/>
    </row>
    <row r="20" spans="2:48" x14ac:dyDescent="0.2">
      <c r="B20" s="145"/>
      <c r="C20" s="141"/>
      <c r="D20" s="141"/>
      <c r="E20" s="141"/>
      <c r="F20" s="141"/>
      <c r="G20" s="141"/>
      <c r="H20" s="141"/>
      <c r="I20" s="141"/>
      <c r="J20" s="141"/>
      <c r="K20" s="141"/>
      <c r="L20" s="141"/>
      <c r="M20" s="141"/>
      <c r="N20" s="141"/>
      <c r="O20" s="141"/>
      <c r="P20" s="141"/>
      <c r="Q20" s="141"/>
      <c r="R20" s="141"/>
      <c r="S20" s="141"/>
      <c r="T20" s="141"/>
      <c r="U20" s="141"/>
      <c r="V20" s="141"/>
      <c r="W20" s="141"/>
      <c r="X20" s="141"/>
      <c r="Y20" s="162"/>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6"/>
    </row>
    <row r="21" spans="2:48" x14ac:dyDescent="0.2">
      <c r="B21" s="145"/>
      <c r="C21" s="141"/>
      <c r="D21" s="141"/>
      <c r="E21" s="141"/>
      <c r="F21" s="141"/>
      <c r="G21" s="141"/>
      <c r="H21" s="141"/>
      <c r="I21" s="141"/>
      <c r="J21" s="141"/>
      <c r="K21" s="141"/>
      <c r="L21" s="141"/>
      <c r="M21" s="141"/>
      <c r="N21" s="141"/>
      <c r="O21" s="141"/>
      <c r="P21" s="141"/>
      <c r="Q21" s="141"/>
      <c r="R21" s="141"/>
      <c r="S21" s="141"/>
      <c r="T21" s="141"/>
      <c r="U21" s="141"/>
      <c r="V21" s="141"/>
      <c r="W21" s="141"/>
      <c r="X21" s="141"/>
      <c r="Y21" s="162"/>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6"/>
    </row>
    <row r="22" spans="2:48" x14ac:dyDescent="0.2">
      <c r="B22" s="145"/>
      <c r="C22" s="141"/>
      <c r="D22" s="141"/>
      <c r="E22" s="141"/>
      <c r="F22" s="141"/>
      <c r="G22" s="141"/>
      <c r="H22" s="141"/>
      <c r="I22" s="141"/>
      <c r="J22" s="141"/>
      <c r="K22" s="141"/>
      <c r="L22" s="141"/>
      <c r="M22" s="141"/>
      <c r="N22" s="141"/>
      <c r="O22" s="141"/>
      <c r="P22" s="141"/>
      <c r="Q22" s="141"/>
      <c r="R22" s="141"/>
      <c r="S22" s="141"/>
      <c r="T22" s="141"/>
      <c r="U22" s="141"/>
      <c r="V22" s="141"/>
      <c r="W22" s="141"/>
      <c r="X22" s="141"/>
      <c r="Y22" s="162"/>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6"/>
    </row>
    <row r="23" spans="2:48" x14ac:dyDescent="0.2">
      <c r="B23" s="145"/>
      <c r="C23" s="141"/>
      <c r="D23" s="141"/>
      <c r="E23" s="141"/>
      <c r="F23" s="141"/>
      <c r="G23" s="141"/>
      <c r="H23" s="141"/>
      <c r="I23" s="141"/>
      <c r="J23" s="141"/>
      <c r="K23" s="141"/>
      <c r="L23" s="141"/>
      <c r="M23" s="141"/>
      <c r="N23" s="141"/>
      <c r="O23" s="141"/>
      <c r="P23" s="141"/>
      <c r="Q23" s="141"/>
      <c r="R23" s="141"/>
      <c r="S23" s="141"/>
      <c r="T23" s="141"/>
      <c r="U23" s="141"/>
      <c r="V23" s="141"/>
      <c r="W23" s="141"/>
      <c r="X23" s="141"/>
      <c r="Y23" s="162"/>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6"/>
    </row>
    <row r="24" spans="2:48" x14ac:dyDescent="0.2">
      <c r="B24" s="145"/>
      <c r="C24" s="141"/>
      <c r="D24" s="141"/>
      <c r="E24" s="141"/>
      <c r="F24" s="141"/>
      <c r="G24" s="141"/>
      <c r="H24" s="141"/>
      <c r="I24" s="141"/>
      <c r="J24" s="141"/>
      <c r="K24" s="141"/>
      <c r="L24" s="141"/>
      <c r="M24" s="141"/>
      <c r="N24" s="141"/>
      <c r="O24" s="141"/>
      <c r="P24" s="141"/>
      <c r="Q24" s="141"/>
      <c r="R24" s="141"/>
      <c r="S24" s="141"/>
      <c r="T24" s="141"/>
      <c r="U24" s="141"/>
      <c r="V24" s="141"/>
      <c r="W24" s="141"/>
      <c r="X24" s="141"/>
      <c r="Y24" s="162"/>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6"/>
    </row>
    <row r="25" spans="2:48" x14ac:dyDescent="0.2">
      <c r="B25" s="145"/>
      <c r="C25" s="141"/>
      <c r="D25" s="141"/>
      <c r="E25" s="141"/>
      <c r="F25" s="141"/>
      <c r="G25" s="141"/>
      <c r="H25" s="141"/>
      <c r="I25" s="141"/>
      <c r="J25" s="141"/>
      <c r="K25" s="141"/>
      <c r="L25" s="141"/>
      <c r="M25" s="141"/>
      <c r="N25" s="141"/>
      <c r="O25" s="141"/>
      <c r="P25" s="141"/>
      <c r="Q25" s="141"/>
      <c r="R25" s="141"/>
      <c r="S25" s="141"/>
      <c r="T25" s="141"/>
      <c r="U25" s="141"/>
      <c r="V25" s="141"/>
      <c r="W25" s="141"/>
      <c r="X25" s="141"/>
      <c r="Y25" s="162"/>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6"/>
    </row>
    <row r="26" spans="2:48" x14ac:dyDescent="0.2">
      <c r="B26" s="145"/>
      <c r="C26" s="141"/>
      <c r="D26" s="141"/>
      <c r="E26" s="141"/>
      <c r="F26" s="141"/>
      <c r="G26" s="141"/>
      <c r="H26" s="141"/>
      <c r="I26" s="141"/>
      <c r="J26" s="141"/>
      <c r="K26" s="141"/>
      <c r="L26" s="141"/>
      <c r="M26" s="141"/>
      <c r="N26" s="141"/>
      <c r="O26" s="141"/>
      <c r="P26" s="141"/>
      <c r="Q26" s="141"/>
      <c r="R26" s="141"/>
      <c r="S26" s="141"/>
      <c r="T26" s="141"/>
      <c r="U26" s="141"/>
      <c r="V26" s="141"/>
      <c r="W26" s="141"/>
      <c r="X26" s="141"/>
      <c r="Y26" s="162"/>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6"/>
    </row>
    <row r="27" spans="2:48" x14ac:dyDescent="0.2">
      <c r="B27" s="145"/>
      <c r="C27" s="141"/>
      <c r="D27" s="141"/>
      <c r="E27" s="141"/>
      <c r="F27" s="141"/>
      <c r="G27" s="141"/>
      <c r="H27" s="141"/>
      <c r="I27" s="141"/>
      <c r="J27" s="141"/>
      <c r="K27" s="141"/>
      <c r="L27" s="141"/>
      <c r="M27" s="141"/>
      <c r="N27" s="141"/>
      <c r="O27" s="141"/>
      <c r="P27" s="141"/>
      <c r="Q27" s="141"/>
      <c r="R27" s="141"/>
      <c r="S27" s="141"/>
      <c r="T27" s="141"/>
      <c r="U27" s="141"/>
      <c r="V27" s="141"/>
      <c r="W27" s="141"/>
      <c r="X27" s="141"/>
      <c r="Y27" s="162"/>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6"/>
    </row>
    <row r="28" spans="2:48" x14ac:dyDescent="0.2">
      <c r="B28" s="145"/>
      <c r="C28" s="141"/>
      <c r="D28" s="141"/>
      <c r="E28" s="141"/>
      <c r="F28" s="141"/>
      <c r="G28" s="141"/>
      <c r="H28" s="141"/>
      <c r="I28" s="141"/>
      <c r="J28" s="141"/>
      <c r="K28" s="141"/>
      <c r="L28" s="141"/>
      <c r="M28" s="141"/>
      <c r="N28" s="141"/>
      <c r="O28" s="141"/>
      <c r="P28" s="141"/>
      <c r="Q28" s="141"/>
      <c r="R28" s="141"/>
      <c r="S28" s="141"/>
      <c r="T28" s="141"/>
      <c r="U28" s="141"/>
      <c r="V28" s="141"/>
      <c r="W28" s="141"/>
      <c r="X28" s="141"/>
      <c r="Y28" s="162"/>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6"/>
    </row>
    <row r="29" spans="2:48" x14ac:dyDescent="0.2">
      <c r="B29" s="145"/>
      <c r="C29" s="141"/>
      <c r="D29" s="141"/>
      <c r="E29" s="141"/>
      <c r="F29" s="141"/>
      <c r="G29" s="141"/>
      <c r="H29" s="141"/>
      <c r="I29" s="141"/>
      <c r="J29" s="141"/>
      <c r="K29" s="141"/>
      <c r="L29" s="141"/>
      <c r="M29" s="141"/>
      <c r="N29" s="141"/>
      <c r="O29" s="141"/>
      <c r="P29" s="141"/>
      <c r="Q29" s="141"/>
      <c r="R29" s="141"/>
      <c r="S29" s="141"/>
      <c r="T29" s="141"/>
      <c r="U29" s="141"/>
      <c r="V29" s="141"/>
      <c r="W29" s="141"/>
      <c r="X29" s="141"/>
      <c r="Y29" s="162"/>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6"/>
    </row>
    <row r="30" spans="2:48" x14ac:dyDescent="0.2">
      <c r="B30" s="145"/>
      <c r="C30" s="141"/>
      <c r="D30" s="141"/>
      <c r="E30" s="141"/>
      <c r="F30" s="141"/>
      <c r="G30" s="141"/>
      <c r="H30" s="141"/>
      <c r="I30" s="141"/>
      <c r="J30" s="141"/>
      <c r="K30" s="141"/>
      <c r="L30" s="141"/>
      <c r="M30" s="141"/>
      <c r="N30" s="141"/>
      <c r="O30" s="141"/>
      <c r="P30" s="141"/>
      <c r="Q30" s="141"/>
      <c r="R30" s="141"/>
      <c r="S30" s="141"/>
      <c r="T30" s="141"/>
      <c r="U30" s="141"/>
      <c r="V30" s="141"/>
      <c r="W30" s="141"/>
      <c r="X30" s="141"/>
      <c r="Y30" s="162"/>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6"/>
    </row>
    <row r="31" spans="2:48" x14ac:dyDescent="0.2">
      <c r="B31" s="145"/>
      <c r="C31" s="141"/>
      <c r="D31" s="141"/>
      <c r="E31" s="141"/>
      <c r="F31" s="141"/>
      <c r="G31" s="141"/>
      <c r="H31" s="141"/>
      <c r="I31" s="141"/>
      <c r="J31" s="141"/>
      <c r="K31" s="141"/>
      <c r="L31" s="141"/>
      <c r="M31" s="141"/>
      <c r="N31" s="141"/>
      <c r="O31" s="141"/>
      <c r="P31" s="141"/>
      <c r="Q31" s="141"/>
      <c r="R31" s="141"/>
      <c r="S31" s="141"/>
      <c r="T31" s="141"/>
      <c r="U31" s="141"/>
      <c r="V31" s="141"/>
      <c r="W31" s="141"/>
      <c r="X31" s="141"/>
      <c r="Y31" s="162"/>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6"/>
    </row>
    <row r="32" spans="2:48" x14ac:dyDescent="0.2">
      <c r="B32" s="145"/>
      <c r="C32" s="141"/>
      <c r="D32" s="141"/>
      <c r="E32" s="141"/>
      <c r="F32" s="141"/>
      <c r="G32" s="141"/>
      <c r="H32" s="141"/>
      <c r="I32" s="141"/>
      <c r="J32" s="141"/>
      <c r="K32" s="141"/>
      <c r="L32" s="141"/>
      <c r="M32" s="141"/>
      <c r="N32" s="141"/>
      <c r="O32" s="141"/>
      <c r="P32" s="141"/>
      <c r="Q32" s="141"/>
      <c r="R32" s="141"/>
      <c r="S32" s="141"/>
      <c r="T32" s="141"/>
      <c r="U32" s="141"/>
      <c r="V32" s="141"/>
      <c r="W32" s="141"/>
      <c r="X32" s="141"/>
      <c r="Y32" s="162"/>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6"/>
    </row>
    <row r="33" spans="2:48" ht="13.5" thickBot="1" x14ac:dyDescent="0.25">
      <c r="B33" s="147"/>
      <c r="C33" s="148"/>
      <c r="D33" s="148"/>
      <c r="E33" s="148"/>
      <c r="F33" s="148"/>
      <c r="G33" s="148"/>
      <c r="H33" s="148"/>
      <c r="I33" s="148"/>
      <c r="J33" s="148"/>
      <c r="K33" s="165" t="s">
        <v>403</v>
      </c>
      <c r="L33" s="148"/>
      <c r="M33" s="148"/>
      <c r="N33" s="148"/>
      <c r="O33" s="148"/>
      <c r="Q33" s="148"/>
      <c r="R33" s="148"/>
      <c r="S33" s="148"/>
      <c r="T33" s="148"/>
      <c r="U33" s="148"/>
      <c r="V33" s="148"/>
      <c r="W33" s="148"/>
      <c r="X33" s="148"/>
      <c r="Y33" s="148"/>
      <c r="Z33" s="166" t="s">
        <v>404</v>
      </c>
      <c r="AA33" s="148"/>
      <c r="AB33" s="148"/>
      <c r="AC33" s="148"/>
      <c r="AD33" s="148"/>
      <c r="AE33" s="148"/>
      <c r="AF33" s="148"/>
      <c r="AH33" s="148"/>
      <c r="AI33" s="148"/>
      <c r="AJ33" s="148"/>
      <c r="AK33" s="148"/>
      <c r="AL33" s="148"/>
      <c r="AM33" s="148"/>
      <c r="AN33" s="148"/>
      <c r="AO33" s="148"/>
      <c r="AP33" s="148"/>
      <c r="AQ33" s="148"/>
      <c r="AR33" s="148"/>
      <c r="AS33" s="148"/>
      <c r="AT33" s="148"/>
      <c r="AU33" s="148"/>
      <c r="AV33" s="150"/>
    </row>
  </sheetData>
  <mergeCells count="19">
    <mergeCell ref="D11:E11"/>
    <mergeCell ref="AA11:AB11"/>
    <mergeCell ref="C3:K7"/>
    <mergeCell ref="L3:AU7"/>
    <mergeCell ref="C9:J9"/>
    <mergeCell ref="K9:L9"/>
    <mergeCell ref="Z9:AG9"/>
    <mergeCell ref="AH9:AI9"/>
    <mergeCell ref="D16:E16"/>
    <mergeCell ref="AA16:AB16"/>
    <mergeCell ref="AA17:AB17"/>
    <mergeCell ref="D12:E12"/>
    <mergeCell ref="AA12:AB12"/>
    <mergeCell ref="D13:E13"/>
    <mergeCell ref="AA13:AB13"/>
    <mergeCell ref="D15:E15"/>
    <mergeCell ref="AA15:AB15"/>
    <mergeCell ref="D14:E14"/>
    <mergeCell ref="AA14:AB14"/>
  </mergeCells>
  <printOptions horizontalCentered="1"/>
  <pageMargins left="0.78740157480314965" right="0.78740157480314965" top="0.98425196850393704" bottom="0.98425196850393704" header="0.51181102362204722" footer="0.51181102362204722"/>
  <pageSetup paperSize="9" scale="56" orientation="portrait" horizontalDpi="300" verticalDpi="300"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dimension ref="B2:X35"/>
  <sheetViews>
    <sheetView showGridLines="0" showRowColHeaders="0" workbookViewId="0"/>
  </sheetViews>
  <sheetFormatPr defaultRowHeight="12.75" x14ac:dyDescent="0.2"/>
  <cols>
    <col min="2" max="2" width="4.42578125" bestFit="1" customWidth="1"/>
    <col min="3" max="3" width="23.28515625" bestFit="1" customWidth="1"/>
    <col min="4" max="4" width="11" customWidth="1"/>
    <col min="5" max="5" width="4.85546875" customWidth="1"/>
    <col min="7" max="7" width="9.140625" hidden="1" customWidth="1"/>
  </cols>
  <sheetData>
    <row r="2" spans="2:24" ht="18.75" x14ac:dyDescent="0.2">
      <c r="B2" s="904"/>
      <c r="C2" s="904"/>
      <c r="D2" s="904"/>
      <c r="E2" s="904"/>
      <c r="Q2" s="733" t="s">
        <v>560</v>
      </c>
      <c r="R2" s="733"/>
      <c r="S2" s="733"/>
      <c r="T2" s="733"/>
      <c r="U2" s="733"/>
      <c r="V2" s="733"/>
      <c r="W2" s="733"/>
      <c r="X2" s="733"/>
    </row>
    <row r="3" spans="2:24" ht="19.5" thickBot="1" x14ac:dyDescent="0.25">
      <c r="B3" s="733" t="s">
        <v>571</v>
      </c>
      <c r="C3" s="733"/>
      <c r="D3" s="733"/>
      <c r="E3" s="733"/>
    </row>
    <row r="4" spans="2:24" ht="7.5" customHeight="1" thickBot="1" x14ac:dyDescent="0.25">
      <c r="B4" s="32"/>
      <c r="C4" s="32"/>
      <c r="D4" s="32"/>
      <c r="E4" s="71"/>
    </row>
    <row r="5" spans="2:24" x14ac:dyDescent="0.2">
      <c r="B5" s="459"/>
      <c r="C5" s="460" t="s">
        <v>561</v>
      </c>
      <c r="D5" s="461">
        <v>150</v>
      </c>
      <c r="E5" s="28" t="s">
        <v>9</v>
      </c>
      <c r="G5">
        <v>82.688702386860399</v>
      </c>
    </row>
    <row r="6" spans="2:24" x14ac:dyDescent="0.2">
      <c r="B6" s="459"/>
      <c r="C6" s="460" t="s">
        <v>562</v>
      </c>
      <c r="D6" s="461">
        <v>84</v>
      </c>
      <c r="E6" s="28" t="s">
        <v>563</v>
      </c>
      <c r="G6">
        <v>32.194127845257697</v>
      </c>
    </row>
    <row r="7" spans="2:24" x14ac:dyDescent="0.2">
      <c r="B7" s="459"/>
      <c r="C7" s="460" t="s">
        <v>564</v>
      </c>
      <c r="D7" s="462">
        <v>480</v>
      </c>
      <c r="E7" s="28" t="s">
        <v>310</v>
      </c>
      <c r="G7">
        <v>15.1011245789048</v>
      </c>
    </row>
    <row r="8" spans="2:24" ht="15" x14ac:dyDescent="0.25">
      <c r="B8" s="459"/>
      <c r="C8" s="460" t="s">
        <v>565</v>
      </c>
      <c r="D8" s="463">
        <v>520990</v>
      </c>
      <c r="E8" s="28" t="s">
        <v>319</v>
      </c>
      <c r="G8">
        <v>3.2768125708321098E-2</v>
      </c>
      <c r="H8" s="350" t="s">
        <v>566</v>
      </c>
    </row>
    <row r="9" spans="2:24" x14ac:dyDescent="0.2">
      <c r="B9" s="459"/>
      <c r="C9" s="460" t="s">
        <v>567</v>
      </c>
      <c r="D9" s="356">
        <f>D5*G5+D6*G6+D7*G7+D8*G8-G9</f>
        <v>9436.7540819842179</v>
      </c>
      <c r="E9" s="28" t="s">
        <v>568</v>
      </c>
      <c r="G9">
        <v>29991.263625699001</v>
      </c>
    </row>
    <row r="10" spans="2:24" x14ac:dyDescent="0.2">
      <c r="B10" s="407"/>
      <c r="C10" s="133"/>
      <c r="D10" s="28"/>
      <c r="E10" s="28"/>
    </row>
    <row r="12" spans="2:24" ht="18.75" x14ac:dyDescent="0.2">
      <c r="B12" s="733" t="s">
        <v>569</v>
      </c>
      <c r="C12" s="733"/>
      <c r="D12" s="733"/>
    </row>
    <row r="13" spans="2:24" ht="7.5" customHeight="1" x14ac:dyDescent="0.2"/>
    <row r="14" spans="2:24" x14ac:dyDescent="0.2">
      <c r="B14" s="460" t="s">
        <v>408</v>
      </c>
      <c r="C14" s="463">
        <v>50000</v>
      </c>
      <c r="D14" s="442" t="s">
        <v>568</v>
      </c>
    </row>
    <row r="15" spans="2:24" x14ac:dyDescent="0.2">
      <c r="B15" s="460" t="s">
        <v>409</v>
      </c>
      <c r="C15" s="463">
        <v>75000</v>
      </c>
      <c r="D15" s="442" t="s">
        <v>568</v>
      </c>
    </row>
    <row r="35" spans="17:24" x14ac:dyDescent="0.2">
      <c r="Q35" s="905" t="s">
        <v>570</v>
      </c>
      <c r="R35" s="905"/>
      <c r="S35" s="905"/>
      <c r="T35" s="905"/>
      <c r="U35" s="905"/>
      <c r="V35" s="905"/>
      <c r="W35" s="905"/>
      <c r="X35" s="905"/>
    </row>
  </sheetData>
  <mergeCells count="5">
    <mergeCell ref="B2:E2"/>
    <mergeCell ref="Q2:X2"/>
    <mergeCell ref="B3:E3"/>
    <mergeCell ref="B12:D12"/>
    <mergeCell ref="Q35:X35"/>
  </mergeCells>
  <pageMargins left="0.511811024" right="0.511811024" top="0.78740157499999996" bottom="0.78740157499999996" header="0.31496062000000002" footer="0.31496062000000002"/>
  <pageSetup paperSize="9" orientation="portrait" horizontalDpi="300" verticalDpi="300" r:id="rId1"/>
  <drawing r:id="rId2"/>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 Id="rollforming" Type="http://schemas.openxmlformats.org/officeDocument/2006/relationships/image" Target="images/rollforming.png"/><Relationship Id="secaoquadrada" Type="http://schemas.openxmlformats.org/officeDocument/2006/relationships/image" Target="images/secaoquadrada.png"/><Relationship Id="tubes" Type="http://schemas.openxmlformats.org/officeDocument/2006/relationships/image" Target="images/tubes.png"/><Relationship Id="KFactor" Type="http://schemas.openxmlformats.org/officeDocument/2006/relationships/image" Target="images/KFactor.png"/><Relationship Id="width" Type="http://schemas.openxmlformats.org/officeDocument/2006/relationships/image" Target="images/width.png"/><Relationship Id="soldagem" Type="http://schemas.openxmlformats.org/officeDocument/2006/relationships/image" Target="images/soldagem.png"/></Relationships>
</file>

<file path=customUI/customUI14.xml><?xml version="1.0" encoding="utf-8"?>
<customUI xmlns="http://schemas.microsoft.com/office/2009/07/customui" onLoad="ribbonLoaded">
  <ribbon startFromScratch="false">
    <tabs>
      <tab idMso="TabPageLayoutExcel" visible="false"/>
      <tab idMso="TabView" visible="false"/>
      <tab idMso="TabReview" visible="false"/>
      <tab idMso="TabDeveloper" visible="false"/>
      <tab idMso="TabAddIns" visible="false"/>
      <tab id="customTab" insertBeforeMso="TabHome" label="Estudos de Viabilidades">
        <group id="customGroup3" label="Navegação">
          <button id="btn-id4" label="Home" imageMso="BlogHomePage" size="normal" onAction="MyRibbon.btn4"/>
          <button id="btn-id5" label="Listas de Dados" imageMso="DataFormSource" size="normal" onAction="MyRibbon.btn5"/>
          <button id="btn-id6" label="Investimentos" imageMso="AccountingFormat" size="normal" onAction="MyRibbon.btn6"/>
          <separator id="separator-a"/>
          <button id="btn-std1" getLabel="GetButtonLabelSTD1" getEnabled="IsButtonEnabledSTD1" onAction="MyRibbon.AtivarProjetoBTN"/>
          <button id="btn-std2" getLabel="GetButtonLabelSTD2" getEnabled="IsButtonEnabledSTD2" onAction="MyRibbon.AtivarProjetoBTN"/>
          <button id="btn-std3" getLabel="GetButtonLabelSTD3" getEnabled="IsButtonEnabledSTD3" onAction="MyRibbon.AtivarProjetoBTN"/>
          <button id="btn-std4" getLabel="GetButtonLabelSTD4" getEnabled="IsButtonEnabledSTD4" onAction="MyRibbon.AtivarProjetoBTN"/>
          <button id="btn-std5" getLabel="GetButtonLabelSTD5" getEnabled="IsButtonEnabledSTD5" onAction="MyRibbon.AtivarProjetoBTN"/>
          <button id="btn-std6" getLabel="GetButtonLabelSTD6" getEnabled="IsButtonEnabledSTD6" onAction="MyRibbon.AtivarProjetoBTN"/>
          <button id="btn-std7" getLabel="GetButtonLabelSTD7" getEnabled="IsButtonEnabledSTD7" onAction="MyRibbon.AtivarProjetoBTN"/>
          <button id="btn-std8" getLabel="GetButtonLabelSTD8" getEnabled="IsButtonEnabledSTD8" onAction="MyRibbon.AtivarProjetoBTN"/>
          <button id="btn-std9" getLabel="GetButtonLabelSTD9" getEnabled="IsButtonEnabledSTD9" onAction="MyRibbon.AtivarProjetoBTN"/>
          <button id="btn-std10" getLabel="GetButtonLabelSTD10" getEnabled="IsButtonEnabledSTD10" onAction="MyRibbon.AtivarProjetoBTN"/>
          <button id="btn-std11" getLabel="GetButtonLabelSTD11" getEnabled="IsButtonEnabledSTD11" onAction="MyRibbon.AtivarProjetoBTN"/>
          <button id="btn-std12" getLabel="GetButtonLabelSTD12" getEnabled="IsButtonEnabledSTD12" onAction="MyRibbon.AtivarProjetoBTN"/>
          <button id="btn-std13" getLabel="GetButtonLabelSTD13" getEnabled="IsButtonEnabledSTD13" onAction="MyRibbon.AtivarProjetoBTN"/>
          <button id="btn-std14" getLabel="GetButtonLabelSTD14" getEnabled="IsButtonEnabledSTD14" onAction="MyRibbon.AtivarProjetoBTN"/>
          <button id="btn-std15" getLabel="GetButtonLabelSTD15" getEnabled="IsButtonEnabledSTD15" onAction="MyRibbon.AtivarProjetoBTN"/>
          <button id="btn-std16" getLabel="GetButtonLabelSTD16" getEnabled="IsButtonEnabledSTD16" onAction="MyRibbon.AtivarProjetoBTN"/>
          <button id="btn-std17" getLabel="GetButtonLabelSTD17" getEnabled="IsButtonEnabledSTD17" onAction="MyRibbon.AtivarProjetoBTN"/>
          <button id="btn-std18" getLabel="GetButtonLabelSTD18" getEnabled="IsButtonEnabledSTD18" onAction="MyRibbon.AtivarProjetoBTN"/>
          <separator id="separator-b"/>
          <button id="btn-id9" label="Pre Punching PF1" size="normal" onAction="MyRibbon.btn9"/>
          <button id="btn-id10" label="Pre Punching PF3" size="normal" onAction="MyRibbon.btn10"/>
          <menu id="menu-id1" label="Mostrar" imageMso="DatasheetColumnLookup" size="normal">
            <checkBox id="checkBox-id1" label="Abas" screentip="Exibir/ocultar Abas das Planilhas" onAction="MyRibbon.chbx1"/>
            <checkBox id="checkBox-id2" label="Barra de Fórmulas" screentip="Exibir/ocultar Barra de Fórmulas" onAction="MyRibbon.chbx2"/>
            <checkBox id="checkBox-id3" label="Linhas de Grades" screentip="Exibir/ocultar Grades" onAction="MyRibbon.chbx3"/>
            <checkBox id="checkBox-id4" label="Títulos" screentip="Exibir/ocultar Títulos" onAction="MyRibbon.chbx4"/>
          </menu>
        </group>
        <group id="GroupCalculation" label="Auxílio">
          <button id="TempoCorteSerra" label="Tempo Corte Serra" imageMso="HeaderFooterCurrentTimeInsert" size="normal" onAction="MyRibbon.btn7"/>
          <button id="BitolaOrigem" label="Bitola de Origem" size="normal" image="tubes" onAction="MyRibbon.bitolaorigembtn"/>
          <button id="mmxinches" label="mm X Polegadas" size="normal" imageMso="FormattingUnique" onAction="MyRibbon.mmxinchesbtn"/>
          <button id="speedconvert" label="Converter Velocidades" size="normal" imageMso="CircularReferences" onAction="MyRibbon.speedconvertbtn"/>
          <button id="KFactor" label="Fator de Dobra k" size="normal" image="KFactor" onAction="MyRibbon.KFactorbtn"/>
          <button id="ProfileSheet" label="Tira de Perfis" size="normal" image="width" onAction="MyRibbon.ProfileSheetbtn"/>
        </group>
        <group id="GroupStudy" label="Estudos">
          <splitButton id="splitButton1" size="large">
            <button id="NewStudyBTN" label="Novo Estudo" imageMso="DatasheetColumnLookup" onAction="MyRibbon.btn2"/>
            <menu id="NewStudyMenu" label="Acomapanhamento" itemSize="large">
              <menuSeparator id="Menuseparator1" title="Estudos"/>
              <button id="btn-id2" label="RollForming e A.O." screentip="Criar Novo estudo sobre RollForming ou After Operation" image="rollforming" onAction="MyRibbon.btn2"/>
              <button id="btn-id3" label="Conjuntos Soldados" screentip="Criar Novo estudo sobre Conjuntos Soldados" image="soldagem" onAction="MyRibbon.btn3"/>
            </menu>
          </splitButton>
          <button id="btn-DeleteStudy" label="Deletar Estudo" screentip="Deletar todo o estudo atual ou selecionar um estudo a ser deletado" imageMso="ReviewRejectChange" onAction="MyRibbon.btnDeleteStudy"/>
          <button id="btn-ChangeStudy" label="Alterar Estudo" screentip="Alterar o número do estudo atual ou selecionar um estudo a ser alterado" imageMso="ReviewAcceptChange" onAction="MyRibbon.btnChangeStudy"/>
          <button id="btn-CopyStudy" label="Copiar Estudo" screentip="Copiar um estudo para um novo número" imageMso="SharePointListsDiscardAllChanges" onAction="MyRibbon.btnCopyStudy"/>
        </group>
        <group id="GroupAutomation" label="Automação">
          <button id="GerarArquivoCarga" label="Gerar Arquivo para Carga" imageMso="ExportXmlFile" size="large" onAction="MyRibbon.GerarArquivoCarga" screentip="Gerar arquivo para carga com Cronus"/>
          <button id="GerarPDF" label="Gerar PDF" imageMso="PublishToPdfOrEdoc" size="large" onAction="MyRibbon.GerarPDF" screentip="Gerar PDF da análise técnica."/>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22</vt:i4>
      </vt:variant>
      <vt:variant>
        <vt:lpstr>Intervalos nomeados</vt:lpstr>
      </vt:variant>
      <vt:variant>
        <vt:i4>10</vt:i4>
      </vt:variant>
    </vt:vector>
  </HeadingPairs>
  <TitlesOfParts>
    <vt:vector size="32" baseType="lpstr">
      <vt:lpstr>PJT XXXX</vt:lpstr>
      <vt:lpstr>(F01 a F06)+AO</vt:lpstr>
      <vt:lpstr>(F07)+AO</vt:lpstr>
      <vt:lpstr>(PF01 e PF02)+AO</vt:lpstr>
      <vt:lpstr>C.S. PJT XXXX</vt:lpstr>
      <vt:lpstr>Conjuntos Soldados</vt:lpstr>
      <vt:lpstr>HOME</vt:lpstr>
      <vt:lpstr>Listas de Dados</vt:lpstr>
      <vt:lpstr>Investimentos</vt:lpstr>
      <vt:lpstr>Pre Punching-PF03</vt:lpstr>
      <vt:lpstr>Pre Punching-PF01</vt:lpstr>
      <vt:lpstr>Dados Slliter</vt:lpstr>
      <vt:lpstr>Embalagem</vt:lpstr>
      <vt:lpstr>Hora-Máquina</vt:lpstr>
      <vt:lpstr>Largura de Tira - Tubo</vt:lpstr>
      <vt:lpstr>Perfil Padrão</vt:lpstr>
      <vt:lpstr>Bobina x tira</vt:lpstr>
      <vt:lpstr>Simuladores</vt:lpstr>
      <vt:lpstr>mm x inches</vt:lpstr>
      <vt:lpstr>Peso de Tira</vt:lpstr>
      <vt:lpstr>Carbono Equivalente</vt:lpstr>
      <vt:lpstr>FORÇA DE DOBRA</vt:lpstr>
      <vt:lpstr>AfterOperation</vt:lpstr>
      <vt:lpstr>'C.S. PJT XXXX'!Area_de_impressao</vt:lpstr>
      <vt:lpstr>'Carbono Equivalente'!Area_de_impressao</vt:lpstr>
      <vt:lpstr>'mm x inches'!Area_de_impressao</vt:lpstr>
      <vt:lpstr>'Peso de Tira'!Area_de_impressao</vt:lpstr>
      <vt:lpstr>'PJT XXXX'!Area_de_impressao</vt:lpstr>
      <vt:lpstr>CélulasDeSolda</vt:lpstr>
      <vt:lpstr>Conf.Convencional</vt:lpstr>
      <vt:lpstr>Conf.Perfis</vt:lpstr>
      <vt:lpstr>DirectForming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Boff Arthur</dc:creator>
  <cp:lastModifiedBy>Boff Arthur</cp:lastModifiedBy>
  <cp:lastPrinted>2022-03-31T15:45:30Z</cp:lastPrinted>
  <dcterms:created xsi:type="dcterms:W3CDTF">2011-04-12T19:30:48Z</dcterms:created>
  <dcterms:modified xsi:type="dcterms:W3CDTF">2022-05-09T18:01:30Z</dcterms:modified>
</cp:coreProperties>
</file>