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Howard\Documents\Bristol\Covid-19\Cost-effectiveness of lockdowns\covid_cea\data\"/>
    </mc:Choice>
  </mc:AlternateContent>
  <xr:revisionPtr revIDLastSave="0" documentId="13_ncr:1_{49C6A448-86A9-434D-B0FA-663FB1F1BD8B}" xr6:coauthVersionLast="45" xr6:coauthVersionMax="45" xr10:uidLastSave="{00000000-0000-0000-0000-000000000000}"/>
  <bookViews>
    <workbookView xWindow="-98" yWindow="-98" windowWidth="24196" windowHeight="13155" firstSheet="1" activeTab="3" xr2:uid="{00000000-000D-0000-FFFF-FFFF00000000}"/>
  </bookViews>
  <sheets>
    <sheet name="global_inputs" sheetId="13" r:id="rId1"/>
    <sheet name="total_deaths" sheetId="1" r:id="rId2"/>
    <sheet name="total_cases" sheetId="2" r:id="rId3"/>
    <sheet name="total_hospitalisations" sheetId="5" r:id="rId4"/>
    <sheet name="uk_lifetable_male" sheetId="6" r:id="rId5"/>
    <sheet name="uk_lifetable_female" sheetId="7" r:id="rId6"/>
    <sheet name="who_lifetables" sheetId="8" r:id="rId7"/>
    <sheet name="qol_norm_data" sheetId="10" r:id="rId8"/>
    <sheet name="age_death" sheetId="11" r:id="rId9"/>
    <sheet name="cmmid_model" sheetId="4" r:id="rId10"/>
    <sheet name="gdp_impact" sheetId="3" r:id="rId11"/>
    <sheet name="uk_lifetable_summary_publicatio" sheetId="12" r:id="rId12"/>
  </sheets>
  <externalReferences>
    <externalReference r:id="rId13"/>
  </externalReferences>
  <definedNames>
    <definedName name="MaleLT">[1]LookUpTables!$B$9:$G$111</definedName>
    <definedName name="nat">[1]LookUpTables!$Q$51</definedName>
    <definedName name="SMR">[1]LookUpTables!$Q$53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12" l="1"/>
  <c r="D6" i="8" s="1"/>
  <c r="D3" i="12"/>
  <c r="E3" i="12"/>
  <c r="I3" i="12" s="1"/>
  <c r="E3" i="8" s="1"/>
  <c r="D4" i="12"/>
  <c r="E4" i="12"/>
  <c r="D5" i="12"/>
  <c r="E5" i="12"/>
  <c r="D6" i="12"/>
  <c r="E6" i="12"/>
  <c r="D7" i="12"/>
  <c r="E7" i="12"/>
  <c r="I4" i="12" s="1"/>
  <c r="E4" i="8" s="1"/>
  <c r="D8" i="12"/>
  <c r="E8" i="12"/>
  <c r="D9" i="12"/>
  <c r="E9" i="12"/>
  <c r="D10" i="12"/>
  <c r="E10" i="12"/>
  <c r="D11" i="12"/>
  <c r="E11" i="12"/>
  <c r="D12" i="12"/>
  <c r="E12" i="12"/>
  <c r="I5" i="12" s="1"/>
  <c r="E5" i="8" s="1"/>
  <c r="D13" i="12"/>
  <c r="E13" i="12"/>
  <c r="D14" i="12"/>
  <c r="E14" i="12"/>
  <c r="D15" i="12"/>
  <c r="E15" i="12"/>
  <c r="D16" i="12"/>
  <c r="E16" i="12"/>
  <c r="D17" i="12"/>
  <c r="E17" i="12"/>
  <c r="D18" i="12"/>
  <c r="E18" i="12"/>
  <c r="I6" i="12" s="1"/>
  <c r="E6" i="8" s="1"/>
  <c r="D19" i="12"/>
  <c r="E19" i="12"/>
  <c r="D20" i="12"/>
  <c r="E20" i="12"/>
  <c r="D21" i="12"/>
  <c r="E21" i="12"/>
  <c r="D22" i="12"/>
  <c r="E22" i="12"/>
  <c r="I7" i="12" s="1"/>
  <c r="E7" i="8" s="1"/>
  <c r="D23" i="12"/>
  <c r="E23" i="12"/>
  <c r="D24" i="12"/>
  <c r="E24" i="12"/>
  <c r="D25" i="12"/>
  <c r="E25" i="12"/>
  <c r="D26" i="12"/>
  <c r="E26" i="12"/>
  <c r="D27" i="12"/>
  <c r="E27" i="12"/>
  <c r="D28" i="12"/>
  <c r="E28" i="12"/>
  <c r="D29" i="12"/>
  <c r="E29" i="12"/>
  <c r="D30" i="12"/>
  <c r="E30" i="12"/>
  <c r="I8" i="12" s="1"/>
  <c r="E8" i="8" s="1"/>
  <c r="D31" i="12"/>
  <c r="E31" i="12"/>
  <c r="D32" i="12"/>
  <c r="E32" i="12"/>
  <c r="D33" i="12"/>
  <c r="E33" i="12"/>
  <c r="D34" i="12"/>
  <c r="E34" i="12"/>
  <c r="I9" i="12" s="1"/>
  <c r="E9" i="8" s="1"/>
  <c r="D35" i="12"/>
  <c r="E35" i="12"/>
  <c r="D36" i="12"/>
  <c r="E36" i="12"/>
  <c r="D37" i="12"/>
  <c r="E37" i="12"/>
  <c r="I10" i="12" s="1"/>
  <c r="E10" i="8" s="1"/>
  <c r="D38" i="12"/>
  <c r="E38" i="12"/>
  <c r="D39" i="12"/>
  <c r="E39" i="12"/>
  <c r="D40" i="12"/>
  <c r="E40" i="12"/>
  <c r="D41" i="12"/>
  <c r="E41" i="12"/>
  <c r="D42" i="12"/>
  <c r="H11" i="12" s="1"/>
  <c r="D11" i="8" s="1"/>
  <c r="E42" i="12"/>
  <c r="I11" i="12" s="1"/>
  <c r="E11" i="8" s="1"/>
  <c r="D43" i="12"/>
  <c r="E43" i="12"/>
  <c r="D44" i="12"/>
  <c r="E44" i="12"/>
  <c r="D45" i="12"/>
  <c r="E45" i="12"/>
  <c r="D46" i="12"/>
  <c r="E46" i="12"/>
  <c r="D47" i="12"/>
  <c r="E47" i="12"/>
  <c r="I12" i="12" s="1"/>
  <c r="E12" i="8" s="1"/>
  <c r="D48" i="12"/>
  <c r="E48" i="12"/>
  <c r="D49" i="12"/>
  <c r="E49" i="12"/>
  <c r="D50" i="12"/>
  <c r="E50" i="12"/>
  <c r="D51" i="12"/>
  <c r="E51" i="12"/>
  <c r="D52" i="12"/>
  <c r="E52" i="12"/>
  <c r="I13" i="12" s="1"/>
  <c r="E13" i="8" s="1"/>
  <c r="D53" i="12"/>
  <c r="E53" i="12"/>
  <c r="D54" i="12"/>
  <c r="E54" i="12"/>
  <c r="D55" i="12"/>
  <c r="E55" i="12"/>
  <c r="D56" i="12"/>
  <c r="E56" i="12"/>
  <c r="D57" i="12"/>
  <c r="H14" i="12" s="1"/>
  <c r="D14" i="8" s="1"/>
  <c r="E57" i="12"/>
  <c r="D58" i="12"/>
  <c r="E58" i="12"/>
  <c r="I14" i="12" s="1"/>
  <c r="E14" i="8" s="1"/>
  <c r="D59" i="12"/>
  <c r="E59" i="12"/>
  <c r="D60" i="12"/>
  <c r="E60" i="12"/>
  <c r="D61" i="12"/>
  <c r="E61" i="12"/>
  <c r="D62" i="12"/>
  <c r="E62" i="12"/>
  <c r="I15" i="12" s="1"/>
  <c r="E15" i="8" s="1"/>
  <c r="D63" i="12"/>
  <c r="E63" i="12"/>
  <c r="D64" i="12"/>
  <c r="E64" i="12"/>
  <c r="D65" i="12"/>
  <c r="E65" i="12"/>
  <c r="D66" i="12"/>
  <c r="E66" i="12"/>
  <c r="D67" i="12"/>
  <c r="E67" i="12"/>
  <c r="D68" i="12"/>
  <c r="E68" i="12"/>
  <c r="D69" i="12"/>
  <c r="E69" i="12"/>
  <c r="D70" i="12"/>
  <c r="E70" i="12"/>
  <c r="I16" i="12" s="1"/>
  <c r="E16" i="8" s="1"/>
  <c r="D71" i="12"/>
  <c r="E71" i="12"/>
  <c r="D72" i="12"/>
  <c r="E72" i="12"/>
  <c r="D73" i="12"/>
  <c r="E73" i="12"/>
  <c r="D74" i="12"/>
  <c r="E74" i="12"/>
  <c r="I17" i="12" s="1"/>
  <c r="E17" i="8" s="1"/>
  <c r="D75" i="12"/>
  <c r="E75" i="12"/>
  <c r="D76" i="12"/>
  <c r="E76" i="12"/>
  <c r="D77" i="12"/>
  <c r="E77" i="12"/>
  <c r="I18" i="12" s="1"/>
  <c r="E18" i="8" s="1"/>
  <c r="D78" i="12"/>
  <c r="E78" i="12"/>
  <c r="D79" i="12"/>
  <c r="E79" i="12"/>
  <c r="D80" i="12"/>
  <c r="E80" i="12"/>
  <c r="D81" i="12"/>
  <c r="E81" i="12"/>
  <c r="D82" i="12"/>
  <c r="H19" i="12" s="1"/>
  <c r="D19" i="8" s="1"/>
  <c r="E82" i="12"/>
  <c r="I19" i="12" s="1"/>
  <c r="E19" i="8" s="1"/>
  <c r="D83" i="12"/>
  <c r="E83" i="12"/>
  <c r="D84" i="12"/>
  <c r="E84" i="12"/>
  <c r="D85" i="12"/>
  <c r="E85" i="12"/>
  <c r="D86" i="12"/>
  <c r="E86" i="12"/>
  <c r="D87" i="12"/>
  <c r="E87" i="12"/>
  <c r="D88" i="12"/>
  <c r="E88" i="12"/>
  <c r="D89" i="12"/>
  <c r="E89" i="12"/>
  <c r="D90" i="12"/>
  <c r="E90" i="12"/>
  <c r="D91" i="12"/>
  <c r="E91" i="12"/>
  <c r="D92" i="12"/>
  <c r="E92" i="12"/>
  <c r="D93" i="12"/>
  <c r="E93" i="12"/>
  <c r="D94" i="12"/>
  <c r="E94" i="12"/>
  <c r="D95" i="12"/>
  <c r="E95" i="12"/>
  <c r="D96" i="12"/>
  <c r="E96" i="12"/>
  <c r="D97" i="12"/>
  <c r="E97" i="12"/>
  <c r="D98" i="12"/>
  <c r="E98" i="12"/>
  <c r="D99" i="12"/>
  <c r="E99" i="12"/>
  <c r="D100" i="12"/>
  <c r="E100" i="12"/>
  <c r="D101" i="12"/>
  <c r="E101" i="12"/>
  <c r="D102" i="12"/>
  <c r="E102" i="12"/>
  <c r="E103" i="12"/>
  <c r="E2" i="12"/>
  <c r="I2" i="12" s="1"/>
  <c r="E2" i="8" s="1"/>
  <c r="D2" i="12"/>
  <c r="H2" i="12" s="1"/>
  <c r="D2" i="8" s="1"/>
  <c r="H10" i="12" l="1"/>
  <c r="D10" i="8" s="1"/>
  <c r="H18" i="12"/>
  <c r="D18" i="8" s="1"/>
  <c r="H17" i="12"/>
  <c r="D17" i="8" s="1"/>
  <c r="H13" i="12"/>
  <c r="D13" i="8" s="1"/>
  <c r="H9" i="12"/>
  <c r="D9" i="8" s="1"/>
  <c r="H5" i="12"/>
  <c r="D5" i="8" s="1"/>
  <c r="I20" i="12"/>
  <c r="E20" i="8" s="1"/>
  <c r="H20" i="12"/>
  <c r="D20" i="8" s="1"/>
  <c r="H16" i="12"/>
  <c r="D16" i="8" s="1"/>
  <c r="H15" i="12"/>
  <c r="D15" i="8" s="1"/>
  <c r="H12" i="12"/>
  <c r="D12" i="8" s="1"/>
  <c r="H8" i="12"/>
  <c r="D8" i="8" s="1"/>
  <c r="H7" i="12"/>
  <c r="D7" i="8" s="1"/>
  <c r="H4" i="12"/>
  <c r="D4" i="8" s="1"/>
  <c r="H3" i="12"/>
  <c r="D3" i="8" s="1"/>
  <c r="B3" i="13"/>
  <c r="B103" i="12"/>
  <c r="I12" i="11"/>
  <c r="L11" i="11"/>
  <c r="J11" i="11"/>
  <c r="H11" i="11"/>
  <c r="L10" i="11"/>
  <c r="J10" i="11"/>
  <c r="H10" i="11"/>
  <c r="L9" i="11"/>
  <c r="J9" i="11"/>
  <c r="H9" i="11"/>
  <c r="L8" i="11"/>
  <c r="J8" i="11"/>
  <c r="H8" i="11"/>
  <c r="L7" i="11"/>
  <c r="J7" i="11"/>
  <c r="H7" i="11"/>
  <c r="L6" i="11"/>
  <c r="J6" i="11"/>
  <c r="H6" i="11"/>
  <c r="L5" i="11"/>
  <c r="J5" i="11"/>
  <c r="H5" i="11"/>
  <c r="L4" i="11"/>
  <c r="J4" i="11"/>
  <c r="H4" i="11"/>
  <c r="L3" i="11"/>
  <c r="J3" i="11"/>
  <c r="H3" i="11"/>
  <c r="L2" i="11"/>
  <c r="L12" i="11" s="1"/>
  <c r="J2" i="11"/>
  <c r="J12" i="11" s="1"/>
  <c r="H2" i="11"/>
  <c r="H12" i="11" s="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E3" i="6" s="1"/>
  <c r="B104" i="12" l="1"/>
  <c r="B105" i="12" s="1"/>
  <c r="B106" i="12" s="1"/>
  <c r="B107" i="12" s="1"/>
  <c r="B108" i="12" s="1"/>
  <c r="B109" i="12" s="1"/>
  <c r="B110" i="12" s="1"/>
  <c r="B111" i="12" s="1"/>
  <c r="B112" i="12" s="1"/>
  <c r="B113" i="12" s="1"/>
  <c r="B114" i="12" s="1"/>
  <c r="B115" i="12" s="1"/>
  <c r="B116" i="12" s="1"/>
  <c r="B117" i="12" s="1"/>
  <c r="B118" i="12" s="1"/>
  <c r="B119" i="12" s="1"/>
  <c r="B120" i="12" s="1"/>
  <c r="B121" i="12" s="1"/>
  <c r="B122" i="12" s="1"/>
  <c r="D103" i="12"/>
  <c r="E4" i="6"/>
  <c r="F3" i="6" s="1"/>
  <c r="F2" i="6"/>
  <c r="E5" i="6" l="1"/>
  <c r="F4" i="6" s="1"/>
  <c r="E6" i="6" l="1"/>
  <c r="E7" i="6" l="1"/>
  <c r="F5" i="6"/>
  <c r="E8" i="6" l="1"/>
  <c r="F6" i="6"/>
  <c r="E9" i="6" l="1"/>
  <c r="F7" i="6"/>
  <c r="E10" i="6" l="1"/>
  <c r="F8" i="6"/>
  <c r="E11" i="6" l="1"/>
  <c r="F10" i="6" s="1"/>
  <c r="F9" i="6"/>
  <c r="E12" i="6" l="1"/>
  <c r="E13" i="6" l="1"/>
  <c r="F11" i="6"/>
  <c r="E14" i="6" l="1"/>
  <c r="F12" i="6"/>
  <c r="E15" i="6" l="1"/>
  <c r="F14" i="6" s="1"/>
  <c r="F13" i="6"/>
  <c r="E16" i="6" l="1"/>
  <c r="F15" i="6" s="1"/>
  <c r="E17" i="6" l="1"/>
  <c r="F16" i="6" s="1"/>
  <c r="E18" i="6" l="1"/>
  <c r="F17" i="6" s="1"/>
  <c r="E19" i="6" l="1"/>
  <c r="F18" i="6" s="1"/>
  <c r="E20" i="6" l="1"/>
  <c r="F19" i="6" s="1"/>
  <c r="E21" i="6" l="1"/>
  <c r="E22" i="6" l="1"/>
  <c r="F21" i="6" s="1"/>
  <c r="F20" i="6"/>
  <c r="E23" i="6" l="1"/>
  <c r="E24" i="6" l="1"/>
  <c r="F23" i="6" s="1"/>
  <c r="F22" i="6"/>
  <c r="E25" i="6" l="1"/>
  <c r="F24" i="6" s="1"/>
  <c r="E26" i="6" l="1"/>
  <c r="E27" i="6" l="1"/>
  <c r="F26" i="6" s="1"/>
  <c r="F25" i="6"/>
  <c r="E28" i="6" l="1"/>
  <c r="E29" i="6" l="1"/>
  <c r="F27" i="6"/>
  <c r="E30" i="6" l="1"/>
  <c r="F29" i="6" s="1"/>
  <c r="F28" i="6"/>
  <c r="E31" i="6" l="1"/>
  <c r="F30" i="6" s="1"/>
  <c r="E32" i="6" l="1"/>
  <c r="E33" i="6" l="1"/>
  <c r="F32" i="6" s="1"/>
  <c r="F31" i="6"/>
  <c r="E34" i="6" l="1"/>
  <c r="F33" i="6" s="1"/>
  <c r="E35" i="6" l="1"/>
  <c r="F34" i="6" s="1"/>
  <c r="E36" i="6" l="1"/>
  <c r="F35" i="6" s="1"/>
  <c r="E37" i="6" l="1"/>
  <c r="F36" i="6" s="1"/>
  <c r="E38" i="6" l="1"/>
  <c r="F37" i="6" s="1"/>
  <c r="E39" i="6" l="1"/>
  <c r="E40" i="6" l="1"/>
  <c r="F39" i="6" s="1"/>
  <c r="F38" i="6"/>
  <c r="E41" i="6" l="1"/>
  <c r="F40" i="6" s="1"/>
  <c r="E42" i="6" l="1"/>
  <c r="F41" i="6" s="1"/>
  <c r="E43" i="6" l="1"/>
  <c r="E44" i="6" l="1"/>
  <c r="F42" i="6"/>
  <c r="E45" i="6" l="1"/>
  <c r="F43" i="6"/>
  <c r="E46" i="6" l="1"/>
  <c r="F44" i="6"/>
  <c r="E47" i="6" l="1"/>
  <c r="F46" i="6" s="1"/>
  <c r="F45" i="6"/>
  <c r="E48" i="6" l="1"/>
  <c r="F47" i="6" s="1"/>
  <c r="E49" i="6" l="1"/>
  <c r="F48" i="6" s="1"/>
  <c r="E50" i="6" l="1"/>
  <c r="F49" i="6" s="1"/>
  <c r="E51" i="6" l="1"/>
  <c r="F50" i="6" s="1"/>
  <c r="E52" i="6" l="1"/>
  <c r="E53" i="6" l="1"/>
  <c r="F51" i="6"/>
  <c r="E54" i="6" l="1"/>
  <c r="F53" i="6" s="1"/>
  <c r="F52" i="6"/>
  <c r="E55" i="6" l="1"/>
  <c r="F54" i="6" s="1"/>
  <c r="E56" i="6" l="1"/>
  <c r="E57" i="6" l="1"/>
  <c r="F56" i="6" s="1"/>
  <c r="F55" i="6"/>
  <c r="F57" i="6" l="1"/>
  <c r="E58" i="6"/>
  <c r="E59" i="6" l="1"/>
  <c r="F58" i="6" s="1"/>
  <c r="E60" i="6" l="1"/>
  <c r="E61" i="6" l="1"/>
  <c r="F59" i="6"/>
  <c r="E62" i="6" l="1"/>
  <c r="F60" i="6"/>
  <c r="E63" i="6" l="1"/>
  <c r="F62" i="6" s="1"/>
  <c r="F61" i="6"/>
  <c r="E64" i="6" l="1"/>
  <c r="F63" i="6" s="1"/>
  <c r="E65" i="6" l="1"/>
  <c r="E66" i="6" l="1"/>
  <c r="F64" i="6"/>
  <c r="E67" i="6" l="1"/>
  <c r="F66" i="6" s="1"/>
  <c r="F65" i="6"/>
  <c r="E68" i="6" l="1"/>
  <c r="F67" i="6" s="1"/>
  <c r="E69" i="6" l="1"/>
  <c r="E70" i="6" l="1"/>
  <c r="F69" i="6" s="1"/>
  <c r="F68" i="6"/>
  <c r="F70" i="6" l="1"/>
  <c r="E71" i="6"/>
  <c r="E72" i="6" l="1"/>
  <c r="E73" i="6" l="1"/>
  <c r="F72" i="6" s="1"/>
  <c r="F71" i="6"/>
  <c r="E74" i="6" l="1"/>
  <c r="E75" i="6" l="1"/>
  <c r="F74" i="6" s="1"/>
  <c r="F73" i="6"/>
  <c r="E76" i="6" l="1"/>
  <c r="E77" i="6" l="1"/>
  <c r="F75" i="6"/>
  <c r="E78" i="6" l="1"/>
  <c r="F77" i="6" s="1"/>
  <c r="F76" i="6"/>
  <c r="E79" i="6" l="1"/>
  <c r="F78" i="6" s="1"/>
  <c r="E80" i="6" l="1"/>
  <c r="F79" i="6" s="1"/>
  <c r="E81" i="6" l="1"/>
  <c r="E82" i="6" l="1"/>
  <c r="F81" i="6" s="1"/>
  <c r="F80" i="6"/>
  <c r="E83" i="6" l="1"/>
  <c r="E84" i="6" l="1"/>
  <c r="F82" i="6"/>
  <c r="E85" i="6" l="1"/>
  <c r="F83" i="6"/>
  <c r="E86" i="6" l="1"/>
  <c r="F84" i="6"/>
  <c r="E87" i="6" l="1"/>
  <c r="F85" i="6"/>
  <c r="E88" i="6" l="1"/>
  <c r="F87" i="6" s="1"/>
  <c r="F86" i="6"/>
  <c r="E89" i="6" l="1"/>
  <c r="F88" i="6" s="1"/>
  <c r="E90" i="6" l="1"/>
  <c r="F89" i="6" s="1"/>
  <c r="E91" i="6" l="1"/>
  <c r="E92" i="6" l="1"/>
  <c r="F91" i="6" s="1"/>
  <c r="F90" i="6"/>
  <c r="E93" i="6" l="1"/>
  <c r="F92" i="6" s="1"/>
  <c r="E94" i="6" l="1"/>
  <c r="F93" i="6" s="1"/>
  <c r="E95" i="6" l="1"/>
  <c r="E96" i="6" l="1"/>
  <c r="F95" i="6" s="1"/>
  <c r="F94" i="6"/>
  <c r="E97" i="6" l="1"/>
  <c r="F96" i="6" s="1"/>
  <c r="E98" i="6" l="1"/>
  <c r="F97" i="6" s="1"/>
  <c r="E99" i="6" l="1"/>
  <c r="F98" i="6" s="1"/>
  <c r="E100" i="6" l="1"/>
  <c r="F99" i="6" s="1"/>
  <c r="E101" i="6" l="1"/>
  <c r="E102" i="6" l="1"/>
  <c r="F101" i="6" s="1"/>
  <c r="F100" i="6"/>
  <c r="F102" i="6" l="1"/>
  <c r="G3" i="6" l="1"/>
  <c r="G2" i="6"/>
  <c r="G4" i="6"/>
  <c r="G5" i="6"/>
  <c r="G6" i="6"/>
  <c r="G7" i="6"/>
  <c r="G8" i="6"/>
  <c r="G10" i="6"/>
  <c r="G9" i="6"/>
  <c r="G11" i="6"/>
  <c r="G12" i="6"/>
  <c r="G13" i="6"/>
  <c r="G14" i="6"/>
  <c r="G15" i="6"/>
  <c r="G16" i="6"/>
  <c r="G17" i="6"/>
  <c r="G18" i="6"/>
  <c r="G21" i="6"/>
  <c r="G19" i="6"/>
  <c r="G23" i="6"/>
  <c r="G20" i="6"/>
  <c r="G22" i="6"/>
  <c r="G25" i="6"/>
  <c r="G24" i="6"/>
  <c r="G26" i="6"/>
  <c r="G29" i="6"/>
  <c r="G27" i="6"/>
  <c r="G28" i="6"/>
  <c r="G32" i="6"/>
  <c r="G30" i="6"/>
  <c r="G31" i="6"/>
  <c r="G33" i="6"/>
  <c r="G34" i="6"/>
  <c r="G35" i="6"/>
  <c r="G36" i="6"/>
  <c r="G39" i="6"/>
  <c r="G37" i="6"/>
  <c r="G38" i="6"/>
  <c r="G40" i="6"/>
  <c r="G43" i="6"/>
  <c r="G42" i="6"/>
  <c r="G41" i="6"/>
  <c r="G44" i="6"/>
  <c r="G46" i="6"/>
  <c r="G45" i="6"/>
  <c r="G47" i="6"/>
  <c r="G48" i="6"/>
  <c r="G49" i="6"/>
  <c r="G50" i="6"/>
  <c r="G52" i="6"/>
  <c r="G53" i="6"/>
  <c r="G51" i="6"/>
  <c r="G56" i="6"/>
  <c r="G54" i="6"/>
  <c r="G55" i="6"/>
  <c r="G57" i="6"/>
  <c r="G58" i="6"/>
  <c r="G60" i="6"/>
  <c r="G59" i="6"/>
  <c r="G61" i="6"/>
  <c r="G62" i="6"/>
  <c r="G63" i="6"/>
  <c r="G66" i="6"/>
  <c r="G65" i="6"/>
  <c r="G64" i="6"/>
  <c r="G69" i="6"/>
  <c r="G67" i="6"/>
  <c r="G68" i="6"/>
  <c r="G70" i="6"/>
  <c r="G72" i="6"/>
  <c r="G74" i="6"/>
  <c r="G71" i="6"/>
  <c r="G73" i="6"/>
  <c r="G75" i="6"/>
  <c r="G76" i="6"/>
  <c r="G77" i="6"/>
  <c r="G78" i="6"/>
  <c r="G79" i="6"/>
  <c r="G81" i="6"/>
  <c r="G82" i="6"/>
  <c r="G80" i="6"/>
  <c r="G84" i="6"/>
  <c r="G83" i="6"/>
  <c r="G87" i="6"/>
  <c r="G85" i="6"/>
  <c r="G86" i="6"/>
  <c r="G91" i="6"/>
  <c r="G88" i="6"/>
  <c r="G89" i="6"/>
  <c r="G90" i="6"/>
  <c r="G92" i="6"/>
  <c r="G95" i="6"/>
  <c r="G93" i="6"/>
  <c r="G94" i="6"/>
  <c r="G96" i="6"/>
  <c r="G102" i="6"/>
  <c r="G98" i="6"/>
  <c r="G101" i="6"/>
  <c r="G100" i="6"/>
  <c r="G97" i="6"/>
  <c r="G99" i="6"/>
  <c r="O3" i="3" l="1"/>
  <c r="O4" i="3"/>
  <c r="O5" i="3"/>
  <c r="O6" i="3"/>
  <c r="S4" i="3" s="1"/>
  <c r="O7" i="3"/>
  <c r="O2" i="3"/>
  <c r="V2" i="4"/>
  <c r="X2" i="4" s="1"/>
  <c r="W2" i="4"/>
  <c r="Y2" i="4"/>
  <c r="AA2" i="4"/>
  <c r="V3" i="4"/>
  <c r="W3" i="4"/>
  <c r="Y3" i="4"/>
  <c r="AA3" i="4"/>
  <c r="V4" i="4"/>
  <c r="W4" i="4"/>
  <c r="X4" i="4"/>
  <c r="Y4" i="4"/>
  <c r="AA4" i="4"/>
  <c r="V5" i="4"/>
  <c r="X5" i="4" s="1"/>
  <c r="W5" i="4"/>
  <c r="Y5" i="4"/>
  <c r="AA5" i="4"/>
  <c r="V6" i="4"/>
  <c r="W6" i="4"/>
  <c r="Z6" i="4" s="1"/>
  <c r="X6" i="4"/>
  <c r="Y6" i="4"/>
  <c r="AA6" i="4"/>
  <c r="V7" i="4"/>
  <c r="W7" i="4"/>
  <c r="Y7" i="4"/>
  <c r="AA7" i="4"/>
  <c r="V8" i="4"/>
  <c r="Z8" i="4" s="1"/>
  <c r="W8" i="4"/>
  <c r="Y8" i="4"/>
  <c r="AA8" i="4"/>
  <c r="V9" i="4"/>
  <c r="X9" i="4" s="1"/>
  <c r="W9" i="4"/>
  <c r="Y9" i="4"/>
  <c r="AA9" i="4"/>
  <c r="V10" i="4"/>
  <c r="W10" i="4"/>
  <c r="X10" i="4" s="1"/>
  <c r="Y10" i="4"/>
  <c r="AA10" i="4"/>
  <c r="V11" i="4"/>
  <c r="X11" i="4" s="1"/>
  <c r="W11" i="4"/>
  <c r="Y11" i="4"/>
  <c r="AA11" i="4"/>
  <c r="V12" i="4"/>
  <c r="Z12" i="4" s="1"/>
  <c r="W12" i="4"/>
  <c r="Y12" i="4"/>
  <c r="AA12" i="4"/>
  <c r="V13" i="4"/>
  <c r="Z13" i="4" s="1"/>
  <c r="W13" i="4"/>
  <c r="X13" i="4"/>
  <c r="Y13" i="4"/>
  <c r="AA13" i="4"/>
  <c r="V14" i="4"/>
  <c r="X14" i="4" s="1"/>
  <c r="W14" i="4"/>
  <c r="Y14" i="4"/>
  <c r="AA14" i="4"/>
  <c r="V15" i="4"/>
  <c r="X15" i="4" s="1"/>
  <c r="W15" i="4"/>
  <c r="Y15" i="4"/>
  <c r="AA15" i="4"/>
  <c r="V16" i="4"/>
  <c r="Z16" i="4" s="1"/>
  <c r="W16" i="4"/>
  <c r="X16" i="4"/>
  <c r="Y16" i="4"/>
  <c r="AA16" i="4"/>
  <c r="S5" i="3" l="1"/>
  <c r="S3" i="3"/>
  <c r="S7" i="3"/>
  <c r="S6" i="3"/>
  <c r="S2" i="3"/>
  <c r="Z9" i="4"/>
  <c r="X12" i="4"/>
  <c r="Z10" i="4"/>
  <c r="X3" i="4"/>
  <c r="Z2" i="4"/>
  <c r="X7" i="4"/>
  <c r="Z5" i="4"/>
  <c r="Z14" i="4"/>
  <c r="Z4" i="4"/>
  <c r="X8" i="4"/>
  <c r="Z15" i="4"/>
  <c r="Z11" i="4"/>
  <c r="Z7" i="4"/>
  <c r="Z3" i="4"/>
  <c r="J3" i="3" l="1"/>
  <c r="J4" i="3"/>
  <c r="J5" i="3"/>
  <c r="J6" i="3"/>
  <c r="J2" i="3"/>
  <c r="E3" i="5" l="1"/>
  <c r="E4" i="5"/>
  <c r="E5" i="5"/>
  <c r="E2" i="5"/>
  <c r="I3" i="3" l="1"/>
  <c r="I4" i="3"/>
  <c r="I5" i="3"/>
  <c r="I6" i="3"/>
  <c r="I7" i="3"/>
  <c r="I2" i="3"/>
  <c r="P5" i="3" l="1"/>
  <c r="U5" i="3" s="1"/>
  <c r="Q5" i="3"/>
  <c r="R5" i="3" s="1"/>
  <c r="V5" i="3" s="1"/>
  <c r="T5" i="3"/>
  <c r="W5" i="3" s="1"/>
  <c r="T3" i="3"/>
  <c r="W3" i="3" s="1"/>
  <c r="T7" i="3"/>
  <c r="W7" i="3" s="1"/>
  <c r="T4" i="3"/>
  <c r="W4" i="3" s="1"/>
  <c r="T6" i="3"/>
  <c r="W6" i="3" s="1"/>
  <c r="T2" i="3"/>
  <c r="W2" i="3" s="1"/>
  <c r="Q3" i="3"/>
  <c r="R3" i="3" s="1"/>
  <c r="V3" i="3" s="1"/>
  <c r="Q7" i="3"/>
  <c r="R7" i="3" s="1"/>
  <c r="V7" i="3" s="1"/>
  <c r="Q4" i="3"/>
  <c r="R4" i="3" s="1"/>
  <c r="V4" i="3" s="1"/>
  <c r="Q6" i="3"/>
  <c r="R6" i="3" s="1"/>
  <c r="V6" i="3" s="1"/>
  <c r="Q2" i="3"/>
  <c r="R2" i="3" s="1"/>
  <c r="V2" i="3" s="1"/>
  <c r="P3" i="3" l="1"/>
  <c r="U3" i="3" s="1"/>
  <c r="P7" i="3"/>
  <c r="U7" i="3" s="1"/>
  <c r="P4" i="3"/>
  <c r="U4" i="3" s="1"/>
  <c r="P6" i="3"/>
  <c r="U6" i="3" s="1"/>
  <c r="P2" i="3"/>
  <c r="U2" i="3" s="1"/>
</calcChain>
</file>

<file path=xl/sharedStrings.xml><?xml version="1.0" encoding="utf-8"?>
<sst xmlns="http://schemas.openxmlformats.org/spreadsheetml/2006/main" count="334" uniqueCount="200">
  <si>
    <t>Country</t>
  </si>
  <si>
    <t>Source</t>
  </si>
  <si>
    <t>Total covid deaths</t>
  </si>
  <si>
    <t>England and Wales</t>
  </si>
  <si>
    <t>France</t>
  </si>
  <si>
    <t>Insee</t>
  </si>
  <si>
    <t>Italy</t>
  </si>
  <si>
    <t>Istat</t>
  </si>
  <si>
    <t>Spain</t>
  </si>
  <si>
    <t>WHO https://covid19.who.int/region/euro/country/es accessed 6-August-2020</t>
  </si>
  <si>
    <t>Sweden</t>
  </si>
  <si>
    <t>SCB</t>
  </si>
  <si>
    <t>Deaths and age distribution at death available from</t>
  </si>
  <si>
    <t>https://experience.arcgis.com/experience/09f821667ce64bf7be6f9f87457ed9aa</t>
  </si>
  <si>
    <r>
      <t>extracted for 20</t>
    </r>
    <r>
      <rPr>
        <vertAlign val="superscript"/>
        <sz val="10"/>
        <color theme="1"/>
        <rFont val="Times New Roman"/>
        <family val="1"/>
      </rPr>
      <t>th</t>
    </r>
    <r>
      <rPr>
        <sz val="10"/>
        <color theme="1"/>
        <rFont val="Times New Roman"/>
        <family val="1"/>
      </rPr>
      <t xml:space="preserve"> July on 5-August-2020</t>
    </r>
  </si>
  <si>
    <t>Germany</t>
  </si>
  <si>
    <r>
      <t>Destatis for Excess deaths (they also reported 8973 covid deaths to 7</t>
    </r>
    <r>
      <rPr>
        <vertAlign val="superscript"/>
        <sz val="10"/>
        <color theme="1"/>
        <rFont val="Arial"/>
        <family val="2"/>
      </rPr>
      <t>th</t>
    </r>
    <r>
      <rPr>
        <sz val="10"/>
        <color theme="1"/>
        <rFont val="Arial"/>
        <family val="2"/>
      </rPr>
      <t xml:space="preserve"> July but none thereafter) accessed 5-August-2020</t>
    </r>
  </si>
  <si>
    <t>(https://www.destatis.de/EN/Themes/Cross-Section/Corona/Society/population_death.html)</t>
  </si>
  <si>
    <t>Covid deaths from Tagesspiegel for 20th July 2020 (https://interaktiv.tagesspiegel.de/lab/karte-sars-cov-2-in-deutschland-landkreise/) accessed on 3-August-2020</t>
  </si>
  <si>
    <t xml:space="preserve">Covid deaths also available from WHO </t>
  </si>
  <si>
    <t>https://covid19.who.int/region/euro/country/de</t>
  </si>
  <si>
    <t>Ireland</t>
  </si>
  <si>
    <t>Covid related deaths taken from 20th July report on https://www.gov.ie/en/publication/b6a9e-updates-on-covid-19-coronavirus-from-july-and-august-2020/ accessed 3-Aug-2020</t>
  </si>
  <si>
    <t>In a report (https://www.hiqa.ie/sites/default/files/2020-07/Analysis-of-excess-all-cause-mortality-in-Ireland-during-the-COVID-19-epidemic.pdf) HIQA estimated excess deaths to be 1072 between 11th March and 16th June, compared to the 1709 covid related deaths. This suggests that in some cases covid accelerated time of death for many people by only a few months, rather than causing additional deaths.</t>
  </si>
  <si>
    <t>Sources below are not for excess deaths</t>
  </si>
  <si>
    <t>https://www.osi.ie/</t>
  </si>
  <si>
    <t>https://covid19ireland-geohive.hub.arcgis.com/</t>
  </si>
  <si>
    <t>https://www.gov.ie/en/news/7e0924-latest-updates-on-covid-19-coronavirus/</t>
  </si>
  <si>
    <t>https://www.rte.ie/news/coronavirus/summary/</t>
  </si>
  <si>
    <t>UK</t>
  </si>
  <si>
    <r>
      <t>Cases by June 19</t>
    </r>
    <r>
      <rPr>
        <b/>
        <vertAlign val="superscript"/>
        <sz val="10"/>
        <color rgb="FF000000"/>
        <rFont val="Arial"/>
        <family val="2"/>
      </rPr>
      <t>th</t>
    </r>
  </si>
  <si>
    <r>
      <t>Cases by July 20</t>
    </r>
    <r>
      <rPr>
        <b/>
        <vertAlign val="superscript"/>
        <sz val="10"/>
        <color rgb="FF000000"/>
        <rFont val="Arial"/>
        <family val="2"/>
      </rPr>
      <t>th</t>
    </r>
  </si>
  <si>
    <r>
      <t>Cases by August 3</t>
    </r>
    <r>
      <rPr>
        <b/>
        <vertAlign val="superscript"/>
        <sz val="10"/>
        <color rgb="FF000000"/>
        <rFont val="Arial"/>
        <family val="2"/>
      </rPr>
      <t>rd</t>
    </r>
  </si>
  <si>
    <t>England</t>
  </si>
  <si>
    <t>https://coronavirus-staging.data.gov.uk/cases</t>
  </si>
  <si>
    <t>Downloaded 3-August-2020 version</t>
  </si>
  <si>
    <t>Wales</t>
  </si>
  <si>
    <t>As above</t>
  </si>
  <si>
    <t>Spain. National Centre for Epidemiology.</t>
  </si>
  <si>
    <t>https://cnecovid.isciii.es/covid19/#documentaci%C3%B3n-y-datos</t>
  </si>
  <si>
    <t>At provincial level downloaded 3-Auust-2020</t>
  </si>
  <si>
    <t>(Note that WHO https://covid19.who.int/region/euro/country/es accessed on 6-August-2020 reports 260027 cases by 20th July)</t>
  </si>
  <si>
    <t>Public Health Agency of Sweden</t>
  </si>
  <si>
    <t>Accessed from website on 3-August-2020</t>
  </si>
  <si>
    <t>Tagesspiegel</t>
  </si>
  <si>
    <t>https://interaktiv.tagesspiegel.de/lab/karte-sars-cov-2-in-deutschland-landkreise/</t>
  </si>
  <si>
    <t xml:space="preserve">Accessed from website 3-August-2020 </t>
  </si>
  <si>
    <r>
      <t>From 19</t>
    </r>
    <r>
      <rPr>
        <vertAlign val="superscript"/>
        <sz val="10"/>
        <color theme="1"/>
        <rFont val="Times New Roman"/>
        <family val="1"/>
      </rPr>
      <t>th</t>
    </r>
    <r>
      <rPr>
        <sz val="10"/>
        <color theme="1"/>
        <rFont val="Times New Roman"/>
        <family val="1"/>
      </rPr>
      <t xml:space="preserve"> June and 20</t>
    </r>
    <r>
      <rPr>
        <vertAlign val="superscript"/>
        <sz val="10"/>
        <color theme="1"/>
        <rFont val="Times New Roman"/>
        <family val="1"/>
      </rPr>
      <t>th</t>
    </r>
    <r>
      <rPr>
        <sz val="10"/>
        <color theme="1"/>
        <rFont val="Times New Roman"/>
        <family val="1"/>
      </rPr>
      <t xml:space="preserve"> July updates</t>
    </r>
  </si>
  <si>
    <t>https://www.gov.ie/en/publication/b6a9e-updates-on-covid-19-coronavirus-from-july-and-august-2020/</t>
  </si>
  <si>
    <t>Subject Descriptor</t>
  </si>
  <si>
    <t>Units</t>
  </si>
  <si>
    <t>Scale</t>
  </si>
  <si>
    <t>Country/Series-specific Notes</t>
  </si>
  <si>
    <t>Estimates Start After</t>
  </si>
  <si>
    <t>Gross domestic product, current prices</t>
  </si>
  <si>
    <t>U.S. dollars</t>
  </si>
  <si>
    <t>Billions</t>
  </si>
  <si>
    <t>See notes for:  Gross domestic product, current prices (National currency).</t>
  </si>
  <si>
    <t>Korea</t>
  </si>
  <si>
    <t>gdp_2019</t>
  </si>
  <si>
    <t>IMF Growth 2019</t>
  </si>
  <si>
    <t>IMF Growth 2020</t>
  </si>
  <si>
    <t>IMF Growth loss</t>
  </si>
  <si>
    <t>IMF GDP loss</t>
  </si>
  <si>
    <t xml:space="preserve">https://coronavirus.data.gov.uk/deaths </t>
  </si>
  <si>
    <t xml:space="preserve">(up to 20th July, accessed 24th September 2020) </t>
  </si>
  <si>
    <t>Deaths within 28 days of positive test by date of death</t>
  </si>
  <si>
    <t>IMF Growth loss scenario all</t>
  </si>
  <si>
    <t>IMF GDP loss scenario all</t>
  </si>
  <si>
    <t>IMF Growth loss scenario sweden</t>
  </si>
  <si>
    <t>IMF GDP loss scenario sweden</t>
  </si>
  <si>
    <t>Population size</t>
  </si>
  <si>
    <t>GBP to USD</t>
  </si>
  <si>
    <t>IMF GDP loss GBP_PP</t>
  </si>
  <si>
    <t>IMF GDP loss scenario all GBP_PP</t>
  </si>
  <si>
    <t>IMF GDP loss scenario sweden GBP_PP</t>
  </si>
  <si>
    <t>IMF Growth Jan 2020</t>
  </si>
  <si>
    <t>First confirmed case</t>
  </si>
  <si>
    <t>First death</t>
  </si>
  <si>
    <t>Simulation</t>
  </si>
  <si>
    <t>Assume R0</t>
  </si>
  <si>
    <t>Assume virus intro date</t>
  </si>
  <si>
    <t>Shift intro date</t>
  </si>
  <si>
    <t>Assume initial infections</t>
  </si>
  <si>
    <t>Modelled first death date</t>
  </si>
  <si>
    <t>Modelled 10th death date</t>
  </si>
  <si>
    <t>CMMID Total cases 20 July</t>
  </si>
  <si>
    <t>CMMID ICU bed days</t>
  </si>
  <si>
    <t>CMMID Non-ICU bed days</t>
  </si>
  <si>
    <t>CMMID Total Death 20 July</t>
  </si>
  <si>
    <t>Deaths 0-14</t>
  </si>
  <si>
    <t>Deaths 15-29</t>
  </si>
  <si>
    <t>Deaths 30-44</t>
  </si>
  <si>
    <t>Deaths 45-59</t>
  </si>
  <si>
    <t>Deaths 60-74</t>
  </si>
  <si>
    <t>Deaths 75+</t>
  </si>
  <si>
    <t>A</t>
  </si>
  <si>
    <t>B</t>
  </si>
  <si>
    <t>C</t>
  </si>
  <si>
    <t>gdp_2019_gbp</t>
  </si>
  <si>
    <t>Population_size</t>
  </si>
  <si>
    <t>Hospitalisations_per_100k</t>
  </si>
  <si>
    <t>Hospitalisations</t>
  </si>
  <si>
    <t>NA</t>
  </si>
  <si>
    <t>Non-ICU hospital stays</t>
  </si>
  <si>
    <t>ICU hospital stays</t>
  </si>
  <si>
    <t>Total hospital stays PP</t>
  </si>
  <si>
    <t>Cases PP</t>
  </si>
  <si>
    <t>Deaths PP</t>
  </si>
  <si>
    <t>Hospitalistions PP</t>
  </si>
  <si>
    <t>GDP pp 2019</t>
  </si>
  <si>
    <t>Can't introduce virus early enough to match death date here - should be November</t>
  </si>
  <si>
    <t>age</t>
  </si>
  <si>
    <t>qx</t>
  </si>
  <si>
    <t>dx</t>
  </si>
  <si>
    <t>smrlx</t>
  </si>
  <si>
    <t>smrLx</t>
  </si>
  <si>
    <t>smrLEx</t>
  </si>
  <si>
    <t>prop_female</t>
  </si>
  <si>
    <t>Age band</t>
  </si>
  <si>
    <t>index</t>
  </si>
  <si>
    <t>US</t>
  </si>
  <si>
    <t>Canada</t>
  </si>
  <si>
    <t>Norway</t>
  </si>
  <si>
    <t>Israel</t>
  </si>
  <si>
    <t>0-17</t>
  </si>
  <si>
    <t>18-24</t>
  </si>
  <si>
    <t>25-34</t>
  </si>
  <si>
    <t>35-44</t>
  </si>
  <si>
    <t>45-54</t>
  </si>
  <si>
    <t>55-64</t>
  </si>
  <si>
    <t>65-74</t>
  </si>
  <si>
    <t>75+</t>
  </si>
  <si>
    <t>0-9</t>
  </si>
  <si>
    <t>10-19</t>
  </si>
  <si>
    <t>20-29</t>
  </si>
  <si>
    <t>30-39</t>
  </si>
  <si>
    <t>40-49</t>
  </si>
  <si>
    <t>50-59</t>
  </si>
  <si>
    <t>60-69</t>
  </si>
  <si>
    <t>70-79</t>
  </si>
  <si>
    <t>80-90</t>
  </si>
  <si>
    <t>90-100</t>
  </si>
  <si>
    <t xml:space="preserve">Total </t>
  </si>
  <si>
    <t>Indicator</t>
  </si>
  <si>
    <t>Age Group</t>
  </si>
  <si>
    <t>Ireland_male</t>
  </si>
  <si>
    <t>Ireland_female</t>
  </si>
  <si>
    <t>Germany_male</t>
  </si>
  <si>
    <t>Germany_female</t>
  </si>
  <si>
    <t>Sweden_male</t>
  </si>
  <si>
    <t>Sweden_female</t>
  </si>
  <si>
    <t>Spain_male</t>
  </si>
  <si>
    <t>Spain_female</t>
  </si>
  <si>
    <t>nqx - probability of dying between ages x and x+n</t>
  </si>
  <si>
    <t>&lt;1 years</t>
  </si>
  <si>
    <t>1-4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</si>
  <si>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</si>
  <si>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</si>
  <si>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</si>
  <si>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</si>
  <si>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</si>
  <si>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</si>
  <si>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</si>
  <si>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</si>
  <si>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</si>
  <si>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</si>
  <si>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</si>
  <si>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</si>
  <si>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</si>
  <si>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</si>
  <si>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</si>
  <si>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</si>
  <si>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 xml:space="preserve"> 85+ years</t>
  </si>
  <si>
    <t>discount_rate</t>
  </si>
  <si>
    <t>smr</t>
  </si>
  <si>
    <t>Value</t>
  </si>
  <si>
    <t>Parameter</t>
  </si>
  <si>
    <t xml:space="preserve">OECD PPP 2019 accessed 5th October 2020. https://data.oecd.org/conversion/purchasing-power-parities-ppp.htm </t>
  </si>
  <si>
    <t>dollar_to_gdp</t>
  </si>
  <si>
    <t>cost_hospital_stay</t>
  </si>
  <si>
    <t>cost_icu_day</t>
  </si>
  <si>
    <t>qalyloss_covid_case</t>
  </si>
  <si>
    <t>qalyloss_covid_hospitalisation</t>
  </si>
  <si>
    <t>proportion_icu</t>
  </si>
  <si>
    <t xml:space="preserve">average_stay_icu </t>
  </si>
  <si>
    <t>Quality of life modifier for above standardised mortality ratio</t>
  </si>
  <si>
    <t>Source/comment (See publication for details)</t>
  </si>
  <si>
    <t>qCM</t>
  </si>
  <si>
    <t>85-100</t>
  </si>
  <si>
    <t>1-qx male</t>
  </si>
  <si>
    <t>1-qx female</t>
  </si>
  <si>
    <t>qx female</t>
  </si>
  <si>
    <t>qx male</t>
  </si>
  <si>
    <t>interval qx male</t>
  </si>
  <si>
    <t>interval qx female</t>
  </si>
  <si>
    <t>UK_male_ons</t>
  </si>
  <si>
    <t>UK_female_ons</t>
  </si>
  <si>
    <t>cmmid_mean_icu_stay</t>
  </si>
  <si>
    <t>cmmid_mean_hospital_stay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</si>
</sst>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
    <numFmt numFmtId="167" formatCode="0.000000"/>
  </numFmts>
  <fonts count="20" x14ac:knownFonts="1">
    <font>
      <sz val="11"/>
      <color theme="1"/>
      <name val="Calibri"/>
      <family val="2"/>
      <scheme val="minor"/>
    </font>
    <font>
      <sz val="10"/>
      <color theme="1"/>
      <name val="Times New Roman"/>
      <family val="1"/>
    </font>
    <font>
      <b/>
      <sz val="10"/>
      <color theme="1"/>
      <name val="Arial"/>
      <family val="2"/>
    </font>
    <font>
      <b/>
      <sz val="10"/>
      <color rgb="FF000000"/>
      <name val="Arial"/>
      <family val="2"/>
    </font>
    <font>
      <sz val="10"/>
      <color theme="1"/>
      <name val="Arial"/>
      <family val="2"/>
    </font>
    <font>
      <vertAlign val="superscript"/>
      <sz val="10"/>
      <color theme="1"/>
      <name val="Arial"/>
      <family val="2"/>
    </font>
    <font>
      <vertAlign val="superscript"/>
      <sz val="10"/>
      <color theme="1"/>
      <name val="Times New Roman"/>
      <family val="1"/>
    </font>
    <font>
      <sz val="10"/>
      <color rgb="FF0000FF"/>
      <name val="Times New Roman"/>
      <family val="1"/>
    </font>
    <font>
      <u/>
      <sz val="11"/>
      <color theme="10"/>
      <name val="Calibri"/>
      <family val="2"/>
      <scheme val="minor"/>
    </font>
    <font>
      <b/>
      <vertAlign val="superscript"/>
      <sz val="10"/>
      <color rgb="FF000000"/>
      <name val="Arial"/>
      <family val="2"/>
    </font>
    <font>
      <sz val="11"/>
      <color rgb="FF000000"/>
      <name val="Calibri"/>
      <family val="2"/>
    </font>
    <font>
      <sz val="12"/>
      <color theme="1"/>
      <name val="Calibri"/>
      <family val="2"/>
    </font>
    <font>
      <sz val="11"/>
      <color theme="1"/>
      <name val="Calibri"/>
      <family val="2"/>
      <scheme val="minor"/>
    </font>
    <font>
      <sz val="12"/>
      <color rgb="FFFF0000"/>
      <name val="Calibri"/>
      <family val="2"/>
    </font>
    <font>
      <sz val="12"/>
      <color rgb="FF000000"/>
      <name val="Calibri"/>
      <family val="2"/>
    </font>
    <font>
      <sz val="10"/>
      <color rgb="FF000000"/>
      <name val="Arial"/>
      <family val="2"/>
    </font>
    <font>
      <u/>
      <sz val="10"/>
      <color theme="10"/>
      <name val="Arial"/>
      <family val="2"/>
    </font>
    <font>
      <u/>
      <sz val="11"/>
      <color theme="10"/>
      <name val="Calibri"/>
      <family val="2"/>
    </font>
    <font>
      <u/>
      <sz val="10"/>
      <color indexed="12"/>
      <name val="Arial"/>
      <family val="2"/>
    </font>
    <font>
      <sz val="10"/>
      <name val="Arial"/>
      <family val="2"/>
    </font>
  </fonts>
  <fills count="5">
    <fill>
      <patternFill patternType="none"/>
    </fill>
    <fill>
      <patternFill patternType="gray125"/>
    </fill>
    <fill>
      <patternFill patternType="solid">
        <fgColor rgb="FFE7E6E6"/>
        <bgColor indexed="64"/>
      </patternFill>
    </fill>
    <fill>
      <patternFill patternType="solid">
        <fgColor rgb="FFF2F2F2"/>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thin">
        <color rgb="FF000000"/>
      </top>
      <bottom style="thin">
        <color rgb="FF000000"/>
      </bottom>
      <diagonal/>
    </border>
    <border>
      <left/>
      <right/>
      <top/>
      <bottom style="thin">
        <color rgb="FF000000"/>
      </bottom>
      <diagonal/>
    </border>
  </borders>
  <cellStyleXfs count="11">
    <xf numFmtId="0" fontId="0" fillId="0" borderId="0"/>
    <xf numFmtId="0" fontId="8" fillId="0" borderId="0" applyNumberFormat="0" applyFill="0" applyBorder="0" applyAlignment="0" applyProtection="0"/>
    <xf numFmtId="0" fontId="15" fillId="0" borderId="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2" fillId="0" borderId="0"/>
    <xf numFmtId="0" fontId="15" fillId="0" borderId="0"/>
    <xf numFmtId="0" fontId="16"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xf numFmtId="0" fontId="12" fillId="0" borderId="0"/>
  </cellStyleXfs>
  <cellXfs count="47">
    <xf numFmtId="0" fontId="0" fillId="0" borderId="0" xfId="0"/>
    <xf numFmtId="0" fontId="2" fillId="2" borderId="1" xfId="0" applyFont="1" applyFill="1" applyBorder="1" applyAlignment="1">
      <alignment vertical="center" wrapText="1"/>
    </xf>
    <xf numFmtId="0" fontId="3" fillId="2" borderId="2" xfId="0" applyFont="1" applyFill="1" applyBorder="1" applyAlignment="1">
      <alignment vertical="center" wrapText="1"/>
    </xf>
    <xf numFmtId="0" fontId="4" fillId="0" borderId="6" xfId="0" applyFont="1" applyBorder="1" applyAlignment="1">
      <alignment vertical="center" wrapText="1"/>
    </xf>
    <xf numFmtId="0" fontId="8" fillId="0" borderId="6" xfId="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1" fillId="0" borderId="5" xfId="0" applyFont="1" applyBorder="1" applyAlignment="1">
      <alignment vertical="center" wrapText="1"/>
    </xf>
    <xf numFmtId="0" fontId="8" fillId="0" borderId="5" xfId="1" applyBorder="1" applyAlignment="1">
      <alignment vertical="center" wrapText="1"/>
    </xf>
    <xf numFmtId="0" fontId="1" fillId="0" borderId="6" xfId="0" applyFont="1" applyBorder="1" applyAlignment="1">
      <alignment vertical="center" wrapText="1"/>
    </xf>
    <xf numFmtId="0" fontId="7" fillId="0" borderId="6" xfId="0" applyFont="1" applyBorder="1" applyAlignment="1">
      <alignment vertical="center" wrapText="1"/>
    </xf>
    <xf numFmtId="0" fontId="10" fillId="0" borderId="3" xfId="0" applyFont="1" applyBorder="1" applyAlignment="1">
      <alignment vertical="center" wrapText="1"/>
    </xf>
    <xf numFmtId="0" fontId="10" fillId="0" borderId="5" xfId="0" applyFont="1" applyBorder="1" applyAlignment="1">
      <alignment vertical="center" wrapText="1"/>
    </xf>
    <xf numFmtId="4" fontId="0" fillId="0" borderId="0" xfId="0" applyNumberFormat="1"/>
    <xf numFmtId="0" fontId="11" fillId="0" borderId="0" xfId="0" applyFont="1" applyAlignment="1">
      <alignment vertical="center" wrapText="1"/>
    </xf>
    <xf numFmtId="0" fontId="11" fillId="0" borderId="2" xfId="0" applyFont="1" applyBorder="1" applyAlignment="1">
      <alignment vertical="center" wrapText="1"/>
    </xf>
    <xf numFmtId="0" fontId="11" fillId="0" borderId="5" xfId="0" applyFont="1" applyBorder="1" applyAlignment="1">
      <alignment vertical="center" wrapText="1"/>
    </xf>
    <xf numFmtId="2" fontId="0" fillId="0" borderId="0" xfId="0" applyNumberFormat="1"/>
    <xf numFmtId="3" fontId="0" fillId="0" borderId="0" xfId="0" applyNumberFormat="1"/>
    <xf numFmtId="164" fontId="0" fillId="0" borderId="0" xfId="0" applyNumberFormat="1"/>
    <xf numFmtId="165" fontId="0" fillId="0" borderId="0" xfId="0" applyNumberFormat="1"/>
    <xf numFmtId="3" fontId="0" fillId="3" borderId="1" xfId="0" applyNumberFormat="1" applyFill="1" applyBorder="1" applyAlignment="1">
      <alignment vertical="center" wrapText="1"/>
    </xf>
    <xf numFmtId="3" fontId="0" fillId="0" borderId="3" xfId="0" applyNumberFormat="1" applyBorder="1" applyAlignment="1">
      <alignment vertical="center" wrapText="1"/>
    </xf>
    <xf numFmtId="166" fontId="10" fillId="0" borderId="5" xfId="0" applyNumberFormat="1" applyFont="1" applyBorder="1" applyAlignment="1">
      <alignment vertical="center" wrapText="1"/>
    </xf>
    <xf numFmtId="0" fontId="3" fillId="0" borderId="8" xfId="0" applyFont="1" applyBorder="1" applyAlignment="1">
      <alignment horizontal="center" vertical="center"/>
    </xf>
    <xf numFmtId="0" fontId="11" fillId="0" borderId="0" xfId="0" applyFont="1"/>
    <xf numFmtId="165" fontId="11" fillId="0" borderId="0" xfId="0" applyNumberFormat="1" applyFont="1"/>
    <xf numFmtId="1" fontId="11" fillId="0" borderId="0" xfId="0" applyNumberFormat="1" applyFont="1"/>
    <xf numFmtId="0" fontId="13" fillId="0" borderId="0" xfId="0" applyFont="1"/>
    <xf numFmtId="0" fontId="14" fillId="0" borderId="9" xfId="0" applyFont="1" applyBorder="1"/>
    <xf numFmtId="0" fontId="14" fillId="0" borderId="0" xfId="0" applyFont="1"/>
    <xf numFmtId="0" fontId="11" fillId="0" borderId="0" xfId="0" quotePrefix="1" applyFont="1" applyAlignment="1">
      <alignment horizontal="right"/>
    </xf>
    <xf numFmtId="2" fontId="11" fillId="0" borderId="0" xfId="0" applyNumberFormat="1" applyFont="1"/>
    <xf numFmtId="0" fontId="11" fillId="0" borderId="0" xfId="0" applyFont="1" applyAlignment="1">
      <alignment horizontal="right"/>
    </xf>
    <xf numFmtId="0" fontId="0" fillId="4" borderId="0" xfId="0" applyFill="1"/>
    <xf numFmtId="167" fontId="15" fillId="0" borderId="0" xfId="2" applyNumberFormat="1" applyFont="1"/>
    <xf numFmtId="167" fontId="15" fillId="0" borderId="0" xfId="2" applyNumberFormat="1"/>
    <xf numFmtId="165" fontId="13" fillId="0" borderId="0" xfId="0" applyNumberFormat="1" applyFont="1"/>
    <xf numFmtId="167" fontId="15" fillId="0" borderId="0" xfId="6" applyNumberFormat="1" applyFont="1"/>
    <xf numFmtId="0" fontId="4" fillId="0" borderId="7" xfId="0" applyFont="1" applyBorder="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10" fillId="0" borderId="7"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cellXfs>
  <cellStyles count="11">
    <cellStyle name="Hyperlink" xfId="1" builtinId="8"/>
    <cellStyle name="Hyperlink 2" xfId="4" xr:uid="{DB13A2D3-D56B-4F2C-A998-F99DD494D370}"/>
    <cellStyle name="Hyperlink 3" xfId="7" xr:uid="{BEF3B768-4B14-4348-BF65-DE76EFB54A9F}"/>
    <cellStyle name="Hyperlink 3 2" xfId="8" xr:uid="{069CEEA7-986C-40DE-A826-CE07F36BE5FE}"/>
    <cellStyle name="Hyperlink 4" xfId="3" xr:uid="{76FA1D53-6339-41EA-B95A-2DE55EF8DF99}"/>
    <cellStyle name="Normal" xfId="0" builtinId="0"/>
    <cellStyle name="Normal 2" xfId="6" xr:uid="{2C04AE27-93B6-4E6E-B7DD-FCAC7FAD40AD}"/>
    <cellStyle name="Normal 2 2" xfId="9" xr:uid="{7F3ADCB4-2AFF-4A30-9617-4CA0E6E81F7C}"/>
    <cellStyle name="Normal 3" xfId="5" xr:uid="{CA3891AF-17CC-43A9-BD00-11444F871A74}"/>
    <cellStyle name="Normal 3 2" xfId="10" xr:uid="{8C2F6146-EF04-4CB0-925A-088B0CF3BB29}"/>
    <cellStyle name="Normal 4" xfId="2" xr:uid="{2E13DB90-185D-4403-8867-D177FECA8D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ward/Documents/Bristol/Covid-19/Cost-effectiveness%20of%20lockdowns/Model%20Searches/Briggs%20COVID-19-QALYs-v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esults"/>
      <sheetName val="Age Dist"/>
      <sheetName val="LookUpTables"/>
      <sheetName val="Calculations"/>
      <sheetName val="CalculationsA"/>
      <sheetName val="CalculationsB"/>
      <sheetName val="UK ONS 16-18"/>
      <sheetName val="UK ONS ageD"/>
      <sheetName val="US CDC ageD"/>
      <sheetName val="CDC 2017"/>
      <sheetName val="Can LT 16-18"/>
      <sheetName val="Can ageD"/>
      <sheetName val="Can QoL"/>
      <sheetName val="Nor LT"/>
      <sheetName val="Nor ageD"/>
      <sheetName val="Israel LT"/>
      <sheetName val="Israel ageD"/>
      <sheetName val="Israel QoL"/>
    </sheetNames>
    <sheetDataSet>
      <sheetData sheetId="0" refreshError="1"/>
      <sheetData sheetId="1" refreshError="1"/>
      <sheetData sheetId="2" refreshError="1"/>
      <sheetData sheetId="3" refreshError="1">
        <row r="9">
          <cell r="B9" t="str">
            <v>Age</v>
          </cell>
          <cell r="C9" t="str">
            <v>UK</v>
          </cell>
          <cell r="D9" t="str">
            <v>US</v>
          </cell>
          <cell r="E9" t="str">
            <v>Canada</v>
          </cell>
          <cell r="F9" t="str">
            <v>Norway</v>
          </cell>
          <cell r="G9" t="str">
            <v>Israel</v>
          </cell>
        </row>
        <row r="10">
          <cell r="B10">
            <v>0</v>
          </cell>
          <cell r="C10">
            <v>4.1999999999999997E-3</v>
          </cell>
          <cell r="D10">
            <v>6.3023469410836697E-3</v>
          </cell>
          <cell r="E10">
            <v>4.7699999999999999E-3</v>
          </cell>
          <cell r="F10">
            <v>2.4320000000000001E-3</v>
          </cell>
          <cell r="G10">
            <v>3.3355012147736913E-3</v>
          </cell>
        </row>
        <row r="11">
          <cell r="B11">
            <v>1</v>
          </cell>
          <cell r="C11">
            <v>2.5700000000000001E-4</v>
          </cell>
          <cell r="D11">
            <v>4.2268639663234353E-4</v>
          </cell>
          <cell r="E11">
            <v>2.7999999999999998E-4</v>
          </cell>
          <cell r="F11">
            <v>2.3900000000000001E-4</v>
          </cell>
          <cell r="G11">
            <v>3.0488727551586457E-4</v>
          </cell>
        </row>
        <row r="12">
          <cell r="B12">
            <v>2</v>
          </cell>
          <cell r="C12">
            <v>1.3899999999999999E-4</v>
          </cell>
          <cell r="D12">
            <v>2.8743533766828477E-4</v>
          </cell>
          <cell r="E12">
            <v>2.0000000000000001E-4</v>
          </cell>
          <cell r="F12">
            <v>1.64E-4</v>
          </cell>
          <cell r="G12">
            <v>2.2728948922868928E-4</v>
          </cell>
        </row>
        <row r="13">
          <cell r="B13">
            <v>3</v>
          </cell>
          <cell r="C13">
            <v>1.1400000000000001E-4</v>
          </cell>
          <cell r="D13">
            <v>2.2494496079161763E-4</v>
          </cell>
          <cell r="E13">
            <v>1.4999999999999999E-4</v>
          </cell>
          <cell r="F13">
            <v>6.3999999999999997E-5</v>
          </cell>
          <cell r="G13">
            <v>1.7559773686957376E-4</v>
          </cell>
        </row>
        <row r="14">
          <cell r="B14">
            <v>4</v>
          </cell>
          <cell r="C14">
            <v>9.8999999999999994E-5</v>
          </cell>
          <cell r="D14">
            <v>1.5816476661711931E-4</v>
          </cell>
          <cell r="E14">
            <v>1.2E-4</v>
          </cell>
          <cell r="F14">
            <v>1.2799999999999999E-4</v>
          </cell>
          <cell r="G14">
            <v>1.4098471058326208E-4</v>
          </cell>
        </row>
        <row r="15">
          <cell r="B15">
            <v>5</v>
          </cell>
          <cell r="C15">
            <v>9.2999999999999997E-5</v>
          </cell>
          <cell r="D15">
            <v>1.5554059064015746E-4</v>
          </cell>
          <cell r="E15">
            <v>1E-4</v>
          </cell>
          <cell r="F15">
            <v>1.2799999999999999E-4</v>
          </cell>
          <cell r="G15">
            <v>1.17964870067062E-4</v>
          </cell>
        </row>
        <row r="16">
          <cell r="B16">
            <v>6</v>
          </cell>
          <cell r="C16">
            <v>8.0000000000000007E-5</v>
          </cell>
          <cell r="D16">
            <v>1.3845614739693701E-4</v>
          </cell>
          <cell r="E16">
            <v>9.0000000000000006E-5</v>
          </cell>
          <cell r="F16">
            <v>3.1000000000000001E-5</v>
          </cell>
          <cell r="G16">
            <v>1.0315136436683143E-4</v>
          </cell>
        </row>
        <row r="17">
          <cell r="B17">
            <v>7</v>
          </cell>
          <cell r="C17">
            <v>7.7000000000000001E-5</v>
          </cell>
          <cell r="D17">
            <v>1.2436427641659975E-4</v>
          </cell>
          <cell r="E17">
            <v>8.0000000000000007E-5</v>
          </cell>
          <cell r="F17">
            <v>1.2300000000000001E-4</v>
          </cell>
          <cell r="G17">
            <v>9.4526352235802316E-5</v>
          </cell>
        </row>
        <row r="18">
          <cell r="B18">
            <v>8</v>
          </cell>
          <cell r="C18">
            <v>7.1000000000000005E-5</v>
          </cell>
          <cell r="D18">
            <v>1.1041062680305913E-4</v>
          </cell>
          <cell r="E18">
            <v>8.0000000000000007E-5</v>
          </cell>
          <cell r="F18">
            <v>0</v>
          </cell>
          <cell r="G18">
            <v>9.103334325788744E-5</v>
          </cell>
        </row>
        <row r="19">
          <cell r="B19">
            <v>9</v>
          </cell>
          <cell r="C19">
            <v>6.4999999999999994E-5</v>
          </cell>
          <cell r="D19">
            <v>9.8203672678209841E-5</v>
          </cell>
          <cell r="E19">
            <v>8.0000000000000007E-5</v>
          </cell>
          <cell r="F19">
            <v>1.47E-4</v>
          </cell>
          <cell r="G19">
            <v>9.239145173632458E-5</v>
          </cell>
        </row>
        <row r="20">
          <cell r="B20">
            <v>10</v>
          </cell>
          <cell r="C20">
            <v>7.6000000000000004E-5</v>
          </cell>
          <cell r="D20">
            <v>9.3976806965656579E-5</v>
          </cell>
          <cell r="E20">
            <v>9.0000000000000006E-5</v>
          </cell>
          <cell r="F20">
            <v>0</v>
          </cell>
          <cell r="G20">
            <v>9.8887984693111125E-5</v>
          </cell>
        </row>
        <row r="21">
          <cell r="B21">
            <v>11</v>
          </cell>
          <cell r="C21">
            <v>8.6000000000000003E-5</v>
          </cell>
          <cell r="D21">
            <v>1.0786124767037109E-4</v>
          </cell>
          <cell r="E21">
            <v>1E-4</v>
          </cell>
          <cell r="F21">
            <v>6.0000000000000002E-5</v>
          </cell>
          <cell r="G21">
            <v>1.1075497099642469E-4</v>
          </cell>
        </row>
        <row r="22">
          <cell r="B22">
            <v>12</v>
          </cell>
          <cell r="C22">
            <v>9.8999999999999994E-5</v>
          </cell>
          <cell r="D22">
            <v>1.5155704750213772E-4</v>
          </cell>
          <cell r="E22">
            <v>1.1E-4</v>
          </cell>
          <cell r="F22">
            <v>1.8200000000000001E-4</v>
          </cell>
          <cell r="G22">
            <v>1.2852899894834206E-4</v>
          </cell>
        </row>
        <row r="23">
          <cell r="B23">
            <v>13</v>
          </cell>
          <cell r="C23">
            <v>1.1E-4</v>
          </cell>
          <cell r="D23">
            <v>2.3189505736809224E-4</v>
          </cell>
          <cell r="E23">
            <v>1.3999999999999999E-4</v>
          </cell>
          <cell r="F23">
            <v>9.2E-5</v>
          </cell>
          <cell r="G23">
            <v>1.5302678270302865E-4</v>
          </cell>
        </row>
        <row r="24">
          <cell r="B24">
            <v>14</v>
          </cell>
          <cell r="C24">
            <v>1.3300000000000001E-4</v>
          </cell>
          <cell r="D24">
            <v>3.4138996852561831E-4</v>
          </cell>
          <cell r="E24">
            <v>1.8000000000000001E-4</v>
          </cell>
          <cell r="F24">
            <v>6.2000000000000003E-5</v>
          </cell>
          <cell r="G24">
            <v>1.8508551197572555E-4</v>
          </cell>
        </row>
        <row r="25">
          <cell r="B25">
            <v>15</v>
          </cell>
          <cell r="C25">
            <v>1.7899999999999999E-4</v>
          </cell>
          <cell r="D25">
            <v>4.61328134406358E-4</v>
          </cell>
          <cell r="E25">
            <v>2.5000000000000001E-4</v>
          </cell>
          <cell r="F25">
            <v>2.4800000000000001E-4</v>
          </cell>
          <cell r="G25">
            <v>2.2517817009709014E-4</v>
          </cell>
        </row>
        <row r="26">
          <cell r="B26">
            <v>16</v>
          </cell>
          <cell r="C26">
            <v>2.33E-4</v>
          </cell>
          <cell r="D26">
            <v>5.8416114188730717E-4</v>
          </cell>
          <cell r="E26">
            <v>3.3E-4</v>
          </cell>
          <cell r="F26">
            <v>2.5099999999999998E-4</v>
          </cell>
          <cell r="G26">
            <v>2.7285961352202601E-4</v>
          </cell>
        </row>
        <row r="27">
          <cell r="B27">
            <v>17</v>
          </cell>
          <cell r="C27">
            <v>3.1700000000000001E-4</v>
          </cell>
          <cell r="D27">
            <v>7.1757868863642216E-4</v>
          </cell>
          <cell r="E27">
            <v>4.2000000000000002E-4</v>
          </cell>
          <cell r="F27">
            <v>2.4899999999999998E-4</v>
          </cell>
          <cell r="G27">
            <v>3.2607805838455928E-4</v>
          </cell>
        </row>
        <row r="28">
          <cell r="B28">
            <v>18</v>
          </cell>
          <cell r="C28">
            <v>4.06E-4</v>
          </cell>
          <cell r="D28">
            <v>8.5859786486253142E-4</v>
          </cell>
          <cell r="E28">
            <v>5.1000000000000004E-4</v>
          </cell>
          <cell r="F28">
            <v>5.3700000000000004E-4</v>
          </cell>
          <cell r="G28">
            <v>3.8052523684085573E-4</v>
          </cell>
        </row>
        <row r="29">
          <cell r="B29">
            <v>19</v>
          </cell>
          <cell r="C29">
            <v>4.4999999999999999E-4</v>
          </cell>
          <cell r="D29">
            <v>1.0014867875725031E-3</v>
          </cell>
          <cell r="E29">
            <v>5.9999999999999995E-4</v>
          </cell>
          <cell r="F29">
            <v>4.9100000000000001E-4</v>
          </cell>
          <cell r="G29">
            <v>4.3035497695416989E-4</v>
          </cell>
        </row>
        <row r="30">
          <cell r="B30">
            <v>20</v>
          </cell>
          <cell r="C30">
            <v>4.8099999999999998E-4</v>
          </cell>
          <cell r="D30">
            <v>1.1470711324363947E-3</v>
          </cell>
          <cell r="E30">
            <v>6.8000000000000005E-4</v>
          </cell>
          <cell r="F30">
            <v>6.9700000000000003E-4</v>
          </cell>
          <cell r="G30">
            <v>4.7241129835084056E-4</v>
          </cell>
        </row>
        <row r="31">
          <cell r="B31">
            <v>21</v>
          </cell>
          <cell r="C31">
            <v>5.0799999999999999E-4</v>
          </cell>
          <cell r="D31">
            <v>1.2859423877671361E-3</v>
          </cell>
          <cell r="E31">
            <v>7.5000000000000002E-4</v>
          </cell>
          <cell r="F31">
            <v>3.19E-4</v>
          </cell>
          <cell r="G31">
            <v>5.0527066256768414E-4</v>
          </cell>
        </row>
        <row r="32">
          <cell r="B32">
            <v>22</v>
          </cell>
          <cell r="C32">
            <v>4.9399999999999997E-4</v>
          </cell>
          <cell r="D32">
            <v>1.4028329169377685E-3</v>
          </cell>
          <cell r="E32">
            <v>8.0999999999999996E-4</v>
          </cell>
          <cell r="F32">
            <v>5.3600000000000002E-4</v>
          </cell>
          <cell r="G32">
            <v>5.2856515581709658E-4</v>
          </cell>
        </row>
        <row r="33">
          <cell r="B33">
            <v>23</v>
          </cell>
          <cell r="C33">
            <v>5.2400000000000005E-4</v>
          </cell>
          <cell r="D33">
            <v>1.4899933012202382E-3</v>
          </cell>
          <cell r="E33">
            <v>8.5999999999999998E-4</v>
          </cell>
          <cell r="F33">
            <v>6.3900000000000003E-4</v>
          </cell>
          <cell r="G33">
            <v>5.4288006965963226E-4</v>
          </cell>
        </row>
        <row r="34">
          <cell r="B34">
            <v>24</v>
          </cell>
          <cell r="C34">
            <v>5.44E-4</v>
          </cell>
          <cell r="D34">
            <v>1.5538185834884644E-3</v>
          </cell>
          <cell r="E34">
            <v>8.8000000000000003E-4</v>
          </cell>
          <cell r="F34">
            <v>8.3199999999999995E-4</v>
          </cell>
          <cell r="G34">
            <v>5.495414638213925E-4</v>
          </cell>
        </row>
        <row r="35">
          <cell r="B35">
            <v>25</v>
          </cell>
          <cell r="C35">
            <v>5.9900000000000003E-4</v>
          </cell>
          <cell r="D35">
            <v>1.609192113392055E-3</v>
          </cell>
          <cell r="E35">
            <v>8.9999999999999998E-4</v>
          </cell>
          <cell r="F35">
            <v>6.0499999999999996E-4</v>
          </cell>
          <cell r="G35">
            <v>5.5036209419761443E-4</v>
          </cell>
        </row>
        <row r="36">
          <cell r="B36">
            <v>26</v>
          </cell>
          <cell r="C36">
            <v>5.9699999999999998E-4</v>
          </cell>
          <cell r="D36">
            <v>1.6636601649224758E-3</v>
          </cell>
          <cell r="E36">
            <v>9.2000000000000003E-4</v>
          </cell>
          <cell r="F36">
            <v>6.7100000000000005E-4</v>
          </cell>
          <cell r="G36">
            <v>5.4740444888810456E-4</v>
          </cell>
        </row>
        <row r="37">
          <cell r="B37">
            <v>27</v>
          </cell>
          <cell r="C37">
            <v>6.0400000000000004E-4</v>
          </cell>
          <cell r="D37">
            <v>1.71330024022609E-3</v>
          </cell>
          <cell r="E37">
            <v>9.3999999999999997E-4</v>
          </cell>
          <cell r="F37">
            <v>5.7499999999999999E-4</v>
          </cell>
          <cell r="G37">
            <v>5.4280041442391952E-4</v>
          </cell>
        </row>
        <row r="38">
          <cell r="B38">
            <v>28</v>
          </cell>
          <cell r="C38">
            <v>6.96E-4</v>
          </cell>
          <cell r="D38">
            <v>1.7615470569580793E-3</v>
          </cell>
          <cell r="E38">
            <v>9.7000000000000005E-4</v>
          </cell>
          <cell r="F38">
            <v>6.96E-4</v>
          </cell>
          <cell r="G38">
            <v>5.3864711478353105E-4</v>
          </cell>
        </row>
        <row r="39">
          <cell r="B39">
            <v>29</v>
          </cell>
          <cell r="C39">
            <v>7.2999999999999996E-4</v>
          </cell>
          <cell r="D39">
            <v>1.81030691601336E-3</v>
          </cell>
          <cell r="E39">
            <v>1E-3</v>
          </cell>
          <cell r="F39">
            <v>6.1499999999999999E-4</v>
          </cell>
          <cell r="G39">
            <v>5.3698370195766581E-4</v>
          </cell>
        </row>
        <row r="40">
          <cell r="B40">
            <v>30</v>
          </cell>
          <cell r="C40">
            <v>7.5000000000000002E-4</v>
          </cell>
          <cell r="D40">
            <v>1.8587581580504775E-3</v>
          </cell>
          <cell r="E40">
            <v>1.0300000000000001E-3</v>
          </cell>
          <cell r="F40">
            <v>6.1799999999999995E-4</v>
          </cell>
          <cell r="G40">
            <v>5.3984707218313575E-4</v>
          </cell>
        </row>
        <row r="41">
          <cell r="B41">
            <v>31</v>
          </cell>
          <cell r="C41">
            <v>8.2899999999999998E-4</v>
          </cell>
          <cell r="D41">
            <v>1.9074579467996955E-3</v>
          </cell>
          <cell r="E41">
            <v>1.07E-3</v>
          </cell>
          <cell r="F41">
            <v>5.7799999999999995E-4</v>
          </cell>
          <cell r="G41">
            <v>5.489860358371399E-4</v>
          </cell>
        </row>
        <row r="42">
          <cell r="B42">
            <v>32</v>
          </cell>
          <cell r="C42">
            <v>8.5800000000000004E-4</v>
          </cell>
          <cell r="D42">
            <v>1.9591974560171366E-3</v>
          </cell>
          <cell r="E42">
            <v>1.1000000000000001E-3</v>
          </cell>
          <cell r="F42">
            <v>6.9300000000000004E-4</v>
          </cell>
          <cell r="G42">
            <v>5.6471814225685058E-4</v>
          </cell>
        </row>
        <row r="43">
          <cell r="B43">
            <v>33</v>
          </cell>
          <cell r="C43">
            <v>9.1399999999999999E-4</v>
          </cell>
          <cell r="D43">
            <v>2.014129189774394E-3</v>
          </cell>
          <cell r="E43">
            <v>1.1299999999999999E-3</v>
          </cell>
          <cell r="F43">
            <v>5.0799999999999999E-4</v>
          </cell>
          <cell r="G43">
            <v>5.8714966012145926E-4</v>
          </cell>
        </row>
        <row r="44">
          <cell r="B44">
            <v>34</v>
          </cell>
          <cell r="C44">
            <v>9.8200000000000002E-4</v>
          </cell>
          <cell r="D44">
            <v>2.0716269500553608E-3</v>
          </cell>
          <cell r="E44">
            <v>1.15E-3</v>
          </cell>
          <cell r="F44">
            <v>5.9599999999999996E-4</v>
          </cell>
          <cell r="G44">
            <v>6.1656554924090559E-4</v>
          </cell>
        </row>
        <row r="45">
          <cell r="B45">
            <v>35</v>
          </cell>
          <cell r="C45">
            <v>1.0430000000000001E-3</v>
          </cell>
          <cell r="D45">
            <v>2.1390151232481003E-3</v>
          </cell>
          <cell r="E45">
            <v>1.16E-3</v>
          </cell>
          <cell r="F45">
            <v>6.8099999999999996E-4</v>
          </cell>
          <cell r="G45">
            <v>6.534160517827751E-4</v>
          </cell>
        </row>
        <row r="46">
          <cell r="B46">
            <v>36</v>
          </cell>
          <cell r="C46">
            <v>1.163E-3</v>
          </cell>
          <cell r="D46">
            <v>2.2113339509814978E-3</v>
          </cell>
          <cell r="E46">
            <v>1.1800000000000001E-3</v>
          </cell>
          <cell r="F46">
            <v>7.8600000000000002E-4</v>
          </cell>
          <cell r="G46">
            <v>6.98308266286461E-4</v>
          </cell>
        </row>
        <row r="47">
          <cell r="B47">
            <v>37</v>
          </cell>
          <cell r="C47">
            <v>1.2470000000000001E-3</v>
          </cell>
          <cell r="D47">
            <v>2.2768150083720684E-3</v>
          </cell>
          <cell r="E47">
            <v>1.2099999999999999E-3</v>
          </cell>
          <cell r="F47">
            <v>9.3499999999999996E-4</v>
          </cell>
          <cell r="G47">
            <v>7.5200052315480112E-4</v>
          </cell>
        </row>
        <row r="48">
          <cell r="B48">
            <v>38</v>
          </cell>
          <cell r="C48">
            <v>1.2310000000000001E-3</v>
          </cell>
          <cell r="D48">
            <v>2.3329313844442368E-3</v>
          </cell>
          <cell r="E48">
            <v>1.2600000000000001E-3</v>
          </cell>
          <cell r="F48">
            <v>8.8400000000000002E-4</v>
          </cell>
          <cell r="G48">
            <v>8.153975725440503E-4</v>
          </cell>
        </row>
        <row r="49">
          <cell r="B49">
            <v>39</v>
          </cell>
          <cell r="C49">
            <v>1.3940000000000001E-3</v>
          </cell>
          <cell r="D49">
            <v>2.3898361250758171E-3</v>
          </cell>
          <cell r="E49">
            <v>1.32E-3</v>
          </cell>
          <cell r="F49">
            <v>9.3599999999999998E-4</v>
          </cell>
          <cell r="G49">
            <v>8.8954461238466883E-4</v>
          </cell>
        </row>
        <row r="50">
          <cell r="B50">
            <v>40</v>
          </cell>
          <cell r="C50">
            <v>1.5280000000000001E-3</v>
          </cell>
          <cell r="D50">
            <v>2.4626462254673243E-3</v>
          </cell>
          <cell r="E50">
            <v>1.4E-3</v>
          </cell>
          <cell r="F50">
            <v>1.1130000000000001E-3</v>
          </cell>
          <cell r="G50">
            <v>9.756180738139822E-4</v>
          </cell>
        </row>
        <row r="51">
          <cell r="B51">
            <v>41</v>
          </cell>
          <cell r="C51">
            <v>1.732E-3</v>
          </cell>
          <cell r="D51">
            <v>2.5655240751802921E-3</v>
          </cell>
          <cell r="E51">
            <v>1.5E-3</v>
          </cell>
          <cell r="F51">
            <v>7.9500000000000003E-4</v>
          </cell>
          <cell r="G51">
            <v>1.0749108856967801E-3</v>
          </cell>
          <cell r="Q51">
            <v>2</v>
          </cell>
        </row>
        <row r="52">
          <cell r="B52">
            <v>42</v>
          </cell>
          <cell r="C52">
            <v>1.843E-3</v>
          </cell>
          <cell r="D52">
            <v>2.7009788900613785E-3</v>
          </cell>
          <cell r="E52">
            <v>1.6000000000000001E-3</v>
          </cell>
          <cell r="F52">
            <v>9.3800000000000003E-4</v>
          </cell>
          <cell r="G52">
            <v>1.1888097032346889E-3</v>
          </cell>
        </row>
        <row r="53">
          <cell r="B53">
            <v>43</v>
          </cell>
          <cell r="C53">
            <v>2.068E-3</v>
          </cell>
          <cell r="D53">
            <v>2.8696933295577765E-3</v>
          </cell>
          <cell r="E53">
            <v>1.72E-3</v>
          </cell>
          <cell r="F53">
            <v>1.444E-3</v>
          </cell>
          <cell r="G53">
            <v>1.3187613604175336E-3</v>
          </cell>
          <cell r="Q53">
            <v>1</v>
          </cell>
        </row>
        <row r="54">
          <cell r="B54">
            <v>44</v>
          </cell>
          <cell r="C54">
            <v>2.1310000000000001E-3</v>
          </cell>
          <cell r="D54">
            <v>3.0660501215606928E-3</v>
          </cell>
          <cell r="E54">
            <v>1.8400000000000001E-3</v>
          </cell>
          <cell r="F54">
            <v>1.351E-3</v>
          </cell>
          <cell r="G54">
            <v>1.4662256582004076E-3</v>
          </cell>
        </row>
        <row r="55">
          <cell r="B55">
            <v>45</v>
          </cell>
          <cell r="C55">
            <v>2.294E-3</v>
          </cell>
          <cell r="D55">
            <v>3.2801120541989803E-3</v>
          </cell>
          <cell r="E55">
            <v>1.98E-3</v>
          </cell>
          <cell r="F55">
            <v>1.1069999999999999E-3</v>
          </cell>
          <cell r="G55">
            <v>1.6326116124622475E-3</v>
          </cell>
        </row>
        <row r="56">
          <cell r="B56">
            <v>46</v>
          </cell>
          <cell r="C56">
            <v>2.4520000000000002E-3</v>
          </cell>
          <cell r="D56">
            <v>3.5201031714677811E-3</v>
          </cell>
          <cell r="E56">
            <v>2.14E-3</v>
          </cell>
          <cell r="F56">
            <v>1.6280000000000001E-3</v>
          </cell>
          <cell r="G56">
            <v>1.8191945580248307E-3</v>
          </cell>
        </row>
        <row r="57">
          <cell r="B57">
            <v>47</v>
          </cell>
          <cell r="C57">
            <v>2.728E-3</v>
          </cell>
          <cell r="D57">
            <v>3.803920466452837E-3</v>
          </cell>
          <cell r="E57">
            <v>2.31E-3</v>
          </cell>
          <cell r="F57">
            <v>1.5839999999999999E-3</v>
          </cell>
          <cell r="G57">
            <v>2.0270121513730728E-3</v>
          </cell>
        </row>
        <row r="58">
          <cell r="B58">
            <v>48</v>
          </cell>
          <cell r="C58">
            <v>2.8700000000000002E-3</v>
          </cell>
          <cell r="D58">
            <v>4.1459756903350353E-3</v>
          </cell>
          <cell r="E58">
            <v>2.5000000000000001E-3</v>
          </cell>
          <cell r="F58">
            <v>1.57E-3</v>
          </cell>
          <cell r="G58">
            <v>2.2567384547136082E-3</v>
          </cell>
        </row>
        <row r="59">
          <cell r="B59">
            <v>49</v>
          </cell>
          <cell r="C59">
            <v>3.1540000000000001E-3</v>
          </cell>
          <cell r="D59">
            <v>4.5468863099813461E-3</v>
          </cell>
          <cell r="E59">
            <v>2.7100000000000002E-3</v>
          </cell>
          <cell r="F59">
            <v>1.616E-3</v>
          </cell>
          <cell r="G59">
            <v>2.5085370269668896E-3</v>
          </cell>
        </row>
        <row r="60">
          <cell r="B60">
            <v>50</v>
          </cell>
          <cell r="C60">
            <v>3.3760000000000001E-3</v>
          </cell>
          <cell r="D60">
            <v>4.9782963469624519E-3</v>
          </cell>
          <cell r="E60">
            <v>2.9499999999999999E-3</v>
          </cell>
          <cell r="F60">
            <v>1.9419999999999999E-3</v>
          </cell>
          <cell r="G60">
            <v>2.7818963688663709E-3</v>
          </cell>
        </row>
        <row r="61">
          <cell r="B61">
            <v>51</v>
          </cell>
          <cell r="C61">
            <v>3.545E-3</v>
          </cell>
          <cell r="D61">
            <v>5.4409313015639782E-3</v>
          </cell>
          <cell r="E61">
            <v>3.2100000000000002E-3</v>
          </cell>
          <cell r="F61">
            <v>2.2669999999999999E-3</v>
          </cell>
          <cell r="G61">
            <v>3.0760282854001039E-3</v>
          </cell>
        </row>
        <row r="62">
          <cell r="B62">
            <v>52</v>
          </cell>
          <cell r="C62">
            <v>3.9179999999999996E-3</v>
          </cell>
          <cell r="D62">
            <v>5.9650964103639126E-3</v>
          </cell>
          <cell r="E62">
            <v>3.49E-3</v>
          </cell>
          <cell r="F62">
            <v>2.5899999999999999E-3</v>
          </cell>
          <cell r="G62">
            <v>3.391881733747337E-3</v>
          </cell>
        </row>
        <row r="63">
          <cell r="B63">
            <v>53</v>
          </cell>
          <cell r="C63">
            <v>4.0769999999999999E-3</v>
          </cell>
          <cell r="D63">
            <v>6.5485280938446522E-3</v>
          </cell>
          <cell r="E63">
            <v>3.81E-3</v>
          </cell>
          <cell r="F63">
            <v>2.5869999999999999E-3</v>
          </cell>
          <cell r="G63">
            <v>3.7311713566887555E-3</v>
          </cell>
        </row>
        <row r="64">
          <cell r="B64">
            <v>54</v>
          </cell>
          <cell r="C64">
            <v>4.4299999999999999E-3</v>
          </cell>
          <cell r="D64">
            <v>7.1699204854667187E-3</v>
          </cell>
          <cell r="E64">
            <v>4.15E-3</v>
          </cell>
          <cell r="F64">
            <v>3.2659999999999998E-3</v>
          </cell>
          <cell r="G64">
            <v>4.0959714753958272E-3</v>
          </cell>
        </row>
        <row r="65">
          <cell r="B65">
            <v>55</v>
          </cell>
          <cell r="C65">
            <v>4.8859999999999997E-3</v>
          </cell>
          <cell r="D65">
            <v>7.8031821176409721E-3</v>
          </cell>
          <cell r="E65">
            <v>4.5300000000000002E-3</v>
          </cell>
          <cell r="F65">
            <v>3.3890000000000001E-3</v>
          </cell>
          <cell r="G65">
            <v>4.4887870748620048E-3</v>
          </cell>
        </row>
        <row r="66">
          <cell r="B66">
            <v>56</v>
          </cell>
          <cell r="C66">
            <v>5.3810000000000004E-3</v>
          </cell>
          <cell r="D66">
            <v>8.4446631371974945E-3</v>
          </cell>
          <cell r="E66">
            <v>4.9399999999999999E-3</v>
          </cell>
          <cell r="F66">
            <v>4.0429999999999997E-3</v>
          </cell>
          <cell r="G66">
            <v>4.9126356736124031E-3</v>
          </cell>
        </row>
        <row r="67">
          <cell r="B67">
            <v>57</v>
          </cell>
          <cell r="C67">
            <v>5.8700000000000002E-3</v>
          </cell>
          <cell r="D67">
            <v>9.1161839663982391E-3</v>
          </cell>
          <cell r="E67">
            <v>5.4000000000000003E-3</v>
          </cell>
          <cell r="F67">
            <v>4.5840000000000004E-3</v>
          </cell>
          <cell r="G67">
            <v>5.3711427957865224E-3</v>
          </cell>
        </row>
        <row r="68">
          <cell r="B68">
            <v>58</v>
          </cell>
          <cell r="C68">
            <v>6.43E-3</v>
          </cell>
          <cell r="D68">
            <v>9.8380874842405319E-3</v>
          </cell>
          <cell r="E68">
            <v>5.8999999999999999E-3</v>
          </cell>
          <cell r="F68">
            <v>4.215E-3</v>
          </cell>
          <cell r="G68">
            <v>5.8686545478524223E-3</v>
          </cell>
        </row>
        <row r="69">
          <cell r="B69">
            <v>59</v>
          </cell>
          <cell r="C69">
            <v>7.0340000000000003E-3</v>
          </cell>
          <cell r="D69">
            <v>1.0619322769343853E-2</v>
          </cell>
          <cell r="E69">
            <v>6.4599999999999996E-3</v>
          </cell>
          <cell r="F69">
            <v>5.4780000000000002E-3</v>
          </cell>
          <cell r="G69">
            <v>6.4103717768593856E-3</v>
          </cell>
        </row>
        <row r="70">
          <cell r="B70">
            <v>60</v>
          </cell>
          <cell r="C70">
            <v>7.7479999999999997E-3</v>
          </cell>
          <cell r="D70">
            <v>1.146990992128849E-2</v>
          </cell>
          <cell r="E70">
            <v>7.0699999999999999E-3</v>
          </cell>
          <cell r="F70">
            <v>5.7930000000000004E-3</v>
          </cell>
          <cell r="G70">
            <v>7.0025115114069605E-3</v>
          </cell>
        </row>
        <row r="71">
          <cell r="B71">
            <v>61</v>
          </cell>
          <cell r="C71">
            <v>8.5389999999999997E-3</v>
          </cell>
          <cell r="D71">
            <v>1.2361294589936733E-2</v>
          </cell>
          <cell r="E71">
            <v>7.7400000000000004E-3</v>
          </cell>
          <cell r="F71">
            <v>6.6439999999999997E-3</v>
          </cell>
          <cell r="G71">
            <v>7.6525029404624122E-3</v>
          </cell>
        </row>
        <row r="72">
          <cell r="B72">
            <v>62</v>
          </cell>
          <cell r="C72">
            <v>9.2779999999999998E-3</v>
          </cell>
          <cell r="D72">
            <v>1.3260341249406338E-2</v>
          </cell>
          <cell r="E72">
            <v>8.4799999999999997E-3</v>
          </cell>
          <cell r="F72">
            <v>7.5380000000000004E-3</v>
          </cell>
          <cell r="G72">
            <v>8.369227176811888E-3</v>
          </cell>
        </row>
        <row r="73">
          <cell r="B73">
            <v>63</v>
          </cell>
          <cell r="C73">
            <v>1.0397999999999999E-2</v>
          </cell>
          <cell r="D73">
            <v>1.4139737002551556E-2</v>
          </cell>
          <cell r="E73">
            <v>9.2999999999999992E-3</v>
          </cell>
          <cell r="F73">
            <v>8.6370000000000006E-3</v>
          </cell>
          <cell r="G73">
            <v>9.163312626898467E-3</v>
          </cell>
        </row>
        <row r="74">
          <cell r="B74">
            <v>64</v>
          </cell>
          <cell r="C74">
            <v>1.1117999999999999E-2</v>
          </cell>
          <cell r="D74">
            <v>1.5018866397440434E-2</v>
          </cell>
          <cell r="E74">
            <v>1.021E-2</v>
          </cell>
          <cell r="F74">
            <v>8.4770000000000002E-3</v>
          </cell>
          <cell r="G74">
            <v>1.0047501143829948E-2</v>
          </cell>
        </row>
        <row r="75">
          <cell r="B75">
            <v>65</v>
          </cell>
          <cell r="C75">
            <v>1.2208E-2</v>
          </cell>
          <cell r="D75">
            <v>1.594170555472374E-2</v>
          </cell>
          <cell r="E75">
            <v>1.1209999999999999E-2</v>
          </cell>
          <cell r="F75">
            <v>1.0345E-2</v>
          </cell>
          <cell r="G75">
            <v>1.1037104542155392E-2</v>
          </cell>
        </row>
        <row r="76">
          <cell r="B76">
            <v>66</v>
          </cell>
          <cell r="C76">
            <v>1.3568E-2</v>
          </cell>
          <cell r="D76">
            <v>1.7026431858539581E-2</v>
          </cell>
          <cell r="E76">
            <v>1.231E-2</v>
          </cell>
          <cell r="F76">
            <v>1.0154E-2</v>
          </cell>
          <cell r="G76">
            <v>1.214948031242649E-2</v>
          </cell>
        </row>
        <row r="77">
          <cell r="B77">
            <v>67</v>
          </cell>
          <cell r="C77">
            <v>1.4493000000000001E-2</v>
          </cell>
          <cell r="D77">
            <v>1.8188728019595146E-2</v>
          </cell>
          <cell r="E77">
            <v>1.354E-2</v>
          </cell>
          <cell r="F77">
            <v>1.1258000000000001E-2</v>
          </cell>
          <cell r="G77">
            <v>1.340055670787192E-2</v>
          </cell>
        </row>
        <row r="78">
          <cell r="B78">
            <v>68</v>
          </cell>
          <cell r="C78">
            <v>1.5896E-2</v>
          </cell>
          <cell r="D78">
            <v>1.9483163952827454E-2</v>
          </cell>
          <cell r="E78">
            <v>1.49E-2</v>
          </cell>
          <cell r="F78">
            <v>1.1787000000000001E-2</v>
          </cell>
          <cell r="G78">
            <v>1.4807049176730036E-2</v>
          </cell>
        </row>
        <row r="79">
          <cell r="B79">
            <v>69</v>
          </cell>
          <cell r="C79">
            <v>1.7208999999999999E-2</v>
          </cell>
          <cell r="D79">
            <v>2.0990420132875443E-2</v>
          </cell>
          <cell r="E79">
            <v>1.6400000000000001E-2</v>
          </cell>
          <cell r="F79">
            <v>1.481E-2</v>
          </cell>
          <cell r="G79">
            <v>1.6387499062380829E-2</v>
          </cell>
        </row>
        <row r="80">
          <cell r="B80">
            <v>70</v>
          </cell>
          <cell r="C80">
            <v>1.8695E-2</v>
          </cell>
          <cell r="D80">
            <v>2.2447997704148293E-2</v>
          </cell>
          <cell r="E80">
            <v>1.8069999999999999E-2</v>
          </cell>
          <cell r="F80">
            <v>1.5487000000000001E-2</v>
          </cell>
          <cell r="G80">
            <v>1.8162401370356733E-2</v>
          </cell>
        </row>
        <row r="81">
          <cell r="B81">
            <v>71</v>
          </cell>
          <cell r="C81">
            <v>2.0663000000000001E-2</v>
          </cell>
          <cell r="D81">
            <v>2.4630911648273468E-2</v>
          </cell>
          <cell r="E81">
            <v>1.992E-2</v>
          </cell>
          <cell r="F81">
            <v>1.8338E-2</v>
          </cell>
          <cell r="G81">
            <v>2.0154323751890971E-2</v>
          </cell>
        </row>
        <row r="82">
          <cell r="B82">
            <v>72</v>
          </cell>
          <cell r="C82">
            <v>2.3134999999999999E-2</v>
          </cell>
          <cell r="D82">
            <v>2.6569554582238197E-2</v>
          </cell>
          <cell r="E82">
            <v>2.197E-2</v>
          </cell>
          <cell r="F82">
            <v>1.8721999999999999E-2</v>
          </cell>
          <cell r="G82">
            <v>2.2388010903042245E-2</v>
          </cell>
        </row>
        <row r="83">
          <cell r="B83">
            <v>73</v>
          </cell>
          <cell r="C83">
            <v>2.5803E-2</v>
          </cell>
          <cell r="D83">
            <v>2.9040491208434105E-2</v>
          </cell>
          <cell r="E83">
            <v>2.4250000000000001E-2</v>
          </cell>
          <cell r="F83">
            <v>2.2290000000000001E-2</v>
          </cell>
          <cell r="G83">
            <v>2.489046733936006E-2</v>
          </cell>
        </row>
        <row r="84">
          <cell r="B84">
            <v>74</v>
          </cell>
          <cell r="C84">
            <v>2.8604999999999998E-2</v>
          </cell>
          <cell r="D84">
            <v>3.153933584690094E-2</v>
          </cell>
          <cell r="E84">
            <v>2.6790000000000001E-2</v>
          </cell>
          <cell r="F84">
            <v>2.4058E-2</v>
          </cell>
          <cell r="G84">
            <v>2.7691010156181042E-2</v>
          </cell>
        </row>
        <row r="85">
          <cell r="B85">
            <v>75</v>
          </cell>
          <cell r="C85">
            <v>3.2344999999999999E-2</v>
          </cell>
          <cell r="D85">
            <v>3.4644465893507004E-2</v>
          </cell>
          <cell r="E85">
            <v>2.9610000000000001E-2</v>
          </cell>
          <cell r="F85">
            <v>2.8884E-2</v>
          </cell>
          <cell r="G85">
            <v>3.0821281951554983E-2</v>
          </cell>
        </row>
        <row r="86">
          <cell r="B86">
            <v>76</v>
          </cell>
          <cell r="C86">
            <v>3.5822E-2</v>
          </cell>
          <cell r="D86">
            <v>3.8148298859596252E-2</v>
          </cell>
          <cell r="E86">
            <v>3.2750000000000001E-2</v>
          </cell>
          <cell r="F86">
            <v>2.9142999999999999E-2</v>
          </cell>
          <cell r="G86">
            <v>3.4315212614492795E-2</v>
          </cell>
        </row>
        <row r="87">
          <cell r="B87">
            <v>77</v>
          </cell>
          <cell r="C87">
            <v>3.9806000000000001E-2</v>
          </cell>
          <cell r="D87">
            <v>4.2249701917171478E-2</v>
          </cell>
          <cell r="E87">
            <v>3.6240000000000001E-2</v>
          </cell>
          <cell r="F87">
            <v>3.3099000000000003E-2</v>
          </cell>
          <cell r="G87">
            <v>3.8208917224974118E-2</v>
          </cell>
        </row>
        <row r="88">
          <cell r="B88">
            <v>78</v>
          </cell>
          <cell r="C88">
            <v>4.3767E-2</v>
          </cell>
          <cell r="D88">
            <v>4.6521790325641632E-2</v>
          </cell>
          <cell r="E88">
            <v>4.0129999999999999E-2</v>
          </cell>
          <cell r="F88">
            <v>3.6643000000000002E-2</v>
          </cell>
          <cell r="G88">
            <v>4.25405159529334E-2</v>
          </cell>
        </row>
        <row r="89">
          <cell r="B89">
            <v>79</v>
          </cell>
          <cell r="C89">
            <v>4.8675999999999997E-2</v>
          </cell>
          <cell r="D89">
            <v>5.1400776952505112E-2</v>
          </cell>
          <cell r="E89">
            <v>4.4470000000000003E-2</v>
          </cell>
          <cell r="F89">
            <v>4.3049999999999998E-2</v>
          </cell>
          <cell r="G89">
            <v>4.734986068227106E-2</v>
          </cell>
        </row>
        <row r="90">
          <cell r="B90">
            <v>80</v>
          </cell>
          <cell r="C90">
            <v>5.4456999999999998E-2</v>
          </cell>
          <cell r="D90">
            <v>5.678277462720871E-2</v>
          </cell>
          <cell r="E90">
            <v>4.931E-2</v>
          </cell>
          <cell r="F90">
            <v>4.5641000000000001E-2</v>
          </cell>
          <cell r="G90">
            <v>5.2678152247148315E-2</v>
          </cell>
        </row>
        <row r="91">
          <cell r="B91">
            <v>81</v>
          </cell>
          <cell r="C91">
            <v>6.0977999999999997E-2</v>
          </cell>
          <cell r="D91">
            <v>6.2514141201972961E-2</v>
          </cell>
          <cell r="E91">
            <v>5.4719999999999998E-2</v>
          </cell>
          <cell r="F91">
            <v>5.4267000000000003E-2</v>
          </cell>
          <cell r="G91">
            <v>5.8567431799203533E-2</v>
          </cell>
        </row>
        <row r="92">
          <cell r="B92">
            <v>82</v>
          </cell>
          <cell r="C92">
            <v>6.7751000000000006E-2</v>
          </cell>
          <cell r="D92">
            <v>6.9451943039894104E-2</v>
          </cell>
          <cell r="E92">
            <v>6.0749999999999998E-2</v>
          </cell>
          <cell r="F92">
            <v>5.8616000000000001E-2</v>
          </cell>
          <cell r="G92">
            <v>6.5059930095693483E-2</v>
          </cell>
        </row>
        <row r="93">
          <cell r="B93">
            <v>83</v>
          </cell>
          <cell r="C93">
            <v>7.689E-2</v>
          </cell>
          <cell r="D93">
            <v>7.7621564269065857E-2</v>
          </cell>
          <cell r="E93">
            <v>6.7489999999999994E-2</v>
          </cell>
          <cell r="F93">
            <v>7.5734999999999997E-2</v>
          </cell>
          <cell r="G93">
            <v>7.2197259597767807E-2</v>
          </cell>
        </row>
        <row r="94">
          <cell r="B94">
            <v>84</v>
          </cell>
          <cell r="C94">
            <v>8.6361999999999994E-2</v>
          </cell>
          <cell r="D94">
            <v>8.6155369877815247E-2</v>
          </cell>
          <cell r="E94">
            <v>7.5039999999999996E-2</v>
          </cell>
          <cell r="F94">
            <v>7.9090999999999995E-2</v>
          </cell>
          <cell r="G94">
            <v>8.0019436394626844E-2</v>
          </cell>
        </row>
        <row r="95">
          <cell r="B95">
            <v>85</v>
          </cell>
          <cell r="C95">
            <v>9.6079999999999999E-2</v>
          </cell>
          <cell r="D95">
            <v>9.5450498163700104E-2</v>
          </cell>
          <cell r="E95">
            <v>8.3479999999999999E-2</v>
          </cell>
          <cell r="F95">
            <v>9.1314999999999993E-2</v>
          </cell>
          <cell r="G95">
            <v>8.8563722324135605E-2</v>
          </cell>
        </row>
        <row r="96">
          <cell r="B96">
            <v>86</v>
          </cell>
          <cell r="C96">
            <v>0.108379</v>
          </cell>
          <cell r="D96">
            <v>0.10578827559947968</v>
          </cell>
          <cell r="E96">
            <v>9.2920000000000003E-2</v>
          </cell>
          <cell r="F96">
            <v>9.9890000000000007E-2</v>
          </cell>
          <cell r="G96">
            <v>9.7863282432521209E-2</v>
          </cell>
        </row>
        <row r="97">
          <cell r="B97">
            <v>87</v>
          </cell>
          <cell r="C97">
            <v>0.120527</v>
          </cell>
          <cell r="D97">
            <v>0.11852699518203735</v>
          </cell>
          <cell r="E97">
            <v>0.10351</v>
          </cell>
          <cell r="F97">
            <v>0.117919</v>
          </cell>
          <cell r="G97">
            <v>0.10794565926430064</v>
          </cell>
        </row>
        <row r="98">
          <cell r="B98">
            <v>88</v>
          </cell>
          <cell r="C98">
            <v>0.135267</v>
          </cell>
          <cell r="D98">
            <v>0.13243746757507324</v>
          </cell>
          <cell r="E98">
            <v>0.11537</v>
          </cell>
          <cell r="F98">
            <v>0.13652400000000001</v>
          </cell>
          <cell r="G98">
            <v>0.11883107350657646</v>
          </cell>
        </row>
        <row r="99">
          <cell r="B99">
            <v>89</v>
          </cell>
          <cell r="C99">
            <v>0.151119</v>
          </cell>
          <cell r="D99">
            <v>0.14754107594490051</v>
          </cell>
          <cell r="E99">
            <v>0.12867999999999999</v>
          </cell>
          <cell r="F99">
            <v>0.141206</v>
          </cell>
          <cell r="G99">
            <v>0.13053057026155271</v>
          </cell>
        </row>
        <row r="100">
          <cell r="B100">
            <v>90</v>
          </cell>
          <cell r="C100">
            <v>0.164525</v>
          </cell>
          <cell r="D100">
            <v>0.16383889317512512</v>
          </cell>
          <cell r="E100">
            <v>0.14362</v>
          </cell>
          <cell r="F100">
            <v>0.17013300000000001</v>
          </cell>
          <cell r="G100">
            <v>0.14304404161680509</v>
          </cell>
        </row>
        <row r="101">
          <cell r="B101">
            <v>91</v>
          </cell>
          <cell r="C101">
            <v>0.18145</v>
          </cell>
          <cell r="D101">
            <v>0.18130825459957123</v>
          </cell>
          <cell r="E101">
            <v>0.15998000000000001</v>
          </cell>
          <cell r="F101">
            <v>0.18690699999999999</v>
          </cell>
          <cell r="G101">
            <v>0.1563614837270379</v>
          </cell>
        </row>
        <row r="102">
          <cell r="B102">
            <v>92</v>
          </cell>
          <cell r="C102">
            <v>0.20030899999999999</v>
          </cell>
          <cell r="D102">
            <v>0.19989974796772003</v>
          </cell>
          <cell r="E102">
            <v>0.1774</v>
          </cell>
          <cell r="F102">
            <v>0.219579</v>
          </cell>
          <cell r="G102">
            <v>0.1704732516438846</v>
          </cell>
        </row>
        <row r="103">
          <cell r="B103">
            <v>93</v>
          </cell>
          <cell r="C103">
            <v>0.219307</v>
          </cell>
          <cell r="D103">
            <v>0.21953538060188293</v>
          </cell>
          <cell r="E103">
            <v>0.19581999999999999</v>
          </cell>
          <cell r="F103">
            <v>0.22897600000000001</v>
          </cell>
          <cell r="G103">
            <v>0.18536269877153885</v>
          </cell>
        </row>
        <row r="104">
          <cell r="B104">
            <v>94</v>
          </cell>
          <cell r="C104">
            <v>0.23877200000000001</v>
          </cell>
          <cell r="D104">
            <v>0.24010759592056274</v>
          </cell>
          <cell r="E104">
            <v>0.21517</v>
          </cell>
          <cell r="F104">
            <v>0.25034499999999998</v>
          </cell>
          <cell r="G104">
            <v>0.20100240983568257</v>
          </cell>
        </row>
        <row r="105">
          <cell r="B105">
            <v>95</v>
          </cell>
          <cell r="C105">
            <v>0.26269599999999999</v>
          </cell>
          <cell r="D105">
            <v>0.26148021221160889</v>
          </cell>
          <cell r="E105">
            <v>0.23558000000000001</v>
          </cell>
          <cell r="F105">
            <v>0.252776</v>
          </cell>
          <cell r="G105">
            <v>0.21735327631486584</v>
          </cell>
        </row>
        <row r="106">
          <cell r="B106">
            <v>96</v>
          </cell>
          <cell r="C106">
            <v>0.28507100000000002</v>
          </cell>
          <cell r="D106">
            <v>0.28349092602729797</v>
          </cell>
          <cell r="E106">
            <v>0.25607000000000002</v>
          </cell>
          <cell r="F106">
            <v>0.262409</v>
          </cell>
          <cell r="G106">
            <v>0.23436368016978865</v>
          </cell>
        </row>
        <row r="107">
          <cell r="B107">
            <v>97</v>
          </cell>
          <cell r="C107">
            <v>0.306672</v>
          </cell>
          <cell r="D107">
            <v>0.30595538020133972</v>
          </cell>
          <cell r="E107">
            <v>0.2772</v>
          </cell>
          <cell r="F107">
            <v>0.33420899999999998</v>
          </cell>
          <cell r="G107">
            <v>0.25196882065580722</v>
          </cell>
        </row>
        <row r="108">
          <cell r="B108">
            <v>98</v>
          </cell>
          <cell r="C108">
            <v>0.32203500000000002</v>
          </cell>
          <cell r="D108">
            <v>0.32867306470870972</v>
          </cell>
          <cell r="E108">
            <v>0.29880000000000001</v>
          </cell>
          <cell r="F108">
            <v>0.312801</v>
          </cell>
          <cell r="G108">
            <v>0.27009021996976162</v>
          </cell>
        </row>
        <row r="109">
          <cell r="B109">
            <v>99</v>
          </cell>
          <cell r="C109">
            <v>0.36503600000000003</v>
          </cell>
          <cell r="D109">
            <v>0.35143411159515381</v>
          </cell>
          <cell r="E109">
            <v>0.32069999999999999</v>
          </cell>
          <cell r="F109">
            <v>0.36642400000000003</v>
          </cell>
          <cell r="G109">
            <v>0.28863544340130187</v>
          </cell>
        </row>
        <row r="110">
          <cell r="B110">
            <v>100</v>
          </cell>
          <cell r="C110">
            <v>0.38819799999999999</v>
          </cell>
          <cell r="D110">
            <v>0.50440665410150964</v>
          </cell>
          <cell r="E110">
            <v>0.34271000000000001</v>
          </cell>
          <cell r="F110">
            <v>0.33546599999999999</v>
          </cell>
          <cell r="G110">
            <v>0.30749806836814941</v>
          </cell>
        </row>
        <row r="111">
          <cell r="B111">
            <v>101</v>
          </cell>
          <cell r="C111">
            <v>0.50251256281407031</v>
          </cell>
          <cell r="D111">
            <v>0.50440665410150964</v>
          </cell>
          <cell r="E111">
            <v>0.45454545454545453</v>
          </cell>
          <cell r="F111">
            <v>0.52356020942408377</v>
          </cell>
          <cell r="G111">
            <v>0.40982359030090415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si.ie/" TargetMode="External"/><Relationship Id="rId13" Type="http://schemas.openxmlformats.org/officeDocument/2006/relationships/printerSettings" Target="../printerSettings/printerSettings1.bin"/><Relationship Id="rId3" Type="http://schemas.openxmlformats.org/officeDocument/2006/relationships/hyperlink" Target="https://www.destatis.de/EN/Themes/Cross-Section/Corona/Society/population_death.html" TargetMode="External"/><Relationship Id="rId7" Type="http://schemas.openxmlformats.org/officeDocument/2006/relationships/hyperlink" Target="https://www.hiqa.ie/sites/default/files/2020-07/Analysis-of-excess-all-cause-mortality-in-Ireland-during-the-COVID-19-epidemic.pdf" TargetMode="External"/><Relationship Id="rId12" Type="http://schemas.openxmlformats.org/officeDocument/2006/relationships/hyperlink" Target="https://coronavirus.data.gov.uk/deaths" TargetMode="External"/><Relationship Id="rId2" Type="http://schemas.openxmlformats.org/officeDocument/2006/relationships/hyperlink" Target="https://experience.arcgis.com/experience/09f821667ce64bf7be6f9f87457ed9aa" TargetMode="External"/><Relationship Id="rId1" Type="http://schemas.openxmlformats.org/officeDocument/2006/relationships/hyperlink" Target="https://covid19.who.int/region/euro/country/es" TargetMode="External"/><Relationship Id="rId6" Type="http://schemas.openxmlformats.org/officeDocument/2006/relationships/hyperlink" Target="https://www.gov.ie/en/publication/b6a9e-updates-on-covid-19-coronavirus-from-july-and-august-2020/" TargetMode="External"/><Relationship Id="rId11" Type="http://schemas.openxmlformats.org/officeDocument/2006/relationships/hyperlink" Target="https://www.rte.ie/news/coronavirus/summary/" TargetMode="External"/><Relationship Id="rId5" Type="http://schemas.openxmlformats.org/officeDocument/2006/relationships/hyperlink" Target="https://covid19.who.int/region/euro/country/de" TargetMode="External"/><Relationship Id="rId10" Type="http://schemas.openxmlformats.org/officeDocument/2006/relationships/hyperlink" Target="https://www.gov.ie/en/news/7e0924-latest-updates-on-covid-19-coronavirus/" TargetMode="External"/><Relationship Id="rId4" Type="http://schemas.openxmlformats.org/officeDocument/2006/relationships/hyperlink" Target="https://interaktiv.tagesspiegel.de/lab/karte-sars-cov-2-in-deutschland-landkreise/" TargetMode="External"/><Relationship Id="rId9" Type="http://schemas.openxmlformats.org/officeDocument/2006/relationships/hyperlink" Target="https://covid19ireland-geohive.hub.arcgi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ovid19.who.int/region/euro/country/es%20accessed%20on%206-August-2020" TargetMode="External"/><Relationship Id="rId7" Type="http://schemas.openxmlformats.org/officeDocument/2006/relationships/printerSettings" Target="../printerSettings/printerSettings2.bin"/><Relationship Id="rId2" Type="http://schemas.openxmlformats.org/officeDocument/2006/relationships/hyperlink" Target="https://cnecovid.isciii.es/covid19/" TargetMode="External"/><Relationship Id="rId1" Type="http://schemas.openxmlformats.org/officeDocument/2006/relationships/hyperlink" Target="https://coronavirus-staging.data.gov.uk/cases" TargetMode="External"/><Relationship Id="rId6" Type="http://schemas.openxmlformats.org/officeDocument/2006/relationships/hyperlink" Target="https://www.gov.ie/en/publication/b6a9e-updates-on-covid-19-coronavirus-from-july-and-august-2020/" TargetMode="External"/><Relationship Id="rId5" Type="http://schemas.openxmlformats.org/officeDocument/2006/relationships/hyperlink" Target="https://interaktiv.tagesspiegel.de/lab/karte-sars-cov-2-in-deutschland-landkreise/" TargetMode="External"/><Relationship Id="rId4" Type="http://schemas.openxmlformats.org/officeDocument/2006/relationships/hyperlink" Target="https://experience.arcgis.com/experience/09f821667ce64bf7be6f9f87457ed9a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9B7B-63B5-4C64-9CF5-709AACF5E9FD}">
  <dimension ref="A1:C14"/>
  <sheetViews>
    <sheetView workbookViewId="0">
      <selection activeCell="A14" sqref="A14"/>
    </sheetView>
  </sheetViews>
  <sheetFormatPr defaultRowHeight="14.25" x14ac:dyDescent="0.45"/>
  <cols>
    <col min="1" max="1" width="25.6640625" customWidth="1"/>
  </cols>
  <sheetData>
    <row r="1" spans="1:3" x14ac:dyDescent="0.45">
      <c r="A1" t="s">
        <v>177</v>
      </c>
      <c r="B1" t="s">
        <v>176</v>
      </c>
      <c r="C1" t="s">
        <v>187</v>
      </c>
    </row>
    <row r="2" spans="1:3" x14ac:dyDescent="0.45">
      <c r="A2" t="s">
        <v>174</v>
      </c>
      <c r="B2">
        <v>1.0349999999999999</v>
      </c>
    </row>
    <row r="3" spans="1:3" x14ac:dyDescent="0.45">
      <c r="A3" t="s">
        <v>175</v>
      </c>
      <c r="B3">
        <f>0.111*1.6+(1-0.111)*1</f>
        <v>1.0666</v>
      </c>
    </row>
    <row r="4" spans="1:3" x14ac:dyDescent="0.45">
      <c r="A4" t="s">
        <v>188</v>
      </c>
      <c r="B4">
        <v>1</v>
      </c>
      <c r="C4" t="s">
        <v>186</v>
      </c>
    </row>
    <row r="5" spans="1:3" x14ac:dyDescent="0.45">
      <c r="A5" t="s">
        <v>179</v>
      </c>
      <c r="B5">
        <v>0.68</v>
      </c>
      <c r="C5" t="s">
        <v>178</v>
      </c>
    </row>
    <row r="6" spans="1:3" x14ac:dyDescent="0.45">
      <c r="A6" t="s">
        <v>118</v>
      </c>
      <c r="B6">
        <v>0.5</v>
      </c>
    </row>
    <row r="7" spans="1:3" x14ac:dyDescent="0.45">
      <c r="A7" t="s">
        <v>180</v>
      </c>
      <c r="B7">
        <v>2161</v>
      </c>
    </row>
    <row r="8" spans="1:3" x14ac:dyDescent="0.45">
      <c r="A8" t="s">
        <v>181</v>
      </c>
      <c r="B8">
        <v>1504.47</v>
      </c>
    </row>
    <row r="9" spans="1:3" x14ac:dyDescent="0.45">
      <c r="A9" t="s">
        <v>182</v>
      </c>
      <c r="B9">
        <v>-1.6712330000000001E-3</v>
      </c>
    </row>
    <row r="10" spans="1:3" x14ac:dyDescent="0.45">
      <c r="A10" t="s">
        <v>183</v>
      </c>
      <c r="B10">
        <v>-3.1E-2</v>
      </c>
    </row>
    <row r="11" spans="1:3" x14ac:dyDescent="0.45">
      <c r="A11" t="s">
        <v>184</v>
      </c>
      <c r="B11">
        <v>0.17</v>
      </c>
    </row>
    <row r="12" spans="1:3" x14ac:dyDescent="0.45">
      <c r="A12" t="s">
        <v>185</v>
      </c>
      <c r="B12">
        <v>10.5</v>
      </c>
    </row>
    <row r="13" spans="1:3" x14ac:dyDescent="0.45">
      <c r="A13" t="s">
        <v>199</v>
      </c>
      <c r="B13">
        <v>8</v>
      </c>
    </row>
    <row r="14" spans="1:3" x14ac:dyDescent="0.45">
      <c r="A14" t="s">
        <v>198</v>
      </c>
      <c r="B14">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A7767-CF87-450D-9B61-961867DFC26D}">
  <dimension ref="A1:AA16"/>
  <sheetViews>
    <sheetView workbookViewId="0">
      <selection activeCell="F15" sqref="F15"/>
    </sheetView>
  </sheetViews>
  <sheetFormatPr defaultRowHeight="14.25" x14ac:dyDescent="0.45"/>
  <cols>
    <col min="3" max="3" width="13" customWidth="1"/>
    <col min="4" max="4" width="16.9296875" customWidth="1"/>
    <col min="7" max="7" width="10.86328125" customWidth="1"/>
    <col min="10" max="10" width="13.86328125" customWidth="1"/>
    <col min="12" max="12" width="11.19921875" bestFit="1" customWidth="1"/>
    <col min="26" max="26" width="10.19921875" bestFit="1" customWidth="1"/>
  </cols>
  <sheetData>
    <row r="1" spans="1:27" x14ac:dyDescent="0.45">
      <c r="A1" t="s">
        <v>0</v>
      </c>
      <c r="B1" t="s">
        <v>71</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104</v>
      </c>
      <c r="W1" t="s">
        <v>105</v>
      </c>
      <c r="Y1" t="s">
        <v>107</v>
      </c>
      <c r="Z1" t="s">
        <v>106</v>
      </c>
      <c r="AA1" t="s">
        <v>108</v>
      </c>
    </row>
    <row r="2" spans="1:27" x14ac:dyDescent="0.45">
      <c r="A2" t="s">
        <v>29</v>
      </c>
      <c r="B2">
        <v>67950117</v>
      </c>
      <c r="C2">
        <v>43861</v>
      </c>
      <c r="D2">
        <v>43895</v>
      </c>
      <c r="E2" t="s">
        <v>96</v>
      </c>
      <c r="F2">
        <v>2.7</v>
      </c>
      <c r="G2">
        <v>43841</v>
      </c>
      <c r="H2">
        <v>21</v>
      </c>
      <c r="I2">
        <v>10</v>
      </c>
      <c r="J2">
        <v>43895</v>
      </c>
      <c r="L2">
        <v>29297252.0242466</v>
      </c>
      <c r="M2">
        <v>9667315.6295820307</v>
      </c>
      <c r="N2">
        <v>18155753.235848401</v>
      </c>
      <c r="O2">
        <v>391002.60664248001</v>
      </c>
      <c r="P2">
        <v>771.57044169642802</v>
      </c>
      <c r="Q2">
        <v>3707.3560386623899</v>
      </c>
      <c r="R2">
        <v>9424.2314716164201</v>
      </c>
      <c r="S2">
        <v>37780.923177845798</v>
      </c>
      <c r="T2">
        <v>169819.43355622701</v>
      </c>
      <c r="U2">
        <v>169499.09195643201</v>
      </c>
      <c r="V2">
        <f t="shared" ref="V2:V16" si="0">N2/8</f>
        <v>2269469.1544810501</v>
      </c>
      <c r="W2">
        <f t="shared" ref="W2:W16" si="1">M2/10</f>
        <v>966731.56295820302</v>
      </c>
      <c r="X2" s="18">
        <f t="shared" ref="X2:X16" si="2">V2+W2</f>
        <v>3236200.7174392529</v>
      </c>
      <c r="Y2" s="19">
        <f t="shared" ref="Y2:Y16" si="3">L2/B2</f>
        <v>0.43115822779593743</v>
      </c>
      <c r="Z2" s="19">
        <f t="shared" ref="Z2:Z16" si="4">(V2+W2)/B2</f>
        <v>4.7626124285249614E-2</v>
      </c>
      <c r="AA2" s="20">
        <f t="shared" ref="AA2:AA16" si="5">O2/B2</f>
        <v>5.7542595054321981E-3</v>
      </c>
    </row>
    <row r="3" spans="1:27" x14ac:dyDescent="0.45">
      <c r="A3" t="s">
        <v>21</v>
      </c>
      <c r="B3">
        <v>4947782</v>
      </c>
      <c r="C3">
        <v>43890</v>
      </c>
      <c r="D3">
        <v>43901</v>
      </c>
      <c r="E3" t="s">
        <v>96</v>
      </c>
      <c r="F3">
        <v>2.7</v>
      </c>
      <c r="G3">
        <v>43843</v>
      </c>
      <c r="H3">
        <v>19</v>
      </c>
      <c r="I3">
        <v>10</v>
      </c>
      <c r="J3">
        <v>43901</v>
      </c>
      <c r="L3">
        <v>1938838.3052718199</v>
      </c>
      <c r="M3">
        <v>484689.89548975899</v>
      </c>
      <c r="N3">
        <v>910272.74576320394</v>
      </c>
      <c r="O3">
        <v>19604.324294009399</v>
      </c>
      <c r="P3">
        <v>64.530852023260394</v>
      </c>
      <c r="Q3">
        <v>251.47585183582001</v>
      </c>
      <c r="R3">
        <v>779.03017653178802</v>
      </c>
      <c r="S3">
        <v>2526.2150762859101</v>
      </c>
      <c r="T3">
        <v>9141.8377323364093</v>
      </c>
      <c r="U3">
        <v>6841.2346049962598</v>
      </c>
      <c r="V3">
        <f t="shared" si="0"/>
        <v>113784.09322040049</v>
      </c>
      <c r="W3">
        <f t="shared" si="1"/>
        <v>48468.9895489759</v>
      </c>
      <c r="X3" s="18">
        <f t="shared" si="2"/>
        <v>162253.0827693764</v>
      </c>
      <c r="Y3" s="19">
        <f t="shared" si="3"/>
        <v>0.39186009110179471</v>
      </c>
      <c r="Z3" s="19">
        <f t="shared" si="4"/>
        <v>3.2793094515760075E-2</v>
      </c>
      <c r="AA3" s="20">
        <f t="shared" si="5"/>
        <v>3.9622449602689444E-3</v>
      </c>
    </row>
    <row r="4" spans="1:27" x14ac:dyDescent="0.45">
      <c r="A4" t="s">
        <v>8</v>
      </c>
      <c r="B4">
        <v>46758012</v>
      </c>
      <c r="C4">
        <v>43861</v>
      </c>
      <c r="D4">
        <v>43874</v>
      </c>
      <c r="E4" t="s">
        <v>96</v>
      </c>
      <c r="F4">
        <v>2.7</v>
      </c>
      <c r="G4">
        <v>43820</v>
      </c>
      <c r="H4">
        <v>42</v>
      </c>
      <c r="I4">
        <v>10</v>
      </c>
      <c r="J4">
        <v>43874</v>
      </c>
      <c r="L4">
        <v>19439205.858956601</v>
      </c>
      <c r="M4">
        <v>6989723.7694481397</v>
      </c>
      <c r="N4">
        <v>13127049.7186793</v>
      </c>
      <c r="O4">
        <v>282719.07017175702</v>
      </c>
      <c r="P4">
        <v>304.08821354993898</v>
      </c>
      <c r="Q4">
        <v>1866.7299426525699</v>
      </c>
      <c r="R4">
        <v>7315.1615233640096</v>
      </c>
      <c r="S4">
        <v>29239.612392237399</v>
      </c>
      <c r="T4">
        <v>105236.417800134</v>
      </c>
      <c r="U4">
        <v>138757.06029981899</v>
      </c>
      <c r="V4">
        <f t="shared" si="0"/>
        <v>1640881.2148349124</v>
      </c>
      <c r="W4">
        <f t="shared" si="1"/>
        <v>698972.37694481399</v>
      </c>
      <c r="X4" s="18">
        <f t="shared" si="2"/>
        <v>2339853.5917797266</v>
      </c>
      <c r="Y4" s="19">
        <f t="shared" si="3"/>
        <v>0.41574064053357535</v>
      </c>
      <c r="Z4" s="19">
        <f t="shared" si="4"/>
        <v>5.0041768067036863E-2</v>
      </c>
      <c r="AA4" s="20">
        <f t="shared" si="5"/>
        <v>6.0464305063217191E-3</v>
      </c>
    </row>
    <row r="5" spans="1:27" x14ac:dyDescent="0.45">
      <c r="A5" t="s">
        <v>15</v>
      </c>
      <c r="B5">
        <v>83831967</v>
      </c>
      <c r="C5">
        <v>43857</v>
      </c>
      <c r="D5">
        <v>43899</v>
      </c>
      <c r="E5" t="s">
        <v>96</v>
      </c>
      <c r="F5">
        <v>2.7</v>
      </c>
      <c r="G5">
        <v>43845</v>
      </c>
      <c r="H5">
        <v>17</v>
      </c>
      <c r="I5">
        <v>10</v>
      </c>
      <c r="J5">
        <v>43899</v>
      </c>
      <c r="L5">
        <v>34764562.636573002</v>
      </c>
      <c r="M5">
        <v>12474479.7878277</v>
      </c>
      <c r="N5">
        <v>23428053.9930069</v>
      </c>
      <c r="O5">
        <v>504444.57797109801</v>
      </c>
      <c r="P5">
        <v>471.03820035430198</v>
      </c>
      <c r="Q5">
        <v>3914.4558045853701</v>
      </c>
      <c r="R5">
        <v>10894.1605412238</v>
      </c>
      <c r="S5">
        <v>54226.883106569701</v>
      </c>
      <c r="T5">
        <v>205838.961706712</v>
      </c>
      <c r="U5">
        <v>229099.07861165199</v>
      </c>
      <c r="V5">
        <f t="shared" si="0"/>
        <v>2928506.7491258625</v>
      </c>
      <c r="W5">
        <f t="shared" si="1"/>
        <v>1247447.97878277</v>
      </c>
      <c r="X5" s="18">
        <f t="shared" si="2"/>
        <v>4175954.7279086327</v>
      </c>
      <c r="Y5" s="19">
        <f t="shared" si="3"/>
        <v>0.4146933906080601</v>
      </c>
      <c r="Z5" s="19">
        <f t="shared" si="4"/>
        <v>4.9813393116597549E-2</v>
      </c>
      <c r="AA5" s="20">
        <f t="shared" si="5"/>
        <v>6.0173296180811072E-3</v>
      </c>
    </row>
    <row r="6" spans="1:27" x14ac:dyDescent="0.45">
      <c r="A6" t="s">
        <v>10</v>
      </c>
      <c r="B6">
        <v>10110601</v>
      </c>
      <c r="C6">
        <v>43861</v>
      </c>
      <c r="D6">
        <v>43901</v>
      </c>
      <c r="E6" t="s">
        <v>96</v>
      </c>
      <c r="F6">
        <v>2.7</v>
      </c>
      <c r="G6">
        <v>43846</v>
      </c>
      <c r="H6">
        <v>16</v>
      </c>
      <c r="I6">
        <v>10</v>
      </c>
      <c r="J6">
        <v>43901</v>
      </c>
      <c r="L6">
        <v>4099594.2522574998</v>
      </c>
      <c r="M6">
        <v>1406978.2971218301</v>
      </c>
      <c r="N6">
        <v>2642384.2308579301</v>
      </c>
      <c r="O6">
        <v>56906.395138805099</v>
      </c>
      <c r="P6">
        <v>73.059259787751998</v>
      </c>
      <c r="Q6">
        <v>533.68009640406797</v>
      </c>
      <c r="R6">
        <v>1315.4712364273601</v>
      </c>
      <c r="S6">
        <v>5502.6349122621104</v>
      </c>
      <c r="T6">
        <v>25577.301395682</v>
      </c>
      <c r="U6">
        <v>23904.248238241798</v>
      </c>
      <c r="V6">
        <f t="shared" si="0"/>
        <v>330298.02885724127</v>
      </c>
      <c r="W6">
        <f t="shared" si="1"/>
        <v>140697.82971218301</v>
      </c>
      <c r="X6" s="18">
        <f t="shared" si="2"/>
        <v>470995.85856942425</v>
      </c>
      <c r="Y6" s="19">
        <f t="shared" si="3"/>
        <v>0.40547483302501008</v>
      </c>
      <c r="Z6" s="19">
        <f t="shared" si="4"/>
        <v>4.6584358196849453E-2</v>
      </c>
      <c r="AA6" s="20">
        <f t="shared" si="5"/>
        <v>5.6283889690439863E-3</v>
      </c>
    </row>
    <row r="7" spans="1:27" x14ac:dyDescent="0.45">
      <c r="A7" t="s">
        <v>29</v>
      </c>
      <c r="B7">
        <v>67950117</v>
      </c>
      <c r="C7">
        <v>43861</v>
      </c>
      <c r="D7">
        <v>43895</v>
      </c>
      <c r="E7" t="s">
        <v>97</v>
      </c>
      <c r="F7">
        <v>1.6</v>
      </c>
      <c r="G7">
        <v>43806</v>
      </c>
      <c r="H7">
        <v>56</v>
      </c>
      <c r="I7">
        <v>10</v>
      </c>
      <c r="J7">
        <v>43895</v>
      </c>
      <c r="L7">
        <v>13670016.913458699</v>
      </c>
      <c r="M7">
        <v>2567252.29134838</v>
      </c>
      <c r="N7">
        <v>5002211.7976352004</v>
      </c>
      <c r="O7">
        <v>71044.722394027805</v>
      </c>
      <c r="P7">
        <v>126.32015832058801</v>
      </c>
      <c r="Q7">
        <v>871.49729038049395</v>
      </c>
      <c r="R7">
        <v>2648.9491038800702</v>
      </c>
      <c r="S7">
        <v>8926.7929778276703</v>
      </c>
      <c r="T7">
        <v>33015.582111644399</v>
      </c>
      <c r="U7">
        <v>25455.580751974601</v>
      </c>
      <c r="V7">
        <f t="shared" si="0"/>
        <v>625276.47470440005</v>
      </c>
      <c r="W7">
        <f t="shared" si="1"/>
        <v>256725.22913483801</v>
      </c>
      <c r="X7" s="18">
        <f t="shared" si="2"/>
        <v>882001.70383923803</v>
      </c>
      <c r="Y7" s="19">
        <f t="shared" si="3"/>
        <v>0.20117723878913554</v>
      </c>
      <c r="Z7" s="19">
        <f t="shared" si="4"/>
        <v>1.2980135175326306E-2</v>
      </c>
      <c r="AA7" s="20">
        <f t="shared" si="5"/>
        <v>1.0455423114875257E-3</v>
      </c>
    </row>
    <row r="8" spans="1:27" x14ac:dyDescent="0.45">
      <c r="A8" t="s">
        <v>21</v>
      </c>
      <c r="B8">
        <v>4947782</v>
      </c>
      <c r="C8">
        <v>43890</v>
      </c>
      <c r="D8">
        <v>43901</v>
      </c>
      <c r="E8" t="s">
        <v>97</v>
      </c>
      <c r="F8">
        <v>1.6</v>
      </c>
      <c r="G8">
        <v>43804</v>
      </c>
      <c r="H8">
        <v>58</v>
      </c>
      <c r="I8">
        <v>10</v>
      </c>
      <c r="J8">
        <v>43901</v>
      </c>
      <c r="L8">
        <v>1174783.83132131</v>
      </c>
      <c r="M8">
        <v>237521.59541671799</v>
      </c>
      <c r="N8">
        <v>449041.20725982601</v>
      </c>
      <c r="O8">
        <v>8941.5966006357594</v>
      </c>
      <c r="P8">
        <v>25.4124914227001</v>
      </c>
      <c r="Q8">
        <v>142.80846727274499</v>
      </c>
      <c r="R8">
        <v>516.235520987124</v>
      </c>
      <c r="S8">
        <v>1483.6703678475899</v>
      </c>
      <c r="T8">
        <v>4112.1373858102797</v>
      </c>
      <c r="U8">
        <v>2661.3323672953202</v>
      </c>
      <c r="V8">
        <f t="shared" si="0"/>
        <v>56130.150907478252</v>
      </c>
      <c r="W8">
        <f t="shared" si="1"/>
        <v>23752.159541671797</v>
      </c>
      <c r="X8" s="18">
        <f t="shared" si="2"/>
        <v>79882.310449150042</v>
      </c>
      <c r="Y8" s="19">
        <f t="shared" si="3"/>
        <v>0.23743645765341118</v>
      </c>
      <c r="Z8" s="19">
        <f t="shared" si="4"/>
        <v>1.614507479293753E-2</v>
      </c>
      <c r="AA8" s="20">
        <f t="shared" si="5"/>
        <v>1.8071929201075876E-3</v>
      </c>
    </row>
    <row r="9" spans="1:27" x14ac:dyDescent="0.45">
      <c r="A9" t="s">
        <v>8</v>
      </c>
      <c r="B9">
        <v>46758012</v>
      </c>
      <c r="C9">
        <v>43861</v>
      </c>
      <c r="D9">
        <v>43874</v>
      </c>
      <c r="E9" t="s">
        <v>97</v>
      </c>
      <c r="F9">
        <v>1.6</v>
      </c>
      <c r="G9">
        <v>44166</v>
      </c>
      <c r="H9">
        <v>77</v>
      </c>
      <c r="I9" t="s">
        <v>111</v>
      </c>
      <c r="J9">
        <v>43889</v>
      </c>
      <c r="L9">
        <v>10068073.2472206</v>
      </c>
      <c r="M9">
        <v>2368734.3285799501</v>
      </c>
      <c r="N9">
        <v>4564394.8126493096</v>
      </c>
      <c r="O9">
        <v>73268.623655713498</v>
      </c>
      <c r="P9">
        <v>52.029889656208702</v>
      </c>
      <c r="Q9">
        <v>611.71117940815202</v>
      </c>
      <c r="R9">
        <v>3090.00672535697</v>
      </c>
      <c r="S9">
        <v>10357.812488576399</v>
      </c>
      <c r="T9">
        <v>26848.096805214798</v>
      </c>
      <c r="U9">
        <v>32308.966567501</v>
      </c>
      <c r="V9">
        <f t="shared" si="0"/>
        <v>570549.3515811637</v>
      </c>
      <c r="W9">
        <f t="shared" si="1"/>
        <v>236873.43285799501</v>
      </c>
      <c r="X9" s="18">
        <f t="shared" si="2"/>
        <v>807422.78443915874</v>
      </c>
      <c r="Y9" s="19">
        <f t="shared" si="3"/>
        <v>0.21532295357682443</v>
      </c>
      <c r="Z9" s="19">
        <f t="shared" si="4"/>
        <v>1.7268116198763086E-2</v>
      </c>
      <c r="AA9" s="20">
        <f t="shared" si="5"/>
        <v>1.5669747391252112E-3</v>
      </c>
    </row>
    <row r="10" spans="1:27" x14ac:dyDescent="0.45">
      <c r="A10" t="s">
        <v>15</v>
      </c>
      <c r="B10">
        <v>83831967</v>
      </c>
      <c r="C10">
        <v>43857</v>
      </c>
      <c r="D10">
        <v>43899</v>
      </c>
      <c r="E10" t="s">
        <v>97</v>
      </c>
      <c r="F10">
        <v>1.6</v>
      </c>
      <c r="G10">
        <v>43810</v>
      </c>
      <c r="H10">
        <v>52</v>
      </c>
      <c r="I10">
        <v>10</v>
      </c>
      <c r="J10">
        <v>43899</v>
      </c>
      <c r="L10">
        <v>13015023.5384517</v>
      </c>
      <c r="M10">
        <v>2246050.4416561699</v>
      </c>
      <c r="N10">
        <v>4403206.7424908197</v>
      </c>
      <c r="O10">
        <v>58509.488712165497</v>
      </c>
      <c r="P10">
        <v>38.076027771864503</v>
      </c>
      <c r="Q10">
        <v>632.16351641376696</v>
      </c>
      <c r="R10">
        <v>2164.4588513824401</v>
      </c>
      <c r="S10">
        <v>10009.8705541772</v>
      </c>
      <c r="T10">
        <v>23624.318745749501</v>
      </c>
      <c r="U10">
        <v>22040.601016670698</v>
      </c>
      <c r="V10">
        <f t="shared" si="0"/>
        <v>550400.84281135246</v>
      </c>
      <c r="W10">
        <f t="shared" si="1"/>
        <v>224605.044165617</v>
      </c>
      <c r="X10" s="18">
        <f t="shared" si="2"/>
        <v>775005.88697696943</v>
      </c>
      <c r="Y10" s="19">
        <f t="shared" si="3"/>
        <v>0.15525132004181291</v>
      </c>
      <c r="Z10" s="19">
        <f t="shared" si="4"/>
        <v>9.2447536985141888E-3</v>
      </c>
      <c r="AA10" s="20">
        <f t="shared" si="5"/>
        <v>6.9793768184117037E-4</v>
      </c>
    </row>
    <row r="11" spans="1:27" x14ac:dyDescent="0.45">
      <c r="A11" t="s">
        <v>10</v>
      </c>
      <c r="B11">
        <v>10110601</v>
      </c>
      <c r="C11">
        <v>43861</v>
      </c>
      <c r="D11">
        <v>43901</v>
      </c>
      <c r="E11" t="s">
        <v>97</v>
      </c>
      <c r="F11">
        <v>1.6</v>
      </c>
      <c r="G11">
        <v>43811</v>
      </c>
      <c r="H11">
        <v>51</v>
      </c>
      <c r="I11">
        <v>10</v>
      </c>
      <c r="J11">
        <v>43901</v>
      </c>
      <c r="L11">
        <v>2382931.5266845101</v>
      </c>
      <c r="M11">
        <v>606825.16572773003</v>
      </c>
      <c r="N11">
        <v>1157883.9028744199</v>
      </c>
      <c r="O11">
        <v>20734.4104706689</v>
      </c>
      <c r="P11">
        <v>18.1368459124315</v>
      </c>
      <c r="Q11">
        <v>247.39930469009801</v>
      </c>
      <c r="R11">
        <v>712.12346742421596</v>
      </c>
      <c r="S11">
        <v>2856.0923468114702</v>
      </c>
      <c r="T11">
        <v>9628.84287129519</v>
      </c>
      <c r="U11">
        <v>7271.8156345355201</v>
      </c>
      <c r="V11">
        <f t="shared" si="0"/>
        <v>144735.48785930249</v>
      </c>
      <c r="W11">
        <f t="shared" si="1"/>
        <v>60682.516572773005</v>
      </c>
      <c r="X11" s="18">
        <f t="shared" si="2"/>
        <v>205418.00443207548</v>
      </c>
      <c r="Y11" s="19">
        <f t="shared" si="3"/>
        <v>0.23568643710542134</v>
      </c>
      <c r="Z11" s="19">
        <f t="shared" si="4"/>
        <v>2.031709138082647E-2</v>
      </c>
      <c r="AA11" s="20">
        <f t="shared" si="5"/>
        <v>2.0507594425562734E-3</v>
      </c>
    </row>
    <row r="12" spans="1:27" x14ac:dyDescent="0.45">
      <c r="A12" t="s">
        <v>29</v>
      </c>
      <c r="B12">
        <v>67950117</v>
      </c>
      <c r="C12">
        <v>43861</v>
      </c>
      <c r="D12">
        <v>43895</v>
      </c>
      <c r="E12" t="s">
        <v>98</v>
      </c>
      <c r="F12">
        <v>3.9</v>
      </c>
      <c r="G12">
        <v>43850</v>
      </c>
      <c r="H12">
        <v>12</v>
      </c>
      <c r="I12">
        <v>10</v>
      </c>
      <c r="J12">
        <v>43895</v>
      </c>
      <c r="L12">
        <v>32247215.2647692</v>
      </c>
      <c r="M12">
        <v>11203461.579791799</v>
      </c>
      <c r="N12">
        <v>21040647.368829101</v>
      </c>
      <c r="O12">
        <v>453159.14279132901</v>
      </c>
      <c r="P12">
        <v>886.97096380056303</v>
      </c>
      <c r="Q12">
        <v>3977.1449308568399</v>
      </c>
      <c r="R12">
        <v>9759.0941135325393</v>
      </c>
      <c r="S12">
        <v>40406.751804524101</v>
      </c>
      <c r="T12">
        <v>191217.52320610301</v>
      </c>
      <c r="U12">
        <v>206911.657772512</v>
      </c>
      <c r="V12">
        <f t="shared" si="0"/>
        <v>2630080.9211036377</v>
      </c>
      <c r="W12">
        <f t="shared" si="1"/>
        <v>1120346.1579791799</v>
      </c>
      <c r="X12" s="18">
        <f t="shared" si="2"/>
        <v>3750427.0790828178</v>
      </c>
      <c r="Y12" s="19">
        <f t="shared" si="3"/>
        <v>0.47457188726796745</v>
      </c>
      <c r="Z12" s="19">
        <f t="shared" si="4"/>
        <v>5.5193828129579493E-2</v>
      </c>
      <c r="AA12" s="20">
        <f t="shared" si="5"/>
        <v>6.6689972408925952E-3</v>
      </c>
    </row>
    <row r="13" spans="1:27" x14ac:dyDescent="0.45">
      <c r="A13" t="s">
        <v>21</v>
      </c>
      <c r="B13">
        <v>4947782</v>
      </c>
      <c r="C13">
        <v>43890</v>
      </c>
      <c r="D13">
        <v>43901</v>
      </c>
      <c r="E13" t="s">
        <v>98</v>
      </c>
      <c r="F13">
        <v>3.9</v>
      </c>
      <c r="G13">
        <v>43853</v>
      </c>
      <c r="H13">
        <v>9</v>
      </c>
      <c r="I13">
        <v>10</v>
      </c>
      <c r="J13">
        <v>43901</v>
      </c>
      <c r="L13">
        <v>2193082.9496058798</v>
      </c>
      <c r="M13">
        <v>589686.90538732905</v>
      </c>
      <c r="N13">
        <v>1107460.7753085</v>
      </c>
      <c r="O13">
        <v>23851.725654727299</v>
      </c>
      <c r="P13">
        <v>77.729499401791898</v>
      </c>
      <c r="Q13">
        <v>275.5586543631</v>
      </c>
      <c r="R13">
        <v>813.01795187266498</v>
      </c>
      <c r="S13">
        <v>2730.34173263412</v>
      </c>
      <c r="T13">
        <v>11030.3176889186</v>
      </c>
      <c r="U13">
        <v>8924.7601275369998</v>
      </c>
      <c r="V13">
        <f t="shared" si="0"/>
        <v>138432.59691356251</v>
      </c>
      <c r="W13">
        <f t="shared" si="1"/>
        <v>58968.690538732902</v>
      </c>
      <c r="X13" s="18">
        <f t="shared" si="2"/>
        <v>197401.28745229542</v>
      </c>
      <c r="Y13" s="19">
        <f t="shared" si="3"/>
        <v>0.4432456704046136</v>
      </c>
      <c r="Z13" s="19">
        <f t="shared" si="4"/>
        <v>3.989692501656205E-2</v>
      </c>
      <c r="AA13" s="20">
        <f t="shared" si="5"/>
        <v>4.8206904941905885E-3</v>
      </c>
    </row>
    <row r="14" spans="1:27" x14ac:dyDescent="0.45">
      <c r="A14" t="s">
        <v>8</v>
      </c>
      <c r="B14">
        <v>46758012</v>
      </c>
      <c r="C14">
        <v>43861</v>
      </c>
      <c r="D14">
        <v>43874</v>
      </c>
      <c r="E14" t="s">
        <v>98</v>
      </c>
      <c r="F14">
        <v>3.9</v>
      </c>
      <c r="G14">
        <v>43829</v>
      </c>
      <c r="H14">
        <v>33</v>
      </c>
      <c r="I14">
        <v>10</v>
      </c>
      <c r="J14">
        <v>43874</v>
      </c>
      <c r="L14">
        <v>22152800.301895</v>
      </c>
      <c r="M14">
        <v>8401258.1522349603</v>
      </c>
      <c r="N14">
        <v>15777972.646609901</v>
      </c>
      <c r="O14">
        <v>339815.31454400101</v>
      </c>
      <c r="P14">
        <v>431.51934111368701</v>
      </c>
      <c r="Q14">
        <v>2101.9819414948902</v>
      </c>
      <c r="R14">
        <v>7645.3748094628399</v>
      </c>
      <c r="S14">
        <v>31629.730770377399</v>
      </c>
      <c r="T14">
        <v>125842.159771438</v>
      </c>
      <c r="U14">
        <v>172164.54791011399</v>
      </c>
      <c r="V14">
        <f t="shared" si="0"/>
        <v>1972246.5808262376</v>
      </c>
      <c r="W14">
        <f t="shared" si="1"/>
        <v>840125.81522349606</v>
      </c>
      <c r="X14" s="18">
        <f t="shared" si="2"/>
        <v>2812372.3960497337</v>
      </c>
      <c r="Y14" s="19">
        <f t="shared" si="3"/>
        <v>0.47377549545722775</v>
      </c>
      <c r="Z14" s="19">
        <f t="shared" si="4"/>
        <v>6.014739027077827E-2</v>
      </c>
      <c r="AA14" s="20">
        <f t="shared" si="5"/>
        <v>7.2675312745118636E-3</v>
      </c>
    </row>
    <row r="15" spans="1:27" x14ac:dyDescent="0.45">
      <c r="A15" t="s">
        <v>15</v>
      </c>
      <c r="B15">
        <v>83831967</v>
      </c>
      <c r="C15">
        <v>43857</v>
      </c>
      <c r="D15">
        <v>43899</v>
      </c>
      <c r="E15" t="s">
        <v>98</v>
      </c>
      <c r="F15">
        <v>3.9</v>
      </c>
      <c r="G15">
        <v>43854</v>
      </c>
      <c r="H15">
        <v>8</v>
      </c>
      <c r="I15">
        <v>10</v>
      </c>
      <c r="J15">
        <v>43899</v>
      </c>
      <c r="L15">
        <v>39533443.425565802</v>
      </c>
      <c r="M15">
        <v>15227652.948998099</v>
      </c>
      <c r="N15">
        <v>28598275.543589901</v>
      </c>
      <c r="O15">
        <v>615930.14005309797</v>
      </c>
      <c r="P15">
        <v>647.72581162581002</v>
      </c>
      <c r="Q15">
        <v>4298.52029857257</v>
      </c>
      <c r="R15">
        <v>11401.416133463101</v>
      </c>
      <c r="S15">
        <v>57932.858401000201</v>
      </c>
      <c r="T15">
        <v>240819.28909310099</v>
      </c>
      <c r="U15">
        <v>300830.33031533501</v>
      </c>
      <c r="V15">
        <f t="shared" si="0"/>
        <v>3574784.4429487376</v>
      </c>
      <c r="W15">
        <f t="shared" si="1"/>
        <v>1522765.2948998099</v>
      </c>
      <c r="X15" s="18">
        <f t="shared" si="2"/>
        <v>5097549.7378485473</v>
      </c>
      <c r="Y15" s="19">
        <f t="shared" si="3"/>
        <v>0.47157957567148345</v>
      </c>
      <c r="Z15" s="19">
        <f t="shared" si="4"/>
        <v>6.0806753321779358E-2</v>
      </c>
      <c r="AA15" s="20">
        <f t="shared" si="5"/>
        <v>7.3471989516015763E-3</v>
      </c>
    </row>
    <row r="16" spans="1:27" x14ac:dyDescent="0.45">
      <c r="A16" t="s">
        <v>10</v>
      </c>
      <c r="B16">
        <v>10110601</v>
      </c>
      <c r="C16">
        <v>43861</v>
      </c>
      <c r="D16">
        <v>43901</v>
      </c>
      <c r="E16" t="s">
        <v>98</v>
      </c>
      <c r="F16">
        <v>3.9</v>
      </c>
      <c r="G16">
        <v>43856</v>
      </c>
      <c r="H16">
        <v>6</v>
      </c>
      <c r="I16">
        <v>10</v>
      </c>
      <c r="J16">
        <v>43901</v>
      </c>
      <c r="L16">
        <v>4644718.6398688396</v>
      </c>
      <c r="M16">
        <v>1691688.4168060001</v>
      </c>
      <c r="N16">
        <v>3177073.4424424502</v>
      </c>
      <c r="O16">
        <v>68425.625609726398</v>
      </c>
      <c r="P16">
        <v>102.443947741521</v>
      </c>
      <c r="Q16">
        <v>583.59997432904902</v>
      </c>
      <c r="R16">
        <v>1377.6501074088701</v>
      </c>
      <c r="S16">
        <v>5809.40057932735</v>
      </c>
      <c r="T16">
        <v>29715.434521759798</v>
      </c>
      <c r="U16">
        <v>30837.096479159802</v>
      </c>
      <c r="V16">
        <f t="shared" si="0"/>
        <v>397134.18030530628</v>
      </c>
      <c r="W16">
        <f t="shared" si="1"/>
        <v>169168.84168060002</v>
      </c>
      <c r="X16" s="18">
        <f t="shared" si="2"/>
        <v>566303.02198590629</v>
      </c>
      <c r="Y16" s="19">
        <f t="shared" si="3"/>
        <v>0.45939095409549241</v>
      </c>
      <c r="Z16" s="19">
        <f t="shared" si="4"/>
        <v>5.6010816961910209E-2</v>
      </c>
      <c r="AA16" s="20">
        <f t="shared" si="5"/>
        <v>6.7677110005356159E-3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F34-DF67-416E-852C-7462335190A0}">
  <dimension ref="A1:W7"/>
  <sheetViews>
    <sheetView topLeftCell="G1" workbookViewId="0">
      <selection activeCell="W2" sqref="W2"/>
    </sheetView>
  </sheetViews>
  <sheetFormatPr defaultRowHeight="14.25" x14ac:dyDescent="0.45"/>
  <cols>
    <col min="21" max="21" width="11.59765625" bestFit="1" customWidth="1"/>
  </cols>
  <sheetData>
    <row r="1" spans="1:23" x14ac:dyDescent="0.45">
      <c r="A1" t="s">
        <v>0</v>
      </c>
      <c r="B1" t="s">
        <v>49</v>
      </c>
      <c r="C1" t="s">
        <v>50</v>
      </c>
      <c r="D1" t="s">
        <v>51</v>
      </c>
      <c r="E1" t="s">
        <v>52</v>
      </c>
      <c r="F1" t="s">
        <v>72</v>
      </c>
      <c r="G1" t="s">
        <v>71</v>
      </c>
      <c r="H1" t="s">
        <v>59</v>
      </c>
      <c r="I1" t="s">
        <v>99</v>
      </c>
      <c r="J1" t="s">
        <v>110</v>
      </c>
      <c r="K1" t="s">
        <v>53</v>
      </c>
      <c r="L1" t="s">
        <v>60</v>
      </c>
      <c r="M1" t="s">
        <v>76</v>
      </c>
      <c r="N1" t="s">
        <v>61</v>
      </c>
      <c r="O1" t="s">
        <v>62</v>
      </c>
      <c r="P1" t="s">
        <v>63</v>
      </c>
      <c r="Q1" t="s">
        <v>67</v>
      </c>
      <c r="R1" t="s">
        <v>68</v>
      </c>
      <c r="S1" t="s">
        <v>69</v>
      </c>
      <c r="T1" t="s">
        <v>70</v>
      </c>
      <c r="U1" t="s">
        <v>73</v>
      </c>
      <c r="V1" t="s">
        <v>74</v>
      </c>
      <c r="W1" t="s">
        <v>75</v>
      </c>
    </row>
    <row r="2" spans="1:23" ht="16.149999999999999" thickBot="1" x14ac:dyDescent="0.5">
      <c r="A2" t="s">
        <v>29</v>
      </c>
      <c r="B2" t="s">
        <v>54</v>
      </c>
      <c r="C2" t="s">
        <v>55</v>
      </c>
      <c r="D2" t="s">
        <v>56</v>
      </c>
      <c r="E2" t="s">
        <v>57</v>
      </c>
      <c r="F2">
        <v>0.68</v>
      </c>
      <c r="G2">
        <v>67950117</v>
      </c>
      <c r="H2" s="13">
        <v>2743.5859999999998</v>
      </c>
      <c r="I2" s="13">
        <f>H2*F2</f>
        <v>1865.6384800000001</v>
      </c>
      <c r="J2" s="18">
        <f>1000000000 *I2/G2</f>
        <v>27456.000995553841</v>
      </c>
      <c r="K2">
        <v>2018</v>
      </c>
      <c r="L2" s="16">
        <v>1.4</v>
      </c>
      <c r="M2" s="16">
        <v>1.4</v>
      </c>
      <c r="N2" s="16">
        <v>-9.8000000000000007</v>
      </c>
      <c r="O2">
        <f>M2-N2</f>
        <v>11.200000000000001</v>
      </c>
      <c r="P2">
        <f>O2*H2/100</f>
        <v>307.281632</v>
      </c>
      <c r="Q2">
        <f>M2-N2</f>
        <v>11.200000000000001</v>
      </c>
      <c r="R2">
        <f>Q2*H2/100</f>
        <v>307.281632</v>
      </c>
      <c r="S2">
        <f>O2-$O$6</f>
        <v>5.3000000000000007</v>
      </c>
      <c r="T2">
        <f>S2*H2/100</f>
        <v>145.41005800000002</v>
      </c>
      <c r="U2" s="17">
        <f>P2*$F2*1000000000/$G2</f>
        <v>3075.0721115020306</v>
      </c>
      <c r="V2" s="17">
        <f t="shared" ref="V2:V7" si="0">R2*$F2*1000000000/$G2</f>
        <v>3075.0721115020306</v>
      </c>
      <c r="W2" s="17">
        <f>T2*$F2*1000000000/$G2</f>
        <v>1455.1680527643539</v>
      </c>
    </row>
    <row r="3" spans="1:23" ht="16.149999999999999" thickBot="1" x14ac:dyDescent="0.5">
      <c r="A3" t="s">
        <v>21</v>
      </c>
      <c r="B3" t="s">
        <v>54</v>
      </c>
      <c r="C3" t="s">
        <v>55</v>
      </c>
      <c r="D3" t="s">
        <v>56</v>
      </c>
      <c r="E3" t="s">
        <v>57</v>
      </c>
      <c r="F3">
        <v>0.68</v>
      </c>
      <c r="G3">
        <v>4947782</v>
      </c>
      <c r="H3">
        <v>384.94</v>
      </c>
      <c r="I3" s="13">
        <f t="shared" ref="I3:I7" si="1">H3*F3</f>
        <v>261.75920000000002</v>
      </c>
      <c r="J3" s="18">
        <f t="shared" ref="J3:J6" si="2">1000000000 *I3/G3</f>
        <v>52904.351889392063</v>
      </c>
      <c r="K3">
        <v>2018</v>
      </c>
      <c r="L3" s="15">
        <v>5.5</v>
      </c>
      <c r="M3" s="15">
        <v>3.3</v>
      </c>
      <c r="N3" s="15">
        <v>-3</v>
      </c>
      <c r="O3">
        <f t="shared" ref="O3:O7" si="3">M3-N3</f>
        <v>6.3</v>
      </c>
      <c r="P3">
        <f>O3*H3/100</f>
        <v>24.25122</v>
      </c>
      <c r="Q3">
        <f>M3-N3</f>
        <v>6.3</v>
      </c>
      <c r="R3">
        <f>Q3*H3/100</f>
        <v>24.25122</v>
      </c>
      <c r="S3">
        <f t="shared" ref="S3:S7" si="4">O3-$O$6</f>
        <v>0.39999999999999947</v>
      </c>
      <c r="T3">
        <f>S3*H3/100</f>
        <v>1.539759999999998</v>
      </c>
      <c r="U3" s="17">
        <f>P3*$F3*1000000000/$G3</f>
        <v>3332.9741690317001</v>
      </c>
      <c r="V3" s="17">
        <f t="shared" si="0"/>
        <v>3332.9741690317001</v>
      </c>
      <c r="W3" s="17">
        <f>T3*$F3*1000000000/$G3</f>
        <v>211.61740755756799</v>
      </c>
    </row>
    <row r="4" spans="1:23" ht="16.149999999999999" thickBot="1" x14ac:dyDescent="0.5">
      <c r="A4" t="s">
        <v>8</v>
      </c>
      <c r="B4" t="s">
        <v>54</v>
      </c>
      <c r="C4" t="s">
        <v>55</v>
      </c>
      <c r="D4" t="s">
        <v>56</v>
      </c>
      <c r="E4" t="s">
        <v>57</v>
      </c>
      <c r="F4">
        <v>0.68</v>
      </c>
      <c r="G4">
        <v>46758012</v>
      </c>
      <c r="H4" s="13">
        <v>1397.87</v>
      </c>
      <c r="I4" s="13">
        <f t="shared" si="1"/>
        <v>950.55160000000001</v>
      </c>
      <c r="J4" s="18">
        <f t="shared" si="2"/>
        <v>20329.170538730345</v>
      </c>
      <c r="K4">
        <v>2018</v>
      </c>
      <c r="L4" s="16">
        <v>2</v>
      </c>
      <c r="M4" s="16">
        <v>1.6</v>
      </c>
      <c r="N4" s="16">
        <v>-12.8</v>
      </c>
      <c r="O4">
        <f t="shared" si="3"/>
        <v>14.4</v>
      </c>
      <c r="P4">
        <f>O4*H4/100</f>
        <v>201.29327999999998</v>
      </c>
      <c r="Q4">
        <f>M4-N4</f>
        <v>14.4</v>
      </c>
      <c r="R4">
        <f>Q4*H4/100</f>
        <v>201.29327999999998</v>
      </c>
      <c r="S4">
        <f t="shared" si="4"/>
        <v>8.5</v>
      </c>
      <c r="T4">
        <f>S4*H4/100</f>
        <v>118.81894999999999</v>
      </c>
      <c r="U4" s="17">
        <f>P4*$F4*1000000000/$G4</f>
        <v>2927.4005575771694</v>
      </c>
      <c r="V4" s="17">
        <f t="shared" si="0"/>
        <v>2927.4005575771694</v>
      </c>
      <c r="W4" s="17">
        <f>T4*$F4*1000000000/$G4</f>
        <v>1727.9794957920794</v>
      </c>
    </row>
    <row r="5" spans="1:23" ht="15.75" x14ac:dyDescent="0.45">
      <c r="A5" t="s">
        <v>15</v>
      </c>
      <c r="B5" t="s">
        <v>54</v>
      </c>
      <c r="C5" t="s">
        <v>55</v>
      </c>
      <c r="D5" t="s">
        <v>56</v>
      </c>
      <c r="E5" t="s">
        <v>57</v>
      </c>
      <c r="F5">
        <v>0.68</v>
      </c>
      <c r="G5">
        <v>83831967</v>
      </c>
      <c r="H5" s="13">
        <v>3863.3440000000001</v>
      </c>
      <c r="I5" s="13">
        <f t="shared" si="1"/>
        <v>2627.0739200000003</v>
      </c>
      <c r="J5" s="18">
        <f t="shared" si="2"/>
        <v>31337.376588097955</v>
      </c>
      <c r="K5">
        <v>2018</v>
      </c>
      <c r="L5" s="14">
        <v>0.6</v>
      </c>
      <c r="M5" s="14">
        <v>1.1000000000000001</v>
      </c>
      <c r="N5" s="14">
        <v>-6</v>
      </c>
      <c r="O5">
        <f t="shared" si="3"/>
        <v>7.1</v>
      </c>
      <c r="P5">
        <f>O5*H5/100</f>
        <v>274.29742399999998</v>
      </c>
      <c r="Q5">
        <f>M5-N5</f>
        <v>7.1</v>
      </c>
      <c r="R5">
        <f>Q5*H5/100</f>
        <v>274.29742399999998</v>
      </c>
      <c r="S5">
        <f t="shared" si="4"/>
        <v>1.1999999999999993</v>
      </c>
      <c r="T5">
        <f>S5*H5/100</f>
        <v>46.360127999999975</v>
      </c>
      <c r="U5" s="17">
        <f>P5*$F5*1000000000/$G5</f>
        <v>2224.9537377549545</v>
      </c>
      <c r="V5" s="17">
        <f t="shared" si="0"/>
        <v>2224.9537377549545</v>
      </c>
      <c r="W5" s="17">
        <f t="shared" ref="W5:W6" si="5">T5*$F5*1000000000/$G5</f>
        <v>376.04851905717521</v>
      </c>
    </row>
    <row r="6" spans="1:23" ht="16.149999999999999" thickBot="1" x14ac:dyDescent="0.5">
      <c r="A6" t="s">
        <v>10</v>
      </c>
      <c r="B6" t="s">
        <v>54</v>
      </c>
      <c r="C6" t="s">
        <v>55</v>
      </c>
      <c r="D6" t="s">
        <v>56</v>
      </c>
      <c r="E6" t="s">
        <v>57</v>
      </c>
      <c r="F6">
        <v>0.68</v>
      </c>
      <c r="G6">
        <v>10110601</v>
      </c>
      <c r="H6">
        <v>528.92899999999997</v>
      </c>
      <c r="I6" s="13">
        <f t="shared" si="1"/>
        <v>359.67171999999999</v>
      </c>
      <c r="J6" s="18">
        <f t="shared" si="2"/>
        <v>35573.723065523009</v>
      </c>
      <c r="K6">
        <v>2018</v>
      </c>
      <c r="L6" s="16">
        <v>1.2</v>
      </c>
      <c r="M6" s="16">
        <v>1.2</v>
      </c>
      <c r="N6" s="16">
        <v>-4.7</v>
      </c>
      <c r="O6">
        <f t="shared" si="3"/>
        <v>5.9</v>
      </c>
      <c r="P6">
        <f t="shared" ref="P6" si="6">O6*H6/100</f>
        <v>31.206811000000002</v>
      </c>
      <c r="Q6">
        <f t="shared" ref="Q6" si="7">M6-N6</f>
        <v>5.9</v>
      </c>
      <c r="R6">
        <f t="shared" ref="R6" si="8">Q6*H6/100</f>
        <v>31.206811000000002</v>
      </c>
      <c r="S6">
        <f t="shared" si="4"/>
        <v>0</v>
      </c>
      <c r="T6">
        <f t="shared" ref="T6" si="9">S6*H6/100</f>
        <v>0</v>
      </c>
      <c r="U6" s="17">
        <f t="shared" ref="U6" si="10">P6*$F6*1000000000/$G6</f>
        <v>2098.8496608658575</v>
      </c>
      <c r="V6" s="17">
        <f t="shared" si="0"/>
        <v>2098.8496608658575</v>
      </c>
      <c r="W6" s="17">
        <f t="shared" si="5"/>
        <v>0</v>
      </c>
    </row>
    <row r="7" spans="1:23" x14ac:dyDescent="0.45">
      <c r="A7" t="s">
        <v>58</v>
      </c>
      <c r="B7" t="s">
        <v>54</v>
      </c>
      <c r="C7" t="s">
        <v>55</v>
      </c>
      <c r="D7" t="s">
        <v>56</v>
      </c>
      <c r="E7" t="s">
        <v>57</v>
      </c>
      <c r="F7">
        <v>0.68</v>
      </c>
      <c r="H7" s="13">
        <v>1629.5319999999999</v>
      </c>
      <c r="I7" s="13">
        <f t="shared" si="1"/>
        <v>1108.08176</v>
      </c>
      <c r="J7" s="13"/>
      <c r="K7">
        <v>2018</v>
      </c>
      <c r="O7">
        <f t="shared" si="3"/>
        <v>0</v>
      </c>
      <c r="P7">
        <f>O7*H7/100</f>
        <v>0</v>
      </c>
      <c r="Q7">
        <f>M7-N7</f>
        <v>0</v>
      </c>
      <c r="R7">
        <f>Q7*H7/100</f>
        <v>0</v>
      </c>
      <c r="S7">
        <f t="shared" si="4"/>
        <v>-5.9</v>
      </c>
      <c r="T7">
        <f>S7*H7/100</f>
        <v>-96.142388000000011</v>
      </c>
      <c r="U7" s="17" t="e">
        <f>P7*$F7*1000000000/$G7</f>
        <v>#DIV/0!</v>
      </c>
      <c r="V7" s="17" t="e">
        <f t="shared" si="0"/>
        <v>#DIV/0!</v>
      </c>
      <c r="W7" s="17" t="e">
        <f>T7*$F7*1000000000/$G7</f>
        <v>#DIV/0!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592A-7793-4542-B8C2-C00BFD1BDA83}">
  <dimension ref="A1:I122"/>
  <sheetViews>
    <sheetView workbookViewId="0">
      <selection activeCell="C102" sqref="A1:C102"/>
    </sheetView>
  </sheetViews>
  <sheetFormatPr defaultRowHeight="14.25" x14ac:dyDescent="0.45"/>
  <cols>
    <col min="2" max="2" width="11.9296875" customWidth="1"/>
    <col min="3" max="3" width="13.796875" customWidth="1"/>
    <col min="4" max="5" width="13.1328125" customWidth="1"/>
    <col min="8" max="8" width="14.796875" customWidth="1"/>
    <col min="9" max="9" width="18.9296875" customWidth="1"/>
  </cols>
  <sheetData>
    <row r="1" spans="1:9" x14ac:dyDescent="0.45">
      <c r="A1" s="24" t="s">
        <v>112</v>
      </c>
      <c r="B1" s="24" t="s">
        <v>193</v>
      </c>
      <c r="C1" s="24" t="s">
        <v>192</v>
      </c>
      <c r="D1" s="45" t="s">
        <v>190</v>
      </c>
      <c r="E1" s="45" t="s">
        <v>191</v>
      </c>
      <c r="G1" t="s">
        <v>145</v>
      </c>
      <c r="H1" s="46" t="s">
        <v>194</v>
      </c>
      <c r="I1" s="46" t="s">
        <v>195</v>
      </c>
    </row>
    <row r="2" spans="1:9" ht="15.75" x14ac:dyDescent="0.5">
      <c r="A2" s="25">
        <v>0</v>
      </c>
      <c r="B2" s="36">
        <v>4.267E-3</v>
      </c>
      <c r="C2" s="36">
        <v>3.5360000000000001E-3</v>
      </c>
      <c r="D2" s="36">
        <f>1-B2</f>
        <v>0.99573299999999998</v>
      </c>
      <c r="E2" s="36">
        <f>1-C2</f>
        <v>0.99646400000000002</v>
      </c>
      <c r="G2" t="s">
        <v>155</v>
      </c>
      <c r="H2" s="19">
        <f>1-D2</f>
        <v>4.2670000000000208E-3</v>
      </c>
      <c r="I2" s="19">
        <f>1-E2</f>
        <v>3.5359999999999836E-3</v>
      </c>
    </row>
    <row r="3" spans="1:9" ht="15.75" x14ac:dyDescent="0.5">
      <c r="A3" s="25">
        <v>1</v>
      </c>
      <c r="B3" s="36">
        <v>2.43E-4</v>
      </c>
      <c r="C3" s="36">
        <v>2.13E-4</v>
      </c>
      <c r="D3" s="36">
        <f t="shared" ref="D3:D66" si="0">1-B3</f>
        <v>0.99975700000000001</v>
      </c>
      <c r="E3" s="36">
        <f t="shared" ref="E3:E66" si="1">1-C3</f>
        <v>0.99978699999999998</v>
      </c>
      <c r="G3" t="s">
        <v>156</v>
      </c>
      <c r="H3" s="19">
        <f>1-PRODUCT(D3:D6)</f>
        <v>5.7288388702469994E-4</v>
      </c>
      <c r="I3" s="19">
        <f>1-PRODUCT(E3:E6)</f>
        <v>5.0590985175602565E-4</v>
      </c>
    </row>
    <row r="4" spans="1:9" ht="15.75" x14ac:dyDescent="0.5">
      <c r="A4" s="25">
        <v>2</v>
      </c>
      <c r="B4" s="36">
        <v>1.3200000000000001E-4</v>
      </c>
      <c r="C4" s="36">
        <v>1.27E-4</v>
      </c>
      <c r="D4" s="36">
        <f t="shared" si="0"/>
        <v>0.99986799999999998</v>
      </c>
      <c r="E4" s="36">
        <f t="shared" si="1"/>
        <v>0.99987300000000001</v>
      </c>
      <c r="G4" t="s">
        <v>157</v>
      </c>
      <c r="H4" s="19">
        <f>1-PRODUCT(D7:D11)</f>
        <v>3.67946141919262E-4</v>
      </c>
      <c r="I4" s="19">
        <f>1-PRODUCT(E7:E11)</f>
        <v>3.4695223326097757E-4</v>
      </c>
    </row>
    <row r="5" spans="1:9" ht="15.75" x14ac:dyDescent="0.5">
      <c r="A5" s="25">
        <v>3</v>
      </c>
      <c r="B5" s="36">
        <v>1.01E-4</v>
      </c>
      <c r="C5" s="36">
        <v>9.7999999999999997E-5</v>
      </c>
      <c r="D5" s="36">
        <f t="shared" si="0"/>
        <v>0.99989899999999998</v>
      </c>
      <c r="E5" s="36">
        <f t="shared" si="1"/>
        <v>0.99990199999999996</v>
      </c>
      <c r="G5" t="s">
        <v>158</v>
      </c>
      <c r="H5" s="19">
        <f>1-PRODUCT(D12:D16)</f>
        <v>5.1189618641722667E-4</v>
      </c>
      <c r="I5" s="19">
        <f>1-PRODUCT(E12:E16)</f>
        <v>3.7094550996474851E-4</v>
      </c>
    </row>
    <row r="6" spans="1:9" ht="15.75" x14ac:dyDescent="0.5">
      <c r="A6" s="25">
        <v>4</v>
      </c>
      <c r="B6" s="36">
        <v>9.7E-5</v>
      </c>
      <c r="C6" s="36">
        <v>6.7999999999999999E-5</v>
      </c>
      <c r="D6" s="36">
        <f t="shared" si="0"/>
        <v>0.99990299999999999</v>
      </c>
      <c r="E6" s="36">
        <f t="shared" si="1"/>
        <v>0.99993200000000004</v>
      </c>
      <c r="G6" t="s">
        <v>159</v>
      </c>
      <c r="H6" s="19">
        <f>1-PRODUCT(D17:D21)</f>
        <v>1.5640468518768325E-3</v>
      </c>
      <c r="I6" s="19">
        <f>1-PRODUCT(E17:E21)</f>
        <v>8.4471851520551144E-4</v>
      </c>
    </row>
    <row r="7" spans="1:9" ht="15.75" x14ac:dyDescent="0.5">
      <c r="A7" s="25">
        <v>5</v>
      </c>
      <c r="B7" s="36">
        <v>8.5000000000000006E-5</v>
      </c>
      <c r="C7" s="36">
        <v>8.6000000000000003E-5</v>
      </c>
      <c r="D7" s="36">
        <f t="shared" si="0"/>
        <v>0.999915</v>
      </c>
      <c r="E7" s="36">
        <f t="shared" si="1"/>
        <v>0.99991399999999997</v>
      </c>
      <c r="G7" t="s">
        <v>160</v>
      </c>
      <c r="H7" s="19">
        <f>1-PRODUCT(D22:D26)</f>
        <v>2.5793355024720244E-3</v>
      </c>
      <c r="I7" s="19">
        <f>1-PRODUCT(E22:E26)</f>
        <v>1.0735391757908941E-3</v>
      </c>
    </row>
    <row r="8" spans="1:9" ht="15.75" x14ac:dyDescent="0.5">
      <c r="A8" s="25">
        <v>6</v>
      </c>
      <c r="B8" s="36">
        <v>8.7999999999999998E-5</v>
      </c>
      <c r="C8" s="36">
        <v>8.2000000000000001E-5</v>
      </c>
      <c r="D8" s="36">
        <f t="shared" si="0"/>
        <v>0.99991200000000002</v>
      </c>
      <c r="E8" s="36">
        <f t="shared" si="1"/>
        <v>0.99991799999999997</v>
      </c>
      <c r="G8" t="s">
        <v>161</v>
      </c>
      <c r="H8" s="19">
        <f>1-PRODUCT(D27:D31)</f>
        <v>3.2228457342188266E-3</v>
      </c>
      <c r="I8" s="19">
        <f>1-PRODUCT(E27:E31)</f>
        <v>1.4411702663030823E-3</v>
      </c>
    </row>
    <row r="9" spans="1:9" ht="15.75" x14ac:dyDescent="0.5">
      <c r="A9" s="25">
        <v>7</v>
      </c>
      <c r="B9" s="36">
        <v>6.8999999999999997E-5</v>
      </c>
      <c r="C9" s="36">
        <v>6.2000000000000003E-5</v>
      </c>
      <c r="D9" s="36">
        <f t="shared" si="0"/>
        <v>0.99993100000000001</v>
      </c>
      <c r="E9" s="36">
        <f t="shared" si="1"/>
        <v>0.99993799999999999</v>
      </c>
      <c r="G9" t="s">
        <v>162</v>
      </c>
      <c r="H9" s="19">
        <f>1-PRODUCT(D32:D36)</f>
        <v>4.3195288742843285E-3</v>
      </c>
      <c r="I9" s="19">
        <f>1-PRODUCT(E32:E36)</f>
        <v>2.2569707052201293E-3</v>
      </c>
    </row>
    <row r="10" spans="1:9" ht="15.75" x14ac:dyDescent="0.5">
      <c r="A10" s="25">
        <v>8</v>
      </c>
      <c r="B10" s="36">
        <v>6.7000000000000002E-5</v>
      </c>
      <c r="C10" s="36">
        <v>6.3999999999999997E-5</v>
      </c>
      <c r="D10" s="36">
        <f t="shared" si="0"/>
        <v>0.99993299999999996</v>
      </c>
      <c r="E10" s="36">
        <f t="shared" si="1"/>
        <v>0.99993600000000005</v>
      </c>
      <c r="G10" t="s">
        <v>163</v>
      </c>
      <c r="H10" s="19">
        <f>1-PRODUCT(D37:D41)</f>
        <v>6.1727358712475588E-3</v>
      </c>
      <c r="I10" s="19">
        <f>1-PRODUCT(E37:E41)</f>
        <v>3.5898572195689482E-3</v>
      </c>
    </row>
    <row r="11" spans="1:9" ht="15.75" x14ac:dyDescent="0.5">
      <c r="A11" s="25">
        <v>9</v>
      </c>
      <c r="B11" s="36">
        <v>5.8999999999999998E-5</v>
      </c>
      <c r="C11" s="36">
        <v>5.3000000000000001E-5</v>
      </c>
      <c r="D11" s="36">
        <f t="shared" si="0"/>
        <v>0.99994099999999997</v>
      </c>
      <c r="E11" s="36">
        <f t="shared" si="1"/>
        <v>0.99994700000000003</v>
      </c>
      <c r="G11" t="s">
        <v>164</v>
      </c>
      <c r="H11" s="19">
        <f>1-PRODUCT(D42:D46)</f>
        <v>9.0789558691631855E-3</v>
      </c>
      <c r="I11" s="19">
        <f>1-PRODUCT(E42:E46)</f>
        <v>5.4361925215319351E-3</v>
      </c>
    </row>
    <row r="12" spans="1:9" ht="15.75" x14ac:dyDescent="0.5">
      <c r="A12" s="25">
        <v>10</v>
      </c>
      <c r="B12" s="36">
        <v>7.3999999999999996E-5</v>
      </c>
      <c r="C12" s="36">
        <v>6.3999999999999997E-5</v>
      </c>
      <c r="D12" s="36">
        <f t="shared" si="0"/>
        <v>0.99992599999999998</v>
      </c>
      <c r="E12" s="36">
        <f t="shared" si="1"/>
        <v>0.99993600000000005</v>
      </c>
      <c r="G12" t="s">
        <v>165</v>
      </c>
      <c r="H12" s="19">
        <f>1-PRODUCT(D47:D51)</f>
        <v>1.3498733696712728E-2</v>
      </c>
      <c r="I12" s="19">
        <f>1-PRODUCT(E47:E51)</f>
        <v>8.438458333343557E-3</v>
      </c>
    </row>
    <row r="13" spans="1:9" ht="15.75" x14ac:dyDescent="0.5">
      <c r="A13" s="25">
        <v>11</v>
      </c>
      <c r="B13" s="36">
        <v>8.5000000000000006E-5</v>
      </c>
      <c r="C13" s="36">
        <v>6.6000000000000005E-5</v>
      </c>
      <c r="D13" s="36">
        <f t="shared" si="0"/>
        <v>0.999915</v>
      </c>
      <c r="E13" s="36">
        <f t="shared" si="1"/>
        <v>0.99993399999999999</v>
      </c>
      <c r="G13" t="s">
        <v>166</v>
      </c>
      <c r="H13" s="19">
        <f>1-PRODUCT(D52:D56)</f>
        <v>1.9343936570996423E-2</v>
      </c>
      <c r="I13" s="19">
        <f>1-PRODUCT(E52:E56)</f>
        <v>1.2630864771723815E-2</v>
      </c>
    </row>
    <row r="14" spans="1:9" ht="15.75" x14ac:dyDescent="0.5">
      <c r="A14" s="25">
        <v>12</v>
      </c>
      <c r="B14" s="36">
        <v>1.05E-4</v>
      </c>
      <c r="C14" s="36">
        <v>6.0000000000000002E-5</v>
      </c>
      <c r="D14" s="36">
        <f t="shared" si="0"/>
        <v>0.99989499999999998</v>
      </c>
      <c r="E14" s="36">
        <f t="shared" si="1"/>
        <v>0.99994000000000005</v>
      </c>
      <c r="G14" t="s">
        <v>167</v>
      </c>
      <c r="H14" s="19">
        <f>1-PRODUCT(D57:D61)</f>
        <v>2.8988342077005624E-2</v>
      </c>
      <c r="I14" s="19">
        <f>1-PRODUCT(E57:E61)</f>
        <v>1.9248689164890975E-2</v>
      </c>
    </row>
    <row r="15" spans="1:9" ht="15.75" x14ac:dyDescent="0.5">
      <c r="A15" s="25">
        <v>13</v>
      </c>
      <c r="B15" s="36">
        <v>1.27E-4</v>
      </c>
      <c r="C15" s="36">
        <v>8.0000000000000007E-5</v>
      </c>
      <c r="D15" s="36">
        <f t="shared" si="0"/>
        <v>0.99987300000000001</v>
      </c>
      <c r="E15" s="36">
        <f t="shared" si="1"/>
        <v>0.99992000000000003</v>
      </c>
      <c r="G15" t="s">
        <v>168</v>
      </c>
      <c r="H15" s="19">
        <f>1-PRODUCT(D62:D66)</f>
        <v>4.5411612319437134E-2</v>
      </c>
      <c r="I15" s="19">
        <f>1-PRODUCT(E62:E66)</f>
        <v>3.0412740683857353E-2</v>
      </c>
    </row>
    <row r="16" spans="1:9" ht="15.75" x14ac:dyDescent="0.5">
      <c r="A16" s="25">
        <v>14</v>
      </c>
      <c r="B16" s="36">
        <v>1.21E-4</v>
      </c>
      <c r="C16" s="36">
        <v>1.01E-4</v>
      </c>
      <c r="D16" s="36">
        <f t="shared" si="0"/>
        <v>0.99987899999999996</v>
      </c>
      <c r="E16" s="36">
        <f t="shared" si="1"/>
        <v>0.99989899999999998</v>
      </c>
      <c r="G16" t="s">
        <v>169</v>
      </c>
      <c r="H16" s="19">
        <f>1-PRODUCT(D67:D71)</f>
        <v>7.0738546050252205E-2</v>
      </c>
      <c r="I16" s="19">
        <f>1-PRODUCT(E67:E71)</f>
        <v>4.6673958766830004E-2</v>
      </c>
    </row>
    <row r="17" spans="1:9" ht="15.75" x14ac:dyDescent="0.5">
      <c r="A17" s="25">
        <v>15</v>
      </c>
      <c r="B17" s="36">
        <v>1.74E-4</v>
      </c>
      <c r="C17" s="36">
        <v>1.12E-4</v>
      </c>
      <c r="D17" s="36">
        <f t="shared" si="0"/>
        <v>0.99982599999999999</v>
      </c>
      <c r="E17" s="36">
        <f t="shared" si="1"/>
        <v>0.999888</v>
      </c>
      <c r="G17" t="s">
        <v>170</v>
      </c>
      <c r="H17" s="19">
        <f>1-PRODUCT(D72:D76)</f>
        <v>0.10941383320241893</v>
      </c>
      <c r="I17" s="19">
        <f>1-PRODUCT(E72:E76)</f>
        <v>7.5176482588957594E-2</v>
      </c>
    </row>
    <row r="18" spans="1:9" ht="15.75" x14ac:dyDescent="0.5">
      <c r="A18" s="25">
        <v>16</v>
      </c>
      <c r="B18" s="36">
        <v>2.2699999999999999E-4</v>
      </c>
      <c r="C18" s="36">
        <v>1.47E-4</v>
      </c>
      <c r="D18" s="36">
        <f t="shared" si="0"/>
        <v>0.99977300000000002</v>
      </c>
      <c r="E18" s="36">
        <f t="shared" si="1"/>
        <v>0.99985299999999999</v>
      </c>
      <c r="G18" t="s">
        <v>171</v>
      </c>
      <c r="H18" s="19">
        <f>1-PRODUCT(D77:D81)</f>
        <v>0.18213252456850981</v>
      </c>
      <c r="I18" s="19">
        <f>1-PRODUCT(E77:E81)</f>
        <v>0.13100062730741835</v>
      </c>
    </row>
    <row r="19" spans="1:9" ht="15.75" x14ac:dyDescent="0.5">
      <c r="A19" s="25">
        <v>17</v>
      </c>
      <c r="B19" s="36">
        <v>3.1599999999999998E-4</v>
      </c>
      <c r="C19" s="36">
        <v>1.5899999999999999E-4</v>
      </c>
      <c r="D19" s="36">
        <f t="shared" si="0"/>
        <v>0.99968400000000002</v>
      </c>
      <c r="E19" s="36">
        <f t="shared" si="1"/>
        <v>0.99984099999999998</v>
      </c>
      <c r="G19" t="s">
        <v>172</v>
      </c>
      <c r="H19" s="19">
        <f>1-PRODUCT(D82:D86)</f>
        <v>0.29758088505415892</v>
      </c>
      <c r="I19" s="19">
        <f>1-PRODUCT(E82:E86)</f>
        <v>0.227418946492978</v>
      </c>
    </row>
    <row r="20" spans="1:9" ht="15.75" x14ac:dyDescent="0.5">
      <c r="A20" s="25">
        <v>18</v>
      </c>
      <c r="B20" s="36">
        <v>4.0000000000000002E-4</v>
      </c>
      <c r="C20" s="36">
        <v>2.2699999999999999E-4</v>
      </c>
      <c r="D20" s="36">
        <f t="shared" si="0"/>
        <v>0.99960000000000004</v>
      </c>
      <c r="E20" s="36">
        <f t="shared" si="1"/>
        <v>0.99977300000000002</v>
      </c>
      <c r="G20" t="s">
        <v>173</v>
      </c>
      <c r="H20" s="19">
        <f>1-PRODUCT(D87:D102)</f>
        <v>0.98330013736975685</v>
      </c>
      <c r="I20" s="19">
        <f>1-PRODUCT(E87:E102)</f>
        <v>0.96715676507440884</v>
      </c>
    </row>
    <row r="21" spans="1:9" ht="15.75" x14ac:dyDescent="0.5">
      <c r="A21" s="25">
        <v>19</v>
      </c>
      <c r="B21" s="36">
        <v>4.4799999999999999E-4</v>
      </c>
      <c r="C21" s="36">
        <v>2.0000000000000001E-4</v>
      </c>
      <c r="D21" s="36">
        <f t="shared" si="0"/>
        <v>0.999552</v>
      </c>
      <c r="E21" s="36">
        <f t="shared" si="1"/>
        <v>0.99980000000000002</v>
      </c>
    </row>
    <row r="22" spans="1:9" ht="15.75" x14ac:dyDescent="0.5">
      <c r="A22" s="25">
        <v>20</v>
      </c>
      <c r="B22" s="36">
        <v>5.0799999999999999E-4</v>
      </c>
      <c r="C22" s="36">
        <v>1.9000000000000001E-4</v>
      </c>
      <c r="D22" s="36">
        <f t="shared" si="0"/>
        <v>0.99949200000000005</v>
      </c>
      <c r="E22" s="36">
        <f t="shared" si="1"/>
        <v>0.99980999999999998</v>
      </c>
    </row>
    <row r="23" spans="1:9" ht="15.75" x14ac:dyDescent="0.5">
      <c r="A23" s="25">
        <v>21</v>
      </c>
      <c r="B23" s="36">
        <v>5.13E-4</v>
      </c>
      <c r="C23" s="36">
        <v>2.1100000000000001E-4</v>
      </c>
      <c r="D23" s="36">
        <f t="shared" si="0"/>
        <v>0.99948700000000001</v>
      </c>
      <c r="E23" s="36">
        <f t="shared" si="1"/>
        <v>0.99978900000000004</v>
      </c>
    </row>
    <row r="24" spans="1:9" ht="15.75" x14ac:dyDescent="0.5">
      <c r="A24" s="25">
        <v>22</v>
      </c>
      <c r="B24" s="36">
        <v>5.04E-4</v>
      </c>
      <c r="C24" s="36">
        <v>2.2900000000000001E-4</v>
      </c>
      <c r="D24" s="36">
        <f t="shared" si="0"/>
        <v>0.99949600000000005</v>
      </c>
      <c r="E24" s="36">
        <f t="shared" si="1"/>
        <v>0.99977099999999997</v>
      </c>
    </row>
    <row r="25" spans="1:9" ht="15.75" x14ac:dyDescent="0.5">
      <c r="A25" s="25">
        <v>23</v>
      </c>
      <c r="B25" s="36">
        <v>5.0500000000000002E-4</v>
      </c>
      <c r="C25" s="36">
        <v>2.22E-4</v>
      </c>
      <c r="D25" s="36">
        <f t="shared" si="0"/>
        <v>0.99949500000000002</v>
      </c>
      <c r="E25" s="36">
        <f t="shared" si="1"/>
        <v>0.99977800000000006</v>
      </c>
    </row>
    <row r="26" spans="1:9" ht="15.75" x14ac:dyDescent="0.5">
      <c r="A26" s="25">
        <v>24</v>
      </c>
      <c r="B26" s="36">
        <v>5.5199999999999997E-4</v>
      </c>
      <c r="C26" s="36">
        <v>2.22E-4</v>
      </c>
      <c r="D26" s="36">
        <f t="shared" si="0"/>
        <v>0.999448</v>
      </c>
      <c r="E26" s="36">
        <f t="shared" si="1"/>
        <v>0.99977800000000006</v>
      </c>
    </row>
    <row r="27" spans="1:9" ht="15.75" x14ac:dyDescent="0.5">
      <c r="A27" s="25">
        <v>25</v>
      </c>
      <c r="B27" s="36">
        <v>5.9800000000000001E-4</v>
      </c>
      <c r="C27" s="36">
        <v>2.5399999999999999E-4</v>
      </c>
      <c r="D27" s="36">
        <f t="shared" si="0"/>
        <v>0.99940200000000001</v>
      </c>
      <c r="E27" s="36">
        <f t="shared" si="1"/>
        <v>0.99974600000000002</v>
      </c>
    </row>
    <row r="28" spans="1:9" ht="15.75" x14ac:dyDescent="0.5">
      <c r="A28" s="25">
        <v>26</v>
      </c>
      <c r="B28" s="36">
        <v>5.8100000000000003E-4</v>
      </c>
      <c r="C28" s="36">
        <v>2.6200000000000003E-4</v>
      </c>
      <c r="D28" s="36">
        <f t="shared" si="0"/>
        <v>0.99941899999999995</v>
      </c>
      <c r="E28" s="36">
        <f t="shared" si="1"/>
        <v>0.99973800000000002</v>
      </c>
    </row>
    <row r="29" spans="1:9" ht="15.75" x14ac:dyDescent="0.5">
      <c r="A29" s="25">
        <v>27</v>
      </c>
      <c r="B29" s="36">
        <v>6.2100000000000002E-4</v>
      </c>
      <c r="C29" s="36">
        <v>2.92E-4</v>
      </c>
      <c r="D29" s="36">
        <f t="shared" si="0"/>
        <v>0.99937900000000002</v>
      </c>
      <c r="E29" s="36">
        <f t="shared" si="1"/>
        <v>0.99970800000000004</v>
      </c>
    </row>
    <row r="30" spans="1:9" ht="15.75" x14ac:dyDescent="0.5">
      <c r="A30" s="25">
        <v>28</v>
      </c>
      <c r="B30" s="36">
        <v>6.9499999999999998E-4</v>
      </c>
      <c r="C30" s="36">
        <v>3.1399999999999999E-4</v>
      </c>
      <c r="D30" s="36">
        <f t="shared" si="0"/>
        <v>0.999305</v>
      </c>
      <c r="E30" s="36">
        <f t="shared" si="1"/>
        <v>0.99968599999999996</v>
      </c>
    </row>
    <row r="31" spans="1:9" ht="15.75" x14ac:dyDescent="0.5">
      <c r="A31" s="25">
        <v>29</v>
      </c>
      <c r="B31" s="36">
        <v>7.3200000000000001E-4</v>
      </c>
      <c r="C31" s="36">
        <v>3.2000000000000003E-4</v>
      </c>
      <c r="D31" s="36">
        <f t="shared" si="0"/>
        <v>0.99926800000000005</v>
      </c>
      <c r="E31" s="36">
        <f t="shared" si="1"/>
        <v>0.99968000000000001</v>
      </c>
    </row>
    <row r="32" spans="1:9" ht="15.75" x14ac:dyDescent="0.5">
      <c r="A32" s="25">
        <v>30</v>
      </c>
      <c r="B32" s="36">
        <v>7.7099999999999998E-4</v>
      </c>
      <c r="C32" s="36">
        <v>3.6999999999999999E-4</v>
      </c>
      <c r="D32" s="36">
        <f t="shared" si="0"/>
        <v>0.99922900000000003</v>
      </c>
      <c r="E32" s="36">
        <f t="shared" si="1"/>
        <v>0.99963000000000002</v>
      </c>
    </row>
    <row r="33" spans="1:5" ht="15.75" x14ac:dyDescent="0.5">
      <c r="A33" s="25">
        <v>31</v>
      </c>
      <c r="B33" s="36">
        <v>8.3500000000000002E-4</v>
      </c>
      <c r="C33" s="36">
        <v>3.9399999999999998E-4</v>
      </c>
      <c r="D33" s="36">
        <f t="shared" si="0"/>
        <v>0.99916499999999997</v>
      </c>
      <c r="E33" s="36">
        <f t="shared" si="1"/>
        <v>0.99960599999999999</v>
      </c>
    </row>
    <row r="34" spans="1:5" ht="15.75" x14ac:dyDescent="0.5">
      <c r="A34" s="25">
        <v>32</v>
      </c>
      <c r="B34" s="36">
        <v>8.3500000000000002E-4</v>
      </c>
      <c r="C34" s="36">
        <v>4.5300000000000001E-4</v>
      </c>
      <c r="D34" s="36">
        <f t="shared" si="0"/>
        <v>0.99916499999999997</v>
      </c>
      <c r="E34" s="36">
        <f t="shared" si="1"/>
        <v>0.99954699999999996</v>
      </c>
    </row>
    <row r="35" spans="1:5" ht="15.75" x14ac:dyDescent="0.5">
      <c r="A35" s="25">
        <v>33</v>
      </c>
      <c r="B35" s="36">
        <v>9.2900000000000003E-4</v>
      </c>
      <c r="C35" s="36">
        <v>4.86E-4</v>
      </c>
      <c r="D35" s="36">
        <f t="shared" si="0"/>
        <v>0.99907100000000004</v>
      </c>
      <c r="E35" s="36">
        <f t="shared" si="1"/>
        <v>0.99951400000000001</v>
      </c>
    </row>
    <row r="36" spans="1:5" ht="15.75" x14ac:dyDescent="0.5">
      <c r="A36" s="25">
        <v>34</v>
      </c>
      <c r="B36" s="36">
        <v>9.5699999999999995E-4</v>
      </c>
      <c r="C36" s="36">
        <v>5.5599999999999996E-4</v>
      </c>
      <c r="D36" s="36">
        <f t="shared" si="0"/>
        <v>0.99904300000000001</v>
      </c>
      <c r="E36" s="36">
        <f t="shared" si="1"/>
        <v>0.999444</v>
      </c>
    </row>
    <row r="37" spans="1:5" ht="15.75" x14ac:dyDescent="0.5">
      <c r="A37" s="25">
        <v>35</v>
      </c>
      <c r="B37" s="36">
        <v>1.073E-3</v>
      </c>
      <c r="C37" s="36">
        <v>5.8200000000000005E-4</v>
      </c>
      <c r="D37" s="36">
        <f t="shared" si="0"/>
        <v>0.99892700000000001</v>
      </c>
      <c r="E37" s="36">
        <f t="shared" si="1"/>
        <v>0.99941800000000003</v>
      </c>
    </row>
    <row r="38" spans="1:5" ht="15.75" x14ac:dyDescent="0.5">
      <c r="A38" s="25">
        <v>36</v>
      </c>
      <c r="B38" s="36">
        <v>1.1460000000000001E-3</v>
      </c>
      <c r="C38" s="36">
        <v>6.4499999999999996E-4</v>
      </c>
      <c r="D38" s="36">
        <f t="shared" si="0"/>
        <v>0.99885400000000002</v>
      </c>
      <c r="E38" s="36">
        <f t="shared" si="1"/>
        <v>0.99935499999999999</v>
      </c>
    </row>
    <row r="39" spans="1:5" ht="15.75" x14ac:dyDescent="0.5">
      <c r="A39" s="25">
        <v>37</v>
      </c>
      <c r="B39" s="36">
        <v>1.3090000000000001E-3</v>
      </c>
      <c r="C39" s="36">
        <v>7.8399999999999997E-4</v>
      </c>
      <c r="D39" s="36">
        <f t="shared" si="0"/>
        <v>0.998691</v>
      </c>
      <c r="E39" s="36">
        <f t="shared" si="1"/>
        <v>0.99921599999999999</v>
      </c>
    </row>
    <row r="40" spans="1:5" ht="15.75" x14ac:dyDescent="0.5">
      <c r="A40" s="25">
        <v>38</v>
      </c>
      <c r="B40" s="36">
        <v>1.261E-3</v>
      </c>
      <c r="C40" s="36">
        <v>7.3200000000000001E-4</v>
      </c>
      <c r="D40" s="36">
        <f t="shared" si="0"/>
        <v>0.99873900000000004</v>
      </c>
      <c r="E40" s="36">
        <f t="shared" si="1"/>
        <v>0.99926800000000005</v>
      </c>
    </row>
    <row r="41" spans="1:5" ht="15.75" x14ac:dyDescent="0.5">
      <c r="A41" s="25">
        <v>39</v>
      </c>
      <c r="B41" s="36">
        <v>1.3990000000000001E-3</v>
      </c>
      <c r="C41" s="36">
        <v>8.52E-4</v>
      </c>
      <c r="D41" s="36">
        <f t="shared" si="0"/>
        <v>0.99860099999999996</v>
      </c>
      <c r="E41" s="36">
        <f t="shared" si="1"/>
        <v>0.99914800000000004</v>
      </c>
    </row>
    <row r="42" spans="1:5" ht="15.75" x14ac:dyDescent="0.5">
      <c r="A42" s="25">
        <v>40</v>
      </c>
      <c r="B42" s="36">
        <v>1.529E-3</v>
      </c>
      <c r="C42" s="36">
        <v>9.0200000000000002E-4</v>
      </c>
      <c r="D42" s="36">
        <f t="shared" si="0"/>
        <v>0.998471</v>
      </c>
      <c r="E42" s="36">
        <f t="shared" si="1"/>
        <v>0.99909800000000004</v>
      </c>
    </row>
    <row r="43" spans="1:5" ht="15.75" x14ac:dyDescent="0.5">
      <c r="A43" s="25">
        <v>41</v>
      </c>
      <c r="B43" s="36">
        <v>1.67E-3</v>
      </c>
      <c r="C43" s="36">
        <v>9.859999999999999E-4</v>
      </c>
      <c r="D43" s="36">
        <f t="shared" si="0"/>
        <v>0.99833000000000005</v>
      </c>
      <c r="E43" s="36">
        <f t="shared" si="1"/>
        <v>0.99901399999999996</v>
      </c>
    </row>
    <row r="44" spans="1:5" ht="15.75" x14ac:dyDescent="0.5">
      <c r="A44" s="25">
        <v>42</v>
      </c>
      <c r="B44" s="36">
        <v>1.818E-3</v>
      </c>
      <c r="C44" s="36">
        <v>1.073E-3</v>
      </c>
      <c r="D44" s="36">
        <f t="shared" si="0"/>
        <v>0.99818200000000001</v>
      </c>
      <c r="E44" s="36">
        <f t="shared" si="1"/>
        <v>0.99892700000000001</v>
      </c>
    </row>
    <row r="45" spans="1:5" ht="15.75" x14ac:dyDescent="0.5">
      <c r="A45" s="25">
        <v>43</v>
      </c>
      <c r="B45" s="36">
        <v>2.0019999999999999E-3</v>
      </c>
      <c r="C45" s="36">
        <v>1.1709999999999999E-3</v>
      </c>
      <c r="D45" s="36">
        <f t="shared" si="0"/>
        <v>0.99799800000000005</v>
      </c>
      <c r="E45" s="36">
        <f t="shared" si="1"/>
        <v>0.99882899999999997</v>
      </c>
    </row>
    <row r="46" spans="1:5" ht="15.75" x14ac:dyDescent="0.5">
      <c r="A46" s="25">
        <v>44</v>
      </c>
      <c r="B46" s="36">
        <v>2.0929999999999998E-3</v>
      </c>
      <c r="C46" s="36">
        <v>1.3159999999999999E-3</v>
      </c>
      <c r="D46" s="36">
        <f t="shared" si="0"/>
        <v>0.99790699999999999</v>
      </c>
      <c r="E46" s="36">
        <f t="shared" si="1"/>
        <v>0.99868400000000002</v>
      </c>
    </row>
    <row r="47" spans="1:5" ht="15.75" x14ac:dyDescent="0.5">
      <c r="A47" s="25">
        <v>45</v>
      </c>
      <c r="B47" s="36">
        <v>2.3470000000000001E-3</v>
      </c>
      <c r="C47" s="36">
        <v>1.4250000000000001E-3</v>
      </c>
      <c r="D47" s="36">
        <f t="shared" si="0"/>
        <v>0.99765300000000001</v>
      </c>
      <c r="E47" s="36">
        <f t="shared" si="1"/>
        <v>0.99857499999999999</v>
      </c>
    </row>
    <row r="48" spans="1:5" ht="15.75" x14ac:dyDescent="0.5">
      <c r="A48" s="25">
        <v>46</v>
      </c>
      <c r="B48" s="36">
        <v>2.4880000000000002E-3</v>
      </c>
      <c r="C48" s="36">
        <v>1.5640000000000001E-3</v>
      </c>
      <c r="D48" s="36">
        <f t="shared" si="0"/>
        <v>0.99751199999999995</v>
      </c>
      <c r="E48" s="36">
        <f t="shared" si="1"/>
        <v>0.99843599999999999</v>
      </c>
    </row>
    <row r="49" spans="1:5" ht="15.75" x14ac:dyDescent="0.5">
      <c r="A49" s="25">
        <v>47</v>
      </c>
      <c r="B49" s="36">
        <v>2.696E-3</v>
      </c>
      <c r="C49" s="36">
        <v>1.6949999999999999E-3</v>
      </c>
      <c r="D49" s="36">
        <f t="shared" si="0"/>
        <v>0.99730399999999997</v>
      </c>
      <c r="E49" s="36">
        <f t="shared" si="1"/>
        <v>0.998305</v>
      </c>
    </row>
    <row r="50" spans="1:5" ht="15.75" x14ac:dyDescent="0.5">
      <c r="A50" s="25">
        <v>48</v>
      </c>
      <c r="B50" s="36">
        <v>2.8519999999999999E-3</v>
      </c>
      <c r="C50" s="36">
        <v>1.8400000000000001E-3</v>
      </c>
      <c r="D50" s="36">
        <f t="shared" si="0"/>
        <v>0.99714800000000003</v>
      </c>
      <c r="E50" s="36">
        <f t="shared" si="1"/>
        <v>0.99816000000000005</v>
      </c>
    </row>
    <row r="51" spans="1:5" ht="15.75" x14ac:dyDescent="0.5">
      <c r="A51" s="25">
        <v>49</v>
      </c>
      <c r="B51" s="36">
        <v>3.189E-3</v>
      </c>
      <c r="C51" s="36">
        <v>1.9430000000000001E-3</v>
      </c>
      <c r="D51" s="36">
        <f t="shared" si="0"/>
        <v>0.996811</v>
      </c>
      <c r="E51" s="36">
        <f t="shared" si="1"/>
        <v>0.99805699999999997</v>
      </c>
    </row>
    <row r="52" spans="1:5" ht="15.75" x14ac:dyDescent="0.5">
      <c r="A52" s="25">
        <v>50</v>
      </c>
      <c r="B52" s="36">
        <v>3.3790000000000001E-3</v>
      </c>
      <c r="C52" s="36">
        <v>2.1689999999999999E-3</v>
      </c>
      <c r="D52" s="36">
        <f t="shared" si="0"/>
        <v>0.99662099999999998</v>
      </c>
      <c r="E52" s="36">
        <f t="shared" si="1"/>
        <v>0.99783100000000002</v>
      </c>
    </row>
    <row r="53" spans="1:5" ht="15.75" x14ac:dyDescent="0.5">
      <c r="A53" s="25">
        <v>51</v>
      </c>
      <c r="B53" s="36">
        <v>3.6059999999999998E-3</v>
      </c>
      <c r="C53" s="36">
        <v>2.3579999999999999E-3</v>
      </c>
      <c r="D53" s="36">
        <f t="shared" si="0"/>
        <v>0.996394</v>
      </c>
      <c r="E53" s="36">
        <f t="shared" si="1"/>
        <v>0.99764200000000003</v>
      </c>
    </row>
    <row r="54" spans="1:5" ht="15.75" x14ac:dyDescent="0.5">
      <c r="A54" s="25">
        <v>52</v>
      </c>
      <c r="B54" s="36">
        <v>3.9069999999999999E-3</v>
      </c>
      <c r="C54" s="36">
        <v>2.5569999999999998E-3</v>
      </c>
      <c r="D54" s="36">
        <f t="shared" si="0"/>
        <v>0.99609300000000001</v>
      </c>
      <c r="E54" s="36">
        <f t="shared" si="1"/>
        <v>0.99744299999999997</v>
      </c>
    </row>
    <row r="55" spans="1:5" ht="15.75" x14ac:dyDescent="0.5">
      <c r="A55" s="25">
        <v>53</v>
      </c>
      <c r="B55" s="36">
        <v>4.1250000000000002E-3</v>
      </c>
      <c r="C55" s="36">
        <v>2.6970000000000002E-3</v>
      </c>
      <c r="D55" s="36">
        <f t="shared" si="0"/>
        <v>0.99587499999999995</v>
      </c>
      <c r="E55" s="36">
        <f t="shared" si="1"/>
        <v>0.99730300000000005</v>
      </c>
    </row>
    <row r="56" spans="1:5" ht="15.75" x14ac:dyDescent="0.5">
      <c r="A56" s="25">
        <v>54</v>
      </c>
      <c r="B56" s="36">
        <v>4.4780000000000002E-3</v>
      </c>
      <c r="C56" s="36">
        <v>2.9139999999999999E-3</v>
      </c>
      <c r="D56" s="36">
        <f t="shared" si="0"/>
        <v>0.99552200000000002</v>
      </c>
      <c r="E56" s="36">
        <f t="shared" si="1"/>
        <v>0.99708600000000003</v>
      </c>
    </row>
    <row r="57" spans="1:5" ht="15.75" x14ac:dyDescent="0.5">
      <c r="A57" s="25">
        <v>55</v>
      </c>
      <c r="B57" s="36">
        <v>4.7600000000000003E-3</v>
      </c>
      <c r="C57" s="36">
        <v>3.1939999999999998E-3</v>
      </c>
      <c r="D57" s="36">
        <f t="shared" si="0"/>
        <v>0.99524000000000001</v>
      </c>
      <c r="E57" s="36">
        <f t="shared" si="1"/>
        <v>0.99680599999999997</v>
      </c>
    </row>
    <row r="58" spans="1:5" ht="15.75" x14ac:dyDescent="0.5">
      <c r="A58" s="25">
        <v>56</v>
      </c>
      <c r="B58" s="36">
        <v>5.3889999999999997E-3</v>
      </c>
      <c r="C58" s="36">
        <v>3.542E-3</v>
      </c>
      <c r="D58" s="36">
        <f t="shared" si="0"/>
        <v>0.99461100000000002</v>
      </c>
      <c r="E58" s="36">
        <f t="shared" si="1"/>
        <v>0.99645799999999995</v>
      </c>
    </row>
    <row r="59" spans="1:5" ht="15.75" x14ac:dyDescent="0.5">
      <c r="A59" s="25">
        <v>57</v>
      </c>
      <c r="B59" s="36">
        <v>5.8560000000000001E-3</v>
      </c>
      <c r="C59" s="36">
        <v>3.8159999999999999E-3</v>
      </c>
      <c r="D59" s="36">
        <f t="shared" si="0"/>
        <v>0.99414400000000003</v>
      </c>
      <c r="E59" s="36">
        <f t="shared" si="1"/>
        <v>0.99618399999999996</v>
      </c>
    </row>
    <row r="60" spans="1:5" ht="15.75" x14ac:dyDescent="0.5">
      <c r="A60" s="25">
        <v>58</v>
      </c>
      <c r="B60" s="36">
        <v>6.3940000000000004E-3</v>
      </c>
      <c r="C60" s="36">
        <v>4.2300000000000003E-3</v>
      </c>
      <c r="D60" s="36">
        <f t="shared" si="0"/>
        <v>0.99360599999999999</v>
      </c>
      <c r="E60" s="36">
        <f t="shared" si="1"/>
        <v>0.99577000000000004</v>
      </c>
    </row>
    <row r="61" spans="1:5" ht="15.75" x14ac:dyDescent="0.5">
      <c r="A61" s="25">
        <v>59</v>
      </c>
      <c r="B61" s="36">
        <v>6.9300000000000004E-3</v>
      </c>
      <c r="C61" s="36">
        <v>4.6160000000000003E-3</v>
      </c>
      <c r="D61" s="36">
        <f t="shared" si="0"/>
        <v>0.99307000000000001</v>
      </c>
      <c r="E61" s="36">
        <f t="shared" si="1"/>
        <v>0.99538400000000005</v>
      </c>
    </row>
    <row r="62" spans="1:5" ht="15.75" x14ac:dyDescent="0.5">
      <c r="A62" s="25">
        <v>60</v>
      </c>
      <c r="B62" s="36">
        <v>7.5950000000000002E-3</v>
      </c>
      <c r="C62" s="36">
        <v>5.0540000000000003E-3</v>
      </c>
      <c r="D62" s="36">
        <f t="shared" si="0"/>
        <v>0.99240499999999998</v>
      </c>
      <c r="E62" s="36">
        <f t="shared" si="1"/>
        <v>0.994946</v>
      </c>
    </row>
    <row r="63" spans="1:5" ht="15.75" x14ac:dyDescent="0.5">
      <c r="A63" s="25">
        <v>61</v>
      </c>
      <c r="B63" s="36">
        <v>8.3129999999999992E-3</v>
      </c>
      <c r="C63" s="36">
        <v>5.4920000000000004E-3</v>
      </c>
      <c r="D63" s="36">
        <f t="shared" si="0"/>
        <v>0.99168699999999999</v>
      </c>
      <c r="E63" s="36">
        <f t="shared" si="1"/>
        <v>0.99450799999999995</v>
      </c>
    </row>
    <row r="64" spans="1:5" ht="15.75" x14ac:dyDescent="0.5">
      <c r="A64" s="25">
        <v>62</v>
      </c>
      <c r="B64" s="36">
        <v>9.2230000000000003E-3</v>
      </c>
      <c r="C64" s="36">
        <v>6.2639999999999996E-3</v>
      </c>
      <c r="D64" s="36">
        <f t="shared" si="0"/>
        <v>0.99077700000000002</v>
      </c>
      <c r="E64" s="36">
        <f t="shared" si="1"/>
        <v>0.99373599999999995</v>
      </c>
    </row>
    <row r="65" spans="1:5" ht="15.75" x14ac:dyDescent="0.5">
      <c r="A65" s="25">
        <v>63</v>
      </c>
      <c r="B65" s="36">
        <v>1.0178E-2</v>
      </c>
      <c r="C65" s="36">
        <v>6.7140000000000003E-3</v>
      </c>
      <c r="D65" s="36">
        <f t="shared" si="0"/>
        <v>0.98982199999999998</v>
      </c>
      <c r="E65" s="36">
        <f t="shared" si="1"/>
        <v>0.993286</v>
      </c>
    </row>
    <row r="66" spans="1:5" ht="15.75" x14ac:dyDescent="0.5">
      <c r="A66" s="25">
        <v>64</v>
      </c>
      <c r="B66" s="36">
        <v>1.0947E-2</v>
      </c>
      <c r="C66" s="36">
        <v>7.2639999999999996E-3</v>
      </c>
      <c r="D66" s="36">
        <f t="shared" si="0"/>
        <v>0.98905299999999996</v>
      </c>
      <c r="E66" s="36">
        <f t="shared" si="1"/>
        <v>0.99273599999999995</v>
      </c>
    </row>
    <row r="67" spans="1:5" ht="15.75" x14ac:dyDescent="0.5">
      <c r="A67" s="25">
        <v>65</v>
      </c>
      <c r="B67" s="36">
        <v>1.2024999999999999E-2</v>
      </c>
      <c r="C67" s="36">
        <v>7.9880000000000003E-3</v>
      </c>
      <c r="D67" s="36">
        <f t="shared" ref="D67:D103" si="2">1-B67</f>
        <v>0.98797500000000005</v>
      </c>
      <c r="E67" s="36">
        <f t="shared" ref="E67:E103" si="3">1-C67</f>
        <v>0.992012</v>
      </c>
    </row>
    <row r="68" spans="1:5" ht="15.75" x14ac:dyDescent="0.5">
      <c r="A68" s="25">
        <v>66</v>
      </c>
      <c r="B68" s="36">
        <v>1.333E-2</v>
      </c>
      <c r="C68" s="36">
        <v>8.5730000000000008E-3</v>
      </c>
      <c r="D68" s="36">
        <f t="shared" si="2"/>
        <v>0.98667000000000005</v>
      </c>
      <c r="E68" s="36">
        <f t="shared" si="3"/>
        <v>0.99142699999999995</v>
      </c>
    </row>
    <row r="69" spans="1:5" ht="15.75" x14ac:dyDescent="0.5">
      <c r="A69" s="25">
        <v>67</v>
      </c>
      <c r="B69" s="36">
        <v>1.4437E-2</v>
      </c>
      <c r="C69" s="36">
        <v>9.3799999999999994E-3</v>
      </c>
      <c r="D69" s="36">
        <f t="shared" si="2"/>
        <v>0.98556299999999997</v>
      </c>
      <c r="E69" s="36">
        <f t="shared" si="3"/>
        <v>0.99062000000000006</v>
      </c>
    </row>
    <row r="70" spans="1:5" ht="15.75" x14ac:dyDescent="0.5">
      <c r="A70" s="25">
        <v>68</v>
      </c>
      <c r="B70" s="36">
        <v>1.5740000000000001E-2</v>
      </c>
      <c r="C70" s="36">
        <v>1.0330000000000001E-2</v>
      </c>
      <c r="D70" s="36">
        <f t="shared" si="2"/>
        <v>0.98426000000000002</v>
      </c>
      <c r="E70" s="36">
        <f t="shared" si="3"/>
        <v>0.98967000000000005</v>
      </c>
    </row>
    <row r="71" spans="1:5" ht="15.75" x14ac:dyDescent="0.5">
      <c r="A71" s="25">
        <v>69</v>
      </c>
      <c r="B71" s="36">
        <v>1.7288999999999999E-2</v>
      </c>
      <c r="C71" s="36">
        <v>1.1296E-2</v>
      </c>
      <c r="D71" s="36">
        <f t="shared" si="2"/>
        <v>0.982711</v>
      </c>
      <c r="E71" s="36">
        <f t="shared" si="3"/>
        <v>0.98870400000000003</v>
      </c>
    </row>
    <row r="72" spans="1:5" ht="15.75" x14ac:dyDescent="0.5">
      <c r="A72" s="25">
        <v>70</v>
      </c>
      <c r="B72" s="36">
        <v>1.8286E-2</v>
      </c>
      <c r="C72" s="36">
        <v>1.2437E-2</v>
      </c>
      <c r="D72" s="36">
        <f t="shared" si="2"/>
        <v>0.98171399999999998</v>
      </c>
      <c r="E72" s="36">
        <f t="shared" si="3"/>
        <v>0.98756299999999997</v>
      </c>
    </row>
    <row r="73" spans="1:5" ht="15.75" x14ac:dyDescent="0.5">
      <c r="A73" s="25">
        <v>71</v>
      </c>
      <c r="B73" s="36">
        <v>2.0275999999999999E-2</v>
      </c>
      <c r="C73" s="36">
        <v>1.3337E-2</v>
      </c>
      <c r="D73" s="36">
        <f t="shared" si="2"/>
        <v>0.97972400000000004</v>
      </c>
      <c r="E73" s="36">
        <f t="shared" si="3"/>
        <v>0.98666299999999996</v>
      </c>
    </row>
    <row r="74" spans="1:5" ht="15.75" x14ac:dyDescent="0.5">
      <c r="A74" s="25">
        <v>72</v>
      </c>
      <c r="B74" s="36">
        <v>2.2325999999999999E-2</v>
      </c>
      <c r="C74" s="36">
        <v>1.5240999999999999E-2</v>
      </c>
      <c r="D74" s="36">
        <f t="shared" si="2"/>
        <v>0.97767400000000004</v>
      </c>
      <c r="E74" s="36">
        <f t="shared" si="3"/>
        <v>0.98475900000000005</v>
      </c>
    </row>
    <row r="75" spans="1:5" ht="15.75" x14ac:dyDescent="0.5">
      <c r="A75" s="25">
        <v>73</v>
      </c>
      <c r="B75" s="36">
        <v>2.5499999999999998E-2</v>
      </c>
      <c r="C75" s="36">
        <v>1.7347000000000001E-2</v>
      </c>
      <c r="D75" s="36">
        <f t="shared" si="2"/>
        <v>0.97450000000000003</v>
      </c>
      <c r="E75" s="36">
        <f t="shared" si="3"/>
        <v>0.982653</v>
      </c>
    </row>
    <row r="76" spans="1:5" ht="15.75" x14ac:dyDescent="0.5">
      <c r="A76" s="25">
        <v>74</v>
      </c>
      <c r="B76" s="36">
        <v>2.8122999999999999E-2</v>
      </c>
      <c r="C76" s="36">
        <v>1.9167E-2</v>
      </c>
      <c r="D76" s="36">
        <f t="shared" si="2"/>
        <v>0.97187699999999999</v>
      </c>
      <c r="E76" s="36">
        <f t="shared" si="3"/>
        <v>0.98083299999999995</v>
      </c>
    </row>
    <row r="77" spans="1:5" ht="15.75" x14ac:dyDescent="0.5">
      <c r="A77" s="25">
        <v>75</v>
      </c>
      <c r="B77" s="36">
        <v>3.1401999999999999E-2</v>
      </c>
      <c r="C77" s="36">
        <v>2.1437000000000001E-2</v>
      </c>
      <c r="D77" s="36">
        <f t="shared" si="2"/>
        <v>0.96859799999999996</v>
      </c>
      <c r="E77" s="36">
        <f t="shared" si="3"/>
        <v>0.97856299999999996</v>
      </c>
    </row>
    <row r="78" spans="1:5" ht="15.75" x14ac:dyDescent="0.5">
      <c r="A78" s="25">
        <v>76</v>
      </c>
      <c r="B78" s="36">
        <v>3.5115E-2</v>
      </c>
      <c r="C78" s="36">
        <v>2.4216999999999999E-2</v>
      </c>
      <c r="D78" s="36">
        <f t="shared" si="2"/>
        <v>0.96488499999999999</v>
      </c>
      <c r="E78" s="36">
        <f t="shared" si="3"/>
        <v>0.97578299999999996</v>
      </c>
    </row>
    <row r="79" spans="1:5" ht="15.75" x14ac:dyDescent="0.5">
      <c r="A79" s="25">
        <v>77</v>
      </c>
      <c r="B79" s="36">
        <v>3.8837999999999998E-2</v>
      </c>
      <c r="C79" s="36">
        <v>2.7307999999999999E-2</v>
      </c>
      <c r="D79" s="36">
        <f t="shared" si="2"/>
        <v>0.96116199999999996</v>
      </c>
      <c r="E79" s="36">
        <f t="shared" si="3"/>
        <v>0.972692</v>
      </c>
    </row>
    <row r="80" spans="1:5" ht="15.75" x14ac:dyDescent="0.5">
      <c r="A80" s="25">
        <v>78</v>
      </c>
      <c r="B80" s="36">
        <v>4.3520999999999997E-2</v>
      </c>
      <c r="C80" s="36">
        <v>3.0960999999999999E-2</v>
      </c>
      <c r="D80" s="36">
        <f t="shared" si="2"/>
        <v>0.95647899999999997</v>
      </c>
      <c r="E80" s="36">
        <f t="shared" si="3"/>
        <v>0.96903899999999998</v>
      </c>
    </row>
    <row r="81" spans="1:5" ht="15.75" x14ac:dyDescent="0.5">
      <c r="A81" s="25">
        <v>79</v>
      </c>
      <c r="B81" s="36">
        <v>4.8099000000000003E-2</v>
      </c>
      <c r="C81" s="36">
        <v>3.4480999999999998E-2</v>
      </c>
      <c r="D81" s="36">
        <f t="shared" si="2"/>
        <v>0.951901</v>
      </c>
      <c r="E81" s="36">
        <f t="shared" si="3"/>
        <v>0.96551900000000002</v>
      </c>
    </row>
    <row r="82" spans="1:5" ht="15.75" x14ac:dyDescent="0.5">
      <c r="A82" s="25">
        <v>80</v>
      </c>
      <c r="B82" s="36">
        <v>5.3982000000000002E-2</v>
      </c>
      <c r="C82" s="36">
        <v>3.8462999999999997E-2</v>
      </c>
      <c r="D82" s="36">
        <f t="shared" si="2"/>
        <v>0.94601800000000003</v>
      </c>
      <c r="E82" s="36">
        <f t="shared" si="3"/>
        <v>0.96153699999999998</v>
      </c>
    </row>
    <row r="83" spans="1:5" ht="15.75" x14ac:dyDescent="0.5">
      <c r="A83" s="25">
        <v>81</v>
      </c>
      <c r="B83" s="36">
        <v>6.0070999999999999E-2</v>
      </c>
      <c r="C83" s="36">
        <v>4.3633999999999999E-2</v>
      </c>
      <c r="D83" s="36">
        <f t="shared" si="2"/>
        <v>0.93992900000000001</v>
      </c>
      <c r="E83" s="36">
        <f t="shared" si="3"/>
        <v>0.95636600000000005</v>
      </c>
    </row>
    <row r="84" spans="1:5" ht="15.75" x14ac:dyDescent="0.5">
      <c r="A84" s="25">
        <v>82</v>
      </c>
      <c r="B84" s="36">
        <v>6.6512000000000002E-2</v>
      </c>
      <c r="C84" s="36">
        <v>4.8958000000000002E-2</v>
      </c>
      <c r="D84" s="36">
        <f t="shared" si="2"/>
        <v>0.93348799999999998</v>
      </c>
      <c r="E84" s="36">
        <f t="shared" si="3"/>
        <v>0.95104199999999994</v>
      </c>
    </row>
    <row r="85" spans="1:5" ht="15.75" x14ac:dyDescent="0.5">
      <c r="A85" s="25">
        <v>83</v>
      </c>
      <c r="B85" s="36">
        <v>7.5396000000000005E-2</v>
      </c>
      <c r="C85" s="36">
        <v>5.6269E-2</v>
      </c>
      <c r="D85" s="36">
        <f t="shared" si="2"/>
        <v>0.92460399999999998</v>
      </c>
      <c r="E85" s="36">
        <f t="shared" si="3"/>
        <v>0.94373099999999999</v>
      </c>
    </row>
    <row r="86" spans="1:5" ht="15.75" x14ac:dyDescent="0.5">
      <c r="A86" s="25">
        <v>84</v>
      </c>
      <c r="B86" s="36">
        <v>8.4754999999999997E-2</v>
      </c>
      <c r="C86" s="36">
        <v>6.3935000000000006E-2</v>
      </c>
      <c r="D86" s="36">
        <f t="shared" si="2"/>
        <v>0.91524499999999998</v>
      </c>
      <c r="E86" s="36">
        <f t="shared" si="3"/>
        <v>0.93606500000000004</v>
      </c>
    </row>
    <row r="87" spans="1:5" ht="15.75" x14ac:dyDescent="0.5">
      <c r="A87" s="25">
        <v>85</v>
      </c>
      <c r="B87" s="36">
        <v>9.4663999999999998E-2</v>
      </c>
      <c r="C87" s="36">
        <v>7.2461999999999999E-2</v>
      </c>
      <c r="D87" s="36">
        <f t="shared" si="2"/>
        <v>0.90533600000000003</v>
      </c>
      <c r="E87" s="36">
        <f t="shared" si="3"/>
        <v>0.92753799999999997</v>
      </c>
    </row>
    <row r="88" spans="1:5" ht="15.75" x14ac:dyDescent="0.5">
      <c r="A88" s="25">
        <v>86</v>
      </c>
      <c r="B88" s="36">
        <v>0.106853</v>
      </c>
      <c r="C88" s="36">
        <v>8.3094000000000001E-2</v>
      </c>
      <c r="D88" s="36">
        <f t="shared" si="2"/>
        <v>0.89314700000000002</v>
      </c>
      <c r="E88" s="36">
        <f t="shared" si="3"/>
        <v>0.916906</v>
      </c>
    </row>
    <row r="89" spans="1:5" ht="15.75" x14ac:dyDescent="0.5">
      <c r="A89" s="25">
        <v>87</v>
      </c>
      <c r="B89" s="36">
        <v>0.118585</v>
      </c>
      <c r="C89" s="36">
        <v>9.3462000000000003E-2</v>
      </c>
      <c r="D89" s="36">
        <f t="shared" si="2"/>
        <v>0.88141500000000006</v>
      </c>
      <c r="E89" s="36">
        <f t="shared" si="3"/>
        <v>0.90653799999999995</v>
      </c>
    </row>
    <row r="90" spans="1:5" ht="15.75" x14ac:dyDescent="0.5">
      <c r="A90" s="25">
        <v>88</v>
      </c>
      <c r="B90" s="36">
        <v>0.13335900000000001</v>
      </c>
      <c r="C90" s="36">
        <v>0.106434</v>
      </c>
      <c r="D90" s="36">
        <f t="shared" si="2"/>
        <v>0.86664099999999999</v>
      </c>
      <c r="E90" s="36">
        <f t="shared" si="3"/>
        <v>0.89356599999999997</v>
      </c>
    </row>
    <row r="91" spans="1:5" ht="15.75" x14ac:dyDescent="0.5">
      <c r="A91" s="25">
        <v>89</v>
      </c>
      <c r="B91" s="36">
        <v>0.14985100000000001</v>
      </c>
      <c r="C91" s="36">
        <v>0.11894200000000001</v>
      </c>
      <c r="D91" s="36">
        <f t="shared" si="2"/>
        <v>0.85014900000000004</v>
      </c>
      <c r="E91" s="36">
        <f t="shared" si="3"/>
        <v>0.88105800000000001</v>
      </c>
    </row>
    <row r="92" spans="1:5" ht="15.75" x14ac:dyDescent="0.5">
      <c r="A92" s="25">
        <v>90</v>
      </c>
      <c r="B92" s="36">
        <v>0.15953000000000001</v>
      </c>
      <c r="C92" s="36">
        <v>0.13438700000000001</v>
      </c>
      <c r="D92" s="36">
        <f t="shared" si="2"/>
        <v>0.84047000000000005</v>
      </c>
      <c r="E92" s="36">
        <f t="shared" si="3"/>
        <v>0.86561299999999997</v>
      </c>
    </row>
    <row r="93" spans="1:5" ht="15.75" x14ac:dyDescent="0.5">
      <c r="A93" s="25">
        <v>91</v>
      </c>
      <c r="B93" s="36">
        <v>0.17905499999999999</v>
      </c>
      <c r="C93" s="36">
        <v>0.150755</v>
      </c>
      <c r="D93" s="36">
        <f t="shared" si="2"/>
        <v>0.82094500000000004</v>
      </c>
      <c r="E93" s="36">
        <f t="shared" si="3"/>
        <v>0.84924500000000003</v>
      </c>
    </row>
    <row r="94" spans="1:5" ht="15.75" x14ac:dyDescent="0.5">
      <c r="A94" s="25">
        <v>92</v>
      </c>
      <c r="B94" s="36">
        <v>0.19694999999999999</v>
      </c>
      <c r="C94" s="36">
        <v>0.16707900000000001</v>
      </c>
      <c r="D94" s="36">
        <f t="shared" si="2"/>
        <v>0.80305000000000004</v>
      </c>
      <c r="E94" s="36">
        <f t="shared" si="3"/>
        <v>0.83292100000000002</v>
      </c>
    </row>
    <row r="95" spans="1:5" ht="15.75" x14ac:dyDescent="0.5">
      <c r="A95" s="25">
        <v>93</v>
      </c>
      <c r="B95" s="36">
        <v>0.21504400000000001</v>
      </c>
      <c r="C95" s="36">
        <v>0.18434400000000001</v>
      </c>
      <c r="D95" s="36">
        <f t="shared" si="2"/>
        <v>0.78495599999999999</v>
      </c>
      <c r="E95" s="36">
        <f t="shared" si="3"/>
        <v>0.81565599999999994</v>
      </c>
    </row>
    <row r="96" spans="1:5" ht="15.75" x14ac:dyDescent="0.5">
      <c r="A96" s="25">
        <v>94</v>
      </c>
      <c r="B96" s="36">
        <v>0.23808599999999999</v>
      </c>
      <c r="C96" s="36">
        <v>0.20446700000000001</v>
      </c>
      <c r="D96" s="36">
        <f t="shared" si="2"/>
        <v>0.76191399999999998</v>
      </c>
      <c r="E96" s="36">
        <f t="shared" si="3"/>
        <v>0.79553300000000005</v>
      </c>
    </row>
    <row r="97" spans="1:5" ht="15.75" x14ac:dyDescent="0.5">
      <c r="A97" s="25">
        <v>95</v>
      </c>
      <c r="B97" s="36">
        <v>0.26101200000000002</v>
      </c>
      <c r="C97" s="36">
        <v>0.22821</v>
      </c>
      <c r="D97" s="36">
        <f t="shared" si="2"/>
        <v>0.73898799999999998</v>
      </c>
      <c r="E97" s="36">
        <f t="shared" si="3"/>
        <v>0.77178999999999998</v>
      </c>
    </row>
    <row r="98" spans="1:5" ht="15.75" x14ac:dyDescent="0.5">
      <c r="A98" s="25">
        <v>96</v>
      </c>
      <c r="B98" s="36">
        <v>0.28671400000000002</v>
      </c>
      <c r="C98" s="36">
        <v>0.25076500000000002</v>
      </c>
      <c r="D98" s="36">
        <f t="shared" si="2"/>
        <v>0.71328599999999998</v>
      </c>
      <c r="E98" s="36">
        <f t="shared" si="3"/>
        <v>0.74923499999999998</v>
      </c>
    </row>
    <row r="99" spans="1:5" ht="15.75" x14ac:dyDescent="0.5">
      <c r="A99" s="25">
        <v>97</v>
      </c>
      <c r="B99" s="36">
        <v>0.30411300000000002</v>
      </c>
      <c r="C99" s="36">
        <v>0.26705800000000002</v>
      </c>
      <c r="D99" s="36">
        <f t="shared" si="2"/>
        <v>0.69588699999999992</v>
      </c>
      <c r="E99" s="36">
        <f t="shared" si="3"/>
        <v>0.73294199999999998</v>
      </c>
    </row>
    <row r="100" spans="1:5" ht="15.75" x14ac:dyDescent="0.5">
      <c r="A100" s="25">
        <v>98</v>
      </c>
      <c r="B100" s="36">
        <v>0.32589200000000002</v>
      </c>
      <c r="C100" s="36">
        <v>0.29126000000000002</v>
      </c>
      <c r="D100" s="36">
        <f t="shared" si="2"/>
        <v>0.67410799999999993</v>
      </c>
      <c r="E100" s="36">
        <f t="shared" si="3"/>
        <v>0.70873999999999993</v>
      </c>
    </row>
    <row r="101" spans="1:5" ht="15.75" x14ac:dyDescent="0.5">
      <c r="A101" s="25">
        <v>99</v>
      </c>
      <c r="B101" s="36">
        <v>0.36953999999999998</v>
      </c>
      <c r="C101" s="36">
        <v>0.30952600000000002</v>
      </c>
      <c r="D101" s="36">
        <f t="shared" si="2"/>
        <v>0.63046000000000002</v>
      </c>
      <c r="E101" s="36">
        <f t="shared" si="3"/>
        <v>0.69047400000000003</v>
      </c>
    </row>
    <row r="102" spans="1:5" ht="15.75" x14ac:dyDescent="0.5">
      <c r="A102" s="25">
        <v>100</v>
      </c>
      <c r="B102" s="36">
        <v>0.38438600000000001</v>
      </c>
      <c r="C102" s="36">
        <v>0.34336299999999997</v>
      </c>
      <c r="D102" s="36">
        <f t="shared" si="2"/>
        <v>0.61561399999999999</v>
      </c>
      <c r="E102" s="36">
        <f t="shared" si="3"/>
        <v>0.65663700000000003</v>
      </c>
    </row>
    <row r="103" spans="1:5" ht="15.75" x14ac:dyDescent="0.5">
      <c r="A103" s="28">
        <v>101</v>
      </c>
      <c r="B103" s="26">
        <f>VLOOKUP(A103,MaleLT,nat,1)</f>
        <v>0.50251256281407031</v>
      </c>
      <c r="C103" s="26">
        <v>0.46511627906976744</v>
      </c>
      <c r="D103" s="36">
        <f t="shared" si="2"/>
        <v>0.49748743718592969</v>
      </c>
      <c r="E103" s="36">
        <f t="shared" si="3"/>
        <v>0.53488372093023262</v>
      </c>
    </row>
    <row r="104" spans="1:5" ht="15.75" x14ac:dyDescent="0.5">
      <c r="A104" s="28">
        <v>102</v>
      </c>
      <c r="B104" s="37">
        <f t="shared" ref="B104:B122" si="4">B103</f>
        <v>0.50251256281407031</v>
      </c>
      <c r="C104" s="37">
        <v>0.46511627906976744</v>
      </c>
      <c r="D104" s="37"/>
      <c r="E104" s="37"/>
    </row>
    <row r="105" spans="1:5" ht="15.75" x14ac:dyDescent="0.5">
      <c r="A105" s="28">
        <v>103</v>
      </c>
      <c r="B105" s="37">
        <f t="shared" si="4"/>
        <v>0.50251256281407031</v>
      </c>
      <c r="C105" s="37">
        <v>0.46511627906976744</v>
      </c>
      <c r="D105" s="37"/>
      <c r="E105" s="37"/>
    </row>
    <row r="106" spans="1:5" ht="15.75" x14ac:dyDescent="0.5">
      <c r="A106" s="28">
        <v>104</v>
      </c>
      <c r="B106" s="37">
        <f t="shared" si="4"/>
        <v>0.50251256281407031</v>
      </c>
      <c r="C106" s="37">
        <v>0.46511627906976744</v>
      </c>
      <c r="D106" s="37"/>
      <c r="E106" s="37"/>
    </row>
    <row r="107" spans="1:5" ht="15.75" x14ac:dyDescent="0.5">
      <c r="A107" s="28">
        <v>105</v>
      </c>
      <c r="B107" s="37">
        <f t="shared" si="4"/>
        <v>0.50251256281407031</v>
      </c>
      <c r="C107" s="37">
        <v>0.46511627906976744</v>
      </c>
      <c r="D107" s="37"/>
      <c r="E107" s="37"/>
    </row>
    <row r="108" spans="1:5" ht="15.75" x14ac:dyDescent="0.5">
      <c r="A108" s="28">
        <v>106</v>
      </c>
      <c r="B108" s="37">
        <f t="shared" si="4"/>
        <v>0.50251256281407031</v>
      </c>
      <c r="C108" s="37">
        <v>0.46511627906976744</v>
      </c>
      <c r="D108" s="37"/>
      <c r="E108" s="37"/>
    </row>
    <row r="109" spans="1:5" ht="15.75" x14ac:dyDescent="0.5">
      <c r="A109" s="28">
        <v>107</v>
      </c>
      <c r="B109" s="37">
        <f t="shared" si="4"/>
        <v>0.50251256281407031</v>
      </c>
      <c r="C109" s="37">
        <v>0.46511627906976744</v>
      </c>
      <c r="D109" s="37"/>
      <c r="E109" s="37"/>
    </row>
    <row r="110" spans="1:5" ht="15.75" x14ac:dyDescent="0.5">
      <c r="A110" s="28">
        <v>108</v>
      </c>
      <c r="B110" s="37">
        <f t="shared" si="4"/>
        <v>0.50251256281407031</v>
      </c>
      <c r="C110" s="37">
        <v>0.46511627906976744</v>
      </c>
      <c r="D110" s="37"/>
      <c r="E110" s="37"/>
    </row>
    <row r="111" spans="1:5" ht="15.75" x14ac:dyDescent="0.5">
      <c r="A111" s="28">
        <v>109</v>
      </c>
      <c r="B111" s="37">
        <f t="shared" si="4"/>
        <v>0.50251256281407031</v>
      </c>
      <c r="C111" s="37">
        <v>0.46511627906976744</v>
      </c>
      <c r="D111" s="37"/>
      <c r="E111" s="37"/>
    </row>
    <row r="112" spans="1:5" ht="15.75" x14ac:dyDescent="0.5">
      <c r="A112" s="28">
        <v>110</v>
      </c>
      <c r="B112" s="37">
        <f t="shared" si="4"/>
        <v>0.50251256281407031</v>
      </c>
      <c r="C112" s="37">
        <v>0.46511627906976744</v>
      </c>
      <c r="D112" s="37"/>
      <c r="E112" s="37"/>
    </row>
    <row r="113" spans="1:5" ht="15.75" x14ac:dyDescent="0.5">
      <c r="A113" s="28">
        <v>111</v>
      </c>
      <c r="B113" s="37">
        <f t="shared" si="4"/>
        <v>0.50251256281407031</v>
      </c>
      <c r="C113" s="37">
        <v>0.46511627906976744</v>
      </c>
      <c r="D113" s="37"/>
      <c r="E113" s="37"/>
    </row>
    <row r="114" spans="1:5" ht="15.75" x14ac:dyDescent="0.5">
      <c r="A114" s="28">
        <v>112</v>
      </c>
      <c r="B114" s="37">
        <f t="shared" si="4"/>
        <v>0.50251256281407031</v>
      </c>
      <c r="C114" s="37">
        <v>0.46511627906976744</v>
      </c>
      <c r="D114" s="37"/>
      <c r="E114" s="37"/>
    </row>
    <row r="115" spans="1:5" ht="15.75" x14ac:dyDescent="0.5">
      <c r="A115" s="28">
        <v>113</v>
      </c>
      <c r="B115" s="37">
        <f t="shared" si="4"/>
        <v>0.50251256281407031</v>
      </c>
      <c r="C115" s="37">
        <v>0.46511627906976744</v>
      </c>
      <c r="D115" s="37"/>
      <c r="E115" s="37"/>
    </row>
    <row r="116" spans="1:5" ht="15.75" x14ac:dyDescent="0.5">
      <c r="A116" s="28">
        <v>114</v>
      </c>
      <c r="B116" s="37">
        <f t="shared" si="4"/>
        <v>0.50251256281407031</v>
      </c>
      <c r="C116" s="37">
        <v>0.46511627906976744</v>
      </c>
      <c r="D116" s="37"/>
      <c r="E116" s="37"/>
    </row>
    <row r="117" spans="1:5" ht="15.75" x14ac:dyDescent="0.5">
      <c r="A117" s="28">
        <v>115</v>
      </c>
      <c r="B117" s="37">
        <f t="shared" si="4"/>
        <v>0.50251256281407031</v>
      </c>
      <c r="C117" s="37">
        <v>0.46511627906976744</v>
      </c>
      <c r="D117" s="37"/>
      <c r="E117" s="37"/>
    </row>
    <row r="118" spans="1:5" ht="15.75" x14ac:dyDescent="0.5">
      <c r="A118" s="28">
        <v>116</v>
      </c>
      <c r="B118" s="37">
        <f t="shared" si="4"/>
        <v>0.50251256281407031</v>
      </c>
      <c r="C118" s="37">
        <v>0.46511627906976744</v>
      </c>
      <c r="D118" s="37"/>
      <c r="E118" s="37"/>
    </row>
    <row r="119" spans="1:5" ht="15.75" x14ac:dyDescent="0.5">
      <c r="A119" s="28">
        <v>117</v>
      </c>
      <c r="B119" s="37">
        <f t="shared" si="4"/>
        <v>0.50251256281407031</v>
      </c>
      <c r="C119" s="37">
        <v>0.46511627906976744</v>
      </c>
      <c r="D119" s="37"/>
      <c r="E119" s="37"/>
    </row>
    <row r="120" spans="1:5" ht="15.75" x14ac:dyDescent="0.5">
      <c r="A120" s="28">
        <v>118</v>
      </c>
      <c r="B120" s="37">
        <f t="shared" si="4"/>
        <v>0.50251256281407031</v>
      </c>
      <c r="C120" s="37">
        <v>0.46511627906976744</v>
      </c>
      <c r="D120" s="37"/>
      <c r="E120" s="37"/>
    </row>
    <row r="121" spans="1:5" ht="15.75" x14ac:dyDescent="0.5">
      <c r="A121" s="28">
        <v>119</v>
      </c>
      <c r="B121" s="37">
        <f t="shared" si="4"/>
        <v>0.50251256281407031</v>
      </c>
      <c r="C121" s="37">
        <v>0.46511627906976744</v>
      </c>
      <c r="D121" s="37"/>
      <c r="E121" s="37"/>
    </row>
    <row r="122" spans="1:5" ht="15.75" x14ac:dyDescent="0.5">
      <c r="A122" s="28">
        <v>120</v>
      </c>
      <c r="B122" s="37">
        <f t="shared" si="4"/>
        <v>0.50251256281407031</v>
      </c>
      <c r="C122" s="37">
        <v>0.46511627906976744</v>
      </c>
      <c r="D122" s="37"/>
      <c r="E122"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workbookViewId="0">
      <selection activeCell="B19" sqref="B19"/>
    </sheetView>
  </sheetViews>
  <sheetFormatPr defaultRowHeight="14.25" x14ac:dyDescent="0.45"/>
  <cols>
    <col min="2" max="2" width="36.53125" customWidth="1"/>
    <col min="3" max="3" width="18" customWidth="1"/>
  </cols>
  <sheetData>
    <row r="1" spans="1:3" ht="14.65" thickBot="1" x14ac:dyDescent="0.5">
      <c r="A1" s="1" t="s">
        <v>0</v>
      </c>
      <c r="B1" s="2" t="s">
        <v>1</v>
      </c>
      <c r="C1" s="2" t="s">
        <v>2</v>
      </c>
    </row>
    <row r="2" spans="1:3" x14ac:dyDescent="0.45">
      <c r="A2" s="39" t="s">
        <v>29</v>
      </c>
      <c r="B2" s="3"/>
      <c r="C2" s="39">
        <v>41101</v>
      </c>
    </row>
    <row r="3" spans="1:3" x14ac:dyDescent="0.45">
      <c r="A3" s="40"/>
      <c r="B3" s="3"/>
      <c r="C3" s="40"/>
    </row>
    <row r="4" spans="1:3" x14ac:dyDescent="0.45">
      <c r="A4" s="40"/>
      <c r="B4" s="4" t="s">
        <v>64</v>
      </c>
      <c r="C4" s="40"/>
    </row>
    <row r="5" spans="1:3" ht="25.5" x14ac:dyDescent="0.45">
      <c r="A5" s="40"/>
      <c r="B5" s="3" t="s">
        <v>65</v>
      </c>
      <c r="C5" s="40"/>
    </row>
    <row r="6" spans="1:3" ht="25.9" thickBot="1" x14ac:dyDescent="0.5">
      <c r="A6" s="41"/>
      <c r="B6" s="5" t="s">
        <v>66</v>
      </c>
      <c r="C6" s="41"/>
    </row>
    <row r="7" spans="1:3" ht="14.65" thickBot="1" x14ac:dyDescent="0.5">
      <c r="A7" s="6" t="s">
        <v>4</v>
      </c>
      <c r="B7" s="5" t="s">
        <v>5</v>
      </c>
      <c r="C7" s="5"/>
    </row>
    <row r="8" spans="1:3" ht="14.65" thickBot="1" x14ac:dyDescent="0.5">
      <c r="A8" s="6" t="s">
        <v>6</v>
      </c>
      <c r="B8" s="5" t="s">
        <v>7</v>
      </c>
      <c r="C8" s="5"/>
    </row>
    <row r="9" spans="1:3" ht="43.15" thickBot="1" x14ac:dyDescent="0.5">
      <c r="A9" s="6" t="s">
        <v>8</v>
      </c>
      <c r="B9" s="8" t="s">
        <v>9</v>
      </c>
      <c r="C9" s="5">
        <v>28428</v>
      </c>
    </row>
    <row r="10" spans="1:3" x14ac:dyDescent="0.45">
      <c r="A10" s="39" t="s">
        <v>10</v>
      </c>
      <c r="B10" s="3" t="s">
        <v>11</v>
      </c>
      <c r="C10" s="39">
        <v>5717</v>
      </c>
    </row>
    <row r="11" spans="1:3" x14ac:dyDescent="0.45">
      <c r="A11" s="40"/>
      <c r="B11" s="3"/>
      <c r="C11" s="40"/>
    </row>
    <row r="12" spans="1:3" ht="25.5" x14ac:dyDescent="0.45">
      <c r="A12" s="40"/>
      <c r="B12" s="3" t="s">
        <v>12</v>
      </c>
      <c r="C12" s="40"/>
    </row>
    <row r="13" spans="1:3" ht="28.5" x14ac:dyDescent="0.45">
      <c r="A13" s="40"/>
      <c r="B13" s="4" t="s">
        <v>13</v>
      </c>
      <c r="C13" s="40"/>
    </row>
    <row r="14" spans="1:3" ht="15.4" thickBot="1" x14ac:dyDescent="0.5">
      <c r="A14" s="41"/>
      <c r="B14" s="7" t="s">
        <v>14</v>
      </c>
      <c r="C14" s="41"/>
    </row>
    <row r="15" spans="1:3" ht="39.75" x14ac:dyDescent="0.45">
      <c r="A15" s="39" t="s">
        <v>15</v>
      </c>
      <c r="B15" s="3" t="s">
        <v>16</v>
      </c>
      <c r="C15" s="39">
        <v>9170</v>
      </c>
    </row>
    <row r="16" spans="1:3" ht="42.75" x14ac:dyDescent="0.45">
      <c r="A16" s="40"/>
      <c r="B16" s="4" t="s">
        <v>17</v>
      </c>
      <c r="C16" s="40"/>
    </row>
    <row r="17" spans="1:3" x14ac:dyDescent="0.45">
      <c r="A17" s="40"/>
      <c r="B17" s="3"/>
      <c r="C17" s="40"/>
    </row>
    <row r="18" spans="1:3" ht="71.25" x14ac:dyDescent="0.45">
      <c r="A18" s="40"/>
      <c r="B18" s="4" t="s">
        <v>18</v>
      </c>
      <c r="C18" s="40"/>
    </row>
    <row r="19" spans="1:3" x14ac:dyDescent="0.45">
      <c r="A19" s="40"/>
      <c r="B19" s="3"/>
      <c r="C19" s="40"/>
    </row>
    <row r="20" spans="1:3" x14ac:dyDescent="0.45">
      <c r="A20" s="40"/>
      <c r="B20" s="3" t="s">
        <v>19</v>
      </c>
      <c r="C20" s="40"/>
    </row>
    <row r="21" spans="1:3" ht="28.9" thickBot="1" x14ac:dyDescent="0.5">
      <c r="A21" s="41"/>
      <c r="B21" s="8" t="s">
        <v>20</v>
      </c>
      <c r="C21" s="41"/>
    </row>
    <row r="22" spans="1:3" ht="71.25" x14ac:dyDescent="0.45">
      <c r="A22" s="39" t="s">
        <v>21</v>
      </c>
      <c r="B22" s="4" t="s">
        <v>22</v>
      </c>
      <c r="C22" s="39">
        <v>1753</v>
      </c>
    </row>
    <row r="23" spans="1:3" ht="156.75" x14ac:dyDescent="0.45">
      <c r="A23" s="40"/>
      <c r="B23" s="4" t="s">
        <v>23</v>
      </c>
      <c r="C23" s="40"/>
    </row>
    <row r="24" spans="1:3" x14ac:dyDescent="0.45">
      <c r="A24" s="40"/>
      <c r="B24" s="9"/>
      <c r="C24" s="40"/>
    </row>
    <row r="25" spans="1:3" x14ac:dyDescent="0.45">
      <c r="A25" s="40"/>
      <c r="B25" s="9" t="s">
        <v>24</v>
      </c>
      <c r="C25" s="40"/>
    </row>
    <row r="26" spans="1:3" x14ac:dyDescent="0.45">
      <c r="A26" s="40"/>
      <c r="B26" s="4" t="s">
        <v>25</v>
      </c>
      <c r="C26" s="40"/>
    </row>
    <row r="27" spans="1:3" x14ac:dyDescent="0.45">
      <c r="A27" s="40"/>
      <c r="B27" s="9"/>
      <c r="C27" s="40"/>
    </row>
    <row r="28" spans="1:3" ht="28.5" x14ac:dyDescent="0.45">
      <c r="A28" s="40"/>
      <c r="B28" s="4" t="s">
        <v>26</v>
      </c>
      <c r="C28" s="40"/>
    </row>
    <row r="29" spans="1:3" x14ac:dyDescent="0.45">
      <c r="A29" s="40"/>
      <c r="B29" s="10"/>
      <c r="C29" s="40"/>
    </row>
    <row r="30" spans="1:3" ht="28.5" x14ac:dyDescent="0.45">
      <c r="A30" s="40"/>
      <c r="B30" s="4" t="s">
        <v>27</v>
      </c>
      <c r="C30" s="40"/>
    </row>
    <row r="31" spans="1:3" x14ac:dyDescent="0.45">
      <c r="A31" s="40"/>
      <c r="B31" s="3"/>
      <c r="C31" s="40"/>
    </row>
    <row r="32" spans="1:3" ht="28.9" thickBot="1" x14ac:dyDescent="0.5">
      <c r="A32" s="41"/>
      <c r="B32" s="8" t="s">
        <v>28</v>
      </c>
      <c r="C32" s="41"/>
    </row>
  </sheetData>
  <mergeCells count="8">
    <mergeCell ref="A22:A32"/>
    <mergeCell ref="C22:C32"/>
    <mergeCell ref="A2:A6"/>
    <mergeCell ref="C2:C6"/>
    <mergeCell ref="A10:A14"/>
    <mergeCell ref="C10:C14"/>
    <mergeCell ref="A15:A21"/>
    <mergeCell ref="C15:C21"/>
  </mergeCells>
  <hyperlinks>
    <hyperlink ref="B9" r:id="rId1" display="https://covid19.who.int/region/euro/country/es" xr:uid="{3CB78B79-BA04-4E06-80ED-80DEA2EB383C}"/>
    <hyperlink ref="B13" r:id="rId2" xr:uid="{99B13BF7-40B6-4FA6-95F2-8E6BF947F6E8}"/>
    <hyperlink ref="B16" r:id="rId3" display="https://www.destatis.de/EN/Themes/Cross-Section/Corona/Society/population_death.html" xr:uid="{FEDFC3CE-29A0-4B90-819D-ACDAE149E7F7}"/>
    <hyperlink ref="B18" r:id="rId4" display="https://interaktiv.tagesspiegel.de/lab/karte-sars-cov-2-in-deutschland-landkreise/" xr:uid="{2048DC52-9B25-404F-95C3-33E3E5402E84}"/>
    <hyperlink ref="B21" r:id="rId5" xr:uid="{4E79F3E7-F35F-4BE6-BCCC-784ED5774511}"/>
    <hyperlink ref="B22" r:id="rId6" display="https://www.gov.ie/en/publication/b6a9e-updates-on-covid-19-coronavirus-from-july-and-august-2020/" xr:uid="{FBB1F2AA-5528-4551-9B52-DE9F01FB5D8F}"/>
    <hyperlink ref="B23" r:id="rId7" display="https://www.hiqa.ie/sites/default/files/2020-07/Analysis-of-excess-all-cause-mortality-in-Ireland-during-the-COVID-19-epidemic.pdf" xr:uid="{0D4C88C2-022B-4A4E-8A93-3E21C22A73DE}"/>
    <hyperlink ref="B26" r:id="rId8" xr:uid="{EAF000E7-C1A4-43CB-9D7B-5775B0E94DD0}"/>
    <hyperlink ref="B28" r:id="rId9" xr:uid="{E38691CA-CB72-48F1-A23F-4C8F51B71903}"/>
    <hyperlink ref="B30" r:id="rId10" xr:uid="{B12E9C81-4570-464F-A826-252AAEF8F057}"/>
    <hyperlink ref="B32" r:id="rId11" xr:uid="{5DD83756-9EB6-4458-A630-EE3511A2F6B9}"/>
    <hyperlink ref="B4" r:id="rId12" xr:uid="{7D792E26-639A-41B0-81EA-A68D1E85C19E}"/>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BDC5D-AE10-4079-B274-83A389FAECE7}">
  <dimension ref="A1:E18"/>
  <sheetViews>
    <sheetView topLeftCell="A13" workbookViewId="0">
      <selection activeCell="D11" sqref="D11:D13"/>
    </sheetView>
  </sheetViews>
  <sheetFormatPr defaultRowHeight="14.25" x14ac:dyDescent="0.45"/>
  <sheetData>
    <row r="1" spans="1:5" ht="41.65" thickBot="1" x14ac:dyDescent="0.5">
      <c r="A1" s="1" t="s">
        <v>0</v>
      </c>
      <c r="B1" s="2" t="s">
        <v>30</v>
      </c>
      <c r="C1" s="2" t="s">
        <v>31</v>
      </c>
      <c r="D1" s="2" t="s">
        <v>32</v>
      </c>
      <c r="E1" s="2" t="s">
        <v>1</v>
      </c>
    </row>
    <row r="2" spans="1:5" ht="71.25" x14ac:dyDescent="0.45">
      <c r="A2" s="42" t="s">
        <v>33</v>
      </c>
      <c r="B2" s="42">
        <v>158401</v>
      </c>
      <c r="C2" s="42">
        <v>254120</v>
      </c>
      <c r="D2" s="42">
        <v>263602</v>
      </c>
      <c r="E2" s="4" t="s">
        <v>34</v>
      </c>
    </row>
    <row r="3" spans="1:5" ht="66" thickBot="1" x14ac:dyDescent="0.5">
      <c r="A3" s="43"/>
      <c r="B3" s="43"/>
      <c r="C3" s="43"/>
      <c r="D3" s="43"/>
      <c r="E3" s="7" t="s">
        <v>35</v>
      </c>
    </row>
    <row r="4" spans="1:5" ht="14.65" thickBot="1" x14ac:dyDescent="0.5">
      <c r="A4" s="11" t="s">
        <v>36</v>
      </c>
      <c r="B4" s="12">
        <v>15026</v>
      </c>
      <c r="C4" s="12">
        <v>16943</v>
      </c>
      <c r="D4" s="12">
        <v>17339</v>
      </c>
      <c r="E4" s="5" t="s">
        <v>37</v>
      </c>
    </row>
    <row r="5" spans="1:5" ht="28.9" thickBot="1" x14ac:dyDescent="0.5">
      <c r="A5" s="11" t="s">
        <v>3</v>
      </c>
      <c r="B5" s="12">
        <v>173427</v>
      </c>
      <c r="C5" s="12">
        <v>271063</v>
      </c>
      <c r="D5" s="12">
        <v>280941</v>
      </c>
      <c r="E5" s="5" t="s">
        <v>37</v>
      </c>
    </row>
    <row r="6" spans="1:5" ht="14.65" thickBot="1" x14ac:dyDescent="0.5">
      <c r="A6" s="11" t="s">
        <v>29</v>
      </c>
      <c r="B6" s="12">
        <v>196397</v>
      </c>
      <c r="C6" s="12">
        <v>295372</v>
      </c>
      <c r="D6" s="12">
        <v>24682</v>
      </c>
      <c r="E6" s="5" t="s">
        <v>37</v>
      </c>
    </row>
    <row r="7" spans="1:5" ht="65.650000000000006" x14ac:dyDescent="0.45">
      <c r="A7" s="39" t="s">
        <v>8</v>
      </c>
      <c r="B7" s="42">
        <v>268659</v>
      </c>
      <c r="C7" s="42">
        <v>291583</v>
      </c>
      <c r="D7" s="39"/>
      <c r="E7" s="9" t="s">
        <v>38</v>
      </c>
    </row>
    <row r="8" spans="1:5" ht="99.75" x14ac:dyDescent="0.45">
      <c r="A8" s="40"/>
      <c r="B8" s="44"/>
      <c r="C8" s="44"/>
      <c r="D8" s="40"/>
      <c r="E8" s="4" t="s">
        <v>39</v>
      </c>
    </row>
    <row r="9" spans="1:5" ht="78.75" x14ac:dyDescent="0.45">
      <c r="A9" s="40"/>
      <c r="B9" s="44"/>
      <c r="C9" s="44"/>
      <c r="D9" s="40"/>
      <c r="E9" s="9" t="s">
        <v>40</v>
      </c>
    </row>
    <row r="10" spans="1:5" ht="214.15" thickBot="1" x14ac:dyDescent="0.5">
      <c r="A10" s="41"/>
      <c r="B10" s="43"/>
      <c r="C10" s="43"/>
      <c r="D10" s="41"/>
      <c r="E10" s="8" t="s">
        <v>41</v>
      </c>
    </row>
    <row r="11" spans="1:5" ht="52.5" x14ac:dyDescent="0.45">
      <c r="A11" s="39" t="s">
        <v>10</v>
      </c>
      <c r="B11" s="39">
        <v>59065</v>
      </c>
      <c r="C11" s="39">
        <v>78135</v>
      </c>
      <c r="D11" s="39"/>
      <c r="E11" s="9" t="s">
        <v>42</v>
      </c>
    </row>
    <row r="12" spans="1:5" ht="114" x14ac:dyDescent="0.45">
      <c r="A12" s="40"/>
      <c r="B12" s="40"/>
      <c r="C12" s="40"/>
      <c r="D12" s="40"/>
      <c r="E12" s="4" t="s">
        <v>13</v>
      </c>
    </row>
    <row r="13" spans="1:5" ht="66" thickBot="1" x14ac:dyDescent="0.5">
      <c r="A13" s="41"/>
      <c r="B13" s="41"/>
      <c r="C13" s="41"/>
      <c r="D13" s="41"/>
      <c r="E13" s="7" t="s">
        <v>43</v>
      </c>
    </row>
    <row r="14" spans="1:5" ht="26.25" x14ac:dyDescent="0.45">
      <c r="A14" s="39" t="s">
        <v>15</v>
      </c>
      <c r="B14" s="39">
        <v>190713</v>
      </c>
      <c r="C14" s="39">
        <v>203500</v>
      </c>
      <c r="D14" s="39">
        <v>212158</v>
      </c>
      <c r="E14" s="9" t="s">
        <v>44</v>
      </c>
    </row>
    <row r="15" spans="1:5" ht="142.5" x14ac:dyDescent="0.45">
      <c r="A15" s="40"/>
      <c r="B15" s="40"/>
      <c r="C15" s="40"/>
      <c r="D15" s="40"/>
      <c r="E15" s="4" t="s">
        <v>45</v>
      </c>
    </row>
    <row r="16" spans="1:5" ht="66" thickBot="1" x14ac:dyDescent="0.5">
      <c r="A16" s="41"/>
      <c r="B16" s="41"/>
      <c r="C16" s="41"/>
      <c r="D16" s="41"/>
      <c r="E16" s="7" t="s">
        <v>46</v>
      </c>
    </row>
    <row r="17" spans="1:5" ht="56.25" x14ac:dyDescent="0.45">
      <c r="A17" s="39" t="s">
        <v>21</v>
      </c>
      <c r="B17" s="39">
        <v>25368</v>
      </c>
      <c r="C17" s="39">
        <v>25766</v>
      </c>
      <c r="D17" s="39"/>
      <c r="E17" s="9" t="s">
        <v>47</v>
      </c>
    </row>
    <row r="18" spans="1:5" ht="185.65" thickBot="1" x14ac:dyDescent="0.5">
      <c r="A18" s="41"/>
      <c r="B18" s="41"/>
      <c r="C18" s="41"/>
      <c r="D18" s="41"/>
      <c r="E18" s="8" t="s">
        <v>48</v>
      </c>
    </row>
  </sheetData>
  <mergeCells count="20">
    <mergeCell ref="A17:A18"/>
    <mergeCell ref="B17:B18"/>
    <mergeCell ref="C17:C18"/>
    <mergeCell ref="D17:D18"/>
    <mergeCell ref="A11:A13"/>
    <mergeCell ref="B11:B13"/>
    <mergeCell ref="C11:C13"/>
    <mergeCell ref="D11:D13"/>
    <mergeCell ref="A14:A16"/>
    <mergeCell ref="B14:B16"/>
    <mergeCell ref="C14:C16"/>
    <mergeCell ref="D14:D16"/>
    <mergeCell ref="A2:A3"/>
    <mergeCell ref="B2:B3"/>
    <mergeCell ref="C2:C3"/>
    <mergeCell ref="D2:D3"/>
    <mergeCell ref="A7:A10"/>
    <mergeCell ref="B7:B10"/>
    <mergeCell ref="C7:C10"/>
    <mergeCell ref="D7:D10"/>
  </mergeCells>
  <hyperlinks>
    <hyperlink ref="E2" r:id="rId1" xr:uid="{C72684A9-19A8-41CA-93B5-6C5DF81030A9}"/>
    <hyperlink ref="E8" r:id="rId2" location="documentaci%C3%B3n-y-datos" display="https://cnecovid.isciii.es/covid19/ - documentaci%C3%B3n-y-datos" xr:uid="{3A155D7D-D063-43C5-8A02-46F37D22B44B}"/>
    <hyperlink ref="E10" r:id="rId3" display="https://covid19.who.int/region/euro/country/es accessed on 6-August-2020" xr:uid="{381D24CB-12E6-44BD-8170-D51DABCC2570}"/>
    <hyperlink ref="E12" r:id="rId4" xr:uid="{4FD1C3F5-B587-423E-8C48-4603E6340A7F}"/>
    <hyperlink ref="E15" r:id="rId5" xr:uid="{9D88D3EB-EC9C-49E3-BA0D-B2867A9FC5E3}"/>
    <hyperlink ref="E18" r:id="rId6" xr:uid="{17E12F3F-7575-442C-852A-AA31BE591214}"/>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2BA8-307D-4086-B11B-BB748088B723}">
  <dimension ref="A1:J6"/>
  <sheetViews>
    <sheetView tabSelected="1" workbookViewId="0">
      <selection activeCell="F1" sqref="F1"/>
    </sheetView>
  </sheetViews>
  <sheetFormatPr defaultRowHeight="14.25" x14ac:dyDescent="0.45"/>
  <sheetData>
    <row r="1" spans="1:10" ht="14.65" thickBot="1" x14ac:dyDescent="0.5">
      <c r="B1" t="s">
        <v>100</v>
      </c>
      <c r="C1" t="s">
        <v>101</v>
      </c>
      <c r="D1" t="s">
        <v>102</v>
      </c>
      <c r="E1" t="s">
        <v>109</v>
      </c>
    </row>
    <row r="2" spans="1:10" ht="14.65" thickBot="1" x14ac:dyDescent="0.5">
      <c r="A2" t="s">
        <v>29</v>
      </c>
      <c r="B2">
        <v>67950117</v>
      </c>
      <c r="C2">
        <v>195.801432476174</v>
      </c>
      <c r="D2" s="18">
        <v>133047.302455236</v>
      </c>
      <c r="E2" s="19">
        <f>D2/B2</f>
        <v>1.9580143247617367E-3</v>
      </c>
      <c r="H2" s="21"/>
      <c r="I2" s="23"/>
      <c r="J2" s="20"/>
    </row>
    <row r="3" spans="1:10" ht="14.65" thickBot="1" x14ac:dyDescent="0.5">
      <c r="A3" t="s">
        <v>21</v>
      </c>
      <c r="B3">
        <v>4947782</v>
      </c>
      <c r="C3">
        <v>39.4760452180154</v>
      </c>
      <c r="D3" s="18">
        <v>1953.18865960883</v>
      </c>
      <c r="E3" s="19">
        <f t="shared" ref="E3:E5" si="0">D3/B3</f>
        <v>3.9476045218015467E-4</v>
      </c>
      <c r="H3" s="22"/>
      <c r="I3" s="23"/>
      <c r="J3" s="20"/>
    </row>
    <row r="4" spans="1:10" ht="14.65" thickBot="1" x14ac:dyDescent="0.5">
      <c r="A4" t="s">
        <v>8</v>
      </c>
      <c r="B4">
        <v>46758012</v>
      </c>
      <c r="C4">
        <v>194.398626586326</v>
      </c>
      <c r="D4" s="18">
        <v>90896.933147069707</v>
      </c>
      <c r="E4" s="19">
        <f t="shared" si="0"/>
        <v>1.9439862658632643E-3</v>
      </c>
      <c r="H4" s="22"/>
      <c r="I4" s="23"/>
      <c r="J4" s="20"/>
    </row>
    <row r="5" spans="1:10" ht="14.65" thickBot="1" x14ac:dyDescent="0.5">
      <c r="A5" t="s">
        <v>15</v>
      </c>
      <c r="B5">
        <v>83831967</v>
      </c>
      <c r="C5">
        <v>28.3307913313994</v>
      </c>
      <c r="D5" s="18">
        <v>23750.2596397776</v>
      </c>
      <c r="E5" s="19">
        <f t="shared" si="0"/>
        <v>2.8330791331399394E-4</v>
      </c>
      <c r="H5" s="22"/>
      <c r="I5" s="23"/>
      <c r="J5" s="20"/>
    </row>
    <row r="6" spans="1:10" ht="14.65" thickBot="1" x14ac:dyDescent="0.5">
      <c r="A6" t="s">
        <v>10</v>
      </c>
      <c r="B6">
        <v>10110601</v>
      </c>
      <c r="C6" t="s">
        <v>103</v>
      </c>
      <c r="D6" t="s">
        <v>103</v>
      </c>
      <c r="E6" t="s">
        <v>103</v>
      </c>
      <c r="H6" s="22"/>
      <c r="I6" s="23"/>
      <c r="J6"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B0A61-E2CC-40C8-91B7-913C6994D0E4}">
  <dimension ref="A1:G102"/>
  <sheetViews>
    <sheetView workbookViewId="0">
      <selection activeCell="C2" sqref="C2:C102"/>
    </sheetView>
  </sheetViews>
  <sheetFormatPr defaultRowHeight="14.25" x14ac:dyDescent="0.45"/>
  <sheetData>
    <row r="1" spans="1:7" x14ac:dyDescent="0.45">
      <c r="A1" s="24" t="s">
        <v>112</v>
      </c>
      <c r="B1" s="24"/>
      <c r="C1" s="24" t="s">
        <v>113</v>
      </c>
      <c r="D1" s="24" t="s">
        <v>114</v>
      </c>
      <c r="E1" s="24" t="s">
        <v>115</v>
      </c>
      <c r="F1" s="24" t="s">
        <v>116</v>
      </c>
      <c r="G1" s="24" t="s">
        <v>117</v>
      </c>
    </row>
    <row r="2" spans="1:7" ht="15.75" x14ac:dyDescent="0.5">
      <c r="A2" s="25">
        <v>0</v>
      </c>
      <c r="C2" s="35">
        <v>4.267E-3</v>
      </c>
      <c r="D2" s="26">
        <f t="shared" ref="D2:D102" si="0">-LN(1-C2)</f>
        <v>4.2761296244943348E-3</v>
      </c>
      <c r="E2" s="27">
        <v>100000</v>
      </c>
      <c r="F2" s="27">
        <f t="shared" ref="F2:F102" si="1">(E2+E3)/2</f>
        <v>99786.65</v>
      </c>
      <c r="G2" s="27">
        <f t="shared" ref="G2:G102" si="2">SUM(F2:F$127)/E2</f>
        <v>79.350586274125931</v>
      </c>
    </row>
    <row r="3" spans="1:7" ht="15.75" x14ac:dyDescent="0.5">
      <c r="A3" s="25">
        <v>1</v>
      </c>
      <c r="C3" s="35">
        <v>2.43E-4</v>
      </c>
      <c r="D3" s="26">
        <f t="shared" si="0"/>
        <v>2.4302952928383409E-4</v>
      </c>
      <c r="E3" s="27">
        <f t="shared" ref="E3:E34" si="3">E2*EXP(-D2*SMR)</f>
        <v>99573.3</v>
      </c>
      <c r="F3" s="27">
        <f t="shared" si="1"/>
        <v>99561.201844049996</v>
      </c>
      <c r="G3" s="27">
        <f t="shared" si="2"/>
        <v>78.688483533362799</v>
      </c>
    </row>
    <row r="4" spans="1:7" ht="15.75" x14ac:dyDescent="0.5">
      <c r="A4" s="25">
        <v>2</v>
      </c>
      <c r="C4" s="35">
        <v>1.3200000000000001E-4</v>
      </c>
      <c r="D4" s="26">
        <f t="shared" si="0"/>
        <v>1.320087127667529E-4</v>
      </c>
      <c r="E4" s="27">
        <f t="shared" si="3"/>
        <v>99549.103688100004</v>
      </c>
      <c r="F4" s="27">
        <f t="shared" si="1"/>
        <v>99542.533447256588</v>
      </c>
      <c r="G4" s="27">
        <f t="shared" si="2"/>
        <v>77.707487952935352</v>
      </c>
    </row>
    <row r="5" spans="1:7" ht="15.75" x14ac:dyDescent="0.5">
      <c r="A5" s="25">
        <v>3</v>
      </c>
      <c r="C5" s="35">
        <v>1.01E-4</v>
      </c>
      <c r="D5" s="26">
        <f t="shared" si="0"/>
        <v>1.0100510084347743E-4</v>
      </c>
      <c r="E5" s="27">
        <f t="shared" si="3"/>
        <v>99535.963206413173</v>
      </c>
      <c r="F5" s="27">
        <f t="shared" si="1"/>
        <v>99530.936640271248</v>
      </c>
      <c r="G5" s="27">
        <f t="shared" si="2"/>
        <v>76.717680686786011</v>
      </c>
    </row>
    <row r="6" spans="1:7" ht="15.75" x14ac:dyDescent="0.5">
      <c r="A6" s="25">
        <v>4</v>
      </c>
      <c r="C6" s="35">
        <v>9.7E-5</v>
      </c>
      <c r="D6" s="26">
        <f t="shared" si="0"/>
        <v>9.700470480426021E-5</v>
      </c>
      <c r="E6" s="27">
        <f t="shared" si="3"/>
        <v>99525.910074129322</v>
      </c>
      <c r="F6" s="27">
        <f t="shared" si="1"/>
        <v>99521.083067490719</v>
      </c>
      <c r="G6" s="27">
        <f t="shared" si="2"/>
        <v>75.725379450110481</v>
      </c>
    </row>
    <row r="7" spans="1:7" ht="15.75" x14ac:dyDescent="0.5">
      <c r="A7" s="25">
        <v>5</v>
      </c>
      <c r="C7" s="35">
        <v>8.5000000000000006E-5</v>
      </c>
      <c r="D7" s="26">
        <f t="shared" si="0"/>
        <v>8.5003612704723125E-5</v>
      </c>
      <c r="E7" s="27">
        <f t="shared" si="3"/>
        <v>99516.256060852131</v>
      </c>
      <c r="F7" s="27">
        <f t="shared" si="1"/>
        <v>99512.026619969547</v>
      </c>
      <c r="G7" s="27">
        <f t="shared" si="2"/>
        <v>74.732677019781391</v>
      </c>
    </row>
    <row r="8" spans="1:7" ht="15.75" x14ac:dyDescent="0.5">
      <c r="A8" s="25">
        <v>6</v>
      </c>
      <c r="C8" s="35">
        <v>8.7999999999999998E-5</v>
      </c>
      <c r="D8" s="26">
        <f t="shared" si="0"/>
        <v>8.8003872227149316E-5</v>
      </c>
      <c r="E8" s="27">
        <f t="shared" si="3"/>
        <v>99507.797179086963</v>
      </c>
      <c r="F8" s="27">
        <f t="shared" si="1"/>
        <v>99503.418836011086</v>
      </c>
      <c r="G8" s="27">
        <f t="shared" si="2"/>
        <v>73.738987333704742</v>
      </c>
    </row>
    <row r="9" spans="1:7" ht="15.75" x14ac:dyDescent="0.5">
      <c r="A9" s="25">
        <v>7</v>
      </c>
      <c r="C9" s="35">
        <v>6.8999999999999997E-5</v>
      </c>
      <c r="D9" s="26">
        <f t="shared" si="0"/>
        <v>6.9002380609494403E-5</v>
      </c>
      <c r="E9" s="27">
        <f t="shared" si="3"/>
        <v>99499.040492935208</v>
      </c>
      <c r="F9" s="27">
        <f t="shared" si="1"/>
        <v>99495.607776038203</v>
      </c>
      <c r="G9" s="27">
        <f t="shared" si="2"/>
        <v>72.745432931802739</v>
      </c>
    </row>
    <row r="10" spans="1:7" ht="15.75" x14ac:dyDescent="0.5">
      <c r="A10" s="25">
        <v>8</v>
      </c>
      <c r="C10" s="35">
        <v>6.7000000000000002E-5</v>
      </c>
      <c r="D10" s="26">
        <f t="shared" si="0"/>
        <v>6.7002244600298627E-5</v>
      </c>
      <c r="E10" s="27">
        <f t="shared" si="3"/>
        <v>99492.175059141198</v>
      </c>
      <c r="F10" s="27">
        <f t="shared" si="1"/>
        <v>99488.842071276711</v>
      </c>
      <c r="G10" s="27">
        <f t="shared" si="2"/>
        <v>71.750418210659276</v>
      </c>
    </row>
    <row r="11" spans="1:7" ht="15.75" x14ac:dyDescent="0.5">
      <c r="A11" s="25">
        <v>9</v>
      </c>
      <c r="C11" s="35">
        <v>5.8999999999999998E-5</v>
      </c>
      <c r="D11" s="26">
        <f t="shared" si="0"/>
        <v>5.9001740568493946E-5</v>
      </c>
      <c r="E11" s="27">
        <f t="shared" si="3"/>
        <v>99485.509083412238</v>
      </c>
      <c r="F11" s="27">
        <f t="shared" si="1"/>
        <v>99482.574260894267</v>
      </c>
      <c r="G11" s="27">
        <f t="shared" si="2"/>
        <v>70.755192308543954</v>
      </c>
    </row>
    <row r="12" spans="1:7" ht="15.75" x14ac:dyDescent="0.5">
      <c r="A12" s="25">
        <v>10</v>
      </c>
      <c r="C12" s="35">
        <v>7.3999999999999996E-5</v>
      </c>
      <c r="D12" s="26">
        <f t="shared" si="0"/>
        <v>7.4002738135100663E-5</v>
      </c>
      <c r="E12" s="27">
        <f t="shared" si="3"/>
        <v>99479.639438376311</v>
      </c>
      <c r="F12" s="27">
        <f t="shared" si="1"/>
        <v>99475.958691717096</v>
      </c>
      <c r="G12" s="27">
        <f t="shared" si="2"/>
        <v>69.759337609462904</v>
      </c>
    </row>
    <row r="13" spans="1:7" ht="15.75" x14ac:dyDescent="0.5">
      <c r="A13" s="25">
        <v>11</v>
      </c>
      <c r="C13" s="35">
        <v>8.5000000000000006E-5</v>
      </c>
      <c r="D13" s="26">
        <f t="shared" si="0"/>
        <v>8.5003612704723125E-5</v>
      </c>
      <c r="E13" s="27">
        <f t="shared" si="3"/>
        <v>99472.277945057867</v>
      </c>
      <c r="F13" s="27">
        <f t="shared" si="1"/>
        <v>99468.050373245205</v>
      </c>
      <c r="G13" s="27">
        <f t="shared" si="2"/>
        <v>68.764463179738215</v>
      </c>
    </row>
    <row r="14" spans="1:7" ht="15.75" x14ac:dyDescent="0.5">
      <c r="A14" s="25">
        <v>12</v>
      </c>
      <c r="C14" s="35">
        <v>1.05E-4</v>
      </c>
      <c r="D14" s="26">
        <f t="shared" si="0"/>
        <v>1.0500551288592713E-4</v>
      </c>
      <c r="E14" s="27">
        <f t="shared" si="3"/>
        <v>99463.822801432543</v>
      </c>
      <c r="F14" s="27">
        <f t="shared" si="1"/>
        <v>99458.600950735476</v>
      </c>
      <c r="G14" s="27">
        <f t="shared" si="2"/>
        <v>67.77026615236116</v>
      </c>
    </row>
    <row r="15" spans="1:7" ht="15.75" x14ac:dyDescent="0.5">
      <c r="A15" s="25">
        <v>13</v>
      </c>
      <c r="C15" s="35">
        <v>1.27E-4</v>
      </c>
      <c r="D15" s="26">
        <f t="shared" si="0"/>
        <v>1.2700806518284761E-4</v>
      </c>
      <c r="E15" s="27">
        <f t="shared" si="3"/>
        <v>99453.379100038394</v>
      </c>
      <c r="F15" s="27">
        <f t="shared" si="1"/>
        <v>99447.063810465537</v>
      </c>
      <c r="G15" s="27">
        <f t="shared" si="2"/>
        <v>66.777330272039734</v>
      </c>
    </row>
    <row r="16" spans="1:7" ht="15.75" x14ac:dyDescent="0.5">
      <c r="A16" s="25">
        <v>14</v>
      </c>
      <c r="C16" s="35">
        <v>1.21E-4</v>
      </c>
      <c r="D16" s="26">
        <f t="shared" si="0"/>
        <v>1.2100732109061167E-4</v>
      </c>
      <c r="E16" s="27">
        <f t="shared" si="3"/>
        <v>99440.748520892696</v>
      </c>
      <c r="F16" s="27">
        <f t="shared" si="1"/>
        <v>99434.732355607179</v>
      </c>
      <c r="G16" s="27">
        <f t="shared" si="2"/>
        <v>65.785748562107102</v>
      </c>
    </row>
    <row r="17" spans="1:7" ht="15.75" x14ac:dyDescent="0.5">
      <c r="A17" s="25">
        <v>15</v>
      </c>
      <c r="C17" s="35">
        <v>1.74E-4</v>
      </c>
      <c r="D17" s="26">
        <f t="shared" si="0"/>
        <v>1.7401513975624468E-4</v>
      </c>
      <c r="E17" s="27">
        <f t="shared" si="3"/>
        <v>99428.716190321662</v>
      </c>
      <c r="F17" s="27">
        <f t="shared" si="1"/>
        <v>99420.06589201311</v>
      </c>
      <c r="G17" s="27">
        <f t="shared" si="2"/>
        <v>64.793649093647431</v>
      </c>
    </row>
    <row r="18" spans="1:7" ht="15.75" x14ac:dyDescent="0.5">
      <c r="A18" s="25">
        <v>16</v>
      </c>
      <c r="C18" s="35">
        <v>2.2699999999999999E-4</v>
      </c>
      <c r="D18" s="26">
        <f t="shared" si="0"/>
        <v>2.2702576839966882E-4</v>
      </c>
      <c r="E18" s="27">
        <f t="shared" si="3"/>
        <v>99411.415593704543</v>
      </c>
      <c r="F18" s="27">
        <f t="shared" si="1"/>
        <v>99400.13239803465</v>
      </c>
      <c r="G18" s="27">
        <f t="shared" si="2"/>
        <v>63.804838135483017</v>
      </c>
    </row>
    <row r="19" spans="1:7" ht="15.75" x14ac:dyDescent="0.5">
      <c r="A19" s="25">
        <v>17</v>
      </c>
      <c r="C19" s="35">
        <v>3.1599999999999998E-4</v>
      </c>
      <c r="D19" s="26">
        <f t="shared" si="0"/>
        <v>3.1604993852064173E-4</v>
      </c>
      <c r="E19" s="27">
        <f t="shared" si="3"/>
        <v>99388.84920236477</v>
      </c>
      <c r="F19" s="27">
        <f t="shared" si="1"/>
        <v>99373.145764190791</v>
      </c>
      <c r="G19" s="27">
        <f t="shared" si="2"/>
        <v>62.81921159651543</v>
      </c>
    </row>
    <row r="20" spans="1:7" ht="15.75" x14ac:dyDescent="0.5">
      <c r="A20" s="25">
        <v>18</v>
      </c>
      <c r="C20" s="35">
        <v>4.0000000000000002E-4</v>
      </c>
      <c r="D20" s="26">
        <f t="shared" si="0"/>
        <v>4.0008002133969133E-4</v>
      </c>
      <c r="E20" s="27">
        <f t="shared" si="3"/>
        <v>99357.442326016826</v>
      </c>
      <c r="F20" s="27">
        <f t="shared" si="1"/>
        <v>99337.570837551626</v>
      </c>
      <c r="G20" s="27">
        <f t="shared" si="2"/>
        <v>61.838910692294192</v>
      </c>
    </row>
    <row r="21" spans="1:7" ht="15.75" x14ac:dyDescent="0.5">
      <c r="A21" s="25">
        <v>19</v>
      </c>
      <c r="C21" s="35">
        <v>4.4799999999999999E-4</v>
      </c>
      <c r="D21" s="26">
        <f t="shared" si="0"/>
        <v>4.4810038198187543E-4</v>
      </c>
      <c r="E21" s="27">
        <f t="shared" si="3"/>
        <v>99317.699349086426</v>
      </c>
      <c r="F21" s="27">
        <f t="shared" si="1"/>
        <v>99295.45218443223</v>
      </c>
      <c r="G21" s="27">
        <f t="shared" si="2"/>
        <v>60.863456074724077</v>
      </c>
    </row>
    <row r="22" spans="1:7" ht="15.75" x14ac:dyDescent="0.5">
      <c r="A22" s="25">
        <v>20</v>
      </c>
      <c r="C22" s="35">
        <v>5.0799999999999999E-4</v>
      </c>
      <c r="D22" s="26">
        <f t="shared" si="0"/>
        <v>5.0812907571544624E-4</v>
      </c>
      <c r="E22" s="27">
        <f t="shared" si="3"/>
        <v>99273.205019778034</v>
      </c>
      <c r="F22" s="27">
        <f t="shared" si="1"/>
        <v>99247.98962570302</v>
      </c>
      <c r="G22" s="27">
        <f t="shared" si="2"/>
        <v>59.890511023662683</v>
      </c>
    </row>
    <row r="23" spans="1:7" ht="15.75" x14ac:dyDescent="0.5">
      <c r="A23" s="25">
        <v>21</v>
      </c>
      <c r="C23" s="35">
        <v>5.13E-4</v>
      </c>
      <c r="D23" s="26">
        <f t="shared" si="0"/>
        <v>5.131316295192063E-4</v>
      </c>
      <c r="E23" s="27">
        <f t="shared" si="3"/>
        <v>99222.774231627991</v>
      </c>
      <c r="F23" s="27">
        <f t="shared" si="1"/>
        <v>99197.323590037588</v>
      </c>
      <c r="G23" s="27">
        <f t="shared" si="2"/>
        <v>58.920696737605375</v>
      </c>
    </row>
    <row r="24" spans="1:7" ht="15.75" x14ac:dyDescent="0.5">
      <c r="A24" s="25">
        <v>22</v>
      </c>
      <c r="C24" s="35">
        <v>5.04E-4</v>
      </c>
      <c r="D24" s="26">
        <f t="shared" si="0"/>
        <v>5.0412705069077443E-4</v>
      </c>
      <c r="E24" s="27">
        <f t="shared" si="3"/>
        <v>99171.87294844717</v>
      </c>
      <c r="F24" s="27">
        <f t="shared" si="1"/>
        <v>99146.881636464153</v>
      </c>
      <c r="G24" s="27">
        <f t="shared" si="2"/>
        <v>57.950681937439285</v>
      </c>
    </row>
    <row r="25" spans="1:7" ht="15.75" x14ac:dyDescent="0.5">
      <c r="A25" s="25">
        <v>23</v>
      </c>
      <c r="C25" s="35">
        <v>5.0500000000000002E-4</v>
      </c>
      <c r="D25" s="26">
        <f t="shared" si="0"/>
        <v>5.0512755544545207E-4</v>
      </c>
      <c r="E25" s="27">
        <f t="shared" si="3"/>
        <v>99121.890324481152</v>
      </c>
      <c r="F25" s="27">
        <f t="shared" si="1"/>
        <v>99096.862047174218</v>
      </c>
      <c r="G25" s="27">
        <f t="shared" si="2"/>
        <v>56.979651681886963</v>
      </c>
    </row>
    <row r="26" spans="1:7" ht="15.75" x14ac:dyDescent="0.5">
      <c r="A26" s="25">
        <v>24</v>
      </c>
      <c r="C26" s="35">
        <v>5.5199999999999997E-4</v>
      </c>
      <c r="D26" s="26">
        <f t="shared" si="0"/>
        <v>5.5215240808875429E-4</v>
      </c>
      <c r="E26" s="27">
        <f t="shared" si="3"/>
        <v>99071.833769867284</v>
      </c>
      <c r="F26" s="27">
        <f t="shared" si="1"/>
        <v>99044.489943746798</v>
      </c>
      <c r="G26" s="27">
        <f t="shared" si="2"/>
        <v>56.008188316987045</v>
      </c>
    </row>
    <row r="27" spans="1:7" ht="15.75" x14ac:dyDescent="0.5">
      <c r="A27" s="25">
        <v>25</v>
      </c>
      <c r="C27" s="35">
        <v>5.9800000000000001E-4</v>
      </c>
      <c r="D27" s="26">
        <f t="shared" si="0"/>
        <v>5.9817887331437025E-4</v>
      </c>
      <c r="E27" s="27">
        <f t="shared" si="3"/>
        <v>99017.146117626311</v>
      </c>
      <c r="F27" s="27">
        <f t="shared" si="1"/>
        <v>98987.539990937134</v>
      </c>
      <c r="G27" s="27">
        <f t="shared" si="2"/>
        <v>55.038845759846481</v>
      </c>
    </row>
    <row r="28" spans="1:7" ht="15.75" x14ac:dyDescent="0.5">
      <c r="A28" s="25">
        <v>26</v>
      </c>
      <c r="C28" s="35">
        <v>5.8100000000000003E-4</v>
      </c>
      <c r="D28" s="26">
        <f t="shared" si="0"/>
        <v>5.8116884590286746E-4</v>
      </c>
      <c r="E28" s="27">
        <f t="shared" si="3"/>
        <v>98957.933864247971</v>
      </c>
      <c r="F28" s="27">
        <f t="shared" si="1"/>
        <v>98929.186584460404</v>
      </c>
      <c r="G28" s="27">
        <f t="shared" si="2"/>
        <v>54.071479504590229</v>
      </c>
    </row>
    <row r="29" spans="1:7" ht="15.75" x14ac:dyDescent="0.5">
      <c r="A29" s="25">
        <v>27</v>
      </c>
      <c r="C29" s="35">
        <v>6.2100000000000002E-4</v>
      </c>
      <c r="D29" s="26">
        <f t="shared" si="0"/>
        <v>6.2119290036486785E-4</v>
      </c>
      <c r="E29" s="27">
        <f t="shared" si="3"/>
        <v>98900.439304672836</v>
      </c>
      <c r="F29" s="27">
        <f t="shared" si="1"/>
        <v>98869.730718268736</v>
      </c>
      <c r="G29" s="27">
        <f t="shared" si="2"/>
        <v>53.102622628337301</v>
      </c>
    </row>
    <row r="30" spans="1:7" ht="15.75" x14ac:dyDescent="0.5">
      <c r="A30" s="25">
        <v>28</v>
      </c>
      <c r="C30" s="35">
        <v>6.9499999999999998E-4</v>
      </c>
      <c r="D30" s="26">
        <f t="shared" si="0"/>
        <v>6.9524162445915353E-4</v>
      </c>
      <c r="E30" s="27">
        <f t="shared" si="3"/>
        <v>98839.022131864636</v>
      </c>
      <c r="F30" s="27">
        <f t="shared" si="1"/>
        <v>98804.675571673812</v>
      </c>
      <c r="G30" s="27">
        <f t="shared" si="2"/>
        <v>52.135309155322751</v>
      </c>
    </row>
    <row r="31" spans="1:7" ht="15.75" x14ac:dyDescent="0.5">
      <c r="A31" s="25">
        <v>29</v>
      </c>
      <c r="C31" s="35">
        <v>7.3200000000000001E-4</v>
      </c>
      <c r="D31" s="26">
        <f t="shared" si="0"/>
        <v>7.3226804281282978E-4</v>
      </c>
      <c r="E31" s="27">
        <f t="shared" si="3"/>
        <v>98770.329011482987</v>
      </c>
      <c r="F31" s="27">
        <f t="shared" si="1"/>
        <v>98734.179071064777</v>
      </c>
      <c r="G31" s="27">
        <f t="shared" si="2"/>
        <v>51.171220653677061</v>
      </c>
    </row>
    <row r="32" spans="1:7" ht="15.75" x14ac:dyDescent="0.5">
      <c r="A32" s="25">
        <v>30</v>
      </c>
      <c r="C32" s="35">
        <v>7.7099999999999998E-4</v>
      </c>
      <c r="D32" s="26">
        <f t="shared" si="0"/>
        <v>7.7129737335969765E-4</v>
      </c>
      <c r="E32" s="27">
        <f t="shared" si="3"/>
        <v>98698.029130646581</v>
      </c>
      <c r="F32" s="27">
        <f t="shared" si="1"/>
        <v>98659.981040416722</v>
      </c>
      <c r="G32" s="27">
        <f t="shared" si="2"/>
        <v>50.208339157940664</v>
      </c>
    </row>
    <row r="33" spans="1:7" ht="15.75" x14ac:dyDescent="0.5">
      <c r="A33" s="25">
        <v>31</v>
      </c>
      <c r="C33" s="35">
        <v>8.3500000000000002E-4</v>
      </c>
      <c r="D33" s="26">
        <f t="shared" si="0"/>
        <v>8.3534880668260046E-4</v>
      </c>
      <c r="E33" s="27">
        <f t="shared" si="3"/>
        <v>98621.932950186849</v>
      </c>
      <c r="F33" s="27">
        <f t="shared" si="1"/>
        <v>98580.758293180144</v>
      </c>
      <c r="G33" s="27">
        <f t="shared" si="2"/>
        <v>49.246693858905886</v>
      </c>
    </row>
    <row r="34" spans="1:7" ht="15.75" x14ac:dyDescent="0.5">
      <c r="A34" s="25">
        <v>32</v>
      </c>
      <c r="C34" s="35">
        <v>8.3500000000000002E-4</v>
      </c>
      <c r="D34" s="26">
        <f t="shared" si="0"/>
        <v>8.3534880668260046E-4</v>
      </c>
      <c r="E34" s="27">
        <f t="shared" si="3"/>
        <v>98539.58363617344</v>
      </c>
      <c r="F34" s="27">
        <f t="shared" si="1"/>
        <v>98498.443360005331</v>
      </c>
      <c r="G34" s="27">
        <f t="shared" si="2"/>
        <v>48.2874313640949</v>
      </c>
    </row>
    <row r="35" spans="1:7" ht="15.75" x14ac:dyDescent="0.5">
      <c r="A35" s="25">
        <v>33</v>
      </c>
      <c r="C35" s="35">
        <v>9.2900000000000003E-4</v>
      </c>
      <c r="D35" s="26">
        <f t="shared" si="0"/>
        <v>9.2943178794133575E-4</v>
      </c>
      <c r="E35" s="27">
        <f t="shared" ref="E35:E66" si="4">E34*EXP(-D34*SMR)</f>
        <v>98457.303083837236</v>
      </c>
      <c r="F35" s="27">
        <f t="shared" si="1"/>
        <v>98411.569666554802</v>
      </c>
      <c r="G35" s="27">
        <f t="shared" si="2"/>
        <v>47.327367215720031</v>
      </c>
    </row>
    <row r="36" spans="1:7" ht="15.75" x14ac:dyDescent="0.5">
      <c r="A36" s="25">
        <v>34</v>
      </c>
      <c r="C36" s="35">
        <v>9.5699999999999995E-4</v>
      </c>
      <c r="D36" s="26">
        <f t="shared" si="0"/>
        <v>9.5745821686567213E-4</v>
      </c>
      <c r="E36" s="27">
        <f t="shared" si="4"/>
        <v>98365.836249272354</v>
      </c>
      <c r="F36" s="27">
        <f t="shared" si="1"/>
        <v>98318.768196627076</v>
      </c>
      <c r="G36" s="27">
        <f t="shared" si="2"/>
        <v>46.37091029138071</v>
      </c>
    </row>
    <row r="37" spans="1:7" ht="15.75" x14ac:dyDescent="0.5">
      <c r="A37" s="25">
        <v>35</v>
      </c>
      <c r="C37" s="35">
        <v>1.073E-3</v>
      </c>
      <c r="D37" s="26">
        <f t="shared" si="0"/>
        <v>1.0735760766236706E-3</v>
      </c>
      <c r="E37" s="27">
        <f t="shared" si="4"/>
        <v>98271.700143981798</v>
      </c>
      <c r="F37" s="27">
        <f t="shared" si="1"/>
        <v>98218.977376854542</v>
      </c>
      <c r="G37" s="27">
        <f t="shared" si="2"/>
        <v>45.414850803599769</v>
      </c>
    </row>
    <row r="38" spans="1:7" ht="15.75" x14ac:dyDescent="0.5">
      <c r="A38" s="25">
        <v>36</v>
      </c>
      <c r="C38" s="35">
        <v>1.1460000000000001E-3</v>
      </c>
      <c r="D38" s="26">
        <f t="shared" si="0"/>
        <v>1.1466571601182877E-3</v>
      </c>
      <c r="E38" s="27">
        <f t="shared" si="4"/>
        <v>98166.254609727301</v>
      </c>
      <c r="F38" s="27">
        <f t="shared" si="1"/>
        <v>98110.005345835933</v>
      </c>
      <c r="G38" s="27">
        <f t="shared" si="2"/>
        <v>44.46309620582862</v>
      </c>
    </row>
    <row r="39" spans="1:7" ht="15.75" x14ac:dyDescent="0.5">
      <c r="A39" s="25">
        <v>37</v>
      </c>
      <c r="C39" s="35">
        <v>1.3090000000000001E-3</v>
      </c>
      <c r="D39" s="26">
        <f t="shared" si="0"/>
        <v>1.3098574888836547E-3</v>
      </c>
      <c r="E39" s="27">
        <f t="shared" si="4"/>
        <v>98053.75608194455</v>
      </c>
      <c r="F39" s="27">
        <f t="shared" si="1"/>
        <v>97989.579898588912</v>
      </c>
      <c r="G39" s="27">
        <f t="shared" si="2"/>
        <v>43.513535717761172</v>
      </c>
    </row>
    <row r="40" spans="1:7" ht="15.75" x14ac:dyDescent="0.5">
      <c r="A40" s="25">
        <v>38</v>
      </c>
      <c r="C40" s="35">
        <v>1.261E-3</v>
      </c>
      <c r="D40" s="26">
        <f t="shared" si="0"/>
        <v>1.2617957295135765E-3</v>
      </c>
      <c r="E40" s="27">
        <f t="shared" si="4"/>
        <v>97925.403715233289</v>
      </c>
      <c r="F40" s="27">
        <f t="shared" si="1"/>
        <v>97863.661748190847</v>
      </c>
      <c r="G40" s="27">
        <f t="shared" si="2"/>
        <v>42.569914235495453</v>
      </c>
    </row>
    <row r="41" spans="1:7" ht="15.75" x14ac:dyDescent="0.5">
      <c r="A41" s="25">
        <v>39</v>
      </c>
      <c r="C41" s="35">
        <v>1.3990000000000001E-3</v>
      </c>
      <c r="D41" s="26">
        <f t="shared" si="0"/>
        <v>1.3999795141668376E-3</v>
      </c>
      <c r="E41" s="27">
        <f t="shared" si="4"/>
        <v>97801.91978114839</v>
      </c>
      <c r="F41" s="27">
        <f t="shared" si="1"/>
        <v>97733.507338261465</v>
      </c>
      <c r="G41" s="27">
        <f t="shared" si="2"/>
        <v>41.623031378063182</v>
      </c>
    </row>
    <row r="42" spans="1:7" ht="15.75" x14ac:dyDescent="0.5">
      <c r="A42" s="25">
        <v>40</v>
      </c>
      <c r="C42" s="35">
        <v>1.529E-3</v>
      </c>
      <c r="D42" s="26">
        <f t="shared" si="0"/>
        <v>1.5301701133876809E-3</v>
      </c>
      <c r="E42" s="27">
        <f t="shared" si="4"/>
        <v>97665.094895374554</v>
      </c>
      <c r="F42" s="27">
        <f t="shared" si="1"/>
        <v>97590.429930327038</v>
      </c>
      <c r="G42" s="27">
        <f t="shared" si="2"/>
        <v>40.680643097756949</v>
      </c>
    </row>
    <row r="43" spans="1:7" ht="15.75" x14ac:dyDescent="0.5">
      <c r="A43" s="25">
        <v>41</v>
      </c>
      <c r="C43" s="35">
        <v>1.67E-3</v>
      </c>
      <c r="D43" s="26">
        <f t="shared" si="0"/>
        <v>1.6713960044347081E-3</v>
      </c>
      <c r="E43" s="27">
        <f t="shared" si="4"/>
        <v>97515.764965279523</v>
      </c>
      <c r="F43" s="27">
        <f t="shared" si="1"/>
        <v>97434.339301533517</v>
      </c>
      <c r="G43" s="27">
        <f t="shared" si="2"/>
        <v>39.742173380856286</v>
      </c>
    </row>
    <row r="44" spans="1:7" ht="15.75" x14ac:dyDescent="0.5">
      <c r="A44" s="25">
        <v>42</v>
      </c>
      <c r="C44" s="35">
        <v>1.818E-3</v>
      </c>
      <c r="D44" s="26">
        <f t="shared" si="0"/>
        <v>1.8196545676400695E-3</v>
      </c>
      <c r="E44" s="27">
        <f t="shared" si="4"/>
        <v>97352.913637787511</v>
      </c>
      <c r="F44" s="27">
        <f t="shared" si="1"/>
        <v>97264.419839290756</v>
      </c>
      <c r="G44" s="27">
        <f t="shared" si="2"/>
        <v>38.807817435974357</v>
      </c>
    </row>
    <row r="45" spans="1:7" ht="15.75" x14ac:dyDescent="0.5">
      <c r="A45" s="25">
        <v>43</v>
      </c>
      <c r="C45" s="35">
        <v>2.0019999999999999E-3</v>
      </c>
      <c r="D45" s="26">
        <f t="shared" si="0"/>
        <v>2.0040066806970842E-3</v>
      </c>
      <c r="E45" s="27">
        <f t="shared" si="4"/>
        <v>97175.926040794016</v>
      </c>
      <c r="F45" s="27">
        <f t="shared" si="1"/>
        <v>97078.652938827174</v>
      </c>
      <c r="G45" s="27">
        <f t="shared" si="2"/>
        <v>37.87758789075977</v>
      </c>
    </row>
    <row r="46" spans="1:7" ht="15.75" x14ac:dyDescent="0.5">
      <c r="A46" s="25">
        <v>44</v>
      </c>
      <c r="C46" s="35">
        <v>2.0929999999999998E-3</v>
      </c>
      <c r="D46" s="26">
        <f t="shared" si="0"/>
        <v>2.0951933855383655E-3</v>
      </c>
      <c r="E46" s="27">
        <f t="shared" si="4"/>
        <v>96981.379836860346</v>
      </c>
      <c r="F46" s="27">
        <f t="shared" si="1"/>
        <v>96879.888822861074</v>
      </c>
      <c r="G46" s="27">
        <f t="shared" si="2"/>
        <v>36.952567931759141</v>
      </c>
    </row>
    <row r="47" spans="1:7" ht="15.75" x14ac:dyDescent="0.5">
      <c r="A47" s="25">
        <v>45</v>
      </c>
      <c r="C47" s="35">
        <v>2.3470000000000001E-3</v>
      </c>
      <c r="D47" s="26">
        <f t="shared" si="0"/>
        <v>2.3497585215118753E-3</v>
      </c>
      <c r="E47" s="27">
        <f t="shared" si="4"/>
        <v>96778.397808861802</v>
      </c>
      <c r="F47" s="27">
        <f t="shared" si="1"/>
        <v>96664.828359033098</v>
      </c>
      <c r="G47" s="27">
        <f t="shared" si="2"/>
        <v>36.029023177269167</v>
      </c>
    </row>
    <row r="48" spans="1:7" ht="15.75" x14ac:dyDescent="0.5">
      <c r="A48" s="25">
        <v>46</v>
      </c>
      <c r="C48" s="35">
        <v>2.4880000000000002E-3</v>
      </c>
      <c r="D48" s="26">
        <f t="shared" si="0"/>
        <v>2.4911002152913806E-3</v>
      </c>
      <c r="E48" s="27">
        <f t="shared" si="4"/>
        <v>96551.258909204407</v>
      </c>
      <c r="F48" s="27">
        <f t="shared" si="1"/>
        <v>96431.149143121351</v>
      </c>
      <c r="G48" s="27">
        <f t="shared" si="2"/>
        <v>35.11260596346542</v>
      </c>
    </row>
    <row r="49" spans="1:7" ht="15.75" x14ac:dyDescent="0.5">
      <c r="A49" s="25">
        <v>47</v>
      </c>
      <c r="C49" s="35">
        <v>2.696E-3</v>
      </c>
      <c r="D49" s="26">
        <f t="shared" si="0"/>
        <v>2.6996407531192281E-3</v>
      </c>
      <c r="E49" s="27">
        <f t="shared" si="4"/>
        <v>96311.039377038309</v>
      </c>
      <c r="F49" s="27">
        <f t="shared" si="1"/>
        <v>96181.212095958064</v>
      </c>
      <c r="G49" s="27">
        <f t="shared" si="2"/>
        <v>34.19893691851869</v>
      </c>
    </row>
    <row r="50" spans="1:7" ht="15.75" x14ac:dyDescent="0.5">
      <c r="A50" s="25">
        <v>48</v>
      </c>
      <c r="C50" s="35">
        <v>2.8519999999999999E-3</v>
      </c>
      <c r="D50" s="26">
        <f t="shared" si="0"/>
        <v>2.8560747012092947E-3</v>
      </c>
      <c r="E50" s="27">
        <f t="shared" si="4"/>
        <v>96051.384814877805</v>
      </c>
      <c r="F50" s="27">
        <f t="shared" si="1"/>
        <v>95914.415540131798</v>
      </c>
      <c r="G50" s="27">
        <f t="shared" si="2"/>
        <v>33.290034852480986</v>
      </c>
    </row>
    <row r="51" spans="1:7" ht="15.75" x14ac:dyDescent="0.5">
      <c r="A51" s="25">
        <v>49</v>
      </c>
      <c r="C51" s="35">
        <v>3.189E-3</v>
      </c>
      <c r="D51" s="26">
        <f t="shared" si="0"/>
        <v>3.194095696835366E-3</v>
      </c>
      <c r="E51" s="27">
        <f t="shared" si="4"/>
        <v>95777.446265385777</v>
      </c>
      <c r="F51" s="27">
        <f t="shared" si="1"/>
        <v>95624.72912731563</v>
      </c>
      <c r="G51" s="27">
        <f t="shared" si="2"/>
        <v>32.38381950571128</v>
      </c>
    </row>
    <row r="52" spans="1:7" ht="15.75" x14ac:dyDescent="0.5">
      <c r="A52" s="25">
        <v>50</v>
      </c>
      <c r="C52" s="35">
        <v>3.3790000000000001E-3</v>
      </c>
      <c r="D52" s="26">
        <f t="shared" si="0"/>
        <v>3.3847217132486466E-3</v>
      </c>
      <c r="E52" s="27">
        <f t="shared" si="4"/>
        <v>95472.011989245468</v>
      </c>
      <c r="F52" s="27">
        <f t="shared" si="1"/>
        <v>95310.71202498964</v>
      </c>
      <c r="G52" s="27">
        <f t="shared" si="2"/>
        <v>31.485822293003665</v>
      </c>
    </row>
    <row r="53" spans="1:7" ht="15.75" x14ac:dyDescent="0.5">
      <c r="A53" s="25">
        <v>51</v>
      </c>
      <c r="C53" s="35">
        <v>3.6059999999999998E-3</v>
      </c>
      <c r="D53" s="26">
        <f t="shared" si="0"/>
        <v>3.6125172902830177E-3</v>
      </c>
      <c r="E53" s="27">
        <f t="shared" si="4"/>
        <v>95149.412060733812</v>
      </c>
      <c r="F53" s="27">
        <f t="shared" si="1"/>
        <v>94977.857670788304</v>
      </c>
      <c r="G53" s="27">
        <f t="shared" si="2"/>
        <v>30.590878371019336</v>
      </c>
    </row>
    <row r="54" spans="1:7" ht="15.75" x14ac:dyDescent="0.5">
      <c r="A54" s="25">
        <v>52</v>
      </c>
      <c r="C54" s="35">
        <v>3.9069999999999999E-3</v>
      </c>
      <c r="D54" s="26">
        <f t="shared" si="0"/>
        <v>3.914652262596254E-3</v>
      </c>
      <c r="E54" s="27">
        <f t="shared" si="4"/>
        <v>94806.303280842811</v>
      </c>
      <c r="F54" s="27">
        <f t="shared" si="1"/>
        <v>94621.099167383683</v>
      </c>
      <c r="G54" s="27">
        <f t="shared" si="2"/>
        <v>29.699778773275767</v>
      </c>
    </row>
    <row r="55" spans="1:7" ht="15.75" x14ac:dyDescent="0.5">
      <c r="A55" s="25">
        <v>53</v>
      </c>
      <c r="C55" s="35">
        <v>4.1250000000000002E-3</v>
      </c>
      <c r="D55" s="26">
        <f t="shared" si="0"/>
        <v>4.1335312816069818E-3</v>
      </c>
      <c r="E55" s="27">
        <f t="shared" si="4"/>
        <v>94435.895053924556</v>
      </c>
      <c r="F55" s="27">
        <f t="shared" si="1"/>
        <v>94241.121020375838</v>
      </c>
      <c r="G55" s="27">
        <f t="shared" si="2"/>
        <v>28.814309781592449</v>
      </c>
    </row>
    <row r="56" spans="1:7" ht="15.75" x14ac:dyDescent="0.5">
      <c r="A56" s="25">
        <v>54</v>
      </c>
      <c r="C56" s="35">
        <v>4.4780000000000002E-3</v>
      </c>
      <c r="D56" s="26">
        <f t="shared" si="0"/>
        <v>4.4880562745614333E-3</v>
      </c>
      <c r="E56" s="27">
        <f t="shared" si="4"/>
        <v>94046.346986827106</v>
      </c>
      <c r="F56" s="27">
        <f t="shared" si="1"/>
        <v>93835.77721592359</v>
      </c>
      <c r="G56" s="27">
        <f t="shared" si="2"/>
        <v>27.931590090716661</v>
      </c>
    </row>
    <row r="57" spans="1:7" ht="15.75" x14ac:dyDescent="0.5">
      <c r="A57" s="25">
        <v>55</v>
      </c>
      <c r="C57" s="35">
        <v>4.7600000000000003E-3</v>
      </c>
      <c r="D57" s="26">
        <f t="shared" si="0"/>
        <v>4.7713648788910339E-3</v>
      </c>
      <c r="E57" s="27">
        <f t="shared" si="4"/>
        <v>93625.207445020089</v>
      </c>
      <c r="F57" s="27">
        <f t="shared" si="1"/>
        <v>93402.379451300949</v>
      </c>
      <c r="G57" s="27">
        <f t="shared" si="2"/>
        <v>27.054981296964478</v>
      </c>
    </row>
    <row r="58" spans="1:7" ht="15.75" x14ac:dyDescent="0.5">
      <c r="A58" s="25">
        <v>56</v>
      </c>
      <c r="C58" s="35">
        <v>5.3889999999999997E-3</v>
      </c>
      <c r="D58" s="26">
        <f t="shared" si="0"/>
        <v>5.4035730401556306E-3</v>
      </c>
      <c r="E58" s="27">
        <f t="shared" si="4"/>
        <v>93179.551457581794</v>
      </c>
      <c r="F58" s="27">
        <f t="shared" si="1"/>
        <v>92928.479156179339</v>
      </c>
      <c r="G58" s="27">
        <f t="shared" si="2"/>
        <v>26.181987557739316</v>
      </c>
    </row>
    <row r="59" spans="1:7" ht="15.75" x14ac:dyDescent="0.5">
      <c r="A59" s="25">
        <v>57</v>
      </c>
      <c r="C59" s="35">
        <v>5.8560000000000001E-3</v>
      </c>
      <c r="D59" s="26">
        <f t="shared" si="0"/>
        <v>5.8732136028026563E-3</v>
      </c>
      <c r="E59" s="27">
        <f t="shared" si="4"/>
        <v>92677.406854776884</v>
      </c>
      <c r="F59" s="27">
        <f t="shared" si="1"/>
        <v>92406.047407506092</v>
      </c>
      <c r="G59" s="27">
        <f t="shared" si="2"/>
        <v>25.321137668635593</v>
      </c>
    </row>
    <row r="60" spans="1:7" ht="15.75" x14ac:dyDescent="0.5">
      <c r="A60" s="25">
        <v>58</v>
      </c>
      <c r="C60" s="35">
        <v>6.3940000000000004E-3</v>
      </c>
      <c r="D60" s="26">
        <f t="shared" si="0"/>
        <v>6.414529173812307E-3</v>
      </c>
      <c r="E60" s="27">
        <f t="shared" si="4"/>
        <v>92134.687960235315</v>
      </c>
      <c r="F60" s="27">
        <f t="shared" si="1"/>
        <v>91840.13336282644</v>
      </c>
      <c r="G60" s="27">
        <f t="shared" si="2"/>
        <v>24.467346449443525</v>
      </c>
    </row>
    <row r="61" spans="1:7" ht="15.75" x14ac:dyDescent="0.5">
      <c r="A61" s="25">
        <v>59</v>
      </c>
      <c r="C61" s="35">
        <v>6.9300000000000004E-3</v>
      </c>
      <c r="D61" s="26">
        <f t="shared" si="0"/>
        <v>6.9541239673319754E-3</v>
      </c>
      <c r="E61" s="27">
        <f t="shared" si="4"/>
        <v>91545.578765417566</v>
      </c>
      <c r="F61" s="27">
        <f t="shared" si="1"/>
        <v>91228.373334995384</v>
      </c>
      <c r="G61" s="27">
        <f t="shared" si="2"/>
        <v>23.621579830882183</v>
      </c>
    </row>
    <row r="62" spans="1:7" ht="15.75" x14ac:dyDescent="0.5">
      <c r="A62" s="25">
        <v>60</v>
      </c>
      <c r="C62" s="35">
        <v>7.5950000000000002E-3</v>
      </c>
      <c r="D62" s="26">
        <f t="shared" si="0"/>
        <v>7.6239888861715866E-3</v>
      </c>
      <c r="E62" s="27">
        <f t="shared" si="4"/>
        <v>90911.167904573216</v>
      </c>
      <c r="F62" s="27">
        <f t="shared" si="1"/>
        <v>90565.932744455597</v>
      </c>
      <c r="G62" s="27">
        <f t="shared" si="2"/>
        <v>22.782930539521065</v>
      </c>
    </row>
    <row r="63" spans="1:7" ht="15.75" x14ac:dyDescent="0.5">
      <c r="A63" s="25">
        <v>61</v>
      </c>
      <c r="C63" s="35">
        <v>8.3129999999999992E-3</v>
      </c>
      <c r="D63" s="26">
        <f t="shared" si="0"/>
        <v>8.3477456790442221E-3</v>
      </c>
      <c r="E63" s="27">
        <f t="shared" si="4"/>
        <v>90220.697584337977</v>
      </c>
      <c r="F63" s="27">
        <f t="shared" si="1"/>
        <v>89845.695254828679</v>
      </c>
      <c r="G63" s="27">
        <f t="shared" si="2"/>
        <v>21.953464603182237</v>
      </c>
    </row>
    <row r="64" spans="1:7" ht="15.75" x14ac:dyDescent="0.5">
      <c r="A64" s="25">
        <v>62</v>
      </c>
      <c r="C64" s="35">
        <v>9.2230000000000003E-3</v>
      </c>
      <c r="D64" s="26">
        <f t="shared" si="0"/>
        <v>9.2657952011676297E-3</v>
      </c>
      <c r="E64" s="27">
        <f t="shared" si="4"/>
        <v>89470.692925319381</v>
      </c>
      <c r="F64" s="27">
        <f t="shared" si="1"/>
        <v>89058.098824894274</v>
      </c>
      <c r="G64" s="27">
        <f t="shared" si="2"/>
        <v>21.133302244742783</v>
      </c>
    </row>
    <row r="65" spans="1:7" ht="15.75" x14ac:dyDescent="0.5">
      <c r="A65" s="25">
        <v>63</v>
      </c>
      <c r="C65" s="35">
        <v>1.0178E-2</v>
      </c>
      <c r="D65" s="26">
        <f t="shared" si="0"/>
        <v>1.0230149998893934E-2</v>
      </c>
      <c r="E65" s="27">
        <f t="shared" si="4"/>
        <v>88645.504724469167</v>
      </c>
      <c r="F65" s="27">
        <f t="shared" si="1"/>
        <v>88194.38775092634</v>
      </c>
      <c r="G65" s="27">
        <f t="shared" si="2"/>
        <v>20.325374675373755</v>
      </c>
    </row>
    <row r="66" spans="1:7" ht="15.75" x14ac:dyDescent="0.5">
      <c r="A66" s="25">
        <v>64</v>
      </c>
      <c r="C66" s="35">
        <v>1.0947E-2</v>
      </c>
      <c r="D66" s="26">
        <f t="shared" si="0"/>
        <v>1.1007359310962491E-2</v>
      </c>
      <c r="E66" s="27">
        <f t="shared" si="4"/>
        <v>87743.270777383514</v>
      </c>
      <c r="F66" s="27">
        <f t="shared" si="1"/>
        <v>87263.0079847835</v>
      </c>
      <c r="G66" s="27">
        <f t="shared" si="2"/>
        <v>19.529232200712606</v>
      </c>
    </row>
    <row r="67" spans="1:7" ht="15.75" x14ac:dyDescent="0.5">
      <c r="A67" s="25">
        <v>65</v>
      </c>
      <c r="C67" s="35">
        <v>1.2024999999999999E-2</v>
      </c>
      <c r="D67" s="26">
        <f t="shared" si="0"/>
        <v>1.2097885198136479E-2</v>
      </c>
      <c r="E67" s="27">
        <f t="shared" ref="E67:E98" si="5">E66*EXP(-D66*SMR)</f>
        <v>86782.745192183487</v>
      </c>
      <c r="F67" s="27">
        <f t="shared" si="1"/>
        <v>86260.963936715489</v>
      </c>
      <c r="G67" s="27">
        <f t="shared" si="2"/>
        <v>18.739850847945064</v>
      </c>
    </row>
    <row r="68" spans="1:7" ht="15.75" x14ac:dyDescent="0.5">
      <c r="A68" s="25">
        <v>66</v>
      </c>
      <c r="C68" s="35">
        <v>1.333E-2</v>
      </c>
      <c r="D68" s="26">
        <f t="shared" si="0"/>
        <v>1.3419641959468967E-2</v>
      </c>
      <c r="E68" s="27">
        <f t="shared" si="5"/>
        <v>85739.18268124749</v>
      </c>
      <c r="F68" s="27">
        <f t="shared" si="1"/>
        <v>85167.731028676979</v>
      </c>
      <c r="G68" s="27">
        <f t="shared" si="2"/>
        <v>17.961854650112667</v>
      </c>
    </row>
    <row r="69" spans="1:7" ht="15.75" x14ac:dyDescent="0.5">
      <c r="A69" s="25">
        <v>67</v>
      </c>
      <c r="C69" s="35">
        <v>1.4437E-2</v>
      </c>
      <c r="D69" s="26">
        <f t="shared" si="0"/>
        <v>1.4542227491962713E-2</v>
      </c>
      <c r="E69" s="27">
        <f t="shared" si="5"/>
        <v>84596.279376106468</v>
      </c>
      <c r="F69" s="27">
        <f t="shared" si="1"/>
        <v>83985.621133430046</v>
      </c>
      <c r="G69" s="27">
        <f t="shared" si="2"/>
        <v>17.197765869148412</v>
      </c>
    </row>
    <row r="70" spans="1:7" ht="15.75" x14ac:dyDescent="0.5">
      <c r="A70" s="25">
        <v>68</v>
      </c>
      <c r="C70" s="35">
        <v>1.5740000000000001E-2</v>
      </c>
      <c r="D70" s="26">
        <f t="shared" si="0"/>
        <v>1.5865189189582744E-2</v>
      </c>
      <c r="E70" s="27">
        <f t="shared" si="5"/>
        <v>83374.96289075361</v>
      </c>
      <c r="F70" s="27">
        <f t="shared" si="1"/>
        <v>82718.801932803384</v>
      </c>
      <c r="G70" s="27">
        <f t="shared" si="2"/>
        <v>16.442362760319142</v>
      </c>
    </row>
    <row r="71" spans="1:7" ht="15.75" x14ac:dyDescent="0.5">
      <c r="A71" s="25">
        <v>69</v>
      </c>
      <c r="C71" s="35">
        <v>1.7288999999999999E-2</v>
      </c>
      <c r="D71" s="26">
        <f t="shared" si="0"/>
        <v>1.7440200026256757E-2</v>
      </c>
      <c r="E71" s="27">
        <f t="shared" si="5"/>
        <v>82062.640974853144</v>
      </c>
      <c r="F71" s="27">
        <f t="shared" si="1"/>
        <v>81353.25047494602</v>
      </c>
      <c r="G71" s="27">
        <f t="shared" si="2"/>
        <v>15.697308394447752</v>
      </c>
    </row>
    <row r="72" spans="1:7" ht="15.75" x14ac:dyDescent="0.5">
      <c r="A72" s="25">
        <v>70</v>
      </c>
      <c r="C72" s="35">
        <v>1.8286E-2</v>
      </c>
      <c r="D72" s="26">
        <f t="shared" si="0"/>
        <v>1.8455255409489908E-2</v>
      </c>
      <c r="E72" s="27">
        <f t="shared" si="5"/>
        <v>80643.859975038911</v>
      </c>
      <c r="F72" s="27">
        <f t="shared" si="1"/>
        <v>79906.533163287124</v>
      </c>
      <c r="G72" s="27">
        <f t="shared" si="2"/>
        <v>14.96467719853319</v>
      </c>
    </row>
    <row r="73" spans="1:7" ht="15.75" x14ac:dyDescent="0.5">
      <c r="A73" s="25">
        <v>71</v>
      </c>
      <c r="C73" s="35">
        <v>2.0275999999999999E-2</v>
      </c>
      <c r="D73" s="26">
        <f t="shared" si="0"/>
        <v>2.0484379636503923E-2</v>
      </c>
      <c r="E73" s="27">
        <f t="shared" si="5"/>
        <v>79169.206351535351</v>
      </c>
      <c r="F73" s="27">
        <f t="shared" si="1"/>
        <v>78366.588937543478</v>
      </c>
      <c r="G73" s="27">
        <f t="shared" si="2"/>
        <v>14.234105043355997</v>
      </c>
    </row>
    <row r="74" spans="1:7" ht="15.75" x14ac:dyDescent="0.5">
      <c r="A74" s="25">
        <v>72</v>
      </c>
      <c r="C74" s="35">
        <v>2.2325999999999999E-2</v>
      </c>
      <c r="D74" s="26">
        <f t="shared" si="0"/>
        <v>2.2578997848557329E-2</v>
      </c>
      <c r="E74" s="27">
        <f t="shared" si="5"/>
        <v>77563.97152355162</v>
      </c>
      <c r="F74" s="27">
        <f t="shared" si="1"/>
        <v>76698.124909434206</v>
      </c>
      <c r="G74" s="27">
        <f t="shared" si="2"/>
        <v>13.518340923929591</v>
      </c>
    </row>
    <row r="75" spans="1:7" ht="15.75" x14ac:dyDescent="0.5">
      <c r="A75" s="25">
        <v>73</v>
      </c>
      <c r="C75" s="35">
        <v>2.5499999999999998E-2</v>
      </c>
      <c r="D75" s="26">
        <f t="shared" si="0"/>
        <v>2.5830760034521515E-2</v>
      </c>
      <c r="E75" s="27">
        <f t="shared" si="5"/>
        <v>75832.278295316806</v>
      </c>
      <c r="F75" s="27">
        <f t="shared" si="1"/>
        <v>74865.416747051524</v>
      </c>
      <c r="G75" s="27">
        <f t="shared" si="2"/>
        <v>12.815625580643029</v>
      </c>
    </row>
    <row r="76" spans="1:7" ht="15.75" x14ac:dyDescent="0.5">
      <c r="A76" s="25">
        <v>74</v>
      </c>
      <c r="C76" s="35">
        <v>2.8122999999999999E-2</v>
      </c>
      <c r="D76" s="26">
        <f t="shared" si="0"/>
        <v>2.8526025738842029E-2</v>
      </c>
      <c r="E76" s="27">
        <f t="shared" si="5"/>
        <v>73898.555198786227</v>
      </c>
      <c r="F76" s="27">
        <f t="shared" si="1"/>
        <v>72859.43066485849</v>
      </c>
      <c r="G76" s="27">
        <f t="shared" si="2"/>
        <v>12.137891822106752</v>
      </c>
    </row>
    <row r="77" spans="1:7" ht="15.75" x14ac:dyDescent="0.5">
      <c r="A77" s="25">
        <v>75</v>
      </c>
      <c r="C77" s="35">
        <v>3.1401999999999999E-2</v>
      </c>
      <c r="D77" s="26">
        <f t="shared" si="0"/>
        <v>3.1905613850985663E-2</v>
      </c>
      <c r="E77" s="27">
        <f t="shared" si="5"/>
        <v>71820.306130930767</v>
      </c>
      <c r="F77" s="27">
        <f t="shared" si="1"/>
        <v>70692.655504369031</v>
      </c>
      <c r="G77" s="27">
        <f t="shared" si="2"/>
        <v>11.474655045964408</v>
      </c>
    </row>
    <row r="78" spans="1:7" ht="15.75" x14ac:dyDescent="0.5">
      <c r="A78" s="25">
        <v>76</v>
      </c>
      <c r="C78" s="35">
        <v>3.5115E-2</v>
      </c>
      <c r="D78" s="26">
        <f t="shared" si="0"/>
        <v>3.5746355729033057E-2</v>
      </c>
      <c r="E78" s="27">
        <f t="shared" si="5"/>
        <v>69565.004877807281</v>
      </c>
      <c r="F78" s="27">
        <f t="shared" si="1"/>
        <v>68343.617304665182</v>
      </c>
      <c r="G78" s="27">
        <f t="shared" si="2"/>
        <v>10.830453961255762</v>
      </c>
    </row>
    <row r="79" spans="1:7" ht="15.75" x14ac:dyDescent="0.5">
      <c r="A79" s="25">
        <v>77</v>
      </c>
      <c r="C79" s="35">
        <v>3.8837999999999998E-2</v>
      </c>
      <c r="D79" s="26">
        <f t="shared" si="0"/>
        <v>3.9612309817247504E-2</v>
      </c>
      <c r="E79" s="27">
        <f t="shared" si="5"/>
        <v>67122.229731523083</v>
      </c>
      <c r="F79" s="27">
        <f t="shared" si="1"/>
        <v>65818.783152366639</v>
      </c>
      <c r="G79" s="27">
        <f t="shared" si="2"/>
        <v>10.20640953197092</v>
      </c>
    </row>
    <row r="80" spans="1:7" ht="15.75" x14ac:dyDescent="0.5">
      <c r="A80" s="25">
        <v>78</v>
      </c>
      <c r="C80" s="35">
        <v>4.3520999999999997E-2</v>
      </c>
      <c r="D80" s="26">
        <f t="shared" si="0"/>
        <v>4.4496445387277865E-2</v>
      </c>
      <c r="E80" s="27">
        <f t="shared" si="5"/>
        <v>64515.336573210188</v>
      </c>
      <c r="F80" s="27">
        <f t="shared" si="1"/>
        <v>63111.450591708846</v>
      </c>
      <c r="G80" s="27">
        <f t="shared" si="2"/>
        <v>9.5986197248444292</v>
      </c>
    </row>
    <row r="81" spans="1:7" ht="15.75" x14ac:dyDescent="0.5">
      <c r="A81" s="25">
        <v>79</v>
      </c>
      <c r="C81" s="35">
        <v>4.8099000000000003E-2</v>
      </c>
      <c r="D81" s="26">
        <f t="shared" si="0"/>
        <v>4.9294241194911374E-2</v>
      </c>
      <c r="E81" s="27">
        <f t="shared" si="5"/>
        <v>61707.564610207504</v>
      </c>
      <c r="F81" s="27">
        <f t="shared" si="1"/>
        <v>60223.528535114317</v>
      </c>
      <c r="G81" s="27">
        <f t="shared" si="2"/>
        <v>9.0126183897863186</v>
      </c>
    </row>
    <row r="82" spans="1:7" ht="15.75" x14ac:dyDescent="0.5">
      <c r="A82" s="25">
        <v>80</v>
      </c>
      <c r="C82" s="35">
        <v>5.3982000000000002E-2</v>
      </c>
      <c r="D82" s="26">
        <f t="shared" si="0"/>
        <v>5.5493682627135263E-2</v>
      </c>
      <c r="E82" s="27">
        <f t="shared" si="5"/>
        <v>58739.492460021131</v>
      </c>
      <c r="F82" s="27">
        <f t="shared" si="1"/>
        <v>57154.054819032703</v>
      </c>
      <c r="G82" s="27">
        <f t="shared" si="2"/>
        <v>8.4427560111674644</v>
      </c>
    </row>
    <row r="83" spans="1:7" ht="15.75" x14ac:dyDescent="0.5">
      <c r="A83" s="25">
        <v>81</v>
      </c>
      <c r="C83" s="35">
        <v>6.0070999999999999E-2</v>
      </c>
      <c r="D83" s="26">
        <f t="shared" si="0"/>
        <v>6.1950938485659801E-2</v>
      </c>
      <c r="E83" s="27">
        <f t="shared" si="5"/>
        <v>55568.617178044275</v>
      </c>
      <c r="F83" s="27">
        <f t="shared" si="1"/>
        <v>53899.585976793125</v>
      </c>
      <c r="G83" s="27">
        <f t="shared" si="2"/>
        <v>7.8959882488149953</v>
      </c>
    </row>
    <row r="84" spans="1:7" ht="15.75" x14ac:dyDescent="0.5">
      <c r="A84" s="25">
        <v>82</v>
      </c>
      <c r="C84" s="35">
        <v>6.6512000000000002E-2</v>
      </c>
      <c r="D84" s="26">
        <f t="shared" si="0"/>
        <v>6.8827170930332707E-2</v>
      </c>
      <c r="E84" s="27">
        <f t="shared" si="5"/>
        <v>52230.554775541976</v>
      </c>
      <c r="F84" s="27">
        <f t="shared" si="1"/>
        <v>50493.575445926552</v>
      </c>
      <c r="G84" s="27">
        <f t="shared" si="2"/>
        <v>7.3686669406040197</v>
      </c>
    </row>
    <row r="85" spans="1:7" ht="15.75" x14ac:dyDescent="0.5">
      <c r="A85" s="25">
        <v>83</v>
      </c>
      <c r="C85" s="35">
        <v>7.5396000000000005E-2</v>
      </c>
      <c r="D85" s="26">
        <f t="shared" si="0"/>
        <v>7.8389741242258559E-2</v>
      </c>
      <c r="E85" s="27">
        <f t="shared" si="5"/>
        <v>48756.596116311128</v>
      </c>
      <c r="F85" s="27">
        <f t="shared" si="1"/>
        <v>46918.569955918429</v>
      </c>
      <c r="G85" s="27">
        <f t="shared" si="2"/>
        <v>6.8580666710273928</v>
      </c>
    </row>
    <row r="86" spans="1:7" ht="15.75" x14ac:dyDescent="0.5">
      <c r="A86" s="25">
        <v>84</v>
      </c>
      <c r="C86" s="35">
        <v>8.4754999999999997E-2</v>
      </c>
      <c r="D86" s="26">
        <f t="shared" si="0"/>
        <v>8.8563489984968241E-2</v>
      </c>
      <c r="E86" s="27">
        <f t="shared" si="5"/>
        <v>45080.543795525737</v>
      </c>
      <c r="F86" s="27">
        <f t="shared" si="1"/>
        <v>43170.14305083084</v>
      </c>
      <c r="G86" s="27">
        <f t="shared" si="2"/>
        <v>6.3765294883294823</v>
      </c>
    </row>
    <row r="87" spans="1:7" ht="15.75" x14ac:dyDescent="0.5">
      <c r="A87" s="25">
        <v>85</v>
      </c>
      <c r="C87" s="35">
        <v>9.4663999999999998E-2</v>
      </c>
      <c r="D87" s="26">
        <f t="shared" si="0"/>
        <v>9.9449133467897813E-2</v>
      </c>
      <c r="E87" s="27">
        <f t="shared" si="5"/>
        <v>41259.742306135951</v>
      </c>
      <c r="F87" s="27">
        <f t="shared" si="1"/>
        <v>39306.83618330193</v>
      </c>
      <c r="G87" s="27">
        <f t="shared" si="2"/>
        <v>5.9207173907855095</v>
      </c>
    </row>
    <row r="88" spans="1:7" ht="15.75" x14ac:dyDescent="0.5">
      <c r="A88" s="25">
        <v>86</v>
      </c>
      <c r="C88" s="35">
        <v>0.106853</v>
      </c>
      <c r="D88" s="26">
        <f t="shared" si="0"/>
        <v>0.11300409799116599</v>
      </c>
      <c r="E88" s="27">
        <f t="shared" si="5"/>
        <v>37353.930060467901</v>
      </c>
      <c r="F88" s="27">
        <f t="shared" si="1"/>
        <v>35358.240316092313</v>
      </c>
      <c r="G88" s="27">
        <f t="shared" si="2"/>
        <v>5.4875199823993634</v>
      </c>
    </row>
    <row r="89" spans="1:7" ht="15.75" x14ac:dyDescent="0.5">
      <c r="A89" s="25">
        <v>87</v>
      </c>
      <c r="C89" s="35">
        <v>0.118585</v>
      </c>
      <c r="D89" s="26">
        <f t="shared" si="0"/>
        <v>0.1262267083392111</v>
      </c>
      <c r="E89" s="27">
        <f t="shared" si="5"/>
        <v>33362.550571716725</v>
      </c>
      <c r="F89" s="27">
        <f t="shared" si="1"/>
        <v>31384.401541943211</v>
      </c>
      <c r="G89" s="27">
        <f t="shared" si="2"/>
        <v>5.0842095225078987</v>
      </c>
    </row>
    <row r="90" spans="1:7" ht="15.75" x14ac:dyDescent="0.5">
      <c r="A90" s="25">
        <v>88</v>
      </c>
      <c r="C90" s="35">
        <v>0.13335900000000001</v>
      </c>
      <c r="D90" s="26">
        <f t="shared" si="0"/>
        <v>0.14313045946383288</v>
      </c>
      <c r="E90" s="27">
        <f t="shared" si="5"/>
        <v>29406.2525121697</v>
      </c>
      <c r="F90" s="27">
        <f t="shared" si="1"/>
        <v>27445.45829778448</v>
      </c>
      <c r="G90" s="27">
        <f t="shared" si="2"/>
        <v>4.7009660857914808</v>
      </c>
    </row>
    <row r="91" spans="1:7" ht="15.75" x14ac:dyDescent="0.5">
      <c r="A91" s="25">
        <v>89</v>
      </c>
      <c r="C91" s="35">
        <v>0.14985100000000001</v>
      </c>
      <c r="D91" s="26">
        <f t="shared" si="0"/>
        <v>0.16234365074234641</v>
      </c>
      <c r="E91" s="27">
        <f t="shared" si="5"/>
        <v>25484.664083399261</v>
      </c>
      <c r="F91" s="27">
        <f t="shared" si="1"/>
        <v>23575.21288461853</v>
      </c>
      <c r="G91" s="27">
        <f t="shared" si="2"/>
        <v>4.34741211850291</v>
      </c>
    </row>
    <row r="92" spans="1:7" ht="15.75" x14ac:dyDescent="0.5">
      <c r="A92" s="25">
        <v>90</v>
      </c>
      <c r="C92" s="35">
        <v>0.15953000000000001</v>
      </c>
      <c r="D92" s="26">
        <f t="shared" si="0"/>
        <v>0.17379401981033563</v>
      </c>
      <c r="E92" s="27">
        <f t="shared" si="5"/>
        <v>21665.761685837799</v>
      </c>
      <c r="F92" s="27">
        <f t="shared" si="1"/>
        <v>19937.592204966946</v>
      </c>
      <c r="G92" s="27">
        <f t="shared" si="2"/>
        <v>4.0255738917565154</v>
      </c>
    </row>
    <row r="93" spans="1:7" ht="15.75" x14ac:dyDescent="0.5">
      <c r="A93" s="25">
        <v>91</v>
      </c>
      <c r="C93" s="35">
        <v>0.17905499999999999</v>
      </c>
      <c r="D93" s="26">
        <f t="shared" si="0"/>
        <v>0.1972991632475502</v>
      </c>
      <c r="E93" s="27">
        <f t="shared" si="5"/>
        <v>18209.422724096097</v>
      </c>
      <c r="F93" s="27">
        <f t="shared" si="1"/>
        <v>16579.178631164585</v>
      </c>
      <c r="G93" s="27">
        <f t="shared" si="2"/>
        <v>3.6947647051727182</v>
      </c>
    </row>
    <row r="94" spans="1:7" ht="15.75" x14ac:dyDescent="0.5">
      <c r="A94" s="25">
        <v>92</v>
      </c>
      <c r="C94" s="35">
        <v>0.19694999999999999</v>
      </c>
      <c r="D94" s="26">
        <f t="shared" si="0"/>
        <v>0.21933830047323075</v>
      </c>
      <c r="E94" s="27">
        <f t="shared" si="5"/>
        <v>14948.934538233072</v>
      </c>
      <c r="F94" s="27">
        <f t="shared" si="1"/>
        <v>13476.838209580572</v>
      </c>
      <c r="G94" s="27">
        <f t="shared" si="2"/>
        <v>3.3915697216899039</v>
      </c>
    </row>
    <row r="95" spans="1:7" ht="15.75" x14ac:dyDescent="0.5">
      <c r="A95" s="25">
        <v>93</v>
      </c>
      <c r="C95" s="35">
        <v>0.21504400000000001</v>
      </c>
      <c r="D95" s="26">
        <f t="shared" si="0"/>
        <v>0.24212761372605615</v>
      </c>
      <c r="E95" s="27">
        <f t="shared" si="5"/>
        <v>12004.74188092807</v>
      </c>
      <c r="F95" s="27">
        <f t="shared" si="1"/>
        <v>10713.96802440692</v>
      </c>
      <c r="G95" s="27">
        <f t="shared" si="2"/>
        <v>3.1007343523938777</v>
      </c>
    </row>
    <row r="96" spans="1:7" ht="15.75" x14ac:dyDescent="0.5">
      <c r="A96" s="25">
        <v>94</v>
      </c>
      <c r="C96" s="35">
        <v>0.23808599999999999</v>
      </c>
      <c r="D96" s="26">
        <f t="shared" si="0"/>
        <v>0.27192159055714898</v>
      </c>
      <c r="E96" s="27">
        <f t="shared" si="5"/>
        <v>9423.1941678857729</v>
      </c>
      <c r="F96" s="27">
        <f t="shared" si="1"/>
        <v>8301.4288645581473</v>
      </c>
      <c r="G96" s="27">
        <f t="shared" si="2"/>
        <v>2.8132231009048652</v>
      </c>
    </row>
    <row r="97" spans="1:7" ht="15.75" x14ac:dyDescent="0.5">
      <c r="A97" s="25">
        <v>95</v>
      </c>
      <c r="C97" s="35">
        <v>0.26101200000000002</v>
      </c>
      <c r="D97" s="26">
        <f t="shared" si="0"/>
        <v>0.3024735963254509</v>
      </c>
      <c r="E97" s="27">
        <f t="shared" si="5"/>
        <v>7179.6635612305208</v>
      </c>
      <c r="F97" s="27">
        <f t="shared" si="1"/>
        <v>6242.6743885085707</v>
      </c>
      <c r="G97" s="27">
        <f t="shared" si="2"/>
        <v>2.5360685076069807</v>
      </c>
    </row>
    <row r="98" spans="1:7" ht="15.75" x14ac:dyDescent="0.5">
      <c r="A98" s="25">
        <v>96</v>
      </c>
      <c r="C98" s="35">
        <v>0.28671400000000002</v>
      </c>
      <c r="D98" s="26">
        <f t="shared" si="0"/>
        <v>0.33787281697613625</v>
      </c>
      <c r="E98" s="27">
        <f t="shared" si="5"/>
        <v>5305.6852157866197</v>
      </c>
      <c r="F98" s="27">
        <f t="shared" si="1"/>
        <v>4545.078100307097</v>
      </c>
      <c r="G98" s="27">
        <f t="shared" si="2"/>
        <v>2.255211867590516</v>
      </c>
    </row>
    <row r="99" spans="1:7" ht="15.75" x14ac:dyDescent="0.5">
      <c r="A99" s="25">
        <v>97</v>
      </c>
      <c r="C99" s="35">
        <v>0.30411300000000002</v>
      </c>
      <c r="D99" s="26">
        <f t="shared" si="0"/>
        <v>0.36256798815077096</v>
      </c>
      <c r="E99" s="27">
        <f t="shared" ref="E99:E102" si="6">E98*EXP(-D98*SMR)</f>
        <v>3784.4709848275747</v>
      </c>
      <c r="F99" s="27">
        <f t="shared" si="1"/>
        <v>3209.0175725231402</v>
      </c>
      <c r="G99" s="27">
        <f t="shared" si="2"/>
        <v>1.9607406672646257</v>
      </c>
    </row>
    <row r="100" spans="1:7" ht="15.75" x14ac:dyDescent="0.5">
      <c r="A100" s="25">
        <v>98</v>
      </c>
      <c r="C100" s="35">
        <v>0.32589200000000002</v>
      </c>
      <c r="D100" s="26">
        <f t="shared" si="0"/>
        <v>0.3943649435177452</v>
      </c>
      <c r="E100" s="27">
        <f t="shared" si="6"/>
        <v>2633.5641602187061</v>
      </c>
      <c r="F100" s="27">
        <f t="shared" si="1"/>
        <v>2204.4354145677089</v>
      </c>
      <c r="G100" s="27">
        <f t="shared" si="2"/>
        <v>1.59910612968</v>
      </c>
    </row>
    <row r="101" spans="1:7" ht="15.75" x14ac:dyDescent="0.5">
      <c r="A101" s="25">
        <v>99</v>
      </c>
      <c r="C101" s="35">
        <v>0.36953999999999998</v>
      </c>
      <c r="D101" s="26">
        <f t="shared" si="0"/>
        <v>0.46130556730259958</v>
      </c>
      <c r="E101" s="27">
        <f t="shared" si="6"/>
        <v>1775.3066689167113</v>
      </c>
      <c r="F101" s="27">
        <f t="shared" si="1"/>
        <v>1447.2832557009706</v>
      </c>
      <c r="G101" s="27">
        <f t="shared" si="2"/>
        <v>1.13046</v>
      </c>
    </row>
    <row r="102" spans="1:7" ht="15.75" x14ac:dyDescent="0.5">
      <c r="A102" s="25">
        <v>100</v>
      </c>
      <c r="C102" s="35">
        <v>0.38438600000000001</v>
      </c>
      <c r="D102" s="26">
        <f t="shared" si="0"/>
        <v>0.48513513523572327</v>
      </c>
      <c r="E102" s="27">
        <f t="shared" si="6"/>
        <v>1119.2598424852299</v>
      </c>
      <c r="F102" s="27">
        <f t="shared" si="1"/>
        <v>559.62992124261496</v>
      </c>
      <c r="G102" s="27">
        <f t="shared" si="2"/>
        <v>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6A0A-B95B-48B2-BE48-59A44B117EB2}">
  <dimension ref="A1:G102"/>
  <sheetViews>
    <sheetView workbookViewId="0">
      <selection activeCell="C102" sqref="C102"/>
    </sheetView>
  </sheetViews>
  <sheetFormatPr defaultRowHeight="14.25" x14ac:dyDescent="0.45"/>
  <sheetData>
    <row r="1" spans="1:7" x14ac:dyDescent="0.45">
      <c r="A1" s="24" t="s">
        <v>112</v>
      </c>
      <c r="B1" s="24"/>
      <c r="C1" s="24" t="s">
        <v>113</v>
      </c>
      <c r="D1" s="24" t="s">
        <v>114</v>
      </c>
      <c r="E1" s="24" t="s">
        <v>115</v>
      </c>
      <c r="F1" s="24" t="s">
        <v>116</v>
      </c>
      <c r="G1" s="24" t="s">
        <v>117</v>
      </c>
    </row>
    <row r="2" spans="1:7" ht="15.75" x14ac:dyDescent="0.5">
      <c r="A2" s="25">
        <v>0</v>
      </c>
      <c r="C2" s="38">
        <v>3.5360000000000001E-3</v>
      </c>
      <c r="D2" s="26">
        <v>3.5543090794966561E-3</v>
      </c>
      <c r="E2" s="25">
        <v>100000</v>
      </c>
      <c r="F2" s="27">
        <v>99822.6</v>
      </c>
      <c r="G2" s="27">
        <v>82.921646166694046</v>
      </c>
    </row>
    <row r="3" spans="1:7" ht="15.75" x14ac:dyDescent="0.5">
      <c r="A3" s="25">
        <v>1</v>
      </c>
      <c r="C3" s="38">
        <v>2.13E-4</v>
      </c>
      <c r="D3" s="26">
        <v>2.2402509174710615E-4</v>
      </c>
      <c r="E3" s="27">
        <v>99645.2</v>
      </c>
      <c r="F3" s="27">
        <v>99634.039737599989</v>
      </c>
      <c r="G3" s="27">
        <v>82.215119410362007</v>
      </c>
    </row>
    <row r="4" spans="1:7" ht="15.75" x14ac:dyDescent="0.5">
      <c r="A4" s="25">
        <v>2</v>
      </c>
      <c r="C4" s="38">
        <v>1.27E-4</v>
      </c>
      <c r="D4" s="26">
        <v>1.2700806518284761E-4</v>
      </c>
      <c r="E4" s="27">
        <v>99622.879475199996</v>
      </c>
      <c r="F4" s="27">
        <v>99616.553422353318</v>
      </c>
      <c r="G4" s="27">
        <v>81.233427698166395</v>
      </c>
    </row>
    <row r="5" spans="1:7" ht="15.75" x14ac:dyDescent="0.5">
      <c r="A5" s="25">
        <v>3</v>
      </c>
      <c r="C5" s="38">
        <v>9.7999999999999997E-5</v>
      </c>
      <c r="D5" s="26">
        <v>9.800480231379623E-5</v>
      </c>
      <c r="E5" s="27">
        <v>99610.22736950664</v>
      </c>
      <c r="F5" s="27">
        <v>99605.346468365533</v>
      </c>
      <c r="G5" s="27">
        <v>80.243682145798914</v>
      </c>
    </row>
    <row r="6" spans="1:7" ht="15.75" x14ac:dyDescent="0.5">
      <c r="A6" s="25">
        <v>4</v>
      </c>
      <c r="C6" s="38">
        <v>6.7999999999999999E-5</v>
      </c>
      <c r="D6" s="26">
        <v>7.3002664629669175E-5</v>
      </c>
      <c r="E6" s="27">
        <v>99600.465567224426</v>
      </c>
      <c r="F6" s="27">
        <v>99596.830150231224</v>
      </c>
      <c r="G6" s="27">
        <v>79.251497792582583</v>
      </c>
    </row>
    <row r="7" spans="1:7" ht="15.75" x14ac:dyDescent="0.5">
      <c r="A7" s="25">
        <v>5</v>
      </c>
      <c r="C7" s="38">
        <v>8.6000000000000003E-5</v>
      </c>
      <c r="D7" s="26">
        <v>8.1003280677155505E-5</v>
      </c>
      <c r="E7" s="27">
        <v>99593.194733238022</v>
      </c>
      <c r="F7" s="27">
        <v>99589.161208851321</v>
      </c>
      <c r="G7" s="27">
        <v>78.257247071618806</v>
      </c>
    </row>
    <row r="8" spans="1:7" ht="15.75" x14ac:dyDescent="0.5">
      <c r="A8" s="25">
        <v>6</v>
      </c>
      <c r="C8" s="38">
        <v>8.2000000000000001E-5</v>
      </c>
      <c r="D8" s="26">
        <v>7.5002812640680169E-5</v>
      </c>
      <c r="E8" s="27">
        <v>99585.127684464635</v>
      </c>
      <c r="F8" s="27">
        <v>99581.393242176462</v>
      </c>
      <c r="G8" s="27">
        <v>77.263545918838233</v>
      </c>
    </row>
    <row r="9" spans="1:7" ht="15.75" x14ac:dyDescent="0.5">
      <c r="A9" s="25">
        <v>7</v>
      </c>
      <c r="C9" s="38">
        <v>6.2000000000000003E-5</v>
      </c>
      <c r="D9" s="26">
        <v>6.0001800071952222E-5</v>
      </c>
      <c r="E9" s="27">
        <v>99577.65879988829</v>
      </c>
      <c r="F9" s="27">
        <v>99574.671470124304</v>
      </c>
      <c r="G9" s="27">
        <v>76.269303616609491</v>
      </c>
    </row>
    <row r="10" spans="1:7" ht="15.75" x14ac:dyDescent="0.5">
      <c r="A10" s="25">
        <v>8</v>
      </c>
      <c r="C10" s="38">
        <v>6.3999999999999997E-5</v>
      </c>
      <c r="D10" s="26">
        <v>6.0001800071952222E-5</v>
      </c>
      <c r="E10" s="27">
        <v>99571.684140360303</v>
      </c>
      <c r="F10" s="27">
        <v>99568.696989836084</v>
      </c>
      <c r="G10" s="27">
        <v>75.273850047612342</v>
      </c>
    </row>
    <row r="11" spans="1:7" ht="15.75" x14ac:dyDescent="0.5">
      <c r="A11" s="25">
        <v>9</v>
      </c>
      <c r="C11" s="38">
        <v>5.3000000000000001E-5</v>
      </c>
      <c r="D11" s="26">
        <v>6.2001922079452849E-5</v>
      </c>
      <c r="E11" s="27">
        <v>99565.709839311879</v>
      </c>
      <c r="F11" s="27">
        <v>99562.623302306863</v>
      </c>
      <c r="G11" s="27">
        <v>74.278336747817207</v>
      </c>
    </row>
    <row r="12" spans="1:7" ht="15.75" x14ac:dyDescent="0.5">
      <c r="A12" s="25">
        <v>10</v>
      </c>
      <c r="C12" s="38">
        <v>6.3999999999999997E-5</v>
      </c>
      <c r="D12" s="26">
        <v>5.9001740568493946E-5</v>
      </c>
      <c r="E12" s="27">
        <v>99559.536765301847</v>
      </c>
      <c r="F12" s="27">
        <v>99556.599758967262</v>
      </c>
      <c r="G12" s="27">
        <v>73.282911288317081</v>
      </c>
    </row>
    <row r="13" spans="1:7" ht="15.75" x14ac:dyDescent="0.5">
      <c r="A13" s="25">
        <v>11</v>
      </c>
      <c r="C13" s="38">
        <v>6.6000000000000005E-5</v>
      </c>
      <c r="D13" s="26">
        <v>7.6002888146298661E-5</v>
      </c>
      <c r="E13" s="27">
        <v>99553.662752632692</v>
      </c>
      <c r="F13" s="27">
        <v>99549.879713448085</v>
      </c>
      <c r="G13" s="27">
        <v>72.287205733455352</v>
      </c>
    </row>
    <row r="14" spans="1:7" ht="15.75" x14ac:dyDescent="0.5">
      <c r="A14" s="25">
        <v>12</v>
      </c>
      <c r="C14" s="38">
        <v>6.0000000000000002E-5</v>
      </c>
      <c r="D14" s="26">
        <v>6.9002380609494403E-5</v>
      </c>
      <c r="E14" s="27">
        <v>99546.096674263492</v>
      </c>
      <c r="F14" s="27">
        <v>99542.662333928223</v>
      </c>
      <c r="G14" s="27">
        <v>71.292661975765512</v>
      </c>
    </row>
    <row r="15" spans="1:7" ht="15.75" x14ac:dyDescent="0.5">
      <c r="A15" s="25">
        <v>13</v>
      </c>
      <c r="C15" s="38">
        <v>8.0000000000000007E-5</v>
      </c>
      <c r="D15" s="26">
        <v>7.8003042158215753E-5</v>
      </c>
      <c r="E15" s="27">
        <v>99539.227993592969</v>
      </c>
      <c r="F15" s="27">
        <v>99535.345963701227</v>
      </c>
      <c r="G15" s="27">
        <v>70.297547006508964</v>
      </c>
    </row>
    <row r="16" spans="1:7" ht="15.75" x14ac:dyDescent="0.5">
      <c r="A16" s="25">
        <v>14</v>
      </c>
      <c r="C16" s="38">
        <v>1.01E-4</v>
      </c>
      <c r="D16" s="26">
        <v>1.0100510084347743E-4</v>
      </c>
      <c r="E16" s="27">
        <v>99531.463933809471</v>
      </c>
      <c r="F16" s="27">
        <v>99526.437594880816</v>
      </c>
      <c r="G16" s="27">
        <v>69.30299163985687</v>
      </c>
    </row>
    <row r="17" spans="1:7" ht="15.75" x14ac:dyDescent="0.5">
      <c r="A17" s="25">
        <v>15</v>
      </c>
      <c r="C17" s="38">
        <v>1.12E-4</v>
      </c>
      <c r="D17" s="26">
        <v>1.1900708106175004E-4</v>
      </c>
      <c r="E17" s="27">
        <v>99521.41125595216</v>
      </c>
      <c r="F17" s="27">
        <v>99515.489731982438</v>
      </c>
      <c r="G17" s="27">
        <v>68.309941443942719</v>
      </c>
    </row>
    <row r="18" spans="1:7" ht="15.75" x14ac:dyDescent="0.5">
      <c r="A18" s="25">
        <v>16</v>
      </c>
      <c r="C18" s="38">
        <v>1.47E-4</v>
      </c>
      <c r="D18" s="26">
        <v>1.5301170569395473E-4</v>
      </c>
      <c r="E18" s="27">
        <v>99509.568208012701</v>
      </c>
      <c r="F18" s="27">
        <v>99501.955726044791</v>
      </c>
      <c r="G18" s="27">
        <v>67.318011787345412</v>
      </c>
    </row>
    <row r="19" spans="1:7" ht="15.75" x14ac:dyDescent="0.5">
      <c r="A19" s="25">
        <v>17</v>
      </c>
      <c r="C19" s="38">
        <v>1.5899999999999999E-4</v>
      </c>
      <c r="D19" s="26">
        <v>1.5201155317077713E-4</v>
      </c>
      <c r="E19" s="27">
        <v>99494.343244076881</v>
      </c>
      <c r="F19" s="27">
        <v>99486.781673990336</v>
      </c>
      <c r="G19" s="27">
        <v>66.328236507531059</v>
      </c>
    </row>
    <row r="20" spans="1:7" ht="15.75" x14ac:dyDescent="0.5">
      <c r="A20" s="25">
        <v>18</v>
      </c>
      <c r="C20" s="38">
        <v>2.2699999999999999E-4</v>
      </c>
      <c r="D20" s="26">
        <v>2.180237654540269E-4</v>
      </c>
      <c r="E20" s="27">
        <v>99479.220103903775</v>
      </c>
      <c r="F20" s="27">
        <v>99468.376868912455</v>
      </c>
      <c r="G20" s="27">
        <v>65.338243920606999</v>
      </c>
    </row>
    <row r="21" spans="1:7" ht="15.75" x14ac:dyDescent="0.5">
      <c r="A21" s="25">
        <v>19</v>
      </c>
      <c r="C21" s="38">
        <v>2.0000000000000001E-4</v>
      </c>
      <c r="D21" s="26">
        <v>1.960192105101883E-4</v>
      </c>
      <c r="E21" s="27">
        <v>99457.533633921121</v>
      </c>
      <c r="F21" s="27">
        <v>99447.786795624997</v>
      </c>
      <c r="G21" s="27">
        <v>64.352381739826285</v>
      </c>
    </row>
    <row r="22" spans="1:7" ht="15.75" x14ac:dyDescent="0.5">
      <c r="A22" s="25">
        <v>20</v>
      </c>
      <c r="C22" s="38">
        <v>1.9000000000000001E-4</v>
      </c>
      <c r="D22" s="26">
        <v>1.9701940704883698E-4</v>
      </c>
      <c r="E22" s="27">
        <v>99438.039957328874</v>
      </c>
      <c r="F22" s="27">
        <v>99428.245310393075</v>
      </c>
      <c r="G22" s="27">
        <v>63.364899260081252</v>
      </c>
    </row>
    <row r="23" spans="1:7" ht="15.75" x14ac:dyDescent="0.5">
      <c r="A23" s="25">
        <v>21</v>
      </c>
      <c r="C23" s="38">
        <v>2.1100000000000001E-4</v>
      </c>
      <c r="D23" s="26">
        <v>2.2402509174710615E-4</v>
      </c>
      <c r="E23" s="27">
        <v>99418.450663457275</v>
      </c>
      <c r="F23" s="27">
        <v>99407.315796982963</v>
      </c>
      <c r="G23" s="27">
        <v>62.37728608544009</v>
      </c>
    </row>
    <row r="24" spans="1:7" ht="15.75" x14ac:dyDescent="0.5">
      <c r="A24" s="25">
        <v>22</v>
      </c>
      <c r="C24" s="38">
        <v>2.2900000000000001E-4</v>
      </c>
      <c r="D24" s="26">
        <v>2.1902398400169736E-4</v>
      </c>
      <c r="E24" s="27">
        <v>99396.180930508664</v>
      </c>
      <c r="F24" s="27">
        <v>99385.297048696782</v>
      </c>
      <c r="G24" s="27">
        <v>61.391149702973564</v>
      </c>
    </row>
    <row r="25" spans="1:7" ht="15.75" x14ac:dyDescent="0.5">
      <c r="A25" s="25">
        <v>23</v>
      </c>
      <c r="C25" s="38">
        <v>2.22E-4</v>
      </c>
      <c r="D25" s="26">
        <v>2.2002420354991705E-4</v>
      </c>
      <c r="E25" s="27">
        <v>99374.413166884886</v>
      </c>
      <c r="F25" s="27">
        <v>99363.481981436518</v>
      </c>
      <c r="G25" s="27">
        <v>60.404487785798644</v>
      </c>
    </row>
    <row r="26" spans="1:7" ht="15.75" x14ac:dyDescent="0.5">
      <c r="A26" s="25">
        <v>24</v>
      </c>
      <c r="C26" s="38">
        <v>2.22E-4</v>
      </c>
      <c r="D26" s="26">
        <v>2.2602554184832609E-4</v>
      </c>
      <c r="E26" s="27">
        <v>99352.550795988165</v>
      </c>
      <c r="F26" s="27">
        <v>99341.323957748216</v>
      </c>
      <c r="G26" s="27">
        <v>59.417669673126746</v>
      </c>
    </row>
    <row r="27" spans="1:7" ht="15.75" x14ac:dyDescent="0.5">
      <c r="A27" s="25">
        <v>25</v>
      </c>
      <c r="C27" s="38">
        <v>2.5399999999999999E-4</v>
      </c>
      <c r="D27" s="26">
        <v>2.6003380585984734E-4</v>
      </c>
      <c r="E27" s="27">
        <v>99330.097119508282</v>
      </c>
      <c r="F27" s="27">
        <v>99317.184206882754</v>
      </c>
      <c r="G27" s="27">
        <v>58.430988076432023</v>
      </c>
    </row>
    <row r="28" spans="1:7" ht="15.75" x14ac:dyDescent="0.5">
      <c r="A28" s="25">
        <v>26</v>
      </c>
      <c r="C28" s="38">
        <v>2.6200000000000003E-4</v>
      </c>
      <c r="D28" s="26">
        <v>2.5203175733537437E-4</v>
      </c>
      <c r="E28" s="27">
        <v>99304.271294257211</v>
      </c>
      <c r="F28" s="27">
        <v>99291.758956074133</v>
      </c>
      <c r="G28" s="27">
        <v>57.446054050485152</v>
      </c>
    </row>
    <row r="29" spans="1:7" ht="15.75" x14ac:dyDescent="0.5">
      <c r="A29" s="25">
        <v>27</v>
      </c>
      <c r="C29" s="38">
        <v>2.92E-4</v>
      </c>
      <c r="D29" s="26">
        <v>2.8604090579956686E-4</v>
      </c>
      <c r="E29" s="27">
        <v>99279.246617891054</v>
      </c>
      <c r="F29" s="27">
        <v>99265.04968562469</v>
      </c>
      <c r="G29" s="27">
        <v>56.460408073319634</v>
      </c>
    </row>
    <row r="30" spans="1:7" ht="15.75" x14ac:dyDescent="0.5">
      <c r="A30" s="25">
        <v>28</v>
      </c>
      <c r="C30" s="38">
        <v>3.1399999999999999E-4</v>
      </c>
      <c r="D30" s="26">
        <v>3.3005446198201805E-4</v>
      </c>
      <c r="E30" s="27">
        <v>99250.85275335834</v>
      </c>
      <c r="F30" s="27">
        <v>99234.476362654037</v>
      </c>
      <c r="G30" s="27">
        <v>55.47641732867563</v>
      </c>
    </row>
    <row r="31" spans="1:7" ht="15.75" x14ac:dyDescent="0.5">
      <c r="A31" s="25">
        <v>29</v>
      </c>
      <c r="C31" s="38">
        <v>3.2000000000000003E-4</v>
      </c>
      <c r="D31" s="26">
        <v>3.1404930832218208E-4</v>
      </c>
      <c r="E31" s="27">
        <v>99218.099971949719</v>
      </c>
      <c r="F31" s="27">
        <v>99202.522730254132</v>
      </c>
      <c r="G31" s="27">
        <v>54.494565535302286</v>
      </c>
    </row>
    <row r="32" spans="1:7" ht="15.75" x14ac:dyDescent="0.5">
      <c r="A32" s="25">
        <v>30</v>
      </c>
      <c r="C32" s="38">
        <v>3.6999999999999999E-4</v>
      </c>
      <c r="D32" s="26">
        <v>3.740699554427529E-4</v>
      </c>
      <c r="E32" s="27">
        <v>99186.945488558529</v>
      </c>
      <c r="F32" s="27">
        <v>99168.397529752168</v>
      </c>
      <c r="G32" s="27">
        <v>53.511525154200704</v>
      </c>
    </row>
    <row r="33" spans="1:7" ht="15.75" x14ac:dyDescent="0.5">
      <c r="A33" s="25">
        <v>31</v>
      </c>
      <c r="C33" s="38">
        <v>3.9399999999999998E-4</v>
      </c>
      <c r="D33" s="26">
        <v>3.9407763839369327E-4</v>
      </c>
      <c r="E33" s="27">
        <v>99149.849570945807</v>
      </c>
      <c r="F33" s="27">
        <v>99130.317050580328</v>
      </c>
      <c r="G33" s="27">
        <v>52.531358882422737</v>
      </c>
    </row>
    <row r="34" spans="1:7" ht="15.75" x14ac:dyDescent="0.5">
      <c r="A34" s="25">
        <v>32</v>
      </c>
      <c r="C34" s="38">
        <v>4.5300000000000001E-4</v>
      </c>
      <c r="D34" s="26">
        <v>4.8211619934020389E-4</v>
      </c>
      <c r="E34" s="27">
        <v>99110.784530214849</v>
      </c>
      <c r="F34" s="27">
        <v>99086.898831143073</v>
      </c>
      <c r="G34" s="27">
        <v>51.551867318146101</v>
      </c>
    </row>
    <row r="35" spans="1:7" ht="15.75" x14ac:dyDescent="0.5">
      <c r="A35" s="25">
        <v>33</v>
      </c>
      <c r="C35" s="38">
        <v>4.86E-4</v>
      </c>
      <c r="D35" s="26">
        <v>5.0012504168224286E-4</v>
      </c>
      <c r="E35" s="27">
        <v>99063.013132071283</v>
      </c>
      <c r="F35" s="27">
        <v>99038.247378788277</v>
      </c>
      <c r="G35" s="27">
        <v>50.576486184487017</v>
      </c>
    </row>
    <row r="36" spans="1:7" ht="15.75" x14ac:dyDescent="0.5">
      <c r="A36" s="25">
        <v>34</v>
      </c>
      <c r="C36" s="38">
        <v>5.5599999999999996E-4</v>
      </c>
      <c r="D36" s="26">
        <v>5.4514856648162492E-4</v>
      </c>
      <c r="E36" s="27">
        <v>99013.481625505257</v>
      </c>
      <c r="F36" s="27">
        <v>98986.500451762317</v>
      </c>
      <c r="G36" s="27">
        <v>49.601536952963478</v>
      </c>
    </row>
    <row r="37" spans="1:7" ht="15.75" x14ac:dyDescent="0.5">
      <c r="A37" s="25">
        <v>35</v>
      </c>
      <c r="C37" s="38">
        <v>5.8200000000000005E-4</v>
      </c>
      <c r="D37" s="26">
        <v>5.8617176510615478E-4</v>
      </c>
      <c r="E37" s="27">
        <v>98959.519278019361</v>
      </c>
      <c r="F37" s="27">
        <v>98930.524138870911</v>
      </c>
      <c r="G37" s="27">
        <v>48.628311882939691</v>
      </c>
    </row>
    <row r="38" spans="1:7" ht="15.75" x14ac:dyDescent="0.5">
      <c r="A38" s="25">
        <v>36</v>
      </c>
      <c r="C38" s="38">
        <v>6.4499999999999996E-4</v>
      </c>
      <c r="D38" s="26">
        <v>6.5421395128789064E-4</v>
      </c>
      <c r="E38" s="27">
        <v>98901.528999722446</v>
      </c>
      <c r="F38" s="27">
        <v>98869.188199739525</v>
      </c>
      <c r="G38" s="27">
        <v>47.656531610463404</v>
      </c>
    </row>
    <row r="39" spans="1:7" ht="15.75" x14ac:dyDescent="0.5">
      <c r="A39" s="25">
        <v>37</v>
      </c>
      <c r="C39" s="38">
        <v>7.8399999999999997E-4</v>
      </c>
      <c r="D39" s="26">
        <v>7.3827245605664351E-4</v>
      </c>
      <c r="E39" s="27">
        <v>98836.847399756618</v>
      </c>
      <c r="F39" s="27">
        <v>98800.376603066106</v>
      </c>
      <c r="G39" s="27">
        <v>46.687392164939283</v>
      </c>
    </row>
    <row r="40" spans="1:7" ht="15.75" x14ac:dyDescent="0.5">
      <c r="A40" s="25">
        <v>38</v>
      </c>
      <c r="C40" s="38">
        <v>7.3200000000000001E-4</v>
      </c>
      <c r="D40" s="26">
        <v>7.2025932448327738E-4</v>
      </c>
      <c r="E40" s="27">
        <v>98763.905806375595</v>
      </c>
      <c r="F40" s="27">
        <v>98728.35080028529</v>
      </c>
      <c r="G40" s="27">
        <v>45.721503634621627</v>
      </c>
    </row>
    <row r="41" spans="1:7" ht="15.75" x14ac:dyDescent="0.5">
      <c r="A41" s="25">
        <v>39</v>
      </c>
      <c r="C41" s="38">
        <v>8.52E-4</v>
      </c>
      <c r="D41" s="26">
        <v>8.4635805996007452E-4</v>
      </c>
      <c r="E41" s="27">
        <v>98692.795794195001</v>
      </c>
      <c r="F41" s="27">
        <v>98651.04874157405</v>
      </c>
      <c r="G41" s="27">
        <v>44.754086576957036</v>
      </c>
    </row>
    <row r="42" spans="1:7" ht="15.75" x14ac:dyDescent="0.5">
      <c r="A42" s="25">
        <v>40</v>
      </c>
      <c r="C42" s="38">
        <v>9.0200000000000002E-4</v>
      </c>
      <c r="D42" s="26">
        <v>8.8238919086110375E-4</v>
      </c>
      <c r="E42" s="27">
        <v>98609.301688953114</v>
      </c>
      <c r="F42" s="27">
        <v>98565.814986908284</v>
      </c>
      <c r="G42" s="27">
        <v>43.791557234377329</v>
      </c>
    </row>
    <row r="43" spans="1:7" ht="15.75" x14ac:dyDescent="0.5">
      <c r="A43" s="25">
        <v>41</v>
      </c>
      <c r="C43" s="38">
        <v>9.859999999999999E-4</v>
      </c>
      <c r="D43" s="26">
        <v>9.9349335112550717E-4</v>
      </c>
      <c r="E43" s="27">
        <v>98522.328284863455</v>
      </c>
      <c r="F43" s="27">
        <v>98473.411948870023</v>
      </c>
      <c r="G43" s="27">
        <v>42.829774095129217</v>
      </c>
    </row>
    <row r="44" spans="1:7" ht="15.75" x14ac:dyDescent="0.5">
      <c r="A44" s="25">
        <v>42</v>
      </c>
      <c r="C44" s="38">
        <v>1.073E-3</v>
      </c>
      <c r="D44" s="26">
        <v>1.0515526877838671E-3</v>
      </c>
      <c r="E44" s="27">
        <v>98424.495612876577</v>
      </c>
      <c r="F44" s="27">
        <v>98372.773540432012</v>
      </c>
      <c r="G44" s="27">
        <v>41.871849341525362</v>
      </c>
    </row>
    <row r="45" spans="1:7" ht="15.75" x14ac:dyDescent="0.5">
      <c r="A45" s="25">
        <v>43</v>
      </c>
      <c r="C45" s="38">
        <v>1.1709999999999999E-3</v>
      </c>
      <c r="D45" s="26">
        <v>1.1837002968553138E-3</v>
      </c>
      <c r="E45" s="27">
        <v>98321.051467987447</v>
      </c>
      <c r="F45" s="27">
        <v>98262.894566044124</v>
      </c>
      <c r="G45" s="27">
        <v>40.915376902650046</v>
      </c>
    </row>
    <row r="46" spans="1:7" ht="15.75" x14ac:dyDescent="0.5">
      <c r="A46" s="25">
        <v>44</v>
      </c>
      <c r="C46" s="38">
        <v>1.3159999999999999E-3</v>
      </c>
      <c r="D46" s="26">
        <v>1.3288825734582305E-3</v>
      </c>
      <c r="E46" s="27">
        <v>98204.737664100816</v>
      </c>
      <c r="F46" s="27">
        <v>98139.529718291858</v>
      </c>
      <c r="G46" s="27">
        <v>39.963244921392054</v>
      </c>
    </row>
    <row r="47" spans="1:7" ht="15.75" x14ac:dyDescent="0.5">
      <c r="A47" s="25">
        <v>45</v>
      </c>
      <c r="C47" s="38">
        <v>1.4250000000000001E-3</v>
      </c>
      <c r="D47" s="26">
        <v>1.4370320361208942E-3</v>
      </c>
      <c r="E47" s="27">
        <v>98074.321772482886</v>
      </c>
      <c r="F47" s="27">
        <v>98003.904409450246</v>
      </c>
      <c r="G47" s="27">
        <v>39.015721799942376</v>
      </c>
    </row>
    <row r="48" spans="1:7" ht="15.75" x14ac:dyDescent="0.5">
      <c r="A48" s="25">
        <v>46</v>
      </c>
      <c r="C48" s="38">
        <v>1.5640000000000001E-3</v>
      </c>
      <c r="D48" s="26">
        <v>1.5411870188291753E-3</v>
      </c>
      <c r="E48" s="27">
        <v>97933.487046417606</v>
      </c>
      <c r="F48" s="27">
        <v>97858.078261391871</v>
      </c>
      <c r="G48" s="27">
        <v>38.071109913778564</v>
      </c>
    </row>
    <row r="49" spans="1:7" ht="15.75" x14ac:dyDescent="0.5">
      <c r="A49" s="25">
        <v>47</v>
      </c>
      <c r="C49" s="38">
        <v>1.6949999999999999E-3</v>
      </c>
      <c r="D49" s="26">
        <v>1.7014466397575704E-3</v>
      </c>
      <c r="E49" s="27">
        <v>97782.669476366122</v>
      </c>
      <c r="F49" s="27">
        <v>97699.554207311216</v>
      </c>
      <c r="G49" s="27">
        <v>37.129058664121303</v>
      </c>
    </row>
    <row r="50" spans="1:7" ht="15.75" x14ac:dyDescent="0.5">
      <c r="A50" s="25">
        <v>48</v>
      </c>
      <c r="C50" s="38">
        <v>1.8400000000000001E-3</v>
      </c>
      <c r="D50" s="26">
        <v>1.8246636867414365E-3</v>
      </c>
      <c r="E50" s="27">
        <v>97616.438938256295</v>
      </c>
      <c r="F50" s="27">
        <v>97527.461554164067</v>
      </c>
      <c r="G50" s="27">
        <v>36.191434102094867</v>
      </c>
    </row>
    <row r="51" spans="1:7" ht="15.75" x14ac:dyDescent="0.5">
      <c r="A51" s="25">
        <v>49</v>
      </c>
      <c r="C51" s="38">
        <v>1.9430000000000001E-3</v>
      </c>
      <c r="D51" s="26">
        <v>1.9368745310353844E-3</v>
      </c>
      <c r="E51" s="27">
        <v>97438.484170071853</v>
      </c>
      <c r="F51" s="27">
        <v>97344.212436637317</v>
      </c>
      <c r="G51" s="27">
        <v>35.256618417469916</v>
      </c>
    </row>
    <row r="52" spans="1:7" ht="15.75" x14ac:dyDescent="0.5">
      <c r="A52" s="25">
        <v>50</v>
      </c>
      <c r="C52" s="38">
        <v>2.1689999999999999E-3</v>
      </c>
      <c r="D52" s="26">
        <v>2.1382845017101798E-3</v>
      </c>
      <c r="E52" s="27">
        <v>97249.940703202767</v>
      </c>
      <c r="F52" s="27">
        <v>97146.077766531744</v>
      </c>
      <c r="G52" s="27">
        <v>34.324002863009838</v>
      </c>
    </row>
    <row r="53" spans="1:7" ht="15.75" x14ac:dyDescent="0.5">
      <c r="A53" s="25">
        <v>51</v>
      </c>
      <c r="C53" s="38">
        <v>2.3579999999999999E-3</v>
      </c>
      <c r="D53" s="26">
        <v>2.3657962904581028E-3</v>
      </c>
      <c r="E53" s="27">
        <v>97042.214829860721</v>
      </c>
      <c r="F53" s="27">
        <v>96927.559453039241</v>
      </c>
      <c r="G53" s="27">
        <v>33.396405585340126</v>
      </c>
    </row>
    <row r="54" spans="1:7" ht="15.75" x14ac:dyDescent="0.5">
      <c r="A54" s="25">
        <v>52</v>
      </c>
      <c r="C54" s="38">
        <v>2.5569999999999998E-3</v>
      </c>
      <c r="D54" s="26">
        <v>2.5843365227799799E-3</v>
      </c>
      <c r="E54" s="27">
        <v>96812.904076217761</v>
      </c>
      <c r="F54" s="27">
        <v>96687.967023507401</v>
      </c>
      <c r="G54" s="27">
        <v>32.474323912745938</v>
      </c>
    </row>
    <row r="55" spans="1:7" ht="15.75" x14ac:dyDescent="0.5">
      <c r="A55" s="25">
        <v>53</v>
      </c>
      <c r="C55" s="38">
        <v>2.6970000000000002E-3</v>
      </c>
      <c r="D55" s="26">
        <v>2.7598047602206341E-3</v>
      </c>
      <c r="E55" s="27">
        <v>96563.029970797055</v>
      </c>
      <c r="F55" s="27">
        <v>96429.9661154973</v>
      </c>
      <c r="G55" s="27">
        <v>31.557063192846673</v>
      </c>
    </row>
    <row r="56" spans="1:7" ht="15.75" x14ac:dyDescent="0.5">
      <c r="A56" s="25">
        <v>54</v>
      </c>
      <c r="C56" s="38">
        <v>2.9139999999999999E-3</v>
      </c>
      <c r="D56" s="26">
        <v>2.9563657459048091E-3</v>
      </c>
      <c r="E56" s="27">
        <v>96296.902260197545</v>
      </c>
      <c r="F56" s="27">
        <v>96154.768032461492</v>
      </c>
      <c r="G56" s="27">
        <v>30.642893005971125</v>
      </c>
    </row>
    <row r="57" spans="1:7" ht="15.75" x14ac:dyDescent="0.5">
      <c r="A57" s="25">
        <v>55</v>
      </c>
      <c r="C57" s="38">
        <v>3.1939999999999998E-3</v>
      </c>
      <c r="D57" s="26">
        <v>3.2703417428626793E-3</v>
      </c>
      <c r="E57" s="27">
        <v>96012.633804725439</v>
      </c>
      <c r="F57" s="27">
        <v>95855.893180039217</v>
      </c>
      <c r="G57" s="27">
        <v>29.732138278168282</v>
      </c>
    </row>
    <row r="58" spans="1:7" ht="15.75" x14ac:dyDescent="0.5">
      <c r="A58" s="25">
        <v>56</v>
      </c>
      <c r="C58" s="38">
        <v>3.542E-3</v>
      </c>
      <c r="D58" s="26">
        <v>3.6275716893543323E-3</v>
      </c>
      <c r="E58" s="27">
        <v>95699.152555353008</v>
      </c>
      <c r="F58" s="27">
        <v>95525.889239651544</v>
      </c>
      <c r="G58" s="27">
        <v>28.827893851593732</v>
      </c>
    </row>
    <row r="59" spans="1:7" ht="15.75" x14ac:dyDescent="0.5">
      <c r="A59" s="25">
        <v>57</v>
      </c>
      <c r="C59" s="38">
        <v>3.8159999999999999E-3</v>
      </c>
      <c r="D59" s="26">
        <v>3.9036091780016127E-3</v>
      </c>
      <c r="E59" s="27">
        <v>95352.62592395008</v>
      </c>
      <c r="F59" s="27">
        <v>95166.879008650227</v>
      </c>
      <c r="G59" s="27">
        <v>27.930841930223067</v>
      </c>
    </row>
    <row r="60" spans="1:7" ht="15.75" x14ac:dyDescent="0.5">
      <c r="A60" s="25">
        <v>58</v>
      </c>
      <c r="C60" s="38">
        <v>4.2300000000000003E-3</v>
      </c>
      <c r="D60" s="26">
        <v>4.3333755242723716E-3</v>
      </c>
      <c r="E60" s="27">
        <v>94981.132093350374</v>
      </c>
      <c r="F60" s="27">
        <v>94775.782885764551</v>
      </c>
      <c r="G60" s="27">
        <v>27.03813048659886</v>
      </c>
    </row>
    <row r="61" spans="1:7" ht="15.75" x14ac:dyDescent="0.5">
      <c r="A61" s="25">
        <v>59</v>
      </c>
      <c r="C61" s="38">
        <v>4.6160000000000003E-3</v>
      </c>
      <c r="D61" s="26">
        <v>4.7412218502177333E-3</v>
      </c>
      <c r="E61" s="27">
        <v>94570.433678178728</v>
      </c>
      <c r="F61" s="27">
        <v>94346.774602529826</v>
      </c>
      <c r="G61" s="27">
        <v>26.153379700423489</v>
      </c>
    </row>
    <row r="62" spans="1:7" ht="15.75" x14ac:dyDescent="0.5">
      <c r="A62" s="25">
        <v>60</v>
      </c>
      <c r="C62" s="38">
        <v>5.0540000000000003E-3</v>
      </c>
      <c r="D62" s="26">
        <v>5.1170698994785924E-3</v>
      </c>
      <c r="E62" s="27">
        <v>94123.115526880938</v>
      </c>
      <c r="F62" s="27">
        <v>93882.913336056343</v>
      </c>
      <c r="G62" s="27">
        <v>25.275296854545488</v>
      </c>
    </row>
    <row r="63" spans="1:7" ht="15.75" x14ac:dyDescent="0.5">
      <c r="A63" s="25">
        <v>61</v>
      </c>
      <c r="C63" s="38">
        <v>5.4920000000000004E-3</v>
      </c>
      <c r="D63" s="26">
        <v>5.6157387856357452E-3</v>
      </c>
      <c r="E63" s="27">
        <v>93642.711145231733</v>
      </c>
      <c r="F63" s="27">
        <v>93380.511554025084</v>
      </c>
      <c r="G63" s="27">
        <v>24.402398697497517</v>
      </c>
    </row>
    <row r="64" spans="1:7" ht="15.75" x14ac:dyDescent="0.5">
      <c r="A64" s="25">
        <v>62</v>
      </c>
      <c r="C64" s="38">
        <v>6.2639999999999996E-3</v>
      </c>
      <c r="D64" s="26">
        <v>6.3229477692014688E-3</v>
      </c>
      <c r="E64" s="27">
        <v>93118.311962818436</v>
      </c>
      <c r="F64" s="27">
        <v>92824.849602667615</v>
      </c>
      <c r="G64" s="27">
        <v>23.537005930709494</v>
      </c>
    </row>
    <row r="65" spans="1:7" ht="15.75" x14ac:dyDescent="0.5">
      <c r="A65" s="25">
        <v>63</v>
      </c>
      <c r="C65" s="38">
        <v>6.7140000000000003E-3</v>
      </c>
      <c r="D65" s="26">
        <v>6.8554449569821927E-3</v>
      </c>
      <c r="E65" s="27">
        <v>92531.387242516794</v>
      </c>
      <c r="F65" s="27">
        <v>92215.300023696356</v>
      </c>
      <c r="G65" s="27">
        <v>22.683129194019394</v>
      </c>
    </row>
    <row r="66" spans="1:7" ht="15.75" x14ac:dyDescent="0.5">
      <c r="A66" s="25">
        <v>64</v>
      </c>
      <c r="C66" s="38">
        <v>7.2639999999999996E-3</v>
      </c>
      <c r="D66" s="26">
        <v>7.373114729477992E-3</v>
      </c>
      <c r="E66" s="27">
        <v>91899.212804875919</v>
      </c>
      <c r="F66" s="27">
        <v>91561.666996243614</v>
      </c>
      <c r="G66" s="27">
        <v>21.835726880063987</v>
      </c>
    </row>
    <row r="67" spans="1:7" ht="15.75" x14ac:dyDescent="0.5">
      <c r="A67" s="25">
        <v>65</v>
      </c>
      <c r="C67" s="38">
        <v>7.9880000000000003E-3</v>
      </c>
      <c r="D67" s="26">
        <v>8.0271313873859704E-3</v>
      </c>
      <c r="E67" s="27">
        <v>91224.121187611308</v>
      </c>
      <c r="F67" s="27">
        <v>90859.452763163834</v>
      </c>
      <c r="G67" s="27">
        <v>20.993619005276752</v>
      </c>
    </row>
    <row r="68" spans="1:7" ht="15.75" x14ac:dyDescent="0.5">
      <c r="A68" s="25">
        <v>66</v>
      </c>
      <c r="C68" s="38">
        <v>8.5730000000000008E-3</v>
      </c>
      <c r="D68" s="26">
        <v>8.8994831870327466E-3</v>
      </c>
      <c r="E68" s="27">
        <v>90494.784338716359</v>
      </c>
      <c r="F68" s="27">
        <v>90093.892444095836</v>
      </c>
      <c r="G68" s="27">
        <v>20.158785999341482</v>
      </c>
    </row>
    <row r="69" spans="1:7" ht="15.75" x14ac:dyDescent="0.5">
      <c r="A69" s="25">
        <v>67</v>
      </c>
      <c r="C69" s="38">
        <v>9.3799999999999994E-3</v>
      </c>
      <c r="D69" s="26">
        <v>9.5686337087923425E-3</v>
      </c>
      <c r="E69" s="27">
        <v>89693.000549475328</v>
      </c>
      <c r="F69" s="27">
        <v>89265.927327359008</v>
      </c>
      <c r="G69" s="27">
        <v>19.334519845169691</v>
      </c>
    </row>
    <row r="70" spans="1:7" ht="15.75" x14ac:dyDescent="0.5">
      <c r="A70" s="25">
        <v>68</v>
      </c>
      <c r="C70" s="38">
        <v>1.0330000000000001E-2</v>
      </c>
      <c r="D70" s="26">
        <v>1.0433237433784307E-2</v>
      </c>
      <c r="E70" s="27">
        <v>88838.854105242674</v>
      </c>
      <c r="F70" s="27">
        <v>88377.824871863515</v>
      </c>
      <c r="G70" s="27">
        <v>18.51560545592648</v>
      </c>
    </row>
    <row r="71" spans="1:7" ht="15.75" x14ac:dyDescent="0.5">
      <c r="A71" s="25">
        <v>69</v>
      </c>
      <c r="C71" s="38">
        <v>1.1296E-2</v>
      </c>
      <c r="D71" s="26">
        <v>1.1426029160511591E-2</v>
      </c>
      <c r="E71" s="27">
        <v>87916.795638484356</v>
      </c>
      <c r="F71" s="27">
        <v>87417.384280859958</v>
      </c>
      <c r="G71" s="27">
        <v>17.704550485414597</v>
      </c>
    </row>
    <row r="72" spans="1:7" ht="15.75" x14ac:dyDescent="0.5">
      <c r="A72" s="25">
        <v>70</v>
      </c>
      <c r="C72" s="38">
        <v>1.2437E-2</v>
      </c>
      <c r="D72" s="26">
        <v>1.2681065918673257E-2</v>
      </c>
      <c r="E72" s="27">
        <v>86917.972923235546</v>
      </c>
      <c r="F72" s="27">
        <v>86370.346234832701</v>
      </c>
      <c r="G72" s="27">
        <v>16.902257533249845</v>
      </c>
    </row>
    <row r="73" spans="1:7" ht="15.75" x14ac:dyDescent="0.5">
      <c r="A73" s="25">
        <v>71</v>
      </c>
      <c r="C73" s="38">
        <v>1.3337E-2</v>
      </c>
      <c r="D73" s="26">
        <v>1.3876839508703739E-2</v>
      </c>
      <c r="E73" s="27">
        <v>85822.719546429857</v>
      </c>
      <c r="F73" s="27">
        <v>85231.35809739519</v>
      </c>
      <c r="G73" s="27">
        <v>16.111580053504053</v>
      </c>
    </row>
    <row r="74" spans="1:7" ht="15.75" x14ac:dyDescent="0.5">
      <c r="A74" s="25">
        <v>72</v>
      </c>
      <c r="C74" s="38">
        <v>1.5240999999999999E-2</v>
      </c>
      <c r="D74" s="26">
        <v>1.6044019719682268E-2</v>
      </c>
      <c r="E74" s="27">
        <v>84639.996648360509</v>
      </c>
      <c r="F74" s="27">
        <v>83966.431555032847</v>
      </c>
      <c r="G74" s="27">
        <v>15.329729556522485</v>
      </c>
    </row>
    <row r="75" spans="1:7" ht="15.75" x14ac:dyDescent="0.5">
      <c r="A75" s="25">
        <v>73</v>
      </c>
      <c r="C75" s="38">
        <v>1.7347000000000001E-2</v>
      </c>
      <c r="D75" s="26">
        <v>1.7700737814360296E-2</v>
      </c>
      <c r="E75" s="27">
        <v>83292.866461705198</v>
      </c>
      <c r="F75" s="27">
        <v>82562.179790669878</v>
      </c>
      <c r="G75" s="27">
        <v>14.569576943149652</v>
      </c>
    </row>
    <row r="76" spans="1:7" ht="15.75" x14ac:dyDescent="0.5">
      <c r="A76" s="25">
        <v>74</v>
      </c>
      <c r="C76" s="38">
        <v>1.9167E-2</v>
      </c>
      <c r="D76" s="26">
        <v>1.9486637226300885E-2</v>
      </c>
      <c r="E76" s="27">
        <v>81831.493119634571</v>
      </c>
      <c r="F76" s="27">
        <v>81041.901042523212</v>
      </c>
      <c r="G76" s="27">
        <v>13.820836010961985</v>
      </c>
    </row>
    <row r="77" spans="1:7" ht="15.75" x14ac:dyDescent="0.5">
      <c r="A77" s="25">
        <v>75</v>
      </c>
      <c r="C77" s="38">
        <v>2.1437000000000001E-2</v>
      </c>
      <c r="D77" s="26">
        <v>2.225685645433547E-2</v>
      </c>
      <c r="E77" s="27">
        <v>80252.308965411867</v>
      </c>
      <c r="F77" s="27">
        <v>79369.09217909303</v>
      </c>
      <c r="G77" s="27">
        <v>13.082959972511514</v>
      </c>
    </row>
    <row r="78" spans="1:7" ht="15.75" x14ac:dyDescent="0.5">
      <c r="A78" s="25">
        <v>76</v>
      </c>
      <c r="C78" s="38">
        <v>2.4216999999999999E-2</v>
      </c>
      <c r="D78" s="26">
        <v>2.5371142739895963E-2</v>
      </c>
      <c r="E78" s="27">
        <v>78485.875392774193</v>
      </c>
      <c r="F78" s="27">
        <v>77502.761317604309</v>
      </c>
      <c r="G78" s="27">
        <v>12.366156953208588</v>
      </c>
    </row>
    <row r="79" spans="1:7" ht="15.75" x14ac:dyDescent="0.5">
      <c r="A79" s="25">
        <v>77</v>
      </c>
      <c r="C79" s="38">
        <v>2.7307999999999999E-2</v>
      </c>
      <c r="D79" s="26">
        <v>2.8180362725971714E-2</v>
      </c>
      <c r="E79" s="27">
        <v>76519.64724243441</v>
      </c>
      <c r="F79" s="27">
        <v>75456.521523471645</v>
      </c>
      <c r="G79" s="27">
        <v>11.671066511453519</v>
      </c>
    </row>
    <row r="80" spans="1:7" ht="15.75" x14ac:dyDescent="0.5">
      <c r="A80" s="25">
        <v>78</v>
      </c>
      <c r="C80" s="38">
        <v>3.0960999999999999E-2</v>
      </c>
      <c r="D80" s="26">
        <v>3.1867415038551054E-2</v>
      </c>
      <c r="E80" s="27">
        <v>74393.39580450888</v>
      </c>
      <c r="F80" s="27">
        <v>73226.721374804678</v>
      </c>
      <c r="G80" s="27">
        <v>10.990348834518279</v>
      </c>
    </row>
    <row r="81" spans="1:7" ht="15.75" x14ac:dyDescent="0.5">
      <c r="A81" s="25">
        <v>79</v>
      </c>
      <c r="C81" s="38">
        <v>3.4480999999999998E-2</v>
      </c>
      <c r="D81" s="26">
        <v>3.5013894237278638E-2</v>
      </c>
      <c r="E81" s="27">
        <v>72060.046945100461</v>
      </c>
      <c r="F81" s="27">
        <v>70820.325897456962</v>
      </c>
      <c r="G81" s="27">
        <v>10.330032813720628</v>
      </c>
    </row>
    <row r="82" spans="1:7" ht="15.75" x14ac:dyDescent="0.5">
      <c r="A82" s="25">
        <v>80</v>
      </c>
      <c r="C82" s="38">
        <v>3.8462999999999997E-2</v>
      </c>
      <c r="D82" s="26">
        <v>3.9699707852928215E-2</v>
      </c>
      <c r="E82" s="27">
        <v>69580.604849813448</v>
      </c>
      <c r="F82" s="27">
        <v>68226.496698831237</v>
      </c>
      <c r="G82" s="27">
        <v>9.6803171667957368</v>
      </c>
    </row>
    <row r="83" spans="1:7" ht="15.75" x14ac:dyDescent="0.5">
      <c r="A83" s="25">
        <v>81</v>
      </c>
      <c r="C83" s="38">
        <v>4.3633999999999999E-2</v>
      </c>
      <c r="D83" s="26">
        <v>4.4932514477151422E-2</v>
      </c>
      <c r="E83" s="27">
        <v>66872.388547849012</v>
      </c>
      <c r="F83" s="27">
        <v>65403.269043841312</v>
      </c>
      <c r="G83" s="27">
        <v>9.0521041651101513</v>
      </c>
    </row>
    <row r="84" spans="1:7" ht="15.75" x14ac:dyDescent="0.5">
      <c r="A84" s="25">
        <v>82</v>
      </c>
      <c r="C84" s="38">
        <v>4.8958000000000002E-2</v>
      </c>
      <c r="D84" s="26">
        <v>5.106805659759138E-2</v>
      </c>
      <c r="E84" s="27">
        <v>63934.149539833619</v>
      </c>
      <c r="F84" s="27">
        <v>62342.636755338543</v>
      </c>
      <c r="G84" s="27">
        <v>8.4451355300285513</v>
      </c>
    </row>
    <row r="85" spans="1:7" ht="15.75" x14ac:dyDescent="0.5">
      <c r="A85" s="25">
        <v>83</v>
      </c>
      <c r="C85" s="38">
        <v>5.6269E-2</v>
      </c>
      <c r="D85" s="26">
        <v>5.9219359659971216E-2</v>
      </c>
      <c r="E85" s="27">
        <v>60751.123970843466</v>
      </c>
      <c r="F85" s="27">
        <v>59004.529156681718</v>
      </c>
      <c r="G85" s="27">
        <v>7.8614170387181703</v>
      </c>
    </row>
    <row r="86" spans="1:7" ht="15.75" x14ac:dyDescent="0.5">
      <c r="A86" s="25">
        <v>84</v>
      </c>
      <c r="C86" s="38">
        <v>6.3935000000000006E-2</v>
      </c>
      <c r="D86" s="26">
        <v>6.7261157483826634E-2</v>
      </c>
      <c r="E86" s="27">
        <v>57257.93434251997</v>
      </c>
      <c r="F86" s="27">
        <v>55395.64865699668</v>
      </c>
      <c r="G86" s="27">
        <v>7.3105220569954064</v>
      </c>
    </row>
    <row r="87" spans="1:7" ht="15.75" x14ac:dyDescent="0.5">
      <c r="A87" s="25">
        <v>85</v>
      </c>
      <c r="C87" s="38">
        <v>7.2461999999999999E-2</v>
      </c>
      <c r="D87" s="26">
        <v>7.665644752947115E-2</v>
      </c>
      <c r="E87" s="27">
        <v>53533.362971473383</v>
      </c>
      <c r="F87" s="27">
        <v>51558.196011277905</v>
      </c>
      <c r="G87" s="27">
        <v>6.7843625569633144</v>
      </c>
    </row>
    <row r="88" spans="1:7" ht="15.75" x14ac:dyDescent="0.5">
      <c r="A88" s="25">
        <v>86</v>
      </c>
      <c r="C88" s="38">
        <v>8.3094000000000001E-2</v>
      </c>
      <c r="D88" s="26">
        <v>8.8011877323213347E-2</v>
      </c>
      <c r="E88" s="27">
        <v>49583.02905108242</v>
      </c>
      <c r="F88" s="27">
        <v>47494.343952305571</v>
      </c>
      <c r="G88" s="27">
        <v>6.2850445655439309</v>
      </c>
    </row>
    <row r="89" spans="1:7" ht="15.75" x14ac:dyDescent="0.5">
      <c r="A89" s="25">
        <v>87</v>
      </c>
      <c r="C89" s="38">
        <v>9.3462000000000003E-2</v>
      </c>
      <c r="D89" s="26">
        <v>0.10015519797229815</v>
      </c>
      <c r="E89" s="27">
        <v>45405.658853528723</v>
      </c>
      <c r="F89" s="27">
        <v>43242.011100669799</v>
      </c>
      <c r="G89" s="27">
        <v>5.8172749828489545</v>
      </c>
    </row>
    <row r="90" spans="1:7" ht="15.75" x14ac:dyDescent="0.5">
      <c r="A90" s="25">
        <v>88</v>
      </c>
      <c r="C90" s="38">
        <v>0.106434</v>
      </c>
      <c r="D90" s="26">
        <v>0.11469057225418473</v>
      </c>
      <c r="E90" s="27">
        <v>41078.363347810875</v>
      </c>
      <c r="F90" s="27">
        <v>38852.778699989831</v>
      </c>
      <c r="G90" s="27">
        <v>5.3774097657546767</v>
      </c>
    </row>
    <row r="91" spans="1:7" ht="15.75" x14ac:dyDescent="0.5">
      <c r="A91" s="25">
        <v>89</v>
      </c>
      <c r="C91" s="38">
        <v>0.11894200000000001</v>
      </c>
      <c r="D91" s="26">
        <v>0.12967142332901249</v>
      </c>
      <c r="E91" s="27">
        <v>36627.194052168787</v>
      </c>
      <c r="F91" s="27">
        <v>34399.96763624451</v>
      </c>
      <c r="G91" s="27">
        <v>4.9701435842576682</v>
      </c>
    </row>
    <row r="92" spans="1:7" ht="15.75" x14ac:dyDescent="0.5">
      <c r="A92" s="25">
        <v>90</v>
      </c>
      <c r="C92" s="38">
        <v>0.13438700000000001</v>
      </c>
      <c r="D92" s="26">
        <v>0.14731625447518637</v>
      </c>
      <c r="E92" s="27">
        <v>32172.741220320229</v>
      </c>
      <c r="F92" s="27">
        <v>29969.246260511107</v>
      </c>
      <c r="G92" s="27">
        <v>4.5890539721325405</v>
      </c>
    </row>
    <row r="93" spans="1:7" ht="15.75" x14ac:dyDescent="0.5">
      <c r="A93" s="25">
        <v>91</v>
      </c>
      <c r="C93" s="38">
        <v>0.150755</v>
      </c>
      <c r="D93" s="26">
        <v>0.16635687322610174</v>
      </c>
      <c r="E93" s="27">
        <v>27765.751300701984</v>
      </c>
      <c r="F93" s="27">
        <v>25638.11731003179</v>
      </c>
      <c r="G93" s="27">
        <v>4.238070072608358</v>
      </c>
    </row>
    <row r="94" spans="1:7" ht="15.75" x14ac:dyDescent="0.5">
      <c r="A94" s="25">
        <v>92</v>
      </c>
      <c r="C94" s="38">
        <v>0.16707900000000001</v>
      </c>
      <c r="D94" s="26">
        <v>0.18563704696227359</v>
      </c>
      <c r="E94" s="27">
        <v>23510.4833193616</v>
      </c>
      <c r="F94" s="27">
        <v>21518.851501170182</v>
      </c>
      <c r="G94" s="27">
        <v>3.9146401658687378</v>
      </c>
    </row>
    <row r="95" spans="1:7" ht="15.75" x14ac:dyDescent="0.5">
      <c r="A95" s="25">
        <v>93</v>
      </c>
      <c r="C95" s="38">
        <v>0.18434400000000001</v>
      </c>
      <c r="D95" s="26">
        <v>0.20726405060203731</v>
      </c>
      <c r="E95" s="27">
        <v>19527.219682978761</v>
      </c>
      <c r="F95" s="27">
        <v>17699.520738701154</v>
      </c>
      <c r="G95" s="27">
        <v>3.611176192238795</v>
      </c>
    </row>
    <row r="96" spans="1:7" ht="15.75" x14ac:dyDescent="0.5">
      <c r="A96" s="25">
        <v>94</v>
      </c>
      <c r="C96" s="38">
        <v>0.20446700000000001</v>
      </c>
      <c r="D96" s="26">
        <v>0.23102578465601678</v>
      </c>
      <c r="E96" s="27">
        <v>15871.821794423551</v>
      </c>
      <c r="F96" s="27">
        <v>14234.79415863581</v>
      </c>
      <c r="G96" s="27">
        <v>3.3277030680652762</v>
      </c>
    </row>
    <row r="97" spans="1:7" ht="15.75" x14ac:dyDescent="0.5">
      <c r="A97" s="25">
        <v>95</v>
      </c>
      <c r="C97" s="38">
        <v>0.22821</v>
      </c>
      <c r="D97" s="26">
        <v>0.26184280045348629</v>
      </c>
      <c r="E97" s="27">
        <v>12597.766522848067</v>
      </c>
      <c r="F97" s="27">
        <v>11146.705383680335</v>
      </c>
      <c r="G97" s="27">
        <v>3.0625996959443786</v>
      </c>
    </row>
    <row r="98" spans="1:7" ht="15.75" x14ac:dyDescent="0.5">
      <c r="A98" s="25">
        <v>96</v>
      </c>
      <c r="C98" s="38">
        <v>0.25076500000000002</v>
      </c>
      <c r="D98" s="26">
        <v>0.28649610931748581</v>
      </c>
      <c r="E98" s="27">
        <v>9695.6442445126031</v>
      </c>
      <c r="F98" s="27">
        <v>8488.0032756373366</v>
      </c>
      <c r="G98" s="27">
        <v>2.8296428630103474</v>
      </c>
    </row>
    <row r="99" spans="1:7" ht="15.75" x14ac:dyDescent="0.5">
      <c r="A99" s="25">
        <v>97</v>
      </c>
      <c r="C99" s="38">
        <v>0.26705800000000002</v>
      </c>
      <c r="D99" s="26">
        <v>0.31584563515951231</v>
      </c>
      <c r="E99" s="27">
        <v>7280.3623067620692</v>
      </c>
      <c r="F99" s="27">
        <v>6294.4993253541907</v>
      </c>
      <c r="G99" s="27">
        <v>2.6025088401901035</v>
      </c>
    </row>
    <row r="100" spans="1:7" ht="15.75" x14ac:dyDescent="0.5">
      <c r="A100" s="25">
        <v>98</v>
      </c>
      <c r="C100" s="38">
        <v>0.29126000000000002</v>
      </c>
      <c r="D100" s="26">
        <v>0.34297493340049234</v>
      </c>
      <c r="E100" s="27">
        <v>5308.6363439463112</v>
      </c>
      <c r="F100" s="27">
        <v>4537.9709886229375</v>
      </c>
      <c r="G100" s="27">
        <v>2.3834196049630294</v>
      </c>
    </row>
    <row r="101" spans="1:7" ht="15.75" x14ac:dyDescent="0.5">
      <c r="A101" s="25">
        <v>99</v>
      </c>
      <c r="C101" s="38">
        <v>0.30952600000000002</v>
      </c>
      <c r="D101" s="26">
        <v>0.38044084320342902</v>
      </c>
      <c r="E101" s="27">
        <v>3767.3056332995639</v>
      </c>
      <c r="F101" s="27">
        <v>3171.2425359989065</v>
      </c>
      <c r="G101" s="27">
        <v>2.1539895455869171</v>
      </c>
    </row>
    <row r="102" spans="1:7" ht="15.75" x14ac:dyDescent="0.5">
      <c r="A102" s="25">
        <v>100</v>
      </c>
      <c r="C102" s="38">
        <v>0.34336299999999997</v>
      </c>
      <c r="D102" s="26">
        <v>0.41503979952266123</v>
      </c>
      <c r="E102" s="27">
        <v>2575.1794386982497</v>
      </c>
      <c r="F102" s="27">
        <v>2137.8032372914231</v>
      </c>
      <c r="G102" s="27">
        <v>1.9196698835316834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5E68-3CE9-4ED5-9EBA-E48128F44C56}">
  <dimension ref="A1:M20"/>
  <sheetViews>
    <sheetView workbookViewId="0">
      <selection activeCell="D2" sqref="D2:E20"/>
    </sheetView>
  </sheetViews>
  <sheetFormatPr defaultRowHeight="14.25" x14ac:dyDescent="0.45"/>
  <cols>
    <col min="4" max="4" width="12.46484375" customWidth="1"/>
    <col min="5" max="5" width="15.9296875" customWidth="1"/>
  </cols>
  <sheetData>
    <row r="1" spans="1:13" x14ac:dyDescent="0.45">
      <c r="A1" t="s">
        <v>144</v>
      </c>
      <c r="B1" t="s">
        <v>145</v>
      </c>
      <c r="C1" t="s">
        <v>112</v>
      </c>
      <c r="D1" t="s">
        <v>196</v>
      </c>
      <c r="E1" t="s">
        <v>197</v>
      </c>
      <c r="F1" t="s">
        <v>146</v>
      </c>
      <c r="G1" t="s">
        <v>147</v>
      </c>
      <c r="H1" t="s">
        <v>148</v>
      </c>
      <c r="I1" t="s">
        <v>149</v>
      </c>
      <c r="J1" t="s">
        <v>150</v>
      </c>
      <c r="K1" t="s">
        <v>151</v>
      </c>
      <c r="L1" t="s">
        <v>152</v>
      </c>
      <c r="M1" t="s">
        <v>153</v>
      </c>
    </row>
    <row r="2" spans="1:13" x14ac:dyDescent="0.45">
      <c r="A2" t="s">
        <v>154</v>
      </c>
      <c r="B2" t="s">
        <v>155</v>
      </c>
      <c r="C2">
        <v>0</v>
      </c>
      <c r="D2" s="19">
        <f>uk_lifetable_summary_publicatio!H2</f>
        <v>4.2670000000000208E-3</v>
      </c>
      <c r="E2" s="19">
        <f>uk_lifetable_summary_publicatio!I2</f>
        <v>3.5359999999999836E-3</v>
      </c>
      <c r="F2" s="19">
        <v>3.0000000000000001E-3</v>
      </c>
      <c r="G2" s="19">
        <v>2E-3</v>
      </c>
      <c r="H2" s="19">
        <v>3.0000000000000001E-3</v>
      </c>
      <c r="I2" s="19">
        <v>2E-3</v>
      </c>
      <c r="J2" s="19">
        <v>2E-3</v>
      </c>
      <c r="K2" s="19">
        <v>2E-3</v>
      </c>
      <c r="L2" s="19">
        <v>3.0000000000000001E-3</v>
      </c>
      <c r="M2" s="19">
        <v>2E-3</v>
      </c>
    </row>
    <row r="3" spans="1:13" x14ac:dyDescent="0.45">
      <c r="A3" t="s">
        <v>154</v>
      </c>
      <c r="B3" t="s">
        <v>156</v>
      </c>
      <c r="C3">
        <v>1</v>
      </c>
      <c r="D3" s="19">
        <f>uk_lifetable_summary_publicatio!H3</f>
        <v>5.7288388702469994E-4</v>
      </c>
      <c r="E3" s="19">
        <f>uk_lifetable_summary_publicatio!I3</f>
        <v>5.0590985175602565E-4</v>
      </c>
      <c r="F3" s="19">
        <v>0</v>
      </c>
      <c r="G3" s="19">
        <v>0</v>
      </c>
      <c r="H3" s="19">
        <v>1E-3</v>
      </c>
      <c r="I3" s="19">
        <v>0</v>
      </c>
      <c r="J3" s="19">
        <v>0</v>
      </c>
      <c r="K3" s="19">
        <v>0</v>
      </c>
      <c r="L3" s="19">
        <v>1E-3</v>
      </c>
      <c r="M3" s="19">
        <v>0</v>
      </c>
    </row>
    <row r="4" spans="1:13" x14ac:dyDescent="0.45">
      <c r="A4" t="s">
        <v>154</v>
      </c>
      <c r="B4" t="s">
        <v>157</v>
      </c>
      <c r="C4">
        <v>5</v>
      </c>
      <c r="D4" s="19">
        <f>uk_lifetable_summary_publicatio!H4</f>
        <v>3.67946141919262E-4</v>
      </c>
      <c r="E4" s="19">
        <f>uk_lifetable_summary_publicatio!I4</f>
        <v>3.4695223326097757E-4</v>
      </c>
      <c r="F4" s="19">
        <v>0</v>
      </c>
      <c r="G4" s="19">
        <v>0</v>
      </c>
      <c r="H4" s="19">
        <v>0</v>
      </c>
      <c r="I4" s="19">
        <v>0</v>
      </c>
      <c r="J4" s="19">
        <v>0</v>
      </c>
      <c r="K4" s="19">
        <v>0</v>
      </c>
      <c r="L4" s="19">
        <v>0</v>
      </c>
      <c r="M4" s="19">
        <v>0</v>
      </c>
    </row>
    <row r="5" spans="1:13" x14ac:dyDescent="0.45">
      <c r="A5" t="s">
        <v>154</v>
      </c>
      <c r="B5" t="s">
        <v>158</v>
      </c>
      <c r="C5">
        <v>10</v>
      </c>
      <c r="D5" s="19">
        <f>uk_lifetable_summary_publicatio!H5</f>
        <v>5.1189618641722667E-4</v>
      </c>
      <c r="E5" s="19">
        <f>uk_lifetable_summary_publicatio!I5</f>
        <v>3.7094550996474851E-4</v>
      </c>
      <c r="F5" s="19">
        <v>1E-3</v>
      </c>
      <c r="G5" s="19">
        <v>0</v>
      </c>
      <c r="H5" s="19">
        <v>0</v>
      </c>
      <c r="I5" s="19">
        <v>0</v>
      </c>
      <c r="J5" s="19">
        <v>0</v>
      </c>
      <c r="K5" s="19">
        <v>1E-3</v>
      </c>
      <c r="L5" s="19">
        <v>0</v>
      </c>
      <c r="M5" s="19">
        <v>0</v>
      </c>
    </row>
    <row r="6" spans="1:13" x14ac:dyDescent="0.45">
      <c r="A6" t="s">
        <v>154</v>
      </c>
      <c r="B6" t="s">
        <v>159</v>
      </c>
      <c r="C6">
        <v>15</v>
      </c>
      <c r="D6" s="19">
        <f>uk_lifetable_summary_publicatio!H6</f>
        <v>1.5640468518768325E-3</v>
      </c>
      <c r="E6" s="19">
        <f>uk_lifetable_summary_publicatio!I6</f>
        <v>8.4471851520551144E-4</v>
      </c>
      <c r="F6" s="19">
        <v>2E-3</v>
      </c>
      <c r="G6" s="19">
        <v>1E-3</v>
      </c>
      <c r="H6" s="19">
        <v>1E-3</v>
      </c>
      <c r="I6" s="19">
        <v>1E-3</v>
      </c>
      <c r="J6" s="19">
        <v>1E-3</v>
      </c>
      <c r="K6" s="19">
        <v>1E-3</v>
      </c>
      <c r="L6" s="19">
        <v>1E-3</v>
      </c>
      <c r="M6" s="19">
        <v>1E-3</v>
      </c>
    </row>
    <row r="7" spans="1:13" x14ac:dyDescent="0.45">
      <c r="A7" t="s">
        <v>154</v>
      </c>
      <c r="B7" t="s">
        <v>160</v>
      </c>
      <c r="C7">
        <v>20</v>
      </c>
      <c r="D7" s="19">
        <f>uk_lifetable_summary_publicatio!H7</f>
        <v>2.5793355024720244E-3</v>
      </c>
      <c r="E7" s="19">
        <f>uk_lifetable_summary_publicatio!I7</f>
        <v>1.0735391757908941E-3</v>
      </c>
      <c r="F7" s="19">
        <v>4.0000000000000001E-3</v>
      </c>
      <c r="G7" s="19">
        <v>1E-3</v>
      </c>
      <c r="H7" s="19">
        <v>2E-3</v>
      </c>
      <c r="I7" s="19">
        <v>1E-3</v>
      </c>
      <c r="J7" s="19">
        <v>3.0000000000000001E-3</v>
      </c>
      <c r="K7" s="19">
        <v>1E-3</v>
      </c>
      <c r="L7" s="19">
        <v>2E-3</v>
      </c>
      <c r="M7" s="19">
        <v>1E-3</v>
      </c>
    </row>
    <row r="8" spans="1:13" x14ac:dyDescent="0.45">
      <c r="A8" t="s">
        <v>154</v>
      </c>
      <c r="B8" t="s">
        <v>161</v>
      </c>
      <c r="C8">
        <v>25</v>
      </c>
      <c r="D8" s="19">
        <f>uk_lifetable_summary_publicatio!H8</f>
        <v>3.2228457342188266E-3</v>
      </c>
      <c r="E8" s="19">
        <f>uk_lifetable_summary_publicatio!I8</f>
        <v>1.4411702663030823E-3</v>
      </c>
      <c r="F8" s="19">
        <v>4.0000000000000001E-3</v>
      </c>
      <c r="G8" s="19">
        <v>1E-3</v>
      </c>
      <c r="H8" s="19">
        <v>3.0000000000000001E-3</v>
      </c>
      <c r="I8" s="19">
        <v>1E-3</v>
      </c>
      <c r="J8" s="19">
        <v>4.0000000000000001E-3</v>
      </c>
      <c r="K8" s="19">
        <v>1E-3</v>
      </c>
      <c r="L8" s="19">
        <v>2E-3</v>
      </c>
      <c r="M8" s="19">
        <v>1E-3</v>
      </c>
    </row>
    <row r="9" spans="1:13" x14ac:dyDescent="0.45">
      <c r="A9" t="s">
        <v>154</v>
      </c>
      <c r="B9" t="s">
        <v>162</v>
      </c>
      <c r="C9">
        <v>30</v>
      </c>
      <c r="D9" s="19">
        <f>uk_lifetable_summary_publicatio!H9</f>
        <v>4.3195288742843285E-3</v>
      </c>
      <c r="E9" s="19">
        <f>uk_lifetable_summary_publicatio!I9</f>
        <v>2.2569707052201293E-3</v>
      </c>
      <c r="F9" s="19">
        <v>4.0000000000000001E-3</v>
      </c>
      <c r="G9" s="19">
        <v>2E-3</v>
      </c>
      <c r="H9" s="19">
        <v>4.0000000000000001E-3</v>
      </c>
      <c r="I9" s="19">
        <v>2E-3</v>
      </c>
      <c r="J9" s="19">
        <v>4.0000000000000001E-3</v>
      </c>
      <c r="K9" s="19">
        <v>2E-3</v>
      </c>
      <c r="L9" s="19">
        <v>3.0000000000000001E-3</v>
      </c>
      <c r="M9" s="19">
        <v>1E-3</v>
      </c>
    </row>
    <row r="10" spans="1:13" x14ac:dyDescent="0.45">
      <c r="A10" t="s">
        <v>154</v>
      </c>
      <c r="B10" t="s">
        <v>163</v>
      </c>
      <c r="C10">
        <v>35</v>
      </c>
      <c r="D10" s="19">
        <f>uk_lifetable_summary_publicatio!H10</f>
        <v>6.1727358712475588E-3</v>
      </c>
      <c r="E10" s="19">
        <f>uk_lifetable_summary_publicatio!I10</f>
        <v>3.5898572195689482E-3</v>
      </c>
      <c r="F10" s="19">
        <v>5.0000000000000001E-3</v>
      </c>
      <c r="G10" s="19">
        <v>2E-3</v>
      </c>
      <c r="H10" s="19">
        <v>5.0000000000000001E-3</v>
      </c>
      <c r="I10" s="19">
        <v>2E-3</v>
      </c>
      <c r="J10" s="19">
        <v>4.0000000000000001E-3</v>
      </c>
      <c r="K10" s="19">
        <v>2E-3</v>
      </c>
      <c r="L10" s="19">
        <v>3.0000000000000001E-3</v>
      </c>
      <c r="M10" s="19">
        <v>2E-3</v>
      </c>
    </row>
    <row r="11" spans="1:13" x14ac:dyDescent="0.45">
      <c r="A11" t="s">
        <v>154</v>
      </c>
      <c r="B11" t="s">
        <v>164</v>
      </c>
      <c r="C11">
        <v>40</v>
      </c>
      <c r="D11" s="19">
        <f>uk_lifetable_summary_publicatio!H11</f>
        <v>9.0789558691631855E-3</v>
      </c>
      <c r="E11" s="19">
        <f>uk_lifetable_summary_publicatio!I11</f>
        <v>5.4361925215319351E-3</v>
      </c>
      <c r="F11" s="19">
        <v>7.0000000000000001E-3</v>
      </c>
      <c r="G11" s="19">
        <v>4.0000000000000001E-3</v>
      </c>
      <c r="H11" s="19">
        <v>7.0000000000000001E-3</v>
      </c>
      <c r="I11" s="19">
        <v>4.0000000000000001E-3</v>
      </c>
      <c r="J11" s="19">
        <v>6.0000000000000001E-3</v>
      </c>
      <c r="K11" s="19">
        <v>3.0000000000000001E-3</v>
      </c>
      <c r="L11" s="19">
        <v>5.0000000000000001E-3</v>
      </c>
      <c r="M11" s="19">
        <v>3.0000000000000001E-3</v>
      </c>
    </row>
    <row r="12" spans="1:13" x14ac:dyDescent="0.45">
      <c r="A12" t="s">
        <v>154</v>
      </c>
      <c r="B12" t="s">
        <v>165</v>
      </c>
      <c r="C12">
        <v>45</v>
      </c>
      <c r="D12" s="19">
        <f>uk_lifetable_summary_publicatio!H12</f>
        <v>1.3498733696712728E-2</v>
      </c>
      <c r="E12" s="19">
        <f>uk_lifetable_summary_publicatio!I12</f>
        <v>8.438458333343557E-3</v>
      </c>
      <c r="F12" s="19">
        <v>1.0999999999999999E-2</v>
      </c>
      <c r="G12" s="19">
        <v>7.0000000000000001E-3</v>
      </c>
      <c r="H12" s="19">
        <v>1.2E-2</v>
      </c>
      <c r="I12" s="19">
        <v>7.0000000000000001E-3</v>
      </c>
      <c r="J12" s="19">
        <v>8.0000000000000002E-3</v>
      </c>
      <c r="K12" s="19">
        <v>5.0000000000000001E-3</v>
      </c>
      <c r="L12" s="19">
        <v>1.0999999999999999E-2</v>
      </c>
      <c r="M12" s="19">
        <v>6.0000000000000001E-3</v>
      </c>
    </row>
    <row r="13" spans="1:13" x14ac:dyDescent="0.45">
      <c r="A13" t="s">
        <v>154</v>
      </c>
      <c r="B13" t="s">
        <v>166</v>
      </c>
      <c r="C13">
        <v>50</v>
      </c>
      <c r="D13" s="19">
        <f>uk_lifetable_summary_publicatio!H13</f>
        <v>1.9343936570996423E-2</v>
      </c>
      <c r="E13" s="19">
        <f>uk_lifetable_summary_publicatio!I13</f>
        <v>1.2630864771723815E-2</v>
      </c>
      <c r="F13" s="19">
        <v>1.6E-2</v>
      </c>
      <c r="G13" s="19">
        <v>1.0999999999999999E-2</v>
      </c>
      <c r="H13" s="19">
        <v>2.1000000000000001E-2</v>
      </c>
      <c r="I13" s="19">
        <v>1.2E-2</v>
      </c>
      <c r="J13" s="19">
        <v>1.4E-2</v>
      </c>
      <c r="K13" s="19">
        <v>8.9999999999999993E-3</v>
      </c>
      <c r="L13" s="19">
        <v>1.7999999999999999E-2</v>
      </c>
      <c r="M13" s="19">
        <v>8.9999999999999993E-3</v>
      </c>
    </row>
    <row r="14" spans="1:13" x14ac:dyDescent="0.45">
      <c r="A14" t="s">
        <v>154</v>
      </c>
      <c r="B14" t="s">
        <v>167</v>
      </c>
      <c r="C14">
        <v>55</v>
      </c>
      <c r="D14" s="19">
        <f>uk_lifetable_summary_publicatio!H14</f>
        <v>2.8988342077005624E-2</v>
      </c>
      <c r="E14" s="19">
        <f>uk_lifetable_summary_publicatio!I14</f>
        <v>1.9248689164890975E-2</v>
      </c>
      <c r="F14" s="19">
        <v>2.7E-2</v>
      </c>
      <c r="G14" s="19">
        <v>1.7999999999999999E-2</v>
      </c>
      <c r="H14" s="19">
        <v>3.5999999999999997E-2</v>
      </c>
      <c r="I14" s="19">
        <v>1.9E-2</v>
      </c>
      <c r="J14" s="19">
        <v>2.1999999999999999E-2</v>
      </c>
      <c r="K14" s="19">
        <v>1.4999999999999999E-2</v>
      </c>
      <c r="L14" s="19">
        <v>0.03</v>
      </c>
      <c r="M14" s="19">
        <v>1.4E-2</v>
      </c>
    </row>
    <row r="15" spans="1:13" x14ac:dyDescent="0.45">
      <c r="A15" t="s">
        <v>154</v>
      </c>
      <c r="B15" t="s">
        <v>168</v>
      </c>
      <c r="C15">
        <v>60</v>
      </c>
      <c r="D15" s="19">
        <f>uk_lifetable_summary_publicatio!H15</f>
        <v>4.5411612319437134E-2</v>
      </c>
      <c r="E15" s="19">
        <f>uk_lifetable_summary_publicatio!I15</f>
        <v>3.0412740683857353E-2</v>
      </c>
      <c r="F15" s="19">
        <v>3.9E-2</v>
      </c>
      <c r="G15" s="19">
        <v>2.5000000000000001E-2</v>
      </c>
      <c r="H15" s="19">
        <v>6.2E-2</v>
      </c>
      <c r="I15" s="19">
        <v>3.2000000000000001E-2</v>
      </c>
      <c r="J15" s="19">
        <v>4.1000000000000002E-2</v>
      </c>
      <c r="K15" s="19">
        <v>2.7E-2</v>
      </c>
      <c r="L15" s="19">
        <v>4.7E-2</v>
      </c>
      <c r="M15" s="19">
        <v>0.02</v>
      </c>
    </row>
    <row r="16" spans="1:13" x14ac:dyDescent="0.45">
      <c r="A16" t="s">
        <v>154</v>
      </c>
      <c r="B16" t="s">
        <v>169</v>
      </c>
      <c r="C16">
        <v>65</v>
      </c>
      <c r="D16" s="19">
        <f>uk_lifetable_summary_publicatio!H16</f>
        <v>7.0738546050252205E-2</v>
      </c>
      <c r="E16" s="19">
        <f>uk_lifetable_summary_publicatio!I16</f>
        <v>4.6673958766830004E-2</v>
      </c>
      <c r="F16" s="19">
        <v>6.3E-2</v>
      </c>
      <c r="G16" s="19">
        <v>4.3999999999999997E-2</v>
      </c>
      <c r="H16" s="19">
        <v>7.9000000000000001E-2</v>
      </c>
      <c r="I16" s="19">
        <v>4.4999999999999998E-2</v>
      </c>
      <c r="J16" s="19">
        <v>6.2E-2</v>
      </c>
      <c r="K16" s="19">
        <v>4.1000000000000002E-2</v>
      </c>
      <c r="L16" s="19">
        <v>7.1999999999999995E-2</v>
      </c>
      <c r="M16" s="19">
        <v>0.03</v>
      </c>
    </row>
    <row r="17" spans="1:13" x14ac:dyDescent="0.45">
      <c r="A17" t="s">
        <v>154</v>
      </c>
      <c r="B17" t="s">
        <v>170</v>
      </c>
      <c r="C17">
        <v>70</v>
      </c>
      <c r="D17" s="19">
        <f>uk_lifetable_summary_publicatio!H17</f>
        <v>0.10941383320241893</v>
      </c>
      <c r="E17" s="19">
        <f>uk_lifetable_summary_publicatio!I17</f>
        <v>7.5176482588957594E-2</v>
      </c>
      <c r="F17" s="19">
        <v>0.109</v>
      </c>
      <c r="G17" s="19">
        <v>6.8000000000000005E-2</v>
      </c>
      <c r="H17" s="19">
        <v>0.129</v>
      </c>
      <c r="I17" s="19">
        <v>7.3999999999999996E-2</v>
      </c>
      <c r="J17" s="19">
        <v>0.105</v>
      </c>
      <c r="K17" s="19">
        <v>7.2999999999999995E-2</v>
      </c>
      <c r="L17" s="19">
        <v>0.10199999999999999</v>
      </c>
      <c r="M17" s="19">
        <v>4.5999999999999999E-2</v>
      </c>
    </row>
    <row r="18" spans="1:13" x14ac:dyDescent="0.45">
      <c r="A18" t="s">
        <v>154</v>
      </c>
      <c r="B18" t="s">
        <v>171</v>
      </c>
      <c r="C18">
        <v>75</v>
      </c>
      <c r="D18" s="19">
        <f>uk_lifetable_summary_publicatio!H18</f>
        <v>0.18213252456850981</v>
      </c>
      <c r="E18" s="19">
        <f>uk_lifetable_summary_publicatio!I18</f>
        <v>0.13100062730741835</v>
      </c>
      <c r="F18" s="19">
        <v>0.17699999999999999</v>
      </c>
      <c r="G18" s="19">
        <v>0.12</v>
      </c>
      <c r="H18" s="19">
        <v>0.185</v>
      </c>
      <c r="I18" s="19">
        <v>0.115</v>
      </c>
      <c r="J18" s="19">
        <v>0.17199999999999999</v>
      </c>
      <c r="K18" s="19">
        <v>0.11899999999999999</v>
      </c>
      <c r="L18" s="19">
        <v>0.17799999999999999</v>
      </c>
      <c r="M18" s="19">
        <v>9.2999999999999999E-2</v>
      </c>
    </row>
    <row r="19" spans="1:13" x14ac:dyDescent="0.45">
      <c r="A19" t="s">
        <v>154</v>
      </c>
      <c r="B19" t="s">
        <v>172</v>
      </c>
      <c r="C19">
        <v>80</v>
      </c>
      <c r="D19" s="19">
        <f>uk_lifetable_summary_publicatio!H19</f>
        <v>0.29758088505415892</v>
      </c>
      <c r="E19" s="19">
        <f>uk_lifetable_summary_publicatio!I19</f>
        <v>0.227418946492978</v>
      </c>
      <c r="F19" s="19">
        <v>0.32900000000000001</v>
      </c>
      <c r="G19" s="19">
        <v>0.25800000000000001</v>
      </c>
      <c r="H19" s="19">
        <v>0.32</v>
      </c>
      <c r="I19" s="19">
        <v>0.23599999999999999</v>
      </c>
      <c r="J19" s="19">
        <v>0.28999999999999998</v>
      </c>
      <c r="K19" s="19">
        <v>0.215</v>
      </c>
      <c r="L19" s="19">
        <v>0.27700000000000002</v>
      </c>
      <c r="M19" s="19">
        <v>0.186</v>
      </c>
    </row>
    <row r="20" spans="1:13" x14ac:dyDescent="0.45">
      <c r="A20" t="s">
        <v>154</v>
      </c>
      <c r="B20" t="s">
        <v>189</v>
      </c>
      <c r="C20">
        <v>85</v>
      </c>
      <c r="D20" s="19">
        <f>uk_lifetable_summary_publicatio!H20</f>
        <v>0.98330013736975685</v>
      </c>
      <c r="E20" s="19">
        <f>uk_lifetable_summary_publicatio!I20</f>
        <v>0.96715676507440884</v>
      </c>
      <c r="F20" s="19">
        <v>1</v>
      </c>
      <c r="G20" s="19">
        <v>1</v>
      </c>
      <c r="H20" s="19">
        <v>1</v>
      </c>
      <c r="I20" s="19">
        <v>1</v>
      </c>
      <c r="J20" s="19">
        <v>1</v>
      </c>
      <c r="K20" s="19">
        <v>1</v>
      </c>
      <c r="L20" s="19">
        <v>1</v>
      </c>
      <c r="M20" s="19">
        <v>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05F1-B263-4E14-8398-C4AE3ED28ACA}">
  <dimension ref="A1:K9"/>
  <sheetViews>
    <sheetView workbookViewId="0">
      <selection activeCell="H21" sqref="H21"/>
    </sheetView>
  </sheetViews>
  <sheetFormatPr defaultRowHeight="14.25" x14ac:dyDescent="0.45"/>
  <sheetData>
    <row r="1" spans="1:11" ht="15.75" x14ac:dyDescent="0.5">
      <c r="A1" s="29" t="s">
        <v>119</v>
      </c>
      <c r="B1" s="29" t="s">
        <v>120</v>
      </c>
      <c r="C1" s="29" t="s">
        <v>29</v>
      </c>
      <c r="D1" s="29" t="s">
        <v>121</v>
      </c>
      <c r="E1" s="29" t="s">
        <v>122</v>
      </c>
      <c r="F1" s="29" t="s">
        <v>123</v>
      </c>
      <c r="G1" s="29" t="s">
        <v>124</v>
      </c>
      <c r="H1" s="30" t="s">
        <v>21</v>
      </c>
      <c r="I1" s="30" t="s">
        <v>8</v>
      </c>
      <c r="J1" s="30" t="s">
        <v>15</v>
      </c>
      <c r="K1" s="30" t="s">
        <v>10</v>
      </c>
    </row>
    <row r="2" spans="1:11" ht="15.75" x14ac:dyDescent="0.5">
      <c r="A2" s="31" t="s">
        <v>125</v>
      </c>
      <c r="B2" s="25">
        <v>0</v>
      </c>
      <c r="C2" s="25">
        <v>1</v>
      </c>
      <c r="D2" s="25">
        <v>1</v>
      </c>
      <c r="E2" s="25">
        <v>1</v>
      </c>
      <c r="F2" s="25">
        <v>0.89</v>
      </c>
      <c r="G2" s="32">
        <v>0.98546061111111116</v>
      </c>
      <c r="H2" s="25">
        <v>1</v>
      </c>
      <c r="I2" s="25">
        <v>1</v>
      </c>
      <c r="J2" s="25">
        <v>1</v>
      </c>
      <c r="K2" s="25">
        <v>1</v>
      </c>
    </row>
    <row r="3" spans="1:11" ht="15.75" x14ac:dyDescent="0.5">
      <c r="A3" s="33" t="s">
        <v>126</v>
      </c>
      <c r="B3" s="25">
        <v>18</v>
      </c>
      <c r="C3" s="25">
        <v>0.94</v>
      </c>
      <c r="D3" s="25">
        <v>0.92400000000000004</v>
      </c>
      <c r="E3" s="25">
        <v>0.879</v>
      </c>
      <c r="F3" s="25">
        <v>0.87</v>
      </c>
      <c r="G3" s="32">
        <v>0.97251985714285716</v>
      </c>
      <c r="H3" s="25">
        <v>0.94</v>
      </c>
      <c r="I3" s="25">
        <v>0.98199999999999998</v>
      </c>
      <c r="J3" s="25">
        <v>0.97199999999999998</v>
      </c>
      <c r="K3" s="25">
        <v>0.88800000000000001</v>
      </c>
    </row>
    <row r="4" spans="1:11" ht="15.75" x14ac:dyDescent="0.5">
      <c r="A4" s="33" t="s">
        <v>127</v>
      </c>
      <c r="B4" s="25">
        <v>25</v>
      </c>
      <c r="C4" s="25">
        <v>0.92700000000000005</v>
      </c>
      <c r="D4" s="25">
        <v>0.91200000000000003</v>
      </c>
      <c r="E4" s="25">
        <v>0.96</v>
      </c>
      <c r="F4" s="25">
        <v>0.87</v>
      </c>
      <c r="G4" s="32">
        <v>0.93993930000000003</v>
      </c>
      <c r="H4" s="25">
        <v>0.92700000000000005</v>
      </c>
      <c r="I4" s="25">
        <v>0.97499999999999998</v>
      </c>
      <c r="J4" s="25">
        <v>0.97299999999999998</v>
      </c>
      <c r="K4" s="25">
        <v>0.89300000000000002</v>
      </c>
    </row>
    <row r="5" spans="1:11" ht="15.75" x14ac:dyDescent="0.5">
      <c r="A5" s="33" t="s">
        <v>128</v>
      </c>
      <c r="B5" s="25">
        <v>35</v>
      </c>
      <c r="C5" s="25">
        <v>0.91100000000000003</v>
      </c>
      <c r="D5" s="25">
        <v>0.88900000000000001</v>
      </c>
      <c r="E5" s="25">
        <v>0.94399999999999995</v>
      </c>
      <c r="F5" s="25">
        <v>0.85</v>
      </c>
      <c r="G5" s="32">
        <v>0.88740710000000012</v>
      </c>
      <c r="H5" s="25">
        <v>0.91100000000000003</v>
      </c>
      <c r="I5" s="25">
        <v>0.94899999999999995</v>
      </c>
      <c r="J5" s="25">
        <v>0.96599999999999997</v>
      </c>
      <c r="K5" s="25">
        <v>0.86799999999999999</v>
      </c>
    </row>
    <row r="6" spans="1:11" ht="15.75" x14ac:dyDescent="0.5">
      <c r="A6" s="33" t="s">
        <v>129</v>
      </c>
      <c r="B6" s="25">
        <v>45</v>
      </c>
      <c r="C6" s="25">
        <v>0.84699999999999998</v>
      </c>
      <c r="D6" s="25">
        <v>0.85499999999999998</v>
      </c>
      <c r="E6" s="25">
        <v>0.90500000000000003</v>
      </c>
      <c r="F6" s="25">
        <v>0.82</v>
      </c>
      <c r="G6" s="32">
        <v>0.83289360000000001</v>
      </c>
      <c r="H6" s="25">
        <v>0.84699999999999998</v>
      </c>
      <c r="I6" s="25">
        <v>0.92300000000000004</v>
      </c>
      <c r="J6" s="25">
        <v>0.94499999999999995</v>
      </c>
      <c r="K6" s="25">
        <v>0.83499999999999996</v>
      </c>
    </row>
    <row r="7" spans="1:11" ht="15.75" x14ac:dyDescent="0.5">
      <c r="A7" s="33" t="s">
        <v>130</v>
      </c>
      <c r="B7" s="25">
        <v>55</v>
      </c>
      <c r="C7" s="25">
        <v>0.79900000000000004</v>
      </c>
      <c r="D7" s="25">
        <v>0.83</v>
      </c>
      <c r="E7" s="25">
        <v>0.93700000000000006</v>
      </c>
      <c r="F7" s="25">
        <v>0.8</v>
      </c>
      <c r="G7" s="32">
        <v>0.78203029999999996</v>
      </c>
      <c r="H7" s="25">
        <v>0.79900000000000004</v>
      </c>
      <c r="I7" s="25">
        <v>0.90100000000000002</v>
      </c>
      <c r="J7" s="25">
        <v>0.92200000000000004</v>
      </c>
      <c r="K7" s="25">
        <v>0.81299999999999994</v>
      </c>
    </row>
    <row r="8" spans="1:11" ht="15.75" x14ac:dyDescent="0.5">
      <c r="A8" s="33" t="s">
        <v>131</v>
      </c>
      <c r="B8" s="25">
        <v>65</v>
      </c>
      <c r="C8" s="25">
        <v>0.77900000000000003</v>
      </c>
      <c r="D8" s="25">
        <v>0.81699999999999995</v>
      </c>
      <c r="E8" s="25">
        <v>0.93100000000000005</v>
      </c>
      <c r="F8" s="25">
        <v>0.8</v>
      </c>
      <c r="G8" s="32">
        <v>0.73301919999999998</v>
      </c>
      <c r="H8" s="25">
        <v>0.77900000000000003</v>
      </c>
      <c r="I8" s="25">
        <v>0.89100000000000001</v>
      </c>
      <c r="J8" s="25">
        <v>0.89100000000000001</v>
      </c>
      <c r="K8" s="25">
        <v>0.83599999999999997</v>
      </c>
    </row>
    <row r="9" spans="1:11" ht="15.75" x14ac:dyDescent="0.5">
      <c r="A9" s="33" t="s">
        <v>132</v>
      </c>
      <c r="B9" s="25">
        <v>75</v>
      </c>
      <c r="C9" s="25">
        <v>0.72599999999999998</v>
      </c>
      <c r="D9" s="25">
        <v>0.755</v>
      </c>
      <c r="E9" s="25">
        <v>0.86799999999999999</v>
      </c>
      <c r="F9" s="25">
        <v>0.76</v>
      </c>
      <c r="G9" s="32">
        <v>0.69030099999999994</v>
      </c>
      <c r="H9" s="25">
        <v>0.72599999999999998</v>
      </c>
      <c r="I9" s="25">
        <v>0.78100000000000003</v>
      </c>
      <c r="J9" s="25">
        <v>0.83899999999999997</v>
      </c>
      <c r="K9" s="25">
        <v>0.70099999999999996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B4693-381B-4B7E-824D-9F55A0993047}">
  <dimension ref="A1:L12"/>
  <sheetViews>
    <sheetView workbookViewId="0">
      <selection activeCell="I18" sqref="I18"/>
    </sheetView>
  </sheetViews>
  <sheetFormatPr defaultRowHeight="14.25" x14ac:dyDescent="0.45"/>
  <sheetData>
    <row r="1" spans="1:12" x14ac:dyDescent="0.45">
      <c r="A1" t="s">
        <v>119</v>
      </c>
      <c r="B1" t="s">
        <v>120</v>
      </c>
      <c r="C1" t="s">
        <v>29</v>
      </c>
      <c r="D1" t="s">
        <v>121</v>
      </c>
      <c r="E1" t="s">
        <v>122</v>
      </c>
      <c r="F1" t="s">
        <v>123</v>
      </c>
      <c r="G1" t="s">
        <v>124</v>
      </c>
      <c r="H1" s="34" t="s">
        <v>10</v>
      </c>
      <c r="I1" s="34" t="s">
        <v>8</v>
      </c>
      <c r="J1" s="34" t="s">
        <v>15</v>
      </c>
      <c r="K1" s="34" t="s">
        <v>21</v>
      </c>
      <c r="L1" s="34" t="s">
        <v>6</v>
      </c>
    </row>
    <row r="2" spans="1:12" x14ac:dyDescent="0.45">
      <c r="A2" t="s">
        <v>133</v>
      </c>
      <c r="B2">
        <v>0</v>
      </c>
      <c r="C2">
        <v>4.4740727484228892E-5</v>
      </c>
      <c r="D2">
        <v>2.2161015607686708E-4</v>
      </c>
      <c r="E2">
        <v>0</v>
      </c>
      <c r="F2">
        <v>0</v>
      </c>
      <c r="G2">
        <v>0</v>
      </c>
      <c r="H2">
        <f>1/5760</f>
        <v>1.7361111111111112E-4</v>
      </c>
      <c r="I2">
        <v>0</v>
      </c>
      <c r="J2">
        <f>1/9101</f>
        <v>1.0987803538072739E-4</v>
      </c>
      <c r="L2">
        <f>4/39051</f>
        <v>1.0243015543776088E-4</v>
      </c>
    </row>
    <row r="3" spans="1:12" x14ac:dyDescent="0.45">
      <c r="A3" t="s">
        <v>134</v>
      </c>
      <c r="B3">
        <v>10</v>
      </c>
      <c r="C3">
        <v>3.5792581987383114E-4</v>
      </c>
      <c r="D3">
        <v>5.5402539019216762E-4</v>
      </c>
      <c r="E3">
        <v>0</v>
      </c>
      <c r="F3">
        <v>0</v>
      </c>
      <c r="G3">
        <v>0</v>
      </c>
      <c r="H3">
        <f>0/5760</f>
        <v>0</v>
      </c>
      <c r="I3">
        <v>0</v>
      </c>
      <c r="J3">
        <f>2/9101</f>
        <v>2.1975607076145479E-4</v>
      </c>
      <c r="L3">
        <f>0/39051</f>
        <v>0</v>
      </c>
    </row>
    <row r="4" spans="1:12" x14ac:dyDescent="0.45">
      <c r="A4" t="s">
        <v>135</v>
      </c>
      <c r="B4">
        <v>20</v>
      </c>
      <c r="C4">
        <v>1.7001476444006979E-3</v>
      </c>
      <c r="D4">
        <v>4.3530566372241746E-3</v>
      </c>
      <c r="E4">
        <v>3.9494470774091624E-3</v>
      </c>
      <c r="F4">
        <v>0</v>
      </c>
      <c r="G4">
        <v>0</v>
      </c>
      <c r="H4">
        <f>9/5760</f>
        <v>1.5625000000000001E-3</v>
      </c>
      <c r="I4">
        <v>1E-3</v>
      </c>
      <c r="J4">
        <f>9/9101</f>
        <v>9.8890231842654647E-4</v>
      </c>
      <c r="L4">
        <f>14/39051</f>
        <v>3.5850554403216308E-4</v>
      </c>
    </row>
    <row r="5" spans="1:12" x14ac:dyDescent="0.45">
      <c r="A5" t="s">
        <v>136</v>
      </c>
      <c r="B5">
        <v>30</v>
      </c>
      <c r="C5">
        <v>4.9214800232651786E-3</v>
      </c>
      <c r="D5">
        <v>1.3312438661474657E-2</v>
      </c>
      <c r="E5">
        <v>4.7393364928909956E-3</v>
      </c>
      <c r="F5">
        <v>0</v>
      </c>
      <c r="G5">
        <v>9.433962264150943E-3</v>
      </c>
      <c r="H5">
        <f>16/5760</f>
        <v>2.7777777777777779E-3</v>
      </c>
      <c r="I5">
        <v>3.0000000000000001E-3</v>
      </c>
      <c r="J5">
        <f>23/9101</f>
        <v>2.5271948137567299E-3</v>
      </c>
      <c r="L5">
        <f>77/39051</f>
        <v>1.9717804921768967E-3</v>
      </c>
    </row>
    <row r="6" spans="1:12" x14ac:dyDescent="0.45">
      <c r="A6" t="s">
        <v>137</v>
      </c>
      <c r="B6">
        <v>40</v>
      </c>
      <c r="C6">
        <v>1.619614334929086E-2</v>
      </c>
      <c r="D6">
        <v>3.5584259347199797E-2</v>
      </c>
      <c r="E6">
        <v>9.4786729857819912E-3</v>
      </c>
      <c r="F6">
        <v>0</v>
      </c>
      <c r="G6">
        <v>9.433962264150943E-3</v>
      </c>
      <c r="H6">
        <f>44/5760</f>
        <v>7.6388888888888886E-3</v>
      </c>
      <c r="I6">
        <v>1.0999999999999999E-2</v>
      </c>
      <c r="J6">
        <f>79/9101</f>
        <v>8.6803647950774634E-3</v>
      </c>
      <c r="L6">
        <f>339/39051</f>
        <v>8.6809556733502338E-3</v>
      </c>
    </row>
    <row r="7" spans="1:12" x14ac:dyDescent="0.45">
      <c r="A7" t="s">
        <v>138</v>
      </c>
      <c r="B7">
        <v>50</v>
      </c>
      <c r="C7">
        <v>5.2928280613842783E-2</v>
      </c>
      <c r="D7">
        <v>8.8944819071136855E-2</v>
      </c>
      <c r="E7">
        <v>3.3175355450236969E-2</v>
      </c>
      <c r="F7">
        <v>3.5502958579881658E-2</v>
      </c>
      <c r="G7">
        <v>3.3018867924528301E-2</v>
      </c>
      <c r="H7">
        <f>161/5760</f>
        <v>2.795138888888889E-2</v>
      </c>
      <c r="I7">
        <v>3.2000000000000001E-2</v>
      </c>
      <c r="J7">
        <f>327/9101</f>
        <v>3.5930117569497856E-2</v>
      </c>
      <c r="L7">
        <f>1358/39051</f>
        <v>3.4775037771119816E-2</v>
      </c>
    </row>
    <row r="8" spans="1:12" x14ac:dyDescent="0.45">
      <c r="A8" t="s">
        <v>139</v>
      </c>
      <c r="B8">
        <v>60</v>
      </c>
      <c r="C8">
        <v>0.11475996599704712</v>
      </c>
      <c r="D8">
        <v>0.17113052838192927</v>
      </c>
      <c r="E8">
        <v>8.4518167456556076E-2</v>
      </c>
      <c r="F8">
        <v>5.9171597633136092E-2</v>
      </c>
      <c r="G8">
        <v>9.9056603773584911E-2</v>
      </c>
      <c r="H8">
        <f>397/5760</f>
        <v>6.8923611111111116E-2</v>
      </c>
      <c r="I8">
        <v>8.8999999999999996E-2</v>
      </c>
      <c r="J8">
        <f>888/9101</f>
        <v>9.7571695418085927E-2</v>
      </c>
      <c r="L8">
        <f>3875/39051</f>
        <v>9.922921308033085E-2</v>
      </c>
    </row>
    <row r="9" spans="1:12" x14ac:dyDescent="0.45">
      <c r="A9" t="s">
        <v>140</v>
      </c>
      <c r="B9">
        <v>70</v>
      </c>
      <c r="C9">
        <v>0.24929533354212338</v>
      </c>
      <c r="D9">
        <v>0.24453097793396017</v>
      </c>
      <c r="E9">
        <v>0.1872037914691943</v>
      </c>
      <c r="F9">
        <v>0.22485207100591717</v>
      </c>
      <c r="G9">
        <v>0.23584905660377359</v>
      </c>
      <c r="H9">
        <f>1240/5760</f>
        <v>0.21527777777777779</v>
      </c>
      <c r="I9">
        <v>0.24099999999999999</v>
      </c>
      <c r="J9">
        <f>2060/9101</f>
        <v>0.22634875288429843</v>
      </c>
      <c r="L9">
        <f>10045/39051</f>
        <v>0.25722772784307701</v>
      </c>
    </row>
    <row r="10" spans="1:12" x14ac:dyDescent="0.45">
      <c r="A10" t="s">
        <v>141</v>
      </c>
      <c r="B10">
        <v>80</v>
      </c>
      <c r="C10">
        <v>0.38092255380072482</v>
      </c>
      <c r="D10">
        <v>0.2888055212587457</v>
      </c>
      <c r="E10">
        <v>0.33846761453396523</v>
      </c>
      <c r="F10">
        <v>0.378698224852071</v>
      </c>
      <c r="G10">
        <v>0.30188679245283018</v>
      </c>
      <c r="H10">
        <f>2392/5760</f>
        <v>0.4152777777777778</v>
      </c>
      <c r="I10">
        <v>0.41099999999999998</v>
      </c>
      <c r="J10">
        <f>4045/9101</f>
        <v>0.44445665311504229</v>
      </c>
      <c r="L10">
        <f>16037/39051</f>
        <v>0.4106681006888428</v>
      </c>
    </row>
    <row r="11" spans="1:12" x14ac:dyDescent="0.45">
      <c r="A11" t="s">
        <v>142</v>
      </c>
      <c r="B11">
        <v>90</v>
      </c>
      <c r="C11">
        <v>0.17887342848194712</v>
      </c>
      <c r="D11">
        <v>0.15256276316206033</v>
      </c>
      <c r="E11">
        <v>0.33846761453396523</v>
      </c>
      <c r="F11">
        <v>0.30177514792899407</v>
      </c>
      <c r="G11">
        <v>0.31132075471698112</v>
      </c>
      <c r="H11">
        <f>1500/5760</f>
        <v>0.26041666666666669</v>
      </c>
      <c r="I11">
        <v>0.21199999999999999</v>
      </c>
      <c r="J11">
        <f>1667/9101</f>
        <v>0.18316668497967256</v>
      </c>
      <c r="L11">
        <f>7302/39051</f>
        <v>0.18698624875163247</v>
      </c>
    </row>
    <row r="12" spans="1:12" x14ac:dyDescent="0.45">
      <c r="A12" t="s">
        <v>143</v>
      </c>
      <c r="C12">
        <v>1</v>
      </c>
      <c r="D12">
        <v>1</v>
      </c>
      <c r="E12">
        <v>1</v>
      </c>
      <c r="F12">
        <v>1</v>
      </c>
      <c r="G12">
        <v>1</v>
      </c>
      <c r="H12">
        <f>SUM(H2:H11)</f>
        <v>1</v>
      </c>
      <c r="I12">
        <f>SUM(I2:I11)</f>
        <v>1</v>
      </c>
      <c r="J12">
        <f>SUM(J2:J11)</f>
        <v>1</v>
      </c>
      <c r="L12">
        <f>SUM(L2:L11)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global_inputs</vt:lpstr>
      <vt:lpstr>total_deaths</vt:lpstr>
      <vt:lpstr>total_cases</vt:lpstr>
      <vt:lpstr>total_hospitalisations</vt:lpstr>
      <vt:lpstr>uk_lifetable_male</vt:lpstr>
      <vt:lpstr>uk_lifetable_female</vt:lpstr>
      <vt:lpstr>who_lifetables</vt:lpstr>
      <vt:lpstr>qol_norm_data</vt:lpstr>
      <vt:lpstr>age_death</vt:lpstr>
      <vt:lpstr>cmmid_model</vt:lpstr>
      <vt:lpstr>gdp_impact</vt:lpstr>
      <vt:lpstr>uk_lifetable_summary_publicatio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Thom</dc:creator>
  <cp:lastModifiedBy>Howard Thom</cp:lastModifiedBy>
  <dcterms:created xsi:type="dcterms:W3CDTF">2015-06-05T18:17:20Z</dcterms:created>
  <dcterms:modified xsi:type="dcterms:W3CDTF">2020-11-11T13:15:59Z</dcterms:modified>
</cp:coreProperties>
</file>