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erlee/Desktop/Reference Documents/"/>
    </mc:Choice>
  </mc:AlternateContent>
  <xr:revisionPtr revIDLastSave="0" documentId="13_ncr:1_{DBBA5F12-D529-884F-A5CA-156F98EFE297}" xr6:coauthVersionLast="47" xr6:coauthVersionMax="47" xr10:uidLastSave="{00000000-0000-0000-0000-000000000000}"/>
  <bookViews>
    <workbookView xWindow="0" yWindow="500" windowWidth="28800" windowHeight="17500" xr2:uid="{20923F6E-088C-1048-8A63-79C5FEECA88C}"/>
  </bookViews>
  <sheets>
    <sheet name="FINAL CALCULATOR" sheetId="1" r:id="rId1"/>
    <sheet name="Example 1" sheetId="2" r:id="rId2"/>
    <sheet name="Example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1" l="1"/>
  <c r="D49" i="1"/>
  <c r="E81" i="3"/>
  <c r="E80" i="3"/>
  <c r="E79" i="3"/>
  <c r="E76" i="3"/>
  <c r="D51" i="3"/>
  <c r="B71" i="3"/>
  <c r="C63" i="3"/>
  <c r="C62" i="3"/>
  <c r="C61" i="3"/>
  <c r="C55" i="3"/>
  <c r="B55" i="3"/>
  <c r="B54" i="3"/>
  <c r="D53" i="3"/>
  <c r="B53" i="3"/>
  <c r="B52" i="3"/>
  <c r="B51" i="3"/>
  <c r="B50" i="3"/>
  <c r="D46" i="3"/>
  <c r="B72" i="3" s="1"/>
  <c r="D45" i="3"/>
  <c r="E45" i="3" s="1"/>
  <c r="F45" i="3" s="1"/>
  <c r="G45" i="3" s="1"/>
  <c r="D44" i="3"/>
  <c r="B70" i="3" s="1"/>
  <c r="D43" i="3"/>
  <c r="B69" i="3" s="1"/>
  <c r="D42" i="3"/>
  <c r="E42" i="3" s="1"/>
  <c r="F42" i="3" s="1"/>
  <c r="G42" i="3" s="1"/>
  <c r="D41" i="3"/>
  <c r="E41" i="3" s="1"/>
  <c r="F41" i="3" s="1"/>
  <c r="G41" i="3" s="1"/>
  <c r="H38" i="3"/>
  <c r="G38" i="3"/>
  <c r="C54" i="3" s="1"/>
  <c r="F38" i="3"/>
  <c r="C53" i="3" s="1"/>
  <c r="E38" i="3"/>
  <c r="D38" i="3"/>
  <c r="C52" i="3" s="1"/>
  <c r="C38" i="3"/>
  <c r="C50" i="3" s="1"/>
  <c r="D15" i="3"/>
  <c r="D54" i="2"/>
  <c r="D55" i="2" s="1"/>
  <c r="B52" i="2"/>
  <c r="C63" i="2"/>
  <c r="C62" i="2"/>
  <c r="C61" i="2"/>
  <c r="C55" i="2"/>
  <c r="B55" i="2"/>
  <c r="B54" i="2"/>
  <c r="C53" i="2"/>
  <c r="B53" i="2"/>
  <c r="B51" i="2"/>
  <c r="B50" i="2"/>
  <c r="D50" i="2" s="1"/>
  <c r="D46" i="2"/>
  <c r="E46" i="2" s="1"/>
  <c r="F46" i="2" s="1"/>
  <c r="G46" i="2" s="1"/>
  <c r="D45" i="2"/>
  <c r="E45" i="2" s="1"/>
  <c r="F45" i="2" s="1"/>
  <c r="G45" i="2" s="1"/>
  <c r="D44" i="2"/>
  <c r="B70" i="2" s="1"/>
  <c r="D43" i="2"/>
  <c r="B69" i="2" s="1"/>
  <c r="D42" i="2"/>
  <c r="E42" i="2" s="1"/>
  <c r="F42" i="2" s="1"/>
  <c r="G42" i="2" s="1"/>
  <c r="D41" i="2"/>
  <c r="B67" i="2" s="1"/>
  <c r="H38" i="2"/>
  <c r="G38" i="2"/>
  <c r="C54" i="2" s="1"/>
  <c r="F38" i="2"/>
  <c r="E38" i="2"/>
  <c r="D38" i="2"/>
  <c r="C52" i="2" s="1"/>
  <c r="C38" i="2"/>
  <c r="C50" i="2" s="1"/>
  <c r="D15" i="2"/>
  <c r="D37" i="1"/>
  <c r="C51" i="1" s="1"/>
  <c r="F37" i="1"/>
  <c r="C52" i="1" s="1"/>
  <c r="G37" i="1"/>
  <c r="C53" i="1" s="1"/>
  <c r="H37" i="1"/>
  <c r="C54" i="1" s="1"/>
  <c r="C37" i="1"/>
  <c r="C49" i="1" s="1"/>
  <c r="C62" i="1"/>
  <c r="C61" i="1"/>
  <c r="C60" i="1"/>
  <c r="B54" i="1"/>
  <c r="B53" i="1"/>
  <c r="B52" i="1"/>
  <c r="B51" i="1"/>
  <c r="B50" i="1"/>
  <c r="B49" i="1"/>
  <c r="D45" i="1"/>
  <c r="B71" i="1" s="1"/>
  <c r="D44" i="1"/>
  <c r="B70" i="1" s="1"/>
  <c r="D43" i="1"/>
  <c r="B69" i="1" s="1"/>
  <c r="D42" i="1"/>
  <c r="B68" i="1" s="1"/>
  <c r="D41" i="1"/>
  <c r="B67" i="1" s="1"/>
  <c r="D40" i="1"/>
  <c r="B66" i="1" s="1"/>
  <c r="D15" i="1"/>
  <c r="E53" i="3" l="1"/>
  <c r="F53" i="3" s="1"/>
  <c r="B61" i="3" s="1"/>
  <c r="D61" i="3" s="1"/>
  <c r="E61" i="3" s="1"/>
  <c r="F61" i="3" s="1"/>
  <c r="G61" i="3" s="1"/>
  <c r="C79" i="3" s="1"/>
  <c r="B67" i="3"/>
  <c r="B79" i="3"/>
  <c r="D50" i="3"/>
  <c r="B68" i="3"/>
  <c r="E44" i="3"/>
  <c r="F44" i="3" s="1"/>
  <c r="G44" i="3" s="1"/>
  <c r="C51" i="3"/>
  <c r="E46" i="3"/>
  <c r="F46" i="3" s="1"/>
  <c r="G46" i="3" s="1"/>
  <c r="E43" i="3"/>
  <c r="F43" i="3" s="1"/>
  <c r="G43" i="3" s="1"/>
  <c r="B72" i="2"/>
  <c r="E41" i="2"/>
  <c r="F41" i="2" s="1"/>
  <c r="G41" i="2" s="1"/>
  <c r="E43" i="2"/>
  <c r="F43" i="2" s="1"/>
  <c r="G43" i="2" s="1"/>
  <c r="B71" i="2"/>
  <c r="B68" i="2"/>
  <c r="E44" i="2"/>
  <c r="F44" i="2" s="1"/>
  <c r="G44" i="2" s="1"/>
  <c r="C51" i="2"/>
  <c r="D51" i="2" s="1"/>
  <c r="D52" i="2" s="1"/>
  <c r="C50" i="1"/>
  <c r="D50" i="1"/>
  <c r="D51" i="1" s="1"/>
  <c r="E49" i="1"/>
  <c r="F49" i="1" s="1"/>
  <c r="B57" i="1" s="1"/>
  <c r="D57" i="1" s="1"/>
  <c r="C66" i="1" s="1"/>
  <c r="E42" i="1"/>
  <c r="F42" i="1" s="1"/>
  <c r="G42" i="1" s="1"/>
  <c r="E43" i="1"/>
  <c r="F43" i="1" s="1"/>
  <c r="G43" i="1" s="1"/>
  <c r="E40" i="1"/>
  <c r="F40" i="1" s="1"/>
  <c r="G40" i="1" s="1"/>
  <c r="E44" i="1"/>
  <c r="F44" i="1" s="1"/>
  <c r="G44" i="1" s="1"/>
  <c r="E45" i="1"/>
  <c r="F45" i="1" s="1"/>
  <c r="G45" i="1" s="1"/>
  <c r="E41" i="1"/>
  <c r="F41" i="1" s="1"/>
  <c r="G41" i="1" s="1"/>
  <c r="D52" i="1" l="1"/>
  <c r="D53" i="1" s="1"/>
  <c r="C70" i="3"/>
  <c r="F70" i="3" s="1"/>
  <c r="E51" i="3"/>
  <c r="F51" i="3" s="1"/>
  <c r="B59" i="3" s="1"/>
  <c r="D59" i="3" s="1"/>
  <c r="D52" i="3"/>
  <c r="E52" i="3" s="1"/>
  <c r="F52" i="3" s="1"/>
  <c r="B60" i="3" s="1"/>
  <c r="D60" i="3" s="1"/>
  <c r="E50" i="3"/>
  <c r="F50" i="3" s="1"/>
  <c r="B58" i="3" s="1"/>
  <c r="D58" i="3" s="1"/>
  <c r="E50" i="2"/>
  <c r="F50" i="2" s="1"/>
  <c r="B58" i="2" s="1"/>
  <c r="D58" i="2" s="1"/>
  <c r="B75" i="1"/>
  <c r="E57" i="1"/>
  <c r="E66" i="1"/>
  <c r="G66" i="1"/>
  <c r="F66" i="1"/>
  <c r="G70" i="3" l="1"/>
  <c r="E70" i="3"/>
  <c r="C67" i="3"/>
  <c r="E58" i="3"/>
  <c r="B76" i="3"/>
  <c r="B78" i="3"/>
  <c r="C69" i="3"/>
  <c r="E60" i="3"/>
  <c r="B77" i="3"/>
  <c r="C68" i="3"/>
  <c r="E59" i="3"/>
  <c r="D54" i="3"/>
  <c r="E54" i="3" s="1"/>
  <c r="F54" i="3" s="1"/>
  <c r="B62" i="3" s="1"/>
  <c r="D62" i="3" s="1"/>
  <c r="E52" i="1"/>
  <c r="F52" i="1" s="1"/>
  <c r="B60" i="1" s="1"/>
  <c r="D60" i="1" s="1"/>
  <c r="C69" i="1" s="1"/>
  <c r="F69" i="1" s="1"/>
  <c r="E51" i="2"/>
  <c r="F51" i="2" s="1"/>
  <c r="B59" i="2" s="1"/>
  <c r="D59" i="2" s="1"/>
  <c r="B76" i="2"/>
  <c r="C67" i="2"/>
  <c r="E58" i="2"/>
  <c r="D54" i="1"/>
  <c r="F57" i="1"/>
  <c r="G57" i="1" s="1"/>
  <c r="C75" i="1" s="1"/>
  <c r="E51" i="1"/>
  <c r="F51" i="1" s="1"/>
  <c r="B59" i="1" s="1"/>
  <c r="D59" i="1" s="1"/>
  <c r="E69" i="1" l="1"/>
  <c r="G69" i="1"/>
  <c r="E60" i="1"/>
  <c r="F60" i="1" s="1"/>
  <c r="G60" i="1" s="1"/>
  <c r="C78" i="1" s="1"/>
  <c r="B78" i="1"/>
  <c r="D55" i="3"/>
  <c r="E55" i="3" s="1"/>
  <c r="F55" i="3" s="1"/>
  <c r="B63" i="3" s="1"/>
  <c r="D63" i="3" s="1"/>
  <c r="C72" i="3" s="1"/>
  <c r="G69" i="3"/>
  <c r="F69" i="3"/>
  <c r="E69" i="3"/>
  <c r="B80" i="3"/>
  <c r="E62" i="3"/>
  <c r="F62" i="3" s="1"/>
  <c r="G62" i="3" s="1"/>
  <c r="C80" i="3" s="1"/>
  <c r="C71" i="3"/>
  <c r="F58" i="3"/>
  <c r="G58" i="3" s="1"/>
  <c r="C76" i="3" s="1"/>
  <c r="F59" i="3"/>
  <c r="G59" i="3" s="1"/>
  <c r="C77" i="3" s="1"/>
  <c r="F60" i="3"/>
  <c r="G60" i="3" s="1"/>
  <c r="C78" i="3" s="1"/>
  <c r="G68" i="3"/>
  <c r="F68" i="3"/>
  <c r="E68" i="3"/>
  <c r="E67" i="3"/>
  <c r="F67" i="3"/>
  <c r="G67" i="3"/>
  <c r="E52" i="2"/>
  <c r="F52" i="2" s="1"/>
  <c r="B60" i="2" s="1"/>
  <c r="D60" i="2" s="1"/>
  <c r="D53" i="2"/>
  <c r="E67" i="2"/>
  <c r="G67" i="2"/>
  <c r="F67" i="2"/>
  <c r="C68" i="2"/>
  <c r="E59" i="2"/>
  <c r="F60" i="2" s="1"/>
  <c r="G60" i="2" s="1"/>
  <c r="C78" i="2" s="1"/>
  <c r="B77" i="2"/>
  <c r="F58" i="2"/>
  <c r="G58" i="2" s="1"/>
  <c r="C76" i="2" s="1"/>
  <c r="C68" i="1"/>
  <c r="B77" i="1"/>
  <c r="E59" i="1"/>
  <c r="B81" i="3" l="1"/>
  <c r="B82" i="3" s="1"/>
  <c r="E63" i="3"/>
  <c r="F63" i="3" s="1"/>
  <c r="G63" i="3" s="1"/>
  <c r="C81" i="3" s="1"/>
  <c r="C82" i="3" s="1"/>
  <c r="E72" i="3"/>
  <c r="G72" i="3"/>
  <c r="F72" i="3"/>
  <c r="G71" i="3"/>
  <c r="F71" i="3"/>
  <c r="E71" i="3"/>
  <c r="E54" i="2"/>
  <c r="F54" i="2" s="1"/>
  <c r="B62" i="2" s="1"/>
  <c r="D62" i="2" s="1"/>
  <c r="B80" i="2" s="1"/>
  <c r="E53" i="2"/>
  <c r="F53" i="2" s="1"/>
  <c r="B61" i="2" s="1"/>
  <c r="D61" i="2" s="1"/>
  <c r="C69" i="2"/>
  <c r="B78" i="2"/>
  <c r="E60" i="2"/>
  <c r="F59" i="2"/>
  <c r="G59" i="2" s="1"/>
  <c r="C77" i="2" s="1"/>
  <c r="G68" i="2"/>
  <c r="F68" i="2"/>
  <c r="E68" i="2"/>
  <c r="E68" i="1"/>
  <c r="F68" i="1"/>
  <c r="G68" i="1"/>
  <c r="E53" i="1"/>
  <c r="F53" i="1" s="1"/>
  <c r="B61" i="1" s="1"/>
  <c r="D61" i="1" s="1"/>
  <c r="E50" i="1"/>
  <c r="F50" i="1" s="1"/>
  <c r="B58" i="1" s="1"/>
  <c r="D58" i="1" s="1"/>
  <c r="E9" i="3" l="1"/>
  <c r="E77" i="3"/>
  <c r="E78" i="3"/>
  <c r="E62" i="2"/>
  <c r="F62" i="2" s="1"/>
  <c r="G62" i="2" s="1"/>
  <c r="C80" i="2" s="1"/>
  <c r="C71" i="2"/>
  <c r="F71" i="2" s="1"/>
  <c r="F69" i="2"/>
  <c r="E69" i="2"/>
  <c r="G69" i="2"/>
  <c r="B79" i="2"/>
  <c r="E61" i="2"/>
  <c r="F61" i="2" s="1"/>
  <c r="G61" i="2" s="1"/>
  <c r="C79" i="2" s="1"/>
  <c r="C70" i="2"/>
  <c r="E55" i="2"/>
  <c r="F55" i="2" s="1"/>
  <c r="B63" i="2" s="1"/>
  <c r="D63" i="2" s="1"/>
  <c r="E54" i="1"/>
  <c r="F54" i="1" s="1"/>
  <c r="B62" i="1" s="1"/>
  <c r="D62" i="1" s="1"/>
  <c r="E62" i="1" s="1"/>
  <c r="F62" i="1" s="1"/>
  <c r="G62" i="1" s="1"/>
  <c r="C80" i="1" s="1"/>
  <c r="B79" i="1"/>
  <c r="E61" i="1"/>
  <c r="F61" i="1" s="1"/>
  <c r="G61" i="1" s="1"/>
  <c r="C79" i="1" s="1"/>
  <c r="C70" i="1"/>
  <c r="E58" i="1"/>
  <c r="C67" i="1"/>
  <c r="B76" i="1"/>
  <c r="E82" i="3" l="1"/>
  <c r="G71" i="2"/>
  <c r="E71" i="2"/>
  <c r="E63" i="2"/>
  <c r="F63" i="2" s="1"/>
  <c r="G63" i="2" s="1"/>
  <c r="C81" i="2" s="1"/>
  <c r="C82" i="2" s="1"/>
  <c r="E9" i="2" s="1"/>
  <c r="C72" i="2"/>
  <c r="B81" i="2"/>
  <c r="B82" i="2" s="1"/>
  <c r="F70" i="2"/>
  <c r="E70" i="2"/>
  <c r="G70" i="2"/>
  <c r="C71" i="1"/>
  <c r="G71" i="1" s="1"/>
  <c r="B80" i="1"/>
  <c r="B81" i="1" s="1"/>
  <c r="F70" i="1"/>
  <c r="G70" i="1"/>
  <c r="E70" i="1"/>
  <c r="E67" i="1"/>
  <c r="G67" i="1"/>
  <c r="F67" i="1"/>
  <c r="F58" i="1"/>
  <c r="G58" i="1" s="1"/>
  <c r="C76" i="1" s="1"/>
  <c r="F59" i="1"/>
  <c r="G59" i="1" s="1"/>
  <c r="C77" i="1" s="1"/>
  <c r="E76" i="2" l="1"/>
  <c r="E81" i="2"/>
  <c r="E79" i="2"/>
  <c r="E78" i="2"/>
  <c r="E77" i="2"/>
  <c r="E80" i="2"/>
  <c r="E72" i="2"/>
  <c r="F72" i="2"/>
  <c r="G72" i="2"/>
  <c r="F71" i="1"/>
  <c r="E71" i="1"/>
  <c r="C81" i="1"/>
  <c r="E76" i="1" l="1"/>
  <c r="E77" i="1"/>
  <c r="E78" i="1"/>
  <c r="E79" i="1"/>
  <c r="E80" i="1"/>
  <c r="E82" i="2"/>
  <c r="E37" i="1"/>
  <c r="H40" i="1" s="1"/>
  <c r="E81" i="1" l="1"/>
</calcChain>
</file>

<file path=xl/sharedStrings.xml><?xml version="1.0" encoding="utf-8"?>
<sst xmlns="http://schemas.openxmlformats.org/spreadsheetml/2006/main" count="400" uniqueCount="91">
  <si>
    <t>SBA Pay Check Protection (PPP)</t>
  </si>
  <si>
    <t>Receive</t>
  </si>
  <si>
    <t>Dates</t>
  </si>
  <si>
    <t>Amount</t>
  </si>
  <si>
    <t>Forgiven</t>
  </si>
  <si>
    <t>Round 1</t>
  </si>
  <si>
    <t>Yes</t>
  </si>
  <si>
    <t>Round 2</t>
  </si>
  <si>
    <t>No</t>
  </si>
  <si>
    <t xml:space="preserve">Government Grants: </t>
  </si>
  <si>
    <t>Ownership on Payroll</t>
  </si>
  <si>
    <t>Owners on Payroll</t>
  </si>
  <si>
    <t>Family on Payroll</t>
  </si>
  <si>
    <t>Employees</t>
  </si>
  <si>
    <t>Q2 2020 Employee Count</t>
  </si>
  <si>
    <t>Q3 2020 Employee Count</t>
  </si>
  <si>
    <t>Q4 2020 Employee Count</t>
  </si>
  <si>
    <t>Q1 2021 Employee Count</t>
  </si>
  <si>
    <t>Q2 2021 Employee Count</t>
  </si>
  <si>
    <t>Q3 2021 Employee Count</t>
  </si>
  <si>
    <t>Owner Ship &amp; Family Wages</t>
  </si>
  <si>
    <t>Name</t>
  </si>
  <si>
    <t>Q1 2020 Wages</t>
  </si>
  <si>
    <t>Q2 2020 Wages</t>
  </si>
  <si>
    <t>Q3 2020 Wages</t>
  </si>
  <si>
    <t>Q4 2020 Wages</t>
  </si>
  <si>
    <t>Q1 2021 Wages</t>
  </si>
  <si>
    <t>Q2 2021 Wages</t>
  </si>
  <si>
    <t>Q3 2021 Wages</t>
  </si>
  <si>
    <t>Owner 1</t>
  </si>
  <si>
    <t>Owner 2</t>
  </si>
  <si>
    <t>Owner 3</t>
  </si>
  <si>
    <t>Owner 4</t>
  </si>
  <si>
    <t>Owner 5</t>
  </si>
  <si>
    <t>Owner 6</t>
  </si>
  <si>
    <t>Non Refundable Taxes</t>
  </si>
  <si>
    <t>DATA (941 5A)</t>
  </si>
  <si>
    <t>Function</t>
  </si>
  <si>
    <t>1st Result (941X) 18 A C1</t>
  </si>
  <si>
    <t>2nd Result (941X) 18A C3</t>
  </si>
  <si>
    <t>3rd Result (941X) 18A C4</t>
  </si>
  <si>
    <t>4th Result (941X) 23 C4</t>
  </si>
  <si>
    <t>2nd Quarter 2020 941</t>
  </si>
  <si>
    <t>3rd Quarter 2020 941</t>
  </si>
  <si>
    <t>4th Quarter 2020 941</t>
  </si>
  <si>
    <t>1st Quarter 2021 941</t>
  </si>
  <si>
    <t>2nd Quarter 2021 941</t>
  </si>
  <si>
    <t>3rd Quarter 2021 941</t>
  </si>
  <si>
    <t>Qualified Wages</t>
  </si>
  <si>
    <t>Data (941 5A)</t>
  </si>
  <si>
    <t>Function 1 (-Family/Ownership)</t>
  </si>
  <si>
    <t>Function 2 -PPP</t>
  </si>
  <si>
    <t>1st Result (941X) 30A C1</t>
  </si>
  <si>
    <t>2nd Result (941X) 30A C3</t>
  </si>
  <si>
    <t>Total ERC Credit</t>
  </si>
  <si>
    <t>Data (941X)</t>
  </si>
  <si>
    <t>1st Result NEEDS VALIDATION</t>
  </si>
  <si>
    <t>VALIDATION</t>
  </si>
  <si>
    <t>MAXIMUM</t>
  </si>
  <si>
    <t>2nd Result (941X)</t>
  </si>
  <si>
    <t>Refundable Portion of ERC</t>
  </si>
  <si>
    <t>Data (941X) 18A C1</t>
  </si>
  <si>
    <t>FUNCTION</t>
  </si>
  <si>
    <t>1st Result (941X) L26A C1</t>
  </si>
  <si>
    <t>2nd Result (941X) L26 A C3</t>
  </si>
  <si>
    <t>3rd Result (941X) L26 C4</t>
  </si>
  <si>
    <t>LINE 27 + LINE 18 A C1</t>
  </si>
  <si>
    <t>Fee Calculation</t>
  </si>
  <si>
    <t>Data</t>
  </si>
  <si>
    <t>LINE 27 941X</t>
  </si>
  <si>
    <t>COMMISSION</t>
  </si>
  <si>
    <t>MULTIPLICATION</t>
  </si>
  <si>
    <t>Current Invoice</t>
  </si>
  <si>
    <t>https://drive.google.com/file/d/1KmEV9ZkWwXrNxpQKP0jgnSiF2MTPzmvD/view?usp=share_link</t>
  </si>
  <si>
    <t>Model Invoice</t>
  </si>
  <si>
    <t>https://drive.google.com/file/d/1KLR1jnjoP879x578aDkuGuJ6EvBK1q61/view?usp=sharing</t>
  </si>
  <si>
    <t>IMPORTANT: If a refund exceeds $5000 per employee in 2020 or $7000 per quarter in 2021, the number will have to be adjusted down to match this number.</t>
  </si>
  <si>
    <t>Legal Business Name</t>
  </si>
  <si>
    <t>Business Address</t>
  </si>
  <si>
    <t>City</t>
  </si>
  <si>
    <t>State</t>
  </si>
  <si>
    <t>Zip Code</t>
  </si>
  <si>
    <t>EIN</t>
  </si>
  <si>
    <t>Jennifer Asgood</t>
  </si>
  <si>
    <t>Richard Hayler</t>
  </si>
  <si>
    <t>TOTAL</t>
  </si>
  <si>
    <t>Phone Number</t>
  </si>
  <si>
    <t>Owner</t>
  </si>
  <si>
    <t>REFUND</t>
  </si>
  <si>
    <t>Ownership Wages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</si>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</sst>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FFFFFF"/>
      <name val="Inherit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14" fontId="2" fillId="0" borderId="2" xfId="1" applyNumberFormat="1" applyFont="1" applyBorder="1"/>
    <xf numFmtId="44" fontId="2" fillId="0" borderId="2" xfId="2" applyFont="1" applyBorder="1"/>
    <xf numFmtId="0" fontId="2" fillId="0" borderId="3" xfId="0" applyFont="1" applyBorder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4" xfId="0" applyBorder="1"/>
    <xf numFmtId="0" fontId="0" fillId="2" borderId="5" xfId="0" applyFill="1" applyBorder="1"/>
    <xf numFmtId="14" fontId="0" fillId="2" borderId="5" xfId="1" applyNumberFormat="1" applyFont="1" applyFill="1" applyBorder="1"/>
    <xf numFmtId="44" fontId="0" fillId="2" borderId="5" xfId="2" applyFont="1" applyFill="1" applyBorder="1"/>
    <xf numFmtId="0" fontId="0" fillId="2" borderId="6" xfId="0" applyFill="1" applyBorder="1"/>
    <xf numFmtId="43" fontId="0" fillId="0" borderId="0" xfId="1" applyFont="1"/>
    <xf numFmtId="0" fontId="0" fillId="0" borderId="7" xfId="0" applyBorder="1"/>
    <xf numFmtId="0" fontId="0" fillId="2" borderId="8" xfId="0" applyFill="1" applyBorder="1"/>
    <xf numFmtId="14" fontId="0" fillId="2" borderId="8" xfId="1" applyNumberFormat="1" applyFont="1" applyFill="1" applyBorder="1"/>
    <xf numFmtId="44" fontId="0" fillId="2" borderId="8" xfId="2" applyFont="1" applyFill="1" applyBorder="1"/>
    <xf numFmtId="0" fontId="0" fillId="2" borderId="9" xfId="0" applyFill="1" applyBorder="1"/>
    <xf numFmtId="14" fontId="0" fillId="0" borderId="0" xfId="1" applyNumberFormat="1" applyFont="1"/>
    <xf numFmtId="44" fontId="0" fillId="0" borderId="0" xfId="2" applyFont="1"/>
    <xf numFmtId="4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2" xfId="1" applyNumberFormat="1" applyFont="1" applyBorder="1"/>
    <xf numFmtId="44" fontId="0" fillId="0" borderId="3" xfId="2" applyFont="1" applyBorder="1"/>
    <xf numFmtId="44" fontId="0" fillId="2" borderId="9" xfId="2" applyFont="1" applyFill="1" applyBorder="1"/>
    <xf numFmtId="0" fontId="0" fillId="0" borderId="3" xfId="0" applyBorder="1"/>
    <xf numFmtId="14" fontId="0" fillId="0" borderId="0" xfId="1" applyNumberFormat="1" applyFont="1" applyFill="1" applyBorder="1"/>
    <xf numFmtId="44" fontId="0" fillId="0" borderId="0" xfId="2" applyFont="1" applyFill="1" applyBorder="1"/>
    <xf numFmtId="0" fontId="0" fillId="0" borderId="10" xfId="0" applyBorder="1"/>
    <xf numFmtId="14" fontId="0" fillId="0" borderId="11" xfId="1" applyNumberFormat="1" applyFont="1" applyBorder="1"/>
    <xf numFmtId="14" fontId="2" fillId="0" borderId="3" xfId="1" applyNumberFormat="1" applyFont="1" applyBorder="1"/>
    <xf numFmtId="164" fontId="0" fillId="2" borderId="8" xfId="1" applyNumberFormat="1" applyFont="1" applyFill="1" applyBorder="1"/>
    <xf numFmtId="164" fontId="0" fillId="2" borderId="8" xfId="1" applyNumberFormat="1" applyFont="1" applyFill="1" applyBorder="1" applyAlignment="1">
      <alignment horizontal="left" vertical="top"/>
    </xf>
    <xf numFmtId="164" fontId="0" fillId="2" borderId="9" xfId="1" applyNumberFormat="1" applyFont="1" applyFill="1" applyBorder="1" applyAlignment="1">
      <alignment horizontal="left" vertical="top"/>
    </xf>
    <xf numFmtId="0" fontId="2" fillId="0" borderId="0" xfId="0" applyFont="1"/>
    <xf numFmtId="44" fontId="0" fillId="0" borderId="2" xfId="2" applyFont="1" applyBorder="1"/>
    <xf numFmtId="0" fontId="0" fillId="2" borderId="4" xfId="0" applyFill="1" applyBorder="1"/>
    <xf numFmtId="14" fontId="0" fillId="0" borderId="5" xfId="1" applyNumberFormat="1" applyFont="1" applyBorder="1"/>
    <xf numFmtId="44" fontId="0" fillId="0" borderId="5" xfId="2" applyFont="1" applyBorder="1"/>
    <xf numFmtId="0" fontId="0" fillId="0" borderId="5" xfId="0" applyBorder="1"/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quotePrefix="1"/>
    <xf numFmtId="0" fontId="4" fillId="0" borderId="0" xfId="0" applyFont="1"/>
    <xf numFmtId="14" fontId="0" fillId="0" borderId="8" xfId="1" applyNumberFormat="1" applyFont="1" applyBorder="1"/>
    <xf numFmtId="0" fontId="2" fillId="0" borderId="12" xfId="0" applyFont="1" applyBorder="1"/>
    <xf numFmtId="14" fontId="2" fillId="0" borderId="13" xfId="1" applyNumberFormat="1" applyFont="1" applyBorder="1"/>
    <xf numFmtId="44" fontId="2" fillId="0" borderId="13" xfId="2" applyFont="1" applyBorder="1"/>
    <xf numFmtId="44" fontId="0" fillId="2" borderId="15" xfId="2" applyFont="1" applyFill="1" applyBorder="1"/>
    <xf numFmtId="10" fontId="0" fillId="0" borderId="5" xfId="3" applyNumberFormat="1" applyFont="1" applyBorder="1"/>
    <xf numFmtId="165" fontId="0" fillId="3" borderId="15" xfId="1" applyNumberFormat="1" applyFont="1" applyFill="1" applyBorder="1"/>
    <xf numFmtId="165" fontId="0" fillId="3" borderId="5" xfId="1" applyNumberFormat="1" applyFont="1" applyFill="1" applyBorder="1"/>
    <xf numFmtId="44" fontId="0" fillId="3" borderId="16" xfId="2" applyFont="1" applyFill="1" applyBorder="1"/>
    <xf numFmtId="44" fontId="2" fillId="0" borderId="17" xfId="2" applyFont="1" applyBorder="1"/>
    <xf numFmtId="14" fontId="2" fillId="0" borderId="14" xfId="1" applyNumberFormat="1" applyFont="1" applyFill="1" applyBorder="1"/>
    <xf numFmtId="14" fontId="2" fillId="0" borderId="0" xfId="1" applyNumberFormat="1" applyFont="1" applyFill="1" applyBorder="1"/>
    <xf numFmtId="44" fontId="0" fillId="4" borderId="15" xfId="2" applyFont="1" applyFill="1" applyBorder="1"/>
    <xf numFmtId="44" fontId="0" fillId="0" borderId="5" xfId="2" quotePrefix="1" applyFont="1" applyBorder="1"/>
    <xf numFmtId="44" fontId="0" fillId="0" borderId="15" xfId="2" quotePrefix="1" applyFont="1" applyBorder="1"/>
    <xf numFmtId="44" fontId="0" fillId="3" borderId="15" xfId="1" applyNumberFormat="1" applyFont="1" applyFill="1" applyBorder="1"/>
    <xf numFmtId="44" fontId="0" fillId="3" borderId="5" xfId="1" applyNumberFormat="1" applyFont="1" applyFill="1" applyBorder="1"/>
    <xf numFmtId="44" fontId="0" fillId="3" borderId="6" xfId="1" applyNumberFormat="1" applyFont="1" applyFill="1" applyBorder="1"/>
    <xf numFmtId="0" fontId="2" fillId="0" borderId="1" xfId="0" applyFont="1" applyBorder="1" applyAlignment="1">
      <alignment horizontal="left" vertical="top"/>
    </xf>
    <xf numFmtId="14" fontId="2" fillId="0" borderId="2" xfId="1" applyNumberFormat="1" applyFont="1" applyFill="1" applyBorder="1"/>
    <xf numFmtId="44" fontId="0" fillId="3" borderId="15" xfId="2" quotePrefix="1" applyFont="1" applyFill="1" applyBorder="1"/>
    <xf numFmtId="9" fontId="0" fillId="0" borderId="15" xfId="3" quotePrefix="1" applyFont="1" applyBorder="1"/>
    <xf numFmtId="44" fontId="0" fillId="0" borderId="4" xfId="2" applyFont="1" applyBorder="1" applyAlignment="1">
      <alignment horizontal="left" vertical="top"/>
    </xf>
    <xf numFmtId="44" fontId="0" fillId="3" borderId="6" xfId="2" applyFont="1" applyFill="1" applyBorder="1" applyAlignment="1">
      <alignment horizontal="left" vertical="top"/>
    </xf>
    <xf numFmtId="9" fontId="0" fillId="0" borderId="5" xfId="3" quotePrefix="1" applyFont="1" applyBorder="1"/>
    <xf numFmtId="44" fontId="0" fillId="0" borderId="7" xfId="2" applyFont="1" applyBorder="1" applyAlignment="1">
      <alignment horizontal="left" vertical="top"/>
    </xf>
    <xf numFmtId="44" fontId="0" fillId="3" borderId="9" xfId="2" applyFont="1" applyFill="1" applyBorder="1" applyAlignment="1">
      <alignment horizontal="left" vertical="top"/>
    </xf>
    <xf numFmtId="14" fontId="0" fillId="0" borderId="0" xfId="1" applyNumberFormat="1" applyFont="1" applyFill="1"/>
    <xf numFmtId="14" fontId="2" fillId="0" borderId="13" xfId="1" applyNumberFormat="1" applyFont="1" applyFill="1" applyBorder="1"/>
    <xf numFmtId="44" fontId="0" fillId="3" borderId="15" xfId="0" applyNumberFormat="1" applyFill="1" applyBorder="1"/>
    <xf numFmtId="44" fontId="0" fillId="3" borderId="15" xfId="0" applyNumberFormat="1" applyFill="1" applyBorder="1" applyAlignment="1">
      <alignment horizontal="left" vertical="top"/>
    </xf>
    <xf numFmtId="44" fontId="0" fillId="4" borderId="5" xfId="1" applyNumberFormat="1" applyFont="1" applyFill="1" applyBorder="1"/>
    <xf numFmtId="44" fontId="2" fillId="3" borderId="5" xfId="0" applyNumberFormat="1" applyFont="1" applyFill="1" applyBorder="1"/>
    <xf numFmtId="44" fontId="0" fillId="0" borderId="6" xfId="0" applyNumberFormat="1" applyBorder="1"/>
    <xf numFmtId="0" fontId="3" fillId="0" borderId="0" xfId="4" applyAlignment="1">
      <alignment horizontal="left" vertical="top"/>
    </xf>
    <xf numFmtId="44" fontId="0" fillId="4" borderId="8" xfId="1" applyNumberFormat="1" applyFont="1" applyFill="1" applyBorder="1"/>
    <xf numFmtId="44" fontId="2" fillId="3" borderId="8" xfId="0" applyNumberFormat="1" applyFont="1" applyFill="1" applyBorder="1"/>
    <xf numFmtId="44" fontId="0" fillId="0" borderId="0" xfId="1" applyNumberFormat="1" applyFont="1"/>
    <xf numFmtId="44" fontId="2" fillId="0" borderId="0" xfId="1" applyNumberFormat="1" applyFont="1"/>
    <xf numFmtId="14" fontId="2" fillId="5" borderId="13" xfId="1" applyNumberFormat="1" applyFont="1" applyFill="1" applyBorder="1"/>
    <xf numFmtId="14" fontId="2" fillId="5" borderId="14" xfId="1" applyNumberFormat="1" applyFont="1" applyFill="1" applyBorder="1"/>
    <xf numFmtId="14" fontId="2" fillId="5" borderId="18" xfId="1" applyNumberFormat="1" applyFont="1" applyFill="1" applyBorder="1"/>
    <xf numFmtId="0" fontId="2" fillId="5" borderId="13" xfId="0" applyFont="1" applyFill="1" applyBorder="1"/>
    <xf numFmtId="0" fontId="2" fillId="5" borderId="14" xfId="0" applyFont="1" applyFill="1" applyBorder="1"/>
    <xf numFmtId="0" fontId="2" fillId="0" borderId="3" xfId="0" applyFont="1" applyBorder="1" applyAlignment="1">
      <alignment horizontal="left" vertical="top"/>
    </xf>
    <xf numFmtId="0" fontId="2" fillId="5" borderId="2" xfId="0" applyFont="1" applyFill="1" applyBorder="1"/>
    <xf numFmtId="44" fontId="0" fillId="0" borderId="8" xfId="1" applyNumberFormat="1" applyFont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0" borderId="29" xfId="0" applyBorder="1"/>
    <xf numFmtId="0" fontId="0" fillId="0" borderId="30" xfId="0" applyBorder="1"/>
    <xf numFmtId="0" fontId="0" fillId="0" borderId="22" xfId="0" applyBorder="1"/>
    <xf numFmtId="0" fontId="0" fillId="0" borderId="25" xfId="0" applyBorder="1"/>
    <xf numFmtId="44" fontId="0" fillId="2" borderId="6" xfId="2" applyFont="1" applyFill="1" applyBorder="1"/>
    <xf numFmtId="44" fontId="0" fillId="0" borderId="9" xfId="1" applyNumberFormat="1" applyFont="1" applyBorder="1"/>
    <xf numFmtId="14" fontId="2" fillId="0" borderId="31" xfId="1" applyNumberFormat="1" applyFont="1" applyFill="1" applyBorder="1"/>
    <xf numFmtId="44" fontId="2" fillId="0" borderId="0" xfId="0" applyNumberFormat="1" applyFont="1"/>
    <xf numFmtId="0" fontId="2" fillId="0" borderId="32" xfId="0" applyFont="1" applyBorder="1"/>
    <xf numFmtId="14" fontId="2" fillId="0" borderId="33" xfId="1" applyNumberFormat="1" applyFont="1" applyBorder="1"/>
    <xf numFmtId="44" fontId="2" fillId="0" borderId="34" xfId="2" applyFont="1" applyBorder="1"/>
    <xf numFmtId="14" fontId="2" fillId="5" borderId="35" xfId="1" applyNumberFormat="1" applyFont="1" applyFill="1" applyBorder="1"/>
    <xf numFmtId="44" fontId="0" fillId="4" borderId="5" xfId="2" applyFont="1" applyFill="1" applyBorder="1"/>
    <xf numFmtId="0" fontId="5" fillId="0" borderId="19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KmEV9ZkWwXrNxpQKP0jgnSiF2MTPzmvD/view?usp=share_lin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KmEV9ZkWwXrNxpQKP0jgnSiF2MTPzmvD/view?usp=share_lin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KmEV9ZkWwXrNxpQKP0jgnSiF2MTPzmvD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3B29F-330C-1349-9D8B-B3AD49EFBB52}">
  <dimension ref="A1:N88"/>
  <sheetViews>
    <sheetView tabSelected="1" topLeftCell="A40" zoomScale="75" zoomScaleNormal="70" workbookViewId="0">
      <selection activeCell="E75" sqref="E75"/>
    </sheetView>
  </sheetViews>
  <sheetFormatPr baseColWidth="10" defaultRowHeight="16"/>
  <cols>
    <col min="1" max="3" width="19.5" customWidth="1"/>
    <col min="4" max="4" width="26.1640625" customWidth="1"/>
    <col min="5" max="5" width="21.5" customWidth="1"/>
    <col min="6" max="6" width="26.6640625" customWidth="1"/>
    <col min="7" max="7" width="21.5" customWidth="1"/>
    <col min="8" max="8" width="16.33203125" customWidth="1"/>
  </cols>
  <sheetData>
    <row r="1" spans="1:14" ht="17" thickBot="1"/>
    <row r="2" spans="1:14">
      <c r="A2" s="96" t="s">
        <v>82</v>
      </c>
      <c r="B2" s="93"/>
    </row>
    <row r="3" spans="1:14">
      <c r="A3" s="97" t="s">
        <v>77</v>
      </c>
      <c r="B3" s="94"/>
    </row>
    <row r="4" spans="1:14">
      <c r="A4" s="97" t="s">
        <v>78</v>
      </c>
      <c r="B4" s="94"/>
    </row>
    <row r="5" spans="1:14">
      <c r="A5" s="97" t="s">
        <v>79</v>
      </c>
      <c r="B5" s="94"/>
    </row>
    <row r="6" spans="1:14">
      <c r="A6" s="97" t="s">
        <v>80</v>
      </c>
      <c r="B6" s="94"/>
    </row>
    <row r="7" spans="1:14">
      <c r="A7" s="97" t="s">
        <v>81</v>
      </c>
      <c r="B7" s="94"/>
    </row>
    <row r="8" spans="1:14">
      <c r="A8" s="99" t="s">
        <v>86</v>
      </c>
      <c r="B8" s="94"/>
    </row>
    <row r="9" spans="1:14" ht="17" thickBot="1">
      <c r="A9" s="98" t="s">
        <v>87</v>
      </c>
      <c r="B9" s="95"/>
    </row>
    <row r="11" spans="1:14" ht="17" thickBot="1"/>
    <row r="12" spans="1:14">
      <c r="A12" s="1" t="s">
        <v>0</v>
      </c>
      <c r="B12" s="2" t="s">
        <v>1</v>
      </c>
      <c r="C12" s="3" t="s">
        <v>2</v>
      </c>
      <c r="D12" s="4" t="s">
        <v>3</v>
      </c>
      <c r="E12" s="5" t="s">
        <v>4</v>
      </c>
      <c r="F12" s="6"/>
      <c r="G12" s="7"/>
    </row>
    <row r="13" spans="1:14">
      <c r="A13" s="8" t="s">
        <v>5</v>
      </c>
      <c r="B13" s="9" t="s">
        <v>6</v>
      </c>
      <c r="C13" s="10">
        <v>43952</v>
      </c>
      <c r="D13" s="11">
        <v>167598.38</v>
      </c>
      <c r="E13" s="12" t="s">
        <v>6</v>
      </c>
      <c r="F13" s="6"/>
      <c r="G13" s="7"/>
      <c r="N13" s="13"/>
    </row>
    <row r="14" spans="1:14" ht="17" thickBot="1">
      <c r="A14" s="14" t="s">
        <v>7</v>
      </c>
      <c r="B14" s="15" t="s">
        <v>8</v>
      </c>
      <c r="C14" s="16">
        <v>44238</v>
      </c>
      <c r="D14" s="17">
        <v>230809</v>
      </c>
      <c r="E14" s="18" t="s">
        <v>6</v>
      </c>
      <c r="F14" s="6"/>
      <c r="G14" s="6"/>
      <c r="N14" s="13"/>
    </row>
    <row r="15" spans="1:14">
      <c r="C15" s="28"/>
      <c r="D15" s="29">
        <f>SUM(D13:D14)</f>
        <v>398407.38</v>
      </c>
      <c r="F15" s="6"/>
      <c r="G15" s="6"/>
      <c r="N15" s="13"/>
    </row>
    <row r="16" spans="1:14" ht="17" thickBot="1">
      <c r="C16" s="19"/>
      <c r="D16" s="20"/>
      <c r="E16" s="21"/>
      <c r="F16" s="6"/>
      <c r="G16" s="6"/>
      <c r="N16" s="13"/>
    </row>
    <row r="17" spans="1:14">
      <c r="A17" s="22" t="s">
        <v>9</v>
      </c>
      <c r="B17" s="23" t="s">
        <v>1</v>
      </c>
      <c r="C17" s="24" t="s">
        <v>2</v>
      </c>
      <c r="D17" s="25" t="s">
        <v>3</v>
      </c>
      <c r="E17" s="21"/>
      <c r="F17" s="6"/>
      <c r="G17" s="6"/>
      <c r="N17" s="13"/>
    </row>
    <row r="18" spans="1:14" ht="17" thickBot="1">
      <c r="A18" s="14"/>
      <c r="B18" s="15" t="s">
        <v>8</v>
      </c>
      <c r="C18" s="16">
        <v>43922</v>
      </c>
      <c r="D18" s="26"/>
      <c r="F18" s="6"/>
      <c r="G18" s="6"/>
      <c r="N18" s="13"/>
    </row>
    <row r="19" spans="1:14" ht="17" thickBot="1">
      <c r="B19" s="19"/>
      <c r="C19" s="20"/>
      <c r="F19" s="6"/>
      <c r="G19" s="6"/>
      <c r="N19" s="13"/>
    </row>
    <row r="20" spans="1:14">
      <c r="A20" s="22" t="s">
        <v>10</v>
      </c>
      <c r="B20" s="27" t="s">
        <v>11</v>
      </c>
      <c r="C20" s="28"/>
      <c r="D20" s="29"/>
      <c r="F20" s="6"/>
      <c r="G20" s="6"/>
      <c r="N20" s="13"/>
    </row>
    <row r="21" spans="1:14" ht="17" thickBot="1">
      <c r="A21" s="14"/>
      <c r="B21" s="18" t="s">
        <v>8</v>
      </c>
      <c r="C21" s="28"/>
      <c r="D21" s="29"/>
      <c r="F21" s="6"/>
      <c r="G21" s="6"/>
      <c r="N21" s="13"/>
    </row>
    <row r="22" spans="1:14" ht="17" thickBot="1">
      <c r="A22" s="30"/>
      <c r="B22" s="31"/>
      <c r="C22" s="29"/>
      <c r="F22" s="6"/>
      <c r="G22" s="6"/>
      <c r="N22" s="13"/>
    </row>
    <row r="23" spans="1:14">
      <c r="A23" s="22" t="s">
        <v>12</v>
      </c>
      <c r="B23" s="27" t="s">
        <v>12</v>
      </c>
      <c r="C23" s="28"/>
      <c r="D23" s="29"/>
      <c r="F23" s="6"/>
      <c r="G23" s="6"/>
      <c r="N23" s="13"/>
    </row>
    <row r="24" spans="1:14" ht="17" thickBot="1">
      <c r="A24" s="14"/>
      <c r="B24" s="18" t="s">
        <v>8</v>
      </c>
      <c r="C24" s="28"/>
      <c r="D24" s="29"/>
      <c r="F24" s="6"/>
      <c r="G24" s="6"/>
      <c r="N24" s="13"/>
    </row>
    <row r="25" spans="1:14" ht="17" thickBot="1">
      <c r="B25" s="19"/>
      <c r="C25" s="20"/>
      <c r="F25" s="6"/>
      <c r="G25" s="6"/>
      <c r="N25" s="13"/>
    </row>
    <row r="26" spans="1:14">
      <c r="A26" s="22" t="s">
        <v>13</v>
      </c>
      <c r="B26" s="3" t="s">
        <v>14</v>
      </c>
      <c r="C26" s="3" t="s">
        <v>15</v>
      </c>
      <c r="D26" s="3" t="s">
        <v>16</v>
      </c>
      <c r="E26" s="3" t="s">
        <v>17</v>
      </c>
      <c r="F26" s="3" t="s">
        <v>18</v>
      </c>
      <c r="G26" s="32" t="s">
        <v>19</v>
      </c>
      <c r="N26" s="13"/>
    </row>
    <row r="27" spans="1:14" ht="17" thickBot="1">
      <c r="A27" s="14"/>
      <c r="B27" s="33">
        <v>22</v>
      </c>
      <c r="C27" s="33">
        <v>23</v>
      </c>
      <c r="D27" s="33">
        <v>23</v>
      </c>
      <c r="E27" s="33">
        <v>23</v>
      </c>
      <c r="F27" s="34">
        <v>25</v>
      </c>
      <c r="G27" s="35">
        <v>21</v>
      </c>
      <c r="N27" s="13"/>
    </row>
    <row r="28" spans="1:14">
      <c r="B28" s="19"/>
      <c r="C28" s="20"/>
      <c r="F28" s="6"/>
      <c r="G28" s="6"/>
      <c r="N28" s="13"/>
    </row>
    <row r="29" spans="1:14" ht="17" thickBot="1">
      <c r="A29" s="36" t="s">
        <v>89</v>
      </c>
      <c r="B29" s="19"/>
      <c r="C29" s="20"/>
      <c r="F29" s="6"/>
      <c r="G29" s="6"/>
      <c r="N29" s="13"/>
    </row>
    <row r="30" spans="1:14">
      <c r="A30" s="22" t="s">
        <v>21</v>
      </c>
      <c r="B30" s="24" t="s">
        <v>22</v>
      </c>
      <c r="C30" s="24" t="s">
        <v>23</v>
      </c>
      <c r="D30" s="37" t="s">
        <v>24</v>
      </c>
      <c r="E30" s="37" t="s">
        <v>25</v>
      </c>
      <c r="F30" s="37" t="s">
        <v>26</v>
      </c>
      <c r="G30" s="37" t="s">
        <v>27</v>
      </c>
      <c r="H30" s="25" t="s">
        <v>28</v>
      </c>
      <c r="N30" s="13"/>
    </row>
    <row r="31" spans="1:14">
      <c r="A31" s="38" t="s">
        <v>29</v>
      </c>
      <c r="B31" s="10" t="s">
        <v>83</v>
      </c>
      <c r="C31" s="11">
        <v>30676.46</v>
      </c>
      <c r="D31" s="11">
        <v>56228.74</v>
      </c>
      <c r="E31" s="11">
        <v>68667.87</v>
      </c>
      <c r="F31" s="11">
        <v>57246.61</v>
      </c>
      <c r="G31" s="11">
        <v>70087.360000000001</v>
      </c>
      <c r="H31" s="100">
        <v>63912.53</v>
      </c>
      <c r="N31" s="13"/>
    </row>
    <row r="32" spans="1:14">
      <c r="A32" s="38" t="s">
        <v>30</v>
      </c>
      <c r="B32" s="10" t="s">
        <v>84</v>
      </c>
      <c r="C32" s="11"/>
      <c r="D32" s="11"/>
      <c r="E32" s="11"/>
      <c r="F32" s="11"/>
      <c r="G32" s="11"/>
      <c r="H32" s="100"/>
      <c r="L32" s="44"/>
      <c r="N32" s="13"/>
    </row>
    <row r="33" spans="1:14">
      <c r="A33" s="8" t="s">
        <v>31</v>
      </c>
      <c r="B33" s="39"/>
      <c r="C33" s="39"/>
      <c r="D33" s="40"/>
      <c r="E33" s="41"/>
      <c r="F33" s="41"/>
      <c r="G33" s="42"/>
      <c r="H33" s="43"/>
      <c r="N33" s="13"/>
    </row>
    <row r="34" spans="1:14">
      <c r="A34" s="8" t="s">
        <v>32</v>
      </c>
      <c r="B34" s="39"/>
      <c r="C34" s="39"/>
      <c r="D34" s="40"/>
      <c r="E34" s="41"/>
      <c r="F34" s="41"/>
      <c r="G34" s="42"/>
      <c r="H34" s="43"/>
      <c r="L34" s="45"/>
      <c r="N34" s="13"/>
    </row>
    <row r="35" spans="1:14">
      <c r="A35" s="8" t="s">
        <v>33</v>
      </c>
      <c r="B35" s="39"/>
      <c r="C35" s="39"/>
      <c r="D35" s="40"/>
      <c r="E35" s="41"/>
      <c r="F35" s="41"/>
      <c r="G35" s="42"/>
      <c r="H35" s="43"/>
    </row>
    <row r="36" spans="1:14">
      <c r="A36" s="8" t="s">
        <v>34</v>
      </c>
      <c r="B36" s="39"/>
      <c r="C36" s="39"/>
      <c r="D36" s="40"/>
      <c r="E36" s="41"/>
      <c r="F36" s="41"/>
      <c r="G36" s="42"/>
      <c r="H36" s="43"/>
    </row>
    <row r="37" spans="1:14" ht="17" thickBot="1">
      <c r="A37" s="14" t="s">
        <v>85</v>
      </c>
      <c r="B37" s="46"/>
      <c r="C37" s="92">
        <f>SUM(C31:C36)</f>
        <v>30676.46</v>
      </c>
      <c r="D37" s="92">
        <f t="shared" ref="D37:H37" si="0">SUM(D31:D36)</f>
        <v>56228.74</v>
      </c>
      <c r="E37" s="92">
        <f t="shared" si="0"/>
        <v>68667.87</v>
      </c>
      <c r="F37" s="92">
        <f t="shared" si="0"/>
        <v>57246.61</v>
      </c>
      <c r="G37" s="92">
        <f t="shared" si="0"/>
        <v>70087.360000000001</v>
      </c>
      <c r="H37" s="101">
        <f t="shared" si="0"/>
        <v>63912.53</v>
      </c>
      <c r="L37" s="44"/>
    </row>
    <row r="38" spans="1:14" ht="17" thickBot="1">
      <c r="B38" s="19"/>
      <c r="C38" s="20"/>
      <c r="F38" s="6"/>
      <c r="G38" s="6"/>
    </row>
    <row r="39" spans="1:14" ht="17" thickBot="1">
      <c r="A39" s="47" t="s">
        <v>35</v>
      </c>
      <c r="B39" s="48" t="s">
        <v>36</v>
      </c>
      <c r="C39" s="49" t="s">
        <v>37</v>
      </c>
      <c r="D39" s="85" t="s">
        <v>38</v>
      </c>
      <c r="E39" s="85" t="s">
        <v>39</v>
      </c>
      <c r="F39" s="86" t="s">
        <v>40</v>
      </c>
      <c r="G39" s="86" t="s">
        <v>41</v>
      </c>
    </row>
    <row r="40" spans="1:14">
      <c r="A40" s="8" t="s">
        <v>42</v>
      </c>
      <c r="B40" s="50">
        <v>264771.95</v>
      </c>
      <c r="C40" s="51">
        <v>6.4000000000000001E-2</v>
      </c>
      <c r="D40" s="52">
        <f t="shared" ref="D40:D45" si="1">B40*C40</f>
        <v>16945.4048</v>
      </c>
      <c r="E40" s="53">
        <f>D40</f>
        <v>16945.4048</v>
      </c>
      <c r="F40" s="54">
        <f t="shared" ref="F40:F45" si="2">E40*-1</f>
        <v>-16945.4048</v>
      </c>
      <c r="G40" s="54">
        <f t="shared" ref="G40:G45" si="3">F40</f>
        <v>-16945.4048</v>
      </c>
      <c r="H40">
        <f>E31/E37</f>
        <v>1</v>
      </c>
    </row>
    <row r="41" spans="1:14">
      <c r="A41" s="8" t="s">
        <v>43</v>
      </c>
      <c r="B41" s="50">
        <v>446287.97</v>
      </c>
      <c r="C41" s="51">
        <v>6.4000000000000001E-2</v>
      </c>
      <c r="D41" s="52">
        <f t="shared" si="1"/>
        <v>28562.430079999998</v>
      </c>
      <c r="E41" s="53">
        <f t="shared" ref="E41:E45" si="4">D41</f>
        <v>28562.430079999998</v>
      </c>
      <c r="F41" s="54">
        <f t="shared" si="2"/>
        <v>-28562.430079999998</v>
      </c>
      <c r="G41" s="54">
        <f t="shared" si="3"/>
        <v>-28562.430079999998</v>
      </c>
    </row>
    <row r="42" spans="1:14">
      <c r="A42" s="8" t="s">
        <v>44</v>
      </c>
      <c r="B42" s="50">
        <v>528753.38</v>
      </c>
      <c r="C42" s="51">
        <v>6.4000000000000001E-2</v>
      </c>
      <c r="D42" s="52">
        <f t="shared" si="1"/>
        <v>33840.21632</v>
      </c>
      <c r="E42" s="53">
        <f t="shared" si="4"/>
        <v>33840.21632</v>
      </c>
      <c r="F42" s="54">
        <f t="shared" si="2"/>
        <v>-33840.21632</v>
      </c>
      <c r="G42" s="54">
        <f t="shared" si="3"/>
        <v>-33840.21632</v>
      </c>
    </row>
    <row r="43" spans="1:14">
      <c r="A43" s="8" t="s">
        <v>45</v>
      </c>
      <c r="B43" s="50">
        <v>455503.07</v>
      </c>
      <c r="C43" s="51">
        <v>1.4500000000000001E-2</v>
      </c>
      <c r="D43" s="52">
        <f t="shared" si="1"/>
        <v>6604.7945150000005</v>
      </c>
      <c r="E43" s="53">
        <f t="shared" si="4"/>
        <v>6604.7945150000005</v>
      </c>
      <c r="F43" s="54">
        <f t="shared" si="2"/>
        <v>-6604.7945150000005</v>
      </c>
      <c r="G43" s="54">
        <f t="shared" si="3"/>
        <v>-6604.7945150000005</v>
      </c>
    </row>
    <row r="44" spans="1:14">
      <c r="A44" s="8" t="s">
        <v>46</v>
      </c>
      <c r="B44" s="50">
        <v>583693.44999999995</v>
      </c>
      <c r="C44" s="51">
        <v>1.4500000000000001E-2</v>
      </c>
      <c r="D44" s="52">
        <f t="shared" si="1"/>
        <v>8463.5550249999997</v>
      </c>
      <c r="E44" s="53">
        <f t="shared" si="4"/>
        <v>8463.5550249999997</v>
      </c>
      <c r="F44" s="54">
        <f t="shared" si="2"/>
        <v>-8463.5550249999997</v>
      </c>
      <c r="G44" s="54">
        <f t="shared" si="3"/>
        <v>-8463.5550249999997</v>
      </c>
    </row>
    <row r="45" spans="1:14">
      <c r="A45" s="8" t="s">
        <v>47</v>
      </c>
      <c r="B45" s="50">
        <v>560705.54</v>
      </c>
      <c r="C45" s="51">
        <v>1.4500000000000001E-2</v>
      </c>
      <c r="D45" s="52">
        <f t="shared" si="1"/>
        <v>8130.2303300000012</v>
      </c>
      <c r="E45" s="53">
        <f t="shared" si="4"/>
        <v>8130.2303300000012</v>
      </c>
      <c r="F45" s="54">
        <f t="shared" si="2"/>
        <v>-8130.2303300000012</v>
      </c>
      <c r="G45" s="54">
        <f t="shared" si="3"/>
        <v>-8130.2303300000012</v>
      </c>
    </row>
    <row r="46" spans="1:14">
      <c r="B46" s="19"/>
      <c r="C46" s="20"/>
      <c r="F46" s="6"/>
      <c r="G46" s="6"/>
    </row>
    <row r="47" spans="1:14" ht="17" thickBot="1">
      <c r="B47" s="19"/>
      <c r="C47" s="20"/>
      <c r="F47" s="6"/>
      <c r="G47" s="6"/>
    </row>
    <row r="48" spans="1:14" ht="17" thickBot="1">
      <c r="A48" s="104" t="s">
        <v>48</v>
      </c>
      <c r="B48" s="105" t="s">
        <v>49</v>
      </c>
      <c r="C48" s="106" t="s">
        <v>50</v>
      </c>
      <c r="D48" s="102" t="s">
        <v>51</v>
      </c>
      <c r="E48" s="107" t="s">
        <v>52</v>
      </c>
      <c r="F48" s="86" t="s">
        <v>53</v>
      </c>
      <c r="G48" s="6"/>
      <c r="H48" s="57"/>
    </row>
    <row r="49" spans="1:8">
      <c r="A49" s="41" t="s">
        <v>42</v>
      </c>
      <c r="B49" s="108">
        <f t="shared" ref="B49:B54" si="5">B40</f>
        <v>264771.95</v>
      </c>
      <c r="C49" s="59">
        <f>-C37</f>
        <v>-30676.46</v>
      </c>
      <c r="D49" s="40">
        <f>-IF($C$13&lt;DATE(2020,6,30),IF(SUM(B49,C49)&lt;D13,SUM(B49,C49),D13),0)/2</f>
        <v>-83799.19</v>
      </c>
      <c r="E49" s="62">
        <f>SUM(B49:D49)</f>
        <v>150296.30000000002</v>
      </c>
      <c r="F49" s="62">
        <f t="shared" ref="F49:F54" si="6">E49</f>
        <v>150296.30000000002</v>
      </c>
      <c r="G49" s="6"/>
      <c r="H49" s="21"/>
    </row>
    <row r="50" spans="1:8">
      <c r="A50" s="8" t="s">
        <v>43</v>
      </c>
      <c r="B50" s="58">
        <f t="shared" si="5"/>
        <v>446287.97</v>
      </c>
      <c r="C50" s="59">
        <f>-D37</f>
        <v>-56228.74</v>
      </c>
      <c r="D50" s="60">
        <f>IF($C$13&lt;DATE(2020,9,30),IF(SUM($D$13,D49)&gt;0,IF(SUM($D$13,D49)&gt;(SUM(B50,C50)),-(B50+C50),-SUM($D$13,D49)),0),0)</f>
        <v>-83799.19</v>
      </c>
      <c r="E50" s="61">
        <f>SUM(B50:D50)</f>
        <v>306260.03999999998</v>
      </c>
      <c r="F50" s="63">
        <f t="shared" si="6"/>
        <v>306260.03999999998</v>
      </c>
      <c r="G50" s="6"/>
    </row>
    <row r="51" spans="1:8">
      <c r="A51" s="8" t="s">
        <v>44</v>
      </c>
      <c r="B51" s="58">
        <f t="shared" si="5"/>
        <v>528753.38</v>
      </c>
      <c r="C51" s="59">
        <f>-D37</f>
        <v>-56228.74</v>
      </c>
      <c r="D51" s="60">
        <f>IF($C$13&lt;DATE(2020,12,30),IF(SUM($D$13,SUM(D49,D50))&gt;0,IF(SUM($D$13,SUM(D49,D50))&gt;(SUM(B51,C51)),-(B51+C51),-SUM($D$13,SUM(D49,D50))),0),0)</f>
        <v>0</v>
      </c>
      <c r="E51" s="61">
        <f>SUM(B51:D51)</f>
        <v>472524.64</v>
      </c>
      <c r="F51" s="63">
        <f t="shared" si="6"/>
        <v>472524.64</v>
      </c>
      <c r="G51" s="6"/>
    </row>
    <row r="52" spans="1:8">
      <c r="A52" s="8" t="s">
        <v>45</v>
      </c>
      <c r="B52" s="58">
        <f t="shared" si="5"/>
        <v>455503.07</v>
      </c>
      <c r="C52" s="59">
        <f>-F37</f>
        <v>-57246.61</v>
      </c>
      <c r="D52" s="60">
        <f>IF($C$14&lt;DATE(2021,3,31),IF(SUM($D$15,D49:D51)&gt;0,IF(SUM($D$15,D49:D51)&gt;(SUM(B52,C52)),-(B52+C52),-SUM($D$15,D49:D51)),0),0)</f>
        <v>-230809</v>
      </c>
      <c r="E52" s="61">
        <f t="shared" ref="E52:E54" si="7">SUM(B52:D52)</f>
        <v>167447.46000000002</v>
      </c>
      <c r="F52" s="63">
        <f t="shared" si="6"/>
        <v>167447.46000000002</v>
      </c>
      <c r="G52" s="6"/>
    </row>
    <row r="53" spans="1:8">
      <c r="A53" s="8" t="s">
        <v>46</v>
      </c>
      <c r="B53" s="58">
        <f t="shared" si="5"/>
        <v>583693.44999999995</v>
      </c>
      <c r="C53" s="59">
        <f>-G37</f>
        <v>-70087.360000000001</v>
      </c>
      <c r="D53" s="60">
        <f>IF($C$14&lt;DATE(2021,9,30),IF(SUM($D$15,D49:D52)&gt;0,IF(SUM($D$15,D49:D52)&gt;(SUM(B53,C53)),-(B53+C53),-SUM($D$15,D49:D52)),0),0)</f>
        <v>0</v>
      </c>
      <c r="E53" s="61">
        <f>SUM(B53:D53)</f>
        <v>513606.08999999997</v>
      </c>
      <c r="F53" s="63">
        <f t="shared" si="6"/>
        <v>513606.08999999997</v>
      </c>
      <c r="G53" s="6"/>
    </row>
    <row r="54" spans="1:8">
      <c r="A54" s="8" t="s">
        <v>47</v>
      </c>
      <c r="B54" s="58">
        <f t="shared" si="5"/>
        <v>560705.54</v>
      </c>
      <c r="C54" s="59">
        <f>-H37</f>
        <v>-63912.53</v>
      </c>
      <c r="D54" s="60">
        <f>IF($C$14&lt;DATE(2021,9,30),IF(SUM($D$15,D49:D53)&gt;0,IF(SUM($D$15,D49:D53)&gt;(SUM(B54,C54)),-(B54+C54),-SUM($D$15,D49:D53)),0),0)</f>
        <v>0</v>
      </c>
      <c r="E54" s="61">
        <f t="shared" si="7"/>
        <v>496793.01</v>
      </c>
      <c r="F54" s="63">
        <f t="shared" si="6"/>
        <v>496793.01</v>
      </c>
      <c r="G54" s="6"/>
    </row>
    <row r="55" spans="1:8" ht="17" thickBot="1">
      <c r="B55" s="19"/>
      <c r="C55" s="20"/>
      <c r="F55" s="6"/>
      <c r="G55" s="6"/>
    </row>
    <row r="56" spans="1:8" ht="17" thickBot="1">
      <c r="A56" s="47" t="s">
        <v>54</v>
      </c>
      <c r="B56" s="48" t="s">
        <v>55</v>
      </c>
      <c r="C56" s="49" t="s">
        <v>37</v>
      </c>
      <c r="D56" s="56" t="s">
        <v>56</v>
      </c>
      <c r="E56" s="64" t="s">
        <v>57</v>
      </c>
      <c r="F56" s="65" t="s">
        <v>58</v>
      </c>
      <c r="G56" s="90" t="s">
        <v>59</v>
      </c>
    </row>
    <row r="57" spans="1:8">
      <c r="A57" s="8" t="s">
        <v>42</v>
      </c>
      <c r="B57" s="66">
        <f t="shared" ref="B57:B62" si="8">F49</f>
        <v>150296.30000000002</v>
      </c>
      <c r="C57" s="67">
        <v>0.5</v>
      </c>
      <c r="D57" s="54">
        <f t="shared" ref="D57:D62" si="9">B57*C57</f>
        <v>75148.150000000009</v>
      </c>
      <c r="E57" s="68">
        <f>D57/C27</f>
        <v>3267.3108695652177</v>
      </c>
      <c r="F57" s="40">
        <f>IF(E57&gt;5000,5000,E57)</f>
        <v>3267.3108695652177</v>
      </c>
      <c r="G57" s="69">
        <f>F57*B27</f>
        <v>71880.83913043479</v>
      </c>
    </row>
    <row r="58" spans="1:8">
      <c r="A58" s="8" t="s">
        <v>43</v>
      </c>
      <c r="B58" s="66">
        <f t="shared" si="8"/>
        <v>306260.03999999998</v>
      </c>
      <c r="C58" s="67">
        <v>0.5</v>
      </c>
      <c r="D58" s="54">
        <f t="shared" si="9"/>
        <v>153130.01999999999</v>
      </c>
      <c r="E58" s="68">
        <f>D58/C27</f>
        <v>6657.8269565217388</v>
      </c>
      <c r="F58" s="40">
        <f>IF(E57&lt;5000,IF(SUM(E57,E58)&lt;5000,E58,SUM(5000-E57)),0)</f>
        <v>1732.6891304347823</v>
      </c>
      <c r="G58" s="69">
        <f>F58*C27</f>
        <v>39851.849999999991</v>
      </c>
    </row>
    <row r="59" spans="1:8">
      <c r="A59" s="8" t="s">
        <v>44</v>
      </c>
      <c r="B59" s="66">
        <f t="shared" si="8"/>
        <v>472524.64</v>
      </c>
      <c r="C59" s="67">
        <v>0.5</v>
      </c>
      <c r="D59" s="54">
        <f t="shared" si="9"/>
        <v>236262.32</v>
      </c>
      <c r="E59" s="68">
        <f>D59/D27</f>
        <v>10272.274782608696</v>
      </c>
      <c r="F59" s="40">
        <f>IF(SUM(E57,E58)&lt;5000,IF(SUM(E57,E58,E59)&lt;5000,E59,SUM(5000-E57-E58)),0)</f>
        <v>0</v>
      </c>
      <c r="G59" s="69">
        <f>F59*D27</f>
        <v>0</v>
      </c>
    </row>
    <row r="60" spans="1:8">
      <c r="A60" s="8" t="s">
        <v>45</v>
      </c>
      <c r="B60" s="66">
        <f t="shared" si="8"/>
        <v>167447.46000000002</v>
      </c>
      <c r="C60" s="70">
        <f>0.7</f>
        <v>0.7</v>
      </c>
      <c r="D60" s="54">
        <f t="shared" si="9"/>
        <v>117213.22200000001</v>
      </c>
      <c r="E60" s="68">
        <f>D60/E27</f>
        <v>5096.2270434782613</v>
      </c>
      <c r="F60" s="40">
        <f>IF(E60&gt;10000,(10000*0.7),E60*0.7)</f>
        <v>3567.3589304347829</v>
      </c>
      <c r="G60" s="69">
        <f>F60*E27</f>
        <v>82049.255400000009</v>
      </c>
    </row>
    <row r="61" spans="1:8">
      <c r="A61" s="8" t="s">
        <v>46</v>
      </c>
      <c r="B61" s="66">
        <f t="shared" si="8"/>
        <v>513606.08999999997</v>
      </c>
      <c r="C61" s="70">
        <f t="shared" ref="C61:C62" si="10">0.7</f>
        <v>0.7</v>
      </c>
      <c r="D61" s="54">
        <f t="shared" si="9"/>
        <v>359524.26299999998</v>
      </c>
      <c r="E61" s="68">
        <f>D61/F27</f>
        <v>14380.970519999999</v>
      </c>
      <c r="F61" s="40">
        <f>IF(E61&gt;10000,7000,(E61*0.7))</f>
        <v>7000</v>
      </c>
      <c r="G61" s="69">
        <f>F61*F27</f>
        <v>175000</v>
      </c>
    </row>
    <row r="62" spans="1:8" ht="17" thickBot="1">
      <c r="A62" s="8" t="s">
        <v>47</v>
      </c>
      <c r="B62" s="66">
        <f t="shared" si="8"/>
        <v>496793.01</v>
      </c>
      <c r="C62" s="70">
        <f t="shared" si="10"/>
        <v>0.7</v>
      </c>
      <c r="D62" s="54">
        <f t="shared" si="9"/>
        <v>347755.10699999996</v>
      </c>
      <c r="E62" s="71">
        <f>D62/G27</f>
        <v>16559.767</v>
      </c>
      <c r="F62" s="40">
        <f>IF(E62&gt;10000,7000,(E62*0.7))</f>
        <v>7000</v>
      </c>
      <c r="G62" s="72">
        <f>F62*G27</f>
        <v>147000</v>
      </c>
    </row>
    <row r="63" spans="1:8">
      <c r="B63" s="73"/>
      <c r="C63" s="20"/>
      <c r="F63" s="6"/>
      <c r="G63" s="6"/>
    </row>
    <row r="64" spans="1:8" ht="17" thickBot="1">
      <c r="B64" s="19"/>
      <c r="C64" s="20"/>
      <c r="F64" s="6"/>
      <c r="G64" s="6"/>
    </row>
    <row r="65" spans="1:8" ht="17" thickBot="1">
      <c r="A65" s="47" t="s">
        <v>60</v>
      </c>
      <c r="B65" s="48" t="s">
        <v>61</v>
      </c>
      <c r="C65" s="49" t="s">
        <v>55</v>
      </c>
      <c r="D65" s="74" t="s">
        <v>62</v>
      </c>
      <c r="E65" s="88" t="s">
        <v>63</v>
      </c>
      <c r="F65" s="88" t="s">
        <v>64</v>
      </c>
      <c r="G65" s="89" t="s">
        <v>65</v>
      </c>
    </row>
    <row r="66" spans="1:8">
      <c r="A66" s="8" t="s">
        <v>42</v>
      </c>
      <c r="B66" s="52">
        <f t="shared" ref="B66:B71" si="11">D40</f>
        <v>16945.4048</v>
      </c>
      <c r="C66" s="61">
        <f t="shared" ref="C66:C71" si="12">D57</f>
        <v>75148.150000000009</v>
      </c>
      <c r="D66" s="41" t="s">
        <v>66</v>
      </c>
      <c r="E66" s="75">
        <f t="shared" ref="E66:E71" si="13">C66+B66</f>
        <v>92093.554800000013</v>
      </c>
      <c r="F66" s="76">
        <f t="shared" ref="F66:F71" si="14">C66+B66</f>
        <v>92093.554800000013</v>
      </c>
      <c r="G66" s="54">
        <f t="shared" ref="G66:G71" si="15">-C66+B66</f>
        <v>-58202.745200000005</v>
      </c>
    </row>
    <row r="67" spans="1:8">
      <c r="A67" s="8" t="s">
        <v>43</v>
      </c>
      <c r="B67" s="52">
        <f t="shared" si="11"/>
        <v>28562.430079999998</v>
      </c>
      <c r="C67" s="61">
        <f t="shared" si="12"/>
        <v>153130.01999999999</v>
      </c>
      <c r="D67" s="41" t="s">
        <v>66</v>
      </c>
      <c r="E67" s="75">
        <f t="shared" si="13"/>
        <v>181692.45007999998</v>
      </c>
      <c r="F67" s="76">
        <f t="shared" si="14"/>
        <v>181692.45007999998</v>
      </c>
      <c r="G67" s="54">
        <f t="shared" si="15"/>
        <v>-124567.58992</v>
      </c>
    </row>
    <row r="68" spans="1:8">
      <c r="A68" s="8" t="s">
        <v>44</v>
      </c>
      <c r="B68" s="52">
        <f t="shared" si="11"/>
        <v>33840.21632</v>
      </c>
      <c r="C68" s="61">
        <f t="shared" si="12"/>
        <v>236262.32</v>
      </c>
      <c r="D68" s="41" t="s">
        <v>66</v>
      </c>
      <c r="E68" s="75">
        <f t="shared" si="13"/>
        <v>270102.53632000001</v>
      </c>
      <c r="F68" s="76">
        <f t="shared" si="14"/>
        <v>270102.53632000001</v>
      </c>
      <c r="G68" s="54">
        <f t="shared" si="15"/>
        <v>-202422.10368</v>
      </c>
    </row>
    <row r="69" spans="1:8">
      <c r="A69" s="8" t="s">
        <v>45</v>
      </c>
      <c r="B69" s="52">
        <f t="shared" si="11"/>
        <v>6604.7945150000005</v>
      </c>
      <c r="C69" s="61">
        <f t="shared" si="12"/>
        <v>117213.22200000001</v>
      </c>
      <c r="D69" s="41" t="s">
        <v>66</v>
      </c>
      <c r="E69" s="75">
        <f t="shared" si="13"/>
        <v>123818.01651500001</v>
      </c>
      <c r="F69" s="76">
        <f t="shared" si="14"/>
        <v>123818.01651500001</v>
      </c>
      <c r="G69" s="54">
        <f t="shared" si="15"/>
        <v>-110608.42748500001</v>
      </c>
    </row>
    <row r="70" spans="1:8">
      <c r="A70" s="8" t="s">
        <v>46</v>
      </c>
      <c r="B70" s="52">
        <f t="shared" si="11"/>
        <v>8463.5550249999997</v>
      </c>
      <c r="C70" s="61">
        <f t="shared" si="12"/>
        <v>359524.26299999998</v>
      </c>
      <c r="D70" s="41" t="s">
        <v>66</v>
      </c>
      <c r="E70" s="75">
        <f t="shared" si="13"/>
        <v>367987.81802499999</v>
      </c>
      <c r="F70" s="76">
        <f t="shared" si="14"/>
        <v>367987.81802499999</v>
      </c>
      <c r="G70" s="54">
        <f t="shared" si="15"/>
        <v>-351060.70797499997</v>
      </c>
    </row>
    <row r="71" spans="1:8">
      <c r="A71" s="8" t="s">
        <v>47</v>
      </c>
      <c r="B71" s="52">
        <f t="shared" si="11"/>
        <v>8130.2303300000012</v>
      </c>
      <c r="C71" s="61">
        <f t="shared" si="12"/>
        <v>347755.10699999996</v>
      </c>
      <c r="D71" s="41" t="s">
        <v>66</v>
      </c>
      <c r="E71" s="75">
        <f t="shared" si="13"/>
        <v>355885.33732999995</v>
      </c>
      <c r="F71" s="76">
        <f t="shared" si="14"/>
        <v>355885.33732999995</v>
      </c>
      <c r="G71" s="54">
        <f t="shared" si="15"/>
        <v>-339624.87666999997</v>
      </c>
    </row>
    <row r="72" spans="1:8">
      <c r="B72" s="19"/>
      <c r="C72" s="20"/>
      <c r="F72" s="6"/>
      <c r="G72" s="6"/>
    </row>
    <row r="73" spans="1:8" ht="17" thickBot="1">
      <c r="B73" s="19"/>
      <c r="C73" s="20"/>
      <c r="F73" s="6"/>
      <c r="G73" s="6"/>
    </row>
    <row r="74" spans="1:8">
      <c r="A74" s="1" t="s">
        <v>67</v>
      </c>
      <c r="B74" s="3" t="s">
        <v>68</v>
      </c>
      <c r="C74" s="91" t="s">
        <v>69</v>
      </c>
      <c r="D74" s="4" t="s">
        <v>37</v>
      </c>
      <c r="E74" s="5" t="s">
        <v>70</v>
      </c>
      <c r="G74" s="6"/>
      <c r="H74" s="6"/>
    </row>
    <row r="75" spans="1:8">
      <c r="A75" s="8" t="s">
        <v>42</v>
      </c>
      <c r="B75" s="77">
        <f t="shared" ref="B75:B80" si="16">D57</f>
        <v>75148.150000000009</v>
      </c>
      <c r="C75" s="78">
        <f t="shared" ref="C75:C80" si="17">G57</f>
        <v>71880.83913043479</v>
      </c>
      <c r="D75" s="59" t="s">
        <v>71</v>
      </c>
      <c r="E75" s="79">
        <f>IF($C$81&lt;200000,C75*0.185,C75*0.15)</f>
        <v>10782.125869565218</v>
      </c>
      <c r="G75" s="6" t="s">
        <v>72</v>
      </c>
      <c r="H75" s="80" t="s">
        <v>73</v>
      </c>
    </row>
    <row r="76" spans="1:8">
      <c r="A76" s="8" t="s">
        <v>43</v>
      </c>
      <c r="B76" s="77">
        <f t="shared" si="16"/>
        <v>153130.01999999999</v>
      </c>
      <c r="C76" s="78">
        <f t="shared" si="17"/>
        <v>39851.849999999991</v>
      </c>
      <c r="D76" s="59" t="s">
        <v>71</v>
      </c>
      <c r="E76" s="79">
        <f t="shared" ref="E76:E80" si="18">IF($C$81&lt;200000,C76*0.185,C76*0.15)</f>
        <v>5977.7774999999983</v>
      </c>
      <c r="G76" s="6"/>
      <c r="H76" s="6"/>
    </row>
    <row r="77" spans="1:8">
      <c r="A77" s="8" t="s">
        <v>44</v>
      </c>
      <c r="B77" s="77">
        <f t="shared" si="16"/>
        <v>236262.32</v>
      </c>
      <c r="C77" s="78">
        <f t="shared" si="17"/>
        <v>0</v>
      </c>
      <c r="D77" s="59" t="s">
        <v>71</v>
      </c>
      <c r="E77" s="79">
        <f t="shared" si="18"/>
        <v>0</v>
      </c>
      <c r="G77" s="6" t="s">
        <v>74</v>
      </c>
      <c r="H77" s="6" t="s">
        <v>75</v>
      </c>
    </row>
    <row r="78" spans="1:8">
      <c r="A78" s="8" t="s">
        <v>45</v>
      </c>
      <c r="B78" s="77">
        <f t="shared" si="16"/>
        <v>117213.22200000001</v>
      </c>
      <c r="C78" s="78">
        <f t="shared" si="17"/>
        <v>82049.255400000009</v>
      </c>
      <c r="D78" s="59" t="s">
        <v>71</v>
      </c>
      <c r="E78" s="79">
        <f t="shared" si="18"/>
        <v>12307.38831</v>
      </c>
      <c r="G78" s="6"/>
    </row>
    <row r="79" spans="1:8">
      <c r="A79" s="8" t="s">
        <v>46</v>
      </c>
      <c r="B79" s="77">
        <f t="shared" si="16"/>
        <v>359524.26299999998</v>
      </c>
      <c r="C79" s="78">
        <f t="shared" si="17"/>
        <v>175000</v>
      </c>
      <c r="D79" s="59" t="s">
        <v>71</v>
      </c>
      <c r="E79" s="79">
        <f t="shared" si="18"/>
        <v>26250</v>
      </c>
      <c r="G79" s="6"/>
    </row>
    <row r="80" spans="1:8" ht="17" thickBot="1">
      <c r="A80" s="14" t="s">
        <v>47</v>
      </c>
      <c r="B80" s="81">
        <f t="shared" si="16"/>
        <v>347755.10699999996</v>
      </c>
      <c r="C80" s="82">
        <f t="shared" si="17"/>
        <v>147000</v>
      </c>
      <c r="D80" s="59" t="s">
        <v>71</v>
      </c>
      <c r="E80" s="79">
        <f t="shared" si="18"/>
        <v>22050</v>
      </c>
      <c r="G80" s="6"/>
    </row>
    <row r="81" spans="1:7">
      <c r="B81" s="83">
        <f>SUM(B75:B80)</f>
        <v>1289033.0819999999</v>
      </c>
      <c r="C81" s="84">
        <f>SUM(C75:C80)</f>
        <v>515781.94453043479</v>
      </c>
      <c r="D81" s="83"/>
      <c r="E81" s="84">
        <f>SUM(E75:E80)</f>
        <v>77367.291679565213</v>
      </c>
      <c r="G81" s="6"/>
    </row>
    <row r="82" spans="1:7">
      <c r="D82" s="21"/>
      <c r="F82" s="6"/>
    </row>
    <row r="83" spans="1:7">
      <c r="F83" s="6"/>
    </row>
    <row r="84" spans="1:7">
      <c r="F84" s="6"/>
    </row>
    <row r="85" spans="1:7" ht="17" thickBot="1"/>
    <row r="86" spans="1:7">
      <c r="A86" s="109" t="s">
        <v>76</v>
      </c>
      <c r="B86" s="110"/>
      <c r="C86" s="110"/>
      <c r="D86" s="111"/>
    </row>
    <row r="87" spans="1:7">
      <c r="A87" s="112"/>
      <c r="B87" s="113"/>
      <c r="C87" s="113"/>
      <c r="D87" s="114"/>
    </row>
    <row r="88" spans="1:7" ht="17" thickBot="1">
      <c r="A88" s="115"/>
      <c r="B88" s="116"/>
      <c r="C88" s="116"/>
      <c r="D88" s="117"/>
    </row>
  </sheetData>
  <mergeCells count="1">
    <mergeCell ref="A86:D88"/>
  </mergeCells>
  <conditionalFormatting sqref="D49:D54">
    <cfRule type="cellIs" dxfId="11" priority="2" operator="greaterThan">
      <formula>0</formula>
    </cfRule>
  </conditionalFormatting>
  <conditionalFormatting sqref="E57:E59">
    <cfRule type="cellIs" dxfId="10" priority="4" operator="greaterThan">
      <formula>5000</formula>
    </cfRule>
  </conditionalFormatting>
  <conditionalFormatting sqref="E59:E62">
    <cfRule type="cellIs" dxfId="9" priority="3" operator="greaterThan">
      <formula>7000</formula>
    </cfRule>
  </conditionalFormatting>
  <conditionalFormatting sqref="E49:F54">
    <cfRule type="cellIs" dxfId="8" priority="1" operator="lessThan">
      <formula>0</formula>
    </cfRule>
  </conditionalFormatting>
  <dataValidations count="1">
    <dataValidation type="list" allowBlank="1" showInputMessage="1" showErrorMessage="1" sqref="E13:E15 B13:B15 B18 B21 B24" xr:uid="{DA95929C-5464-F34D-B2D1-545AA1286B88}">
      <formula1>"Yes, No"</formula1>
    </dataValidation>
  </dataValidations>
  <hyperlinks>
    <hyperlink ref="H75" r:id="rId1" xr:uid="{E3D65627-382E-814F-8AFB-988DA0285D71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B0FD-DD51-D44C-8F26-36A862BF1076}">
  <dimension ref="A1:N89"/>
  <sheetViews>
    <sheetView topLeftCell="A12" zoomScale="75" workbookViewId="0">
      <selection activeCell="E91" sqref="E91"/>
    </sheetView>
  </sheetViews>
  <sheetFormatPr baseColWidth="10" defaultRowHeight="16"/>
  <cols>
    <col min="1" max="3" width="19.5" customWidth="1"/>
    <col min="4" max="4" width="26.1640625" customWidth="1"/>
    <col min="5" max="7" width="21.5" customWidth="1"/>
    <col min="8" max="8" width="16.33203125" customWidth="1"/>
  </cols>
  <sheetData>
    <row r="1" spans="1:14" ht="17" thickBot="1"/>
    <row r="2" spans="1:14">
      <c r="A2" s="96" t="s">
        <v>82</v>
      </c>
      <c r="B2" s="93"/>
    </row>
    <row r="3" spans="1:14">
      <c r="A3" s="97" t="s">
        <v>77</v>
      </c>
      <c r="B3" s="94"/>
    </row>
    <row r="4" spans="1:14">
      <c r="A4" s="97" t="s">
        <v>78</v>
      </c>
      <c r="B4" s="94"/>
    </row>
    <row r="5" spans="1:14">
      <c r="A5" s="97" t="s">
        <v>79</v>
      </c>
      <c r="B5" s="94"/>
    </row>
    <row r="6" spans="1:14">
      <c r="A6" s="97" t="s">
        <v>80</v>
      </c>
      <c r="B6" s="94"/>
    </row>
    <row r="7" spans="1:14">
      <c r="A7" s="97" t="s">
        <v>81</v>
      </c>
      <c r="B7" s="94"/>
    </row>
    <row r="8" spans="1:14">
      <c r="A8" s="99" t="s">
        <v>86</v>
      </c>
      <c r="B8" s="94"/>
    </row>
    <row r="9" spans="1:14" ht="17" thickBot="1">
      <c r="A9" s="98" t="s">
        <v>87</v>
      </c>
      <c r="B9" s="95"/>
      <c r="D9" s="36" t="s">
        <v>88</v>
      </c>
      <c r="E9" s="103">
        <f>C82</f>
        <v>425936.29799999995</v>
      </c>
    </row>
    <row r="11" spans="1:14" ht="17" thickBot="1"/>
    <row r="12" spans="1:14">
      <c r="A12" s="1" t="s">
        <v>0</v>
      </c>
      <c r="B12" s="2" t="s">
        <v>1</v>
      </c>
      <c r="C12" s="3" t="s">
        <v>2</v>
      </c>
      <c r="D12" s="4" t="s">
        <v>3</v>
      </c>
      <c r="E12" s="5" t="s">
        <v>4</v>
      </c>
      <c r="F12" s="6"/>
      <c r="G12" s="7"/>
    </row>
    <row r="13" spans="1:14">
      <c r="A13" s="8" t="s">
        <v>5</v>
      </c>
      <c r="B13" s="9" t="s">
        <v>6</v>
      </c>
      <c r="C13" s="10">
        <v>43952</v>
      </c>
      <c r="D13" s="11"/>
      <c r="E13" s="12" t="s">
        <v>6</v>
      </c>
      <c r="F13" s="6"/>
      <c r="G13" s="7"/>
      <c r="N13" s="13"/>
    </row>
    <row r="14" spans="1:14" ht="17" thickBot="1">
      <c r="A14" s="14" t="s">
        <v>7</v>
      </c>
      <c r="B14" s="15" t="s">
        <v>8</v>
      </c>
      <c r="C14" s="16">
        <v>44342</v>
      </c>
      <c r="D14" s="17">
        <v>424550</v>
      </c>
      <c r="E14" s="18" t="s">
        <v>6</v>
      </c>
      <c r="F14" s="6"/>
      <c r="G14" s="6"/>
      <c r="N14" s="13"/>
    </row>
    <row r="15" spans="1:14">
      <c r="C15" s="28"/>
      <c r="D15" s="29">
        <f>SUM(D13:D14)</f>
        <v>424550</v>
      </c>
      <c r="F15" s="6"/>
      <c r="G15" s="6"/>
      <c r="N15" s="13"/>
    </row>
    <row r="16" spans="1:14" ht="17" thickBot="1">
      <c r="C16" s="19"/>
      <c r="D16" s="20"/>
      <c r="E16" s="21"/>
      <c r="F16" s="6"/>
      <c r="G16" s="6"/>
      <c r="N16" s="13"/>
    </row>
    <row r="17" spans="1:14">
      <c r="A17" s="22" t="s">
        <v>9</v>
      </c>
      <c r="B17" s="23" t="s">
        <v>1</v>
      </c>
      <c r="C17" s="24" t="s">
        <v>2</v>
      </c>
      <c r="D17" s="25" t="s">
        <v>3</v>
      </c>
      <c r="E17" s="21"/>
      <c r="F17" s="6"/>
      <c r="G17" s="6"/>
      <c r="N17" s="13"/>
    </row>
    <row r="18" spans="1:14" ht="17" thickBot="1">
      <c r="A18" s="14"/>
      <c r="B18" s="15" t="s">
        <v>8</v>
      </c>
      <c r="C18" s="16">
        <v>43922</v>
      </c>
      <c r="D18" s="26"/>
      <c r="F18" s="6"/>
      <c r="G18" s="6"/>
      <c r="N18" s="13"/>
    </row>
    <row r="19" spans="1:14" ht="17" thickBot="1">
      <c r="B19" s="19"/>
      <c r="C19" s="20"/>
      <c r="F19" s="6"/>
      <c r="G19" s="6"/>
      <c r="N19" s="13"/>
    </row>
    <row r="20" spans="1:14">
      <c r="A20" s="22" t="s">
        <v>10</v>
      </c>
      <c r="B20" s="27" t="s">
        <v>11</v>
      </c>
      <c r="C20" s="28"/>
      <c r="D20" s="29"/>
      <c r="F20" s="6"/>
      <c r="G20" s="6"/>
      <c r="N20" s="13"/>
    </row>
    <row r="21" spans="1:14" ht="17" thickBot="1">
      <c r="A21" s="14"/>
      <c r="B21" s="18" t="s">
        <v>8</v>
      </c>
      <c r="C21" s="28"/>
      <c r="D21" s="29"/>
      <c r="F21" s="6"/>
      <c r="G21" s="6"/>
      <c r="N21" s="13"/>
    </row>
    <row r="22" spans="1:14" ht="17" thickBot="1">
      <c r="A22" s="30"/>
      <c r="B22" s="31"/>
      <c r="C22" s="29"/>
      <c r="F22" s="6"/>
      <c r="G22" s="6"/>
      <c r="N22" s="13"/>
    </row>
    <row r="23" spans="1:14">
      <c r="A23" s="22" t="s">
        <v>12</v>
      </c>
      <c r="B23" s="27" t="s">
        <v>12</v>
      </c>
      <c r="C23" s="28"/>
      <c r="D23" s="29"/>
      <c r="F23" s="6"/>
      <c r="G23" s="6"/>
      <c r="N23" s="13"/>
    </row>
    <row r="24" spans="1:14" ht="17" thickBot="1">
      <c r="A24" s="14"/>
      <c r="B24" s="18" t="s">
        <v>8</v>
      </c>
      <c r="C24" s="28"/>
      <c r="D24" s="29"/>
      <c r="F24" s="6"/>
      <c r="G24" s="6"/>
      <c r="N24" s="13"/>
    </row>
    <row r="25" spans="1:14" ht="17" thickBot="1">
      <c r="B25" s="19"/>
      <c r="C25" s="20"/>
      <c r="F25" s="6"/>
      <c r="G25" s="6"/>
      <c r="N25" s="13"/>
    </row>
    <row r="26" spans="1:14">
      <c r="A26" s="22" t="s">
        <v>13</v>
      </c>
      <c r="B26" s="3" t="s">
        <v>14</v>
      </c>
      <c r="C26" s="3" t="s">
        <v>15</v>
      </c>
      <c r="D26" s="3" t="s">
        <v>16</v>
      </c>
      <c r="E26" s="3" t="s">
        <v>17</v>
      </c>
      <c r="F26" s="3" t="s">
        <v>18</v>
      </c>
      <c r="G26" s="32" t="s">
        <v>19</v>
      </c>
      <c r="N26" s="13"/>
    </row>
    <row r="27" spans="1:14" ht="17" thickBot="1">
      <c r="A27" s="14"/>
      <c r="B27" s="33">
        <v>26</v>
      </c>
      <c r="C27" s="33">
        <v>26</v>
      </c>
      <c r="D27" s="33">
        <v>23</v>
      </c>
      <c r="E27" s="33">
        <v>23</v>
      </c>
      <c r="F27" s="34">
        <v>23</v>
      </c>
      <c r="G27" s="35">
        <v>23</v>
      </c>
      <c r="N27" s="13"/>
    </row>
    <row r="28" spans="1:14">
      <c r="B28" s="19"/>
      <c r="C28" s="20"/>
      <c r="F28" s="6"/>
      <c r="G28" s="6"/>
      <c r="N28" s="13"/>
    </row>
    <row r="29" spans="1:14">
      <c r="B29" s="19"/>
      <c r="C29" s="20"/>
      <c r="F29" s="6"/>
      <c r="G29" s="6"/>
      <c r="N29" s="13"/>
    </row>
    <row r="30" spans="1:14" ht="17" thickBot="1">
      <c r="A30" s="36" t="s">
        <v>20</v>
      </c>
      <c r="B30" s="19"/>
      <c r="C30" s="20"/>
      <c r="F30" s="6"/>
      <c r="G30" s="6"/>
      <c r="N30" s="13"/>
    </row>
    <row r="31" spans="1:14">
      <c r="A31" s="22" t="s">
        <v>21</v>
      </c>
      <c r="B31" s="24" t="s">
        <v>22</v>
      </c>
      <c r="C31" s="24" t="s">
        <v>23</v>
      </c>
      <c r="D31" s="37" t="s">
        <v>24</v>
      </c>
      <c r="E31" s="37" t="s">
        <v>25</v>
      </c>
      <c r="F31" s="37" t="s">
        <v>26</v>
      </c>
      <c r="G31" s="37" t="s">
        <v>27</v>
      </c>
      <c r="H31" s="25" t="s">
        <v>28</v>
      </c>
      <c r="N31" s="13"/>
    </row>
    <row r="32" spans="1:14">
      <c r="A32" s="38" t="s">
        <v>29</v>
      </c>
      <c r="B32" s="10"/>
      <c r="C32" s="11"/>
      <c r="D32" s="11"/>
      <c r="E32" s="11"/>
      <c r="F32" s="11"/>
      <c r="G32" s="11"/>
      <c r="H32" s="100"/>
      <c r="N32" s="13"/>
    </row>
    <row r="33" spans="1:14">
      <c r="A33" s="38" t="s">
        <v>30</v>
      </c>
      <c r="B33" s="10"/>
      <c r="C33" s="11"/>
      <c r="D33" s="11"/>
      <c r="E33" s="11"/>
      <c r="F33" s="11"/>
      <c r="G33" s="11"/>
      <c r="H33" s="100"/>
      <c r="L33" s="44"/>
      <c r="N33" s="13"/>
    </row>
    <row r="34" spans="1:14">
      <c r="A34" s="8" t="s">
        <v>31</v>
      </c>
      <c r="B34" s="39"/>
      <c r="C34" s="39"/>
      <c r="D34" s="40"/>
      <c r="E34" s="41"/>
      <c r="F34" s="41"/>
      <c r="G34" s="42"/>
      <c r="H34" s="43"/>
      <c r="N34" s="13"/>
    </row>
    <row r="35" spans="1:14">
      <c r="A35" s="8" t="s">
        <v>32</v>
      </c>
      <c r="B35" s="39"/>
      <c r="C35" s="39"/>
      <c r="D35" s="40"/>
      <c r="E35" s="41"/>
      <c r="F35" s="41"/>
      <c r="G35" s="42"/>
      <c r="H35" s="43"/>
      <c r="L35" s="45"/>
      <c r="N35" s="13"/>
    </row>
    <row r="36" spans="1:14">
      <c r="A36" s="8" t="s">
        <v>33</v>
      </c>
      <c r="B36" s="39"/>
      <c r="C36" s="39"/>
      <c r="D36" s="40"/>
      <c r="E36" s="41"/>
      <c r="F36" s="41"/>
      <c r="G36" s="42"/>
      <c r="H36" s="43"/>
    </row>
    <row r="37" spans="1:14">
      <c r="A37" s="8" t="s">
        <v>34</v>
      </c>
      <c r="B37" s="39"/>
      <c r="C37" s="39"/>
      <c r="D37" s="40"/>
      <c r="E37" s="41"/>
      <c r="F37" s="41"/>
      <c r="G37" s="42"/>
      <c r="H37" s="43"/>
    </row>
    <row r="38" spans="1:14" ht="17" thickBot="1">
      <c r="A38" s="14" t="s">
        <v>85</v>
      </c>
      <c r="B38" s="46"/>
      <c r="C38" s="92">
        <f>SUM(C32:C37)</f>
        <v>0</v>
      </c>
      <c r="D38" s="92">
        <f t="shared" ref="D38:H38" si="0">SUM(D32:D37)</f>
        <v>0</v>
      </c>
      <c r="E38" s="92">
        <f t="shared" si="0"/>
        <v>0</v>
      </c>
      <c r="F38" s="92">
        <f t="shared" si="0"/>
        <v>0</v>
      </c>
      <c r="G38" s="92">
        <f t="shared" si="0"/>
        <v>0</v>
      </c>
      <c r="H38" s="101">
        <f t="shared" si="0"/>
        <v>0</v>
      </c>
      <c r="L38" s="44"/>
    </row>
    <row r="39" spans="1:14" ht="17" thickBot="1">
      <c r="B39" s="19"/>
      <c r="C39" s="20"/>
      <c r="F39" s="6"/>
      <c r="G39" s="6"/>
    </row>
    <row r="40" spans="1:14" ht="17" thickBot="1">
      <c r="A40" s="47" t="s">
        <v>35</v>
      </c>
      <c r="B40" s="48" t="s">
        <v>36</v>
      </c>
      <c r="C40" s="49" t="s">
        <v>37</v>
      </c>
      <c r="D40" s="85" t="s">
        <v>38</v>
      </c>
      <c r="E40" s="85" t="s">
        <v>39</v>
      </c>
      <c r="F40" s="86" t="s">
        <v>40</v>
      </c>
      <c r="G40" s="86" t="s">
        <v>41</v>
      </c>
    </row>
    <row r="41" spans="1:14">
      <c r="A41" s="8" t="s">
        <v>42</v>
      </c>
      <c r="B41" s="50">
        <v>275973.59999999998</v>
      </c>
      <c r="C41" s="51">
        <v>6.4000000000000001E-2</v>
      </c>
      <c r="D41" s="52">
        <f t="shared" ref="D41:D46" si="1">B41*C41</f>
        <v>17662.310399999998</v>
      </c>
      <c r="E41" s="53">
        <f>D41</f>
        <v>17662.310399999998</v>
      </c>
      <c r="F41" s="54">
        <f t="shared" ref="F41:F46" si="2">E41*-1</f>
        <v>-17662.310399999998</v>
      </c>
      <c r="G41" s="54">
        <f t="shared" ref="G41:G46" si="3">F41</f>
        <v>-17662.310399999998</v>
      </c>
    </row>
    <row r="42" spans="1:14">
      <c r="A42" s="8" t="s">
        <v>43</v>
      </c>
      <c r="B42" s="50">
        <v>413960.4</v>
      </c>
      <c r="C42" s="51">
        <v>6.4000000000000001E-2</v>
      </c>
      <c r="D42" s="52">
        <f t="shared" si="1"/>
        <v>26493.465600000003</v>
      </c>
      <c r="E42" s="53">
        <f t="shared" ref="E42:E46" si="4">D42</f>
        <v>26493.465600000003</v>
      </c>
      <c r="F42" s="54">
        <f t="shared" si="2"/>
        <v>-26493.465600000003</v>
      </c>
      <c r="G42" s="54">
        <f t="shared" si="3"/>
        <v>-26493.465600000003</v>
      </c>
    </row>
    <row r="43" spans="1:14">
      <c r="A43" s="8" t="s">
        <v>44</v>
      </c>
      <c r="B43" s="50">
        <v>413960.4</v>
      </c>
      <c r="C43" s="51">
        <v>6.4000000000000001E-2</v>
      </c>
      <c r="D43" s="52">
        <f t="shared" si="1"/>
        <v>26493.465600000003</v>
      </c>
      <c r="E43" s="53">
        <f t="shared" si="4"/>
        <v>26493.465600000003</v>
      </c>
      <c r="F43" s="54">
        <f t="shared" si="2"/>
        <v>-26493.465600000003</v>
      </c>
      <c r="G43" s="54">
        <f t="shared" si="3"/>
        <v>-26493.465600000003</v>
      </c>
    </row>
    <row r="44" spans="1:14">
      <c r="A44" s="8" t="s">
        <v>45</v>
      </c>
      <c r="B44" s="50">
        <v>357269.65</v>
      </c>
      <c r="C44" s="51">
        <v>1.4500000000000001E-2</v>
      </c>
      <c r="D44" s="52">
        <f t="shared" si="1"/>
        <v>5180.4099250000008</v>
      </c>
      <c r="E44" s="53">
        <f t="shared" si="4"/>
        <v>5180.4099250000008</v>
      </c>
      <c r="F44" s="54">
        <f t="shared" si="2"/>
        <v>-5180.4099250000008</v>
      </c>
      <c r="G44" s="54">
        <f t="shared" si="3"/>
        <v>-5180.4099250000008</v>
      </c>
    </row>
    <row r="45" spans="1:14">
      <c r="A45" s="8" t="s">
        <v>46</v>
      </c>
      <c r="B45" s="50">
        <v>355219.85</v>
      </c>
      <c r="C45" s="51">
        <v>1.4500000000000001E-2</v>
      </c>
      <c r="D45" s="52">
        <f t="shared" si="1"/>
        <v>5150.687825</v>
      </c>
      <c r="E45" s="53">
        <f t="shared" si="4"/>
        <v>5150.687825</v>
      </c>
      <c r="F45" s="54">
        <f t="shared" si="2"/>
        <v>-5150.687825</v>
      </c>
      <c r="G45" s="54">
        <f t="shared" si="3"/>
        <v>-5150.687825</v>
      </c>
    </row>
    <row r="46" spans="1:14">
      <c r="A46" s="8" t="s">
        <v>47</v>
      </c>
      <c r="B46" s="50">
        <v>344710.35</v>
      </c>
      <c r="C46" s="51">
        <v>1.4500000000000001E-2</v>
      </c>
      <c r="D46" s="52">
        <f t="shared" si="1"/>
        <v>4998.3000750000001</v>
      </c>
      <c r="E46" s="53">
        <f t="shared" si="4"/>
        <v>4998.3000750000001</v>
      </c>
      <c r="F46" s="54">
        <f t="shared" si="2"/>
        <v>-4998.3000750000001</v>
      </c>
      <c r="G46" s="54">
        <f t="shared" si="3"/>
        <v>-4998.3000750000001</v>
      </c>
    </row>
    <row r="47" spans="1:14">
      <c r="B47" s="19"/>
      <c r="C47" s="20"/>
      <c r="F47" s="6"/>
      <c r="G47" s="6"/>
    </row>
    <row r="48" spans="1:14" ht="17" thickBot="1">
      <c r="B48" s="19"/>
      <c r="C48" s="20"/>
      <c r="F48" s="6"/>
      <c r="G48" s="6"/>
    </row>
    <row r="49" spans="1:8" ht="17" thickBot="1">
      <c r="A49" s="47" t="s">
        <v>48</v>
      </c>
      <c r="B49" s="48" t="s">
        <v>49</v>
      </c>
      <c r="C49" s="55" t="s">
        <v>50</v>
      </c>
      <c r="D49" s="102" t="s">
        <v>51</v>
      </c>
      <c r="E49" s="87" t="s">
        <v>52</v>
      </c>
      <c r="F49" s="86" t="s">
        <v>53</v>
      </c>
      <c r="G49" s="6"/>
      <c r="H49" s="57"/>
    </row>
    <row r="50" spans="1:8">
      <c r="A50" s="8" t="s">
        <v>42</v>
      </c>
      <c r="B50" s="58">
        <f t="shared" ref="B50:B55" si="5">B41</f>
        <v>275973.59999999998</v>
      </c>
      <c r="C50" s="59">
        <f>-C38</f>
        <v>0</v>
      </c>
      <c r="D50" s="40">
        <f>-IF($C$13&lt;DATE(2020,6,30),IF(SUM(B50,C50)&lt;D13,SUM(B50,C50),D13),0)/3</f>
        <v>0</v>
      </c>
      <c r="E50" s="61">
        <f>SUM(B50:D50)</f>
        <v>275973.59999999998</v>
      </c>
      <c r="F50" s="62">
        <f t="shared" ref="F50:F55" si="6">E50</f>
        <v>275973.59999999998</v>
      </c>
      <c r="G50" s="6"/>
      <c r="H50" s="21"/>
    </row>
    <row r="51" spans="1:8">
      <c r="A51" s="8" t="s">
        <v>43</v>
      </c>
      <c r="B51" s="58">
        <f t="shared" si="5"/>
        <v>413960.4</v>
      </c>
      <c r="C51" s="59">
        <f>-D38</f>
        <v>0</v>
      </c>
      <c r="D51" s="60">
        <f>IF($C$13&lt;DATE(2020,9,30),IF(SUM($D$13,D50)&gt;0,IF(SUM($D$13,D50)&gt;(SUM(B51,C51)),-(B51+C51),-SUM($D$13,D50)),0),0)/2</f>
        <v>0</v>
      </c>
      <c r="E51" s="61">
        <f>SUM(B51:D51)</f>
        <v>413960.4</v>
      </c>
      <c r="F51" s="63">
        <f t="shared" si="6"/>
        <v>413960.4</v>
      </c>
      <c r="G51" s="6"/>
    </row>
    <row r="52" spans="1:8">
      <c r="A52" s="8" t="s">
        <v>44</v>
      </c>
      <c r="B52" s="58">
        <f t="shared" si="5"/>
        <v>413960.4</v>
      </c>
      <c r="C52" s="59">
        <f>-D38</f>
        <v>0</v>
      </c>
      <c r="D52" s="60">
        <f>IF($C$13&lt;DATE(2020,12,30),IF(SUM($D$13,SUM(D50,D51))&gt;0,IF(SUM($D$13,SUM(D50,D51))&gt;(SUM(B52,C52)),-(B52+C52),-SUM($D$13,SUM(D50,D51))),0),0)</f>
        <v>0</v>
      </c>
      <c r="E52" s="61">
        <f>SUM(B52:D52)</f>
        <v>413960.4</v>
      </c>
      <c r="F52" s="63">
        <f t="shared" si="6"/>
        <v>413960.4</v>
      </c>
      <c r="G52" s="6"/>
    </row>
    <row r="53" spans="1:8">
      <c r="A53" s="8" t="s">
        <v>45</v>
      </c>
      <c r="B53" s="58">
        <f t="shared" si="5"/>
        <v>357269.65</v>
      </c>
      <c r="C53" s="59">
        <f>-F38</f>
        <v>0</v>
      </c>
      <c r="D53" s="60">
        <f>IF($C$14&lt;DATE(2021,3,31),IF(SUM($D$15,D50:D52)&gt;0,IF(SUM($D$15,D50:D52)&gt;(SUM(B53,C53)),-(B53+C53),-SUM($D$15,D50:D52)),0),0)/3</f>
        <v>0</v>
      </c>
      <c r="E53" s="61">
        <f t="shared" ref="E53:E55" si="7">SUM(B53:D53)</f>
        <v>357269.65</v>
      </c>
      <c r="F53" s="63">
        <f t="shared" si="6"/>
        <v>357269.65</v>
      </c>
      <c r="G53" s="6"/>
    </row>
    <row r="54" spans="1:8">
      <c r="A54" s="8" t="s">
        <v>46</v>
      </c>
      <c r="B54" s="58">
        <f t="shared" si="5"/>
        <v>355219.85</v>
      </c>
      <c r="C54" s="59">
        <f>-G38</f>
        <v>0</v>
      </c>
      <c r="D54" s="60">
        <f>IF($C$14&lt;DATE(2021,9,30),IF(SUM($D$15,D50:D53)&gt;0,IF(SUM($D$15,D50:D53)&gt;(SUM(B54,C54)),-(B54+C54),-SUM($D$15,D50:D53)),0),0)</f>
        <v>-355219.85</v>
      </c>
      <c r="E54" s="61">
        <f>SUM(B54:D54)</f>
        <v>0</v>
      </c>
      <c r="F54" s="63">
        <f t="shared" si="6"/>
        <v>0</v>
      </c>
      <c r="G54" s="6"/>
    </row>
    <row r="55" spans="1:8">
      <c r="A55" s="8" t="s">
        <v>47</v>
      </c>
      <c r="B55" s="58">
        <f t="shared" si="5"/>
        <v>344710.35</v>
      </c>
      <c r="C55" s="59">
        <f>-H38</f>
        <v>0</v>
      </c>
      <c r="D55" s="60">
        <f>IF($C$14&lt;DATE(2021,9,30),IF(SUM($D$15,D50:D54)&gt;0,IF(SUM($D$15,D50:D54)&gt;(SUM(B55,C55)),-(B55+C55),-SUM($D$15,D50:D54)),0),0)</f>
        <v>-69330.150000000023</v>
      </c>
      <c r="E55" s="61">
        <f t="shared" si="7"/>
        <v>275380.19999999995</v>
      </c>
      <c r="F55" s="63">
        <f t="shared" si="6"/>
        <v>275380.19999999995</v>
      </c>
      <c r="G55" s="6"/>
    </row>
    <row r="56" spans="1:8" ht="17" thickBot="1">
      <c r="B56" s="19"/>
      <c r="C56" s="20"/>
      <c r="F56" s="6"/>
      <c r="G56" s="6"/>
    </row>
    <row r="57" spans="1:8" ht="17" thickBot="1">
      <c r="A57" s="47" t="s">
        <v>54</v>
      </c>
      <c r="B57" s="48" t="s">
        <v>55</v>
      </c>
      <c r="C57" s="49" t="s">
        <v>37</v>
      </c>
      <c r="D57" s="56" t="s">
        <v>56</v>
      </c>
      <c r="E57" s="64" t="s">
        <v>57</v>
      </c>
      <c r="F57" s="65" t="s">
        <v>58</v>
      </c>
      <c r="G57" s="90" t="s">
        <v>59</v>
      </c>
    </row>
    <row r="58" spans="1:8">
      <c r="A58" s="8" t="s">
        <v>42</v>
      </c>
      <c r="B58" s="66">
        <f t="shared" ref="B58:B63" si="8">F50</f>
        <v>275973.59999999998</v>
      </c>
      <c r="C58" s="67">
        <v>0.5</v>
      </c>
      <c r="D58" s="54">
        <f t="shared" ref="D58:D63" si="9">B58*C58</f>
        <v>137986.79999999999</v>
      </c>
      <c r="E58" s="68">
        <f>D58/C27</f>
        <v>5307.1846153846145</v>
      </c>
      <c r="F58" s="40">
        <f>IF(E58&gt;5000,5000,E58)</f>
        <v>5000</v>
      </c>
      <c r="G58" s="69">
        <f>F58*B27</f>
        <v>130000</v>
      </c>
    </row>
    <row r="59" spans="1:8">
      <c r="A59" s="8" t="s">
        <v>43</v>
      </c>
      <c r="B59" s="66">
        <f t="shared" si="8"/>
        <v>413960.4</v>
      </c>
      <c r="C59" s="67">
        <v>0.5</v>
      </c>
      <c r="D59" s="54">
        <f t="shared" si="9"/>
        <v>206980.2</v>
      </c>
      <c r="E59" s="68">
        <f>D59/C27</f>
        <v>7960.7769230769236</v>
      </c>
      <c r="F59" s="40">
        <f>IF(E58&lt;5000,IF(SUM(E58,E59)&lt;5000,E59,SUM(5000-E58)),0)</f>
        <v>0</v>
      </c>
      <c r="G59" s="69">
        <f>F59*C27</f>
        <v>0</v>
      </c>
    </row>
    <row r="60" spans="1:8">
      <c r="A60" s="8" t="s">
        <v>44</v>
      </c>
      <c r="B60" s="66">
        <f t="shared" si="8"/>
        <v>413960.4</v>
      </c>
      <c r="C60" s="67">
        <v>0.5</v>
      </c>
      <c r="D60" s="54">
        <f t="shared" si="9"/>
        <v>206980.2</v>
      </c>
      <c r="E60" s="68">
        <f>D60/D27</f>
        <v>8999.1391304347835</v>
      </c>
      <c r="F60" s="40">
        <f>IF(SUM(E58,E59)&lt;5000,IF(SUM(E58,E59,E60)&lt;5000,E60,SUM(5000-E58-E59)),0)</f>
        <v>0</v>
      </c>
      <c r="G60" s="69">
        <f>F60*D27</f>
        <v>0</v>
      </c>
    </row>
    <row r="61" spans="1:8">
      <c r="A61" s="8" t="s">
        <v>45</v>
      </c>
      <c r="B61" s="66">
        <f t="shared" si="8"/>
        <v>357269.65</v>
      </c>
      <c r="C61" s="70">
        <f>0.7</f>
        <v>0.7</v>
      </c>
      <c r="D61" s="54">
        <f t="shared" si="9"/>
        <v>250088.755</v>
      </c>
      <c r="E61" s="68">
        <f>D61/E27</f>
        <v>10873.424130434783</v>
      </c>
      <c r="F61" s="40">
        <f>IF(E61&gt;10000,(10000*0.7),E61*0.7)</f>
        <v>7000</v>
      </c>
      <c r="G61" s="69">
        <f>F61*E27</f>
        <v>161000</v>
      </c>
    </row>
    <row r="62" spans="1:8">
      <c r="A62" s="8" t="s">
        <v>46</v>
      </c>
      <c r="B62" s="66">
        <f t="shared" si="8"/>
        <v>0</v>
      </c>
      <c r="C62" s="70">
        <f t="shared" ref="C62:C63" si="10">0.7</f>
        <v>0.7</v>
      </c>
      <c r="D62" s="54">
        <f t="shared" si="9"/>
        <v>0</v>
      </c>
      <c r="E62" s="68">
        <f>D62/F27</f>
        <v>0</v>
      </c>
      <c r="F62" s="40">
        <f>IF(E62&gt;10000,7000,(E62*0.7))</f>
        <v>0</v>
      </c>
      <c r="G62" s="69">
        <f>F62*F27</f>
        <v>0</v>
      </c>
    </row>
    <row r="63" spans="1:8" ht="17" thickBot="1">
      <c r="A63" s="8" t="s">
        <v>47</v>
      </c>
      <c r="B63" s="66">
        <f t="shared" si="8"/>
        <v>275380.19999999995</v>
      </c>
      <c r="C63" s="70">
        <f t="shared" si="10"/>
        <v>0.7</v>
      </c>
      <c r="D63" s="54">
        <f t="shared" si="9"/>
        <v>192766.13999999996</v>
      </c>
      <c r="E63" s="71">
        <f>D63/G27</f>
        <v>8381.1365217391285</v>
      </c>
      <c r="F63" s="40">
        <f>IF(E63&gt;10000,7000,(E63*0.7))</f>
        <v>5866.7955652173896</v>
      </c>
      <c r="G63" s="72">
        <f>F63*G27</f>
        <v>134936.29799999995</v>
      </c>
    </row>
    <row r="64" spans="1:8">
      <c r="B64" s="73"/>
      <c r="C64" s="20"/>
      <c r="F64" s="6"/>
      <c r="G64" s="6"/>
    </row>
    <row r="65" spans="1:8" ht="17" thickBot="1">
      <c r="B65" s="19"/>
      <c r="C65" s="20"/>
      <c r="F65" s="6"/>
      <c r="G65" s="6"/>
    </row>
    <row r="66" spans="1:8" ht="17" thickBot="1">
      <c r="A66" s="47" t="s">
        <v>60</v>
      </c>
      <c r="B66" s="48" t="s">
        <v>61</v>
      </c>
      <c r="C66" s="49" t="s">
        <v>55</v>
      </c>
      <c r="D66" s="74" t="s">
        <v>62</v>
      </c>
      <c r="E66" s="88" t="s">
        <v>63</v>
      </c>
      <c r="F66" s="88" t="s">
        <v>64</v>
      </c>
      <c r="G66" s="89" t="s">
        <v>65</v>
      </c>
    </row>
    <row r="67" spans="1:8">
      <c r="A67" s="8" t="s">
        <v>42</v>
      </c>
      <c r="B67" s="52">
        <f t="shared" ref="B67:B72" si="11">D41</f>
        <v>17662.310399999998</v>
      </c>
      <c r="C67" s="61">
        <f t="shared" ref="C67:C72" si="12">D58</f>
        <v>137986.79999999999</v>
      </c>
      <c r="D67" s="41" t="s">
        <v>66</v>
      </c>
      <c r="E67" s="75">
        <f t="shared" ref="E67:E72" si="13">C67+B67</f>
        <v>155649.11039999998</v>
      </c>
      <c r="F67" s="76">
        <f t="shared" ref="F67:F72" si="14">C67+B67</f>
        <v>155649.11039999998</v>
      </c>
      <c r="G67" s="54">
        <f t="shared" ref="G67:G72" si="15">-C67+B67</f>
        <v>-120324.48959999999</v>
      </c>
    </row>
    <row r="68" spans="1:8">
      <c r="A68" s="8" t="s">
        <v>43</v>
      </c>
      <c r="B68" s="52">
        <f t="shared" si="11"/>
        <v>26493.465600000003</v>
      </c>
      <c r="C68" s="61">
        <f t="shared" si="12"/>
        <v>206980.2</v>
      </c>
      <c r="D68" s="41" t="s">
        <v>66</v>
      </c>
      <c r="E68" s="75">
        <f t="shared" si="13"/>
        <v>233473.66560000001</v>
      </c>
      <c r="F68" s="76">
        <f t="shared" si="14"/>
        <v>233473.66560000001</v>
      </c>
      <c r="G68" s="54">
        <f t="shared" si="15"/>
        <v>-180486.73440000002</v>
      </c>
    </row>
    <row r="69" spans="1:8">
      <c r="A69" s="8" t="s">
        <v>44</v>
      </c>
      <c r="B69" s="52">
        <f t="shared" si="11"/>
        <v>26493.465600000003</v>
      </c>
      <c r="C69" s="61">
        <f t="shared" si="12"/>
        <v>206980.2</v>
      </c>
      <c r="D69" s="41" t="s">
        <v>66</v>
      </c>
      <c r="E69" s="75">
        <f t="shared" si="13"/>
        <v>233473.66560000001</v>
      </c>
      <c r="F69" s="76">
        <f t="shared" si="14"/>
        <v>233473.66560000001</v>
      </c>
      <c r="G69" s="54">
        <f t="shared" si="15"/>
        <v>-180486.73440000002</v>
      </c>
    </row>
    <row r="70" spans="1:8">
      <c r="A70" s="8" t="s">
        <v>45</v>
      </c>
      <c r="B70" s="52">
        <f t="shared" si="11"/>
        <v>5180.4099250000008</v>
      </c>
      <c r="C70" s="61">
        <f t="shared" si="12"/>
        <v>250088.755</v>
      </c>
      <c r="D70" s="41" t="s">
        <v>66</v>
      </c>
      <c r="E70" s="75">
        <f t="shared" si="13"/>
        <v>255269.16492500002</v>
      </c>
      <c r="F70" s="76">
        <f t="shared" si="14"/>
        <v>255269.16492500002</v>
      </c>
      <c r="G70" s="54">
        <f t="shared" si="15"/>
        <v>-244908.34507499999</v>
      </c>
    </row>
    <row r="71" spans="1:8">
      <c r="A71" s="8" t="s">
        <v>46</v>
      </c>
      <c r="B71" s="52">
        <f t="shared" si="11"/>
        <v>5150.687825</v>
      </c>
      <c r="C71" s="61">
        <f t="shared" si="12"/>
        <v>0</v>
      </c>
      <c r="D71" s="41" t="s">
        <v>66</v>
      </c>
      <c r="E71" s="75">
        <f t="shared" si="13"/>
        <v>5150.687825</v>
      </c>
      <c r="F71" s="76">
        <f t="shared" si="14"/>
        <v>5150.687825</v>
      </c>
      <c r="G71" s="54">
        <f t="shared" si="15"/>
        <v>5150.687825</v>
      </c>
    </row>
    <row r="72" spans="1:8">
      <c r="A72" s="8" t="s">
        <v>47</v>
      </c>
      <c r="B72" s="52">
        <f t="shared" si="11"/>
        <v>4998.3000750000001</v>
      </c>
      <c r="C72" s="61">
        <f t="shared" si="12"/>
        <v>192766.13999999996</v>
      </c>
      <c r="D72" s="41" t="s">
        <v>66</v>
      </c>
      <c r="E72" s="75">
        <f t="shared" si="13"/>
        <v>197764.44007499996</v>
      </c>
      <c r="F72" s="76">
        <f t="shared" si="14"/>
        <v>197764.44007499996</v>
      </c>
      <c r="G72" s="54">
        <f t="shared" si="15"/>
        <v>-187767.83992499995</v>
      </c>
    </row>
    <row r="73" spans="1:8">
      <c r="B73" s="19"/>
      <c r="C73" s="20"/>
      <c r="F73" s="6"/>
      <c r="G73" s="6"/>
    </row>
    <row r="74" spans="1:8" ht="17" thickBot="1">
      <c r="B74" s="19"/>
      <c r="C74" s="20"/>
      <c r="F74" s="6"/>
      <c r="G74" s="6"/>
    </row>
    <row r="75" spans="1:8">
      <c r="A75" s="1" t="s">
        <v>67</v>
      </c>
      <c r="B75" s="3" t="s">
        <v>68</v>
      </c>
      <c r="C75" s="91" t="s">
        <v>69</v>
      </c>
      <c r="D75" s="4" t="s">
        <v>37</v>
      </c>
      <c r="E75" s="5" t="s">
        <v>70</v>
      </c>
      <c r="G75" s="6"/>
      <c r="H75" s="6"/>
    </row>
    <row r="76" spans="1:8">
      <c r="A76" s="8" t="s">
        <v>42</v>
      </c>
      <c r="B76" s="77">
        <f t="shared" ref="B76:B81" si="16">D58</f>
        <v>137986.79999999999</v>
      </c>
      <c r="C76" s="78">
        <f t="shared" ref="C76:C81" si="17">G58</f>
        <v>130000</v>
      </c>
      <c r="D76" s="59" t="s">
        <v>71</v>
      </c>
      <c r="E76" s="79">
        <f>IF($C$82&lt;200000,C76*0.18,C76*0.2)</f>
        <v>26000</v>
      </c>
      <c r="G76" s="6" t="s">
        <v>72</v>
      </c>
      <c r="H76" s="80" t="s">
        <v>73</v>
      </c>
    </row>
    <row r="77" spans="1:8">
      <c r="A77" s="8" t="s">
        <v>43</v>
      </c>
      <c r="B77" s="77">
        <f t="shared" si="16"/>
        <v>206980.2</v>
      </c>
      <c r="C77" s="78">
        <f t="shared" si="17"/>
        <v>0</v>
      </c>
      <c r="D77" s="59" t="s">
        <v>71</v>
      </c>
      <c r="E77" s="79">
        <f t="shared" ref="E77:E81" si="18">IF($C$82&lt;200000,C77*0.18,C77*0.2)</f>
        <v>0</v>
      </c>
      <c r="G77" s="6"/>
      <c r="H77" s="6"/>
    </row>
    <row r="78" spans="1:8">
      <c r="A78" s="8" t="s">
        <v>44</v>
      </c>
      <c r="B78" s="77">
        <f t="shared" si="16"/>
        <v>206980.2</v>
      </c>
      <c r="C78" s="78">
        <f t="shared" si="17"/>
        <v>0</v>
      </c>
      <c r="D78" s="59" t="s">
        <v>71</v>
      </c>
      <c r="E78" s="79">
        <f t="shared" si="18"/>
        <v>0</v>
      </c>
      <c r="G78" s="6" t="s">
        <v>74</v>
      </c>
      <c r="H78" s="6" t="s">
        <v>75</v>
      </c>
    </row>
    <row r="79" spans="1:8">
      <c r="A79" s="8" t="s">
        <v>45</v>
      </c>
      <c r="B79" s="77">
        <f t="shared" si="16"/>
        <v>250088.755</v>
      </c>
      <c r="C79" s="78">
        <f t="shared" si="17"/>
        <v>161000</v>
      </c>
      <c r="D79" s="59" t="s">
        <v>71</v>
      </c>
      <c r="E79" s="79">
        <f t="shared" si="18"/>
        <v>32200</v>
      </c>
      <c r="G79" s="6"/>
    </row>
    <row r="80" spans="1:8">
      <c r="A80" s="8" t="s">
        <v>46</v>
      </c>
      <c r="B80" s="77">
        <f t="shared" si="16"/>
        <v>0</v>
      </c>
      <c r="C80" s="78">
        <f t="shared" si="17"/>
        <v>0</v>
      </c>
      <c r="D80" s="59" t="s">
        <v>71</v>
      </c>
      <c r="E80" s="79">
        <f t="shared" si="18"/>
        <v>0</v>
      </c>
      <c r="G80" s="6"/>
    </row>
    <row r="81" spans="1:7" ht="17" thickBot="1">
      <c r="A81" s="14" t="s">
        <v>47</v>
      </c>
      <c r="B81" s="81">
        <f t="shared" si="16"/>
        <v>192766.13999999996</v>
      </c>
      <c r="C81" s="82">
        <f t="shared" si="17"/>
        <v>134936.29799999995</v>
      </c>
      <c r="D81" s="59" t="s">
        <v>71</v>
      </c>
      <c r="E81" s="79">
        <f t="shared" si="18"/>
        <v>26987.25959999999</v>
      </c>
      <c r="G81" s="6"/>
    </row>
    <row r="82" spans="1:7">
      <c r="B82" s="83">
        <f>SUM(B76:B81)</f>
        <v>994802.09499999997</v>
      </c>
      <c r="C82" s="84">
        <f>SUM(C76:C81)</f>
        <v>425936.29799999995</v>
      </c>
      <c r="D82" s="83"/>
      <c r="E82" s="84">
        <f>SUM(E76:E81)</f>
        <v>85187.25959999999</v>
      </c>
      <c r="G82" s="6"/>
    </row>
    <row r="83" spans="1:7">
      <c r="D83" s="21"/>
      <c r="F83" s="6"/>
    </row>
    <row r="84" spans="1:7">
      <c r="F84" s="6"/>
    </row>
    <row r="85" spans="1:7">
      <c r="F85" s="6"/>
    </row>
    <row r="86" spans="1:7" ht="17" thickBot="1"/>
    <row r="87" spans="1:7">
      <c r="A87" s="109" t="s">
        <v>76</v>
      </c>
      <c r="B87" s="110"/>
      <c r="C87" s="110"/>
      <c r="D87" s="111"/>
    </row>
    <row r="88" spans="1:7">
      <c r="A88" s="112"/>
      <c r="B88" s="113"/>
      <c r="C88" s="113"/>
      <c r="D88" s="114"/>
    </row>
    <row r="89" spans="1:7" ht="17" thickBot="1">
      <c r="A89" s="115"/>
      <c r="B89" s="116"/>
      <c r="C89" s="116"/>
      <c r="D89" s="117"/>
    </row>
  </sheetData>
  <mergeCells count="1">
    <mergeCell ref="A87:D89"/>
  </mergeCells>
  <conditionalFormatting sqref="D50:D55">
    <cfRule type="cellIs" dxfId="7" priority="2" operator="greaterThan">
      <formula>0</formula>
    </cfRule>
  </conditionalFormatting>
  <conditionalFormatting sqref="E58:E60">
    <cfRule type="cellIs" dxfId="6" priority="4" operator="greaterThan">
      <formula>5000</formula>
    </cfRule>
  </conditionalFormatting>
  <conditionalFormatting sqref="E60:E63">
    <cfRule type="cellIs" dxfId="5" priority="3" operator="greaterThan">
      <formula>7000</formula>
    </cfRule>
  </conditionalFormatting>
  <conditionalFormatting sqref="E50:F55">
    <cfRule type="cellIs" dxfId="4" priority="1" operator="lessThan">
      <formula>0</formula>
    </cfRule>
  </conditionalFormatting>
  <dataValidations count="1">
    <dataValidation type="list" allowBlank="1" showInputMessage="1" showErrorMessage="1" sqref="E13:E15 B13:B15 B18 B21 B24" xr:uid="{E1248DAC-F2BA-6A4A-BF80-0F166BA636A0}">
      <formula1>"Yes, No"</formula1>
    </dataValidation>
  </dataValidations>
  <hyperlinks>
    <hyperlink ref="H76" r:id="rId1" xr:uid="{3B2C19AC-245C-9443-9EE7-E6215893A5E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F694A-ACD5-C54D-A11D-8BDB4F5A4481}">
  <dimension ref="A1:N89"/>
  <sheetViews>
    <sheetView topLeftCell="A57" zoomScale="75" workbookViewId="0">
      <selection activeCell="E86" sqref="E86"/>
    </sheetView>
  </sheetViews>
  <sheetFormatPr baseColWidth="10" defaultRowHeight="16"/>
  <cols>
    <col min="1" max="3" width="19.5" customWidth="1"/>
    <col min="4" max="4" width="26.1640625" customWidth="1"/>
    <col min="5" max="5" width="21.5" customWidth="1"/>
    <col min="6" max="6" width="24.1640625" customWidth="1"/>
    <col min="7" max="7" width="21.5" customWidth="1"/>
    <col min="8" max="8" width="16.33203125" customWidth="1"/>
  </cols>
  <sheetData>
    <row r="1" spans="1:14" ht="17" thickBot="1"/>
    <row r="2" spans="1:14">
      <c r="A2" s="96" t="s">
        <v>82</v>
      </c>
      <c r="B2" s="93"/>
    </row>
    <row r="3" spans="1:14">
      <c r="A3" s="97" t="s">
        <v>77</v>
      </c>
      <c r="B3" s="94"/>
    </row>
    <row r="4" spans="1:14">
      <c r="A4" s="97" t="s">
        <v>78</v>
      </c>
      <c r="B4" s="94"/>
    </row>
    <row r="5" spans="1:14">
      <c r="A5" s="97" t="s">
        <v>79</v>
      </c>
      <c r="B5" s="94"/>
    </row>
    <row r="6" spans="1:14">
      <c r="A6" s="97" t="s">
        <v>80</v>
      </c>
      <c r="B6" s="94"/>
    </row>
    <row r="7" spans="1:14">
      <c r="A7" s="97" t="s">
        <v>81</v>
      </c>
      <c r="B7" s="94"/>
    </row>
    <row r="8" spans="1:14">
      <c r="A8" s="99" t="s">
        <v>86</v>
      </c>
      <c r="B8" s="94"/>
    </row>
    <row r="9" spans="1:14" ht="17" thickBot="1">
      <c r="A9" s="98" t="s">
        <v>87</v>
      </c>
      <c r="B9" s="95"/>
      <c r="D9" s="36" t="s">
        <v>88</v>
      </c>
      <c r="E9" s="103">
        <f>C82</f>
        <v>379549.60769999999</v>
      </c>
    </row>
    <row r="11" spans="1:14" ht="17" thickBot="1"/>
    <row r="12" spans="1:14">
      <c r="A12" s="1" t="s">
        <v>0</v>
      </c>
      <c r="B12" s="2" t="s">
        <v>1</v>
      </c>
      <c r="C12" s="3" t="s">
        <v>2</v>
      </c>
      <c r="D12" s="4" t="s">
        <v>3</v>
      </c>
      <c r="E12" s="5" t="s">
        <v>4</v>
      </c>
      <c r="F12" s="6"/>
      <c r="G12" s="7"/>
    </row>
    <row r="13" spans="1:14">
      <c r="A13" s="8" t="s">
        <v>5</v>
      </c>
      <c r="B13" s="9" t="s">
        <v>6</v>
      </c>
      <c r="C13" s="10">
        <v>43935</v>
      </c>
      <c r="D13" s="11">
        <v>115200</v>
      </c>
      <c r="E13" s="12" t="s">
        <v>6</v>
      </c>
      <c r="F13" s="6"/>
      <c r="G13" s="7"/>
      <c r="N13" s="13"/>
    </row>
    <row r="14" spans="1:14" ht="17" thickBot="1">
      <c r="A14" s="14" t="s">
        <v>7</v>
      </c>
      <c r="B14" s="15" t="s">
        <v>8</v>
      </c>
      <c r="C14" s="16">
        <v>44342</v>
      </c>
      <c r="D14" s="17"/>
      <c r="E14" s="18" t="s">
        <v>6</v>
      </c>
      <c r="F14" s="6"/>
      <c r="G14" s="6"/>
      <c r="N14" s="13"/>
    </row>
    <row r="15" spans="1:14">
      <c r="C15" s="28"/>
      <c r="D15" s="29">
        <f>SUM(D13:D14)</f>
        <v>115200</v>
      </c>
      <c r="F15" s="6"/>
      <c r="G15" s="6"/>
      <c r="N15" s="13"/>
    </row>
    <row r="16" spans="1:14" ht="17" thickBot="1">
      <c r="C16" s="19"/>
      <c r="D16" s="20"/>
      <c r="E16" s="21"/>
      <c r="F16" s="6"/>
      <c r="G16" s="6"/>
      <c r="N16" s="13"/>
    </row>
    <row r="17" spans="1:14">
      <c r="A17" s="22" t="s">
        <v>9</v>
      </c>
      <c r="B17" s="23" t="s">
        <v>1</v>
      </c>
      <c r="C17" s="24" t="s">
        <v>2</v>
      </c>
      <c r="D17" s="25" t="s">
        <v>3</v>
      </c>
      <c r="E17" s="21"/>
      <c r="F17" s="6"/>
      <c r="G17" s="6"/>
      <c r="N17" s="13"/>
    </row>
    <row r="18" spans="1:14" ht="17" thickBot="1">
      <c r="A18" s="14"/>
      <c r="B18" s="15" t="s">
        <v>8</v>
      </c>
      <c r="C18" s="16">
        <v>43922</v>
      </c>
      <c r="D18" s="26"/>
      <c r="F18" s="6"/>
      <c r="G18" s="6"/>
      <c r="N18" s="13"/>
    </row>
    <row r="19" spans="1:14" ht="17" thickBot="1">
      <c r="B19" s="19"/>
      <c r="C19" s="20"/>
      <c r="F19" s="6"/>
      <c r="G19" s="6"/>
      <c r="N19" s="13"/>
    </row>
    <row r="20" spans="1:14">
      <c r="A20" s="22" t="s">
        <v>10</v>
      </c>
      <c r="B20" s="27" t="s">
        <v>11</v>
      </c>
      <c r="C20" s="28"/>
      <c r="D20" s="29"/>
      <c r="F20" s="6"/>
      <c r="G20" s="6"/>
      <c r="N20" s="13"/>
    </row>
    <row r="21" spans="1:14" ht="17" thickBot="1">
      <c r="A21" s="14"/>
      <c r="B21" s="18" t="s">
        <v>8</v>
      </c>
      <c r="C21" s="28"/>
      <c r="D21" s="29"/>
      <c r="F21" s="6"/>
      <c r="G21" s="6"/>
      <c r="N21" s="13"/>
    </row>
    <row r="22" spans="1:14" ht="17" thickBot="1">
      <c r="A22" s="30"/>
      <c r="B22" s="31"/>
      <c r="C22" s="29"/>
      <c r="F22" s="6"/>
      <c r="G22" s="6"/>
      <c r="N22" s="13"/>
    </row>
    <row r="23" spans="1:14">
      <c r="A23" s="22" t="s">
        <v>12</v>
      </c>
      <c r="B23" s="27" t="s">
        <v>12</v>
      </c>
      <c r="C23" s="28"/>
      <c r="D23" s="29"/>
      <c r="F23" s="6"/>
      <c r="G23" s="6"/>
      <c r="N23" s="13"/>
    </row>
    <row r="24" spans="1:14" ht="17" thickBot="1">
      <c r="A24" s="14"/>
      <c r="B24" s="18" t="s">
        <v>8</v>
      </c>
      <c r="C24" s="28"/>
      <c r="D24" s="29"/>
      <c r="F24" s="6"/>
      <c r="G24" s="6"/>
      <c r="N24" s="13"/>
    </row>
    <row r="25" spans="1:14" ht="17" thickBot="1">
      <c r="B25" s="19"/>
      <c r="C25" s="20"/>
      <c r="F25" s="6"/>
      <c r="G25" s="6"/>
      <c r="N25" s="13"/>
    </row>
    <row r="26" spans="1:14">
      <c r="A26" s="22" t="s">
        <v>13</v>
      </c>
      <c r="B26" s="3" t="s">
        <v>14</v>
      </c>
      <c r="C26" s="3" t="s">
        <v>15</v>
      </c>
      <c r="D26" s="3" t="s">
        <v>16</v>
      </c>
      <c r="E26" s="3" t="s">
        <v>17</v>
      </c>
      <c r="F26" s="3" t="s">
        <v>18</v>
      </c>
      <c r="G26" s="32" t="s">
        <v>19</v>
      </c>
      <c r="N26" s="13"/>
    </row>
    <row r="27" spans="1:14" ht="17" thickBot="1">
      <c r="A27" s="14"/>
      <c r="B27" s="33">
        <v>9</v>
      </c>
      <c r="C27" s="33">
        <v>9</v>
      </c>
      <c r="D27" s="33">
        <v>14</v>
      </c>
      <c r="E27" s="33">
        <v>18</v>
      </c>
      <c r="F27" s="34">
        <v>16</v>
      </c>
      <c r="G27" s="35">
        <v>17</v>
      </c>
      <c r="N27" s="13"/>
    </row>
    <row r="28" spans="1:14">
      <c r="B28" s="19"/>
      <c r="C28" s="20"/>
      <c r="F28" s="6"/>
      <c r="G28" s="6"/>
      <c r="N28" s="13"/>
    </row>
    <row r="29" spans="1:14">
      <c r="B29" s="19"/>
      <c r="C29" s="20"/>
      <c r="F29" s="6"/>
      <c r="G29" s="6"/>
      <c r="N29" s="13"/>
    </row>
    <row r="30" spans="1:14" ht="17" thickBot="1">
      <c r="A30" s="36" t="s">
        <v>20</v>
      </c>
      <c r="B30" s="19"/>
      <c r="C30" s="20"/>
      <c r="F30" s="6"/>
      <c r="G30" s="6"/>
      <c r="N30" s="13"/>
    </row>
    <row r="31" spans="1:14">
      <c r="A31" s="22" t="s">
        <v>21</v>
      </c>
      <c r="B31" s="24" t="s">
        <v>90</v>
      </c>
      <c r="C31" s="24" t="s">
        <v>23</v>
      </c>
      <c r="D31" s="37" t="s">
        <v>24</v>
      </c>
      <c r="E31" s="37" t="s">
        <v>25</v>
      </c>
      <c r="F31" s="37" t="s">
        <v>26</v>
      </c>
      <c r="G31" s="37" t="s">
        <v>27</v>
      </c>
      <c r="H31" s="25" t="s">
        <v>28</v>
      </c>
      <c r="N31" s="13"/>
    </row>
    <row r="32" spans="1:14">
      <c r="A32" s="38" t="s">
        <v>29</v>
      </c>
      <c r="B32" s="10"/>
      <c r="C32" s="11">
        <v>7265.34</v>
      </c>
      <c r="D32" s="11">
        <v>11458.35</v>
      </c>
      <c r="E32" s="11">
        <v>11458.35</v>
      </c>
      <c r="F32" s="11">
        <v>25000.02</v>
      </c>
      <c r="G32" s="11">
        <v>25000.02</v>
      </c>
      <c r="H32" s="100">
        <v>20833.349999999999</v>
      </c>
      <c r="N32" s="13"/>
    </row>
    <row r="33" spans="1:14">
      <c r="A33" s="38" t="s">
        <v>30</v>
      </c>
      <c r="B33" s="10"/>
      <c r="C33" s="11">
        <v>15160.26</v>
      </c>
      <c r="D33" s="11">
        <v>14583.35</v>
      </c>
      <c r="E33" s="11">
        <v>14583.35</v>
      </c>
      <c r="F33" s="11">
        <v>21666.66</v>
      </c>
      <c r="G33" s="11">
        <v>25000.02</v>
      </c>
      <c r="H33" s="100">
        <v>20833.349999999999</v>
      </c>
      <c r="L33" s="44"/>
      <c r="N33" s="13"/>
    </row>
    <row r="34" spans="1:14">
      <c r="A34" s="8" t="s">
        <v>31</v>
      </c>
      <c r="B34" s="39"/>
      <c r="C34" s="39"/>
      <c r="D34" s="40"/>
      <c r="E34" s="41"/>
      <c r="F34" s="41"/>
      <c r="G34" s="42"/>
      <c r="H34" s="43"/>
      <c r="N34" s="13"/>
    </row>
    <row r="35" spans="1:14">
      <c r="A35" s="8" t="s">
        <v>32</v>
      </c>
      <c r="B35" s="39"/>
      <c r="C35" s="39"/>
      <c r="D35" s="40"/>
      <c r="E35" s="41"/>
      <c r="F35" s="41"/>
      <c r="G35" s="42"/>
      <c r="H35" s="43"/>
      <c r="L35" s="45"/>
      <c r="N35" s="13"/>
    </row>
    <row r="36" spans="1:14">
      <c r="A36" s="8" t="s">
        <v>33</v>
      </c>
      <c r="B36" s="39"/>
      <c r="C36" s="39"/>
      <c r="D36" s="40"/>
      <c r="E36" s="41"/>
      <c r="F36" s="41"/>
      <c r="G36" s="42"/>
      <c r="H36" s="43"/>
    </row>
    <row r="37" spans="1:14">
      <c r="A37" s="8" t="s">
        <v>34</v>
      </c>
      <c r="B37" s="39"/>
      <c r="C37" s="39"/>
      <c r="D37" s="40"/>
      <c r="E37" s="41"/>
      <c r="F37" s="41"/>
      <c r="G37" s="42"/>
      <c r="H37" s="43"/>
    </row>
    <row r="38" spans="1:14" ht="17" thickBot="1">
      <c r="A38" s="14" t="s">
        <v>85</v>
      </c>
      <c r="B38" s="46"/>
      <c r="C38" s="92">
        <f>SUM(C32:C37)</f>
        <v>22425.599999999999</v>
      </c>
      <c r="D38" s="92">
        <f t="shared" ref="D38:H38" si="0">SUM(D32:D37)</f>
        <v>26041.7</v>
      </c>
      <c r="E38" s="92">
        <f t="shared" si="0"/>
        <v>26041.7</v>
      </c>
      <c r="F38" s="92">
        <f t="shared" si="0"/>
        <v>46666.68</v>
      </c>
      <c r="G38" s="92">
        <f t="shared" si="0"/>
        <v>50000.04</v>
      </c>
      <c r="H38" s="101">
        <f t="shared" si="0"/>
        <v>41666.699999999997</v>
      </c>
      <c r="L38" s="44"/>
    </row>
    <row r="39" spans="1:14" ht="17" thickBot="1">
      <c r="B39" s="19"/>
      <c r="C39" s="20"/>
      <c r="F39" s="6"/>
      <c r="G39" s="6"/>
    </row>
    <row r="40" spans="1:14" ht="17" thickBot="1">
      <c r="A40" s="47" t="s">
        <v>35</v>
      </c>
      <c r="B40" s="48" t="s">
        <v>36</v>
      </c>
      <c r="C40" s="49" t="s">
        <v>37</v>
      </c>
      <c r="D40" s="85" t="s">
        <v>38</v>
      </c>
      <c r="E40" s="85" t="s">
        <v>39</v>
      </c>
      <c r="F40" s="86" t="s">
        <v>40</v>
      </c>
      <c r="G40" s="86" t="s">
        <v>41</v>
      </c>
    </row>
    <row r="41" spans="1:14">
      <c r="A41" s="8" t="s">
        <v>42</v>
      </c>
      <c r="B41" s="50">
        <v>165986.75</v>
      </c>
      <c r="C41" s="51">
        <v>6.4000000000000001E-2</v>
      </c>
      <c r="D41" s="52">
        <f t="shared" ref="D41:D46" si="1">B41*C41</f>
        <v>10623.152</v>
      </c>
      <c r="E41" s="53">
        <f>D41</f>
        <v>10623.152</v>
      </c>
      <c r="F41" s="54">
        <f t="shared" ref="F41:F46" si="2">E41*-1</f>
        <v>-10623.152</v>
      </c>
      <c r="G41" s="54">
        <f t="shared" ref="G41:G46" si="3">F41</f>
        <v>-10623.152</v>
      </c>
    </row>
    <row r="42" spans="1:14">
      <c r="A42" s="8" t="s">
        <v>43</v>
      </c>
      <c r="B42" s="50">
        <v>155961.09</v>
      </c>
      <c r="C42" s="51">
        <v>6.4000000000000001E-2</v>
      </c>
      <c r="D42" s="52">
        <f t="shared" si="1"/>
        <v>9981.5097600000008</v>
      </c>
      <c r="E42" s="53">
        <f t="shared" ref="E42:E46" si="4">D42</f>
        <v>9981.5097600000008</v>
      </c>
      <c r="F42" s="54">
        <f t="shared" si="2"/>
        <v>-9981.5097600000008</v>
      </c>
      <c r="G42" s="54">
        <f t="shared" si="3"/>
        <v>-9981.5097600000008</v>
      </c>
    </row>
    <row r="43" spans="1:14">
      <c r="A43" s="8" t="s">
        <v>44</v>
      </c>
      <c r="B43" s="50">
        <v>187770.25</v>
      </c>
      <c r="C43" s="51">
        <v>6.4000000000000001E-2</v>
      </c>
      <c r="D43" s="52">
        <f t="shared" si="1"/>
        <v>12017.296</v>
      </c>
      <c r="E43" s="53">
        <f t="shared" si="4"/>
        <v>12017.296</v>
      </c>
      <c r="F43" s="54">
        <f t="shared" si="2"/>
        <v>-12017.296</v>
      </c>
      <c r="G43" s="54">
        <f t="shared" si="3"/>
        <v>-12017.296</v>
      </c>
    </row>
    <row r="44" spans="1:14">
      <c r="A44" s="8" t="s">
        <v>45</v>
      </c>
      <c r="B44" s="50">
        <v>257992.41</v>
      </c>
      <c r="C44" s="51">
        <v>1.4500000000000001E-2</v>
      </c>
      <c r="D44" s="52">
        <f t="shared" si="1"/>
        <v>3740.8899450000004</v>
      </c>
      <c r="E44" s="53">
        <f t="shared" si="4"/>
        <v>3740.8899450000004</v>
      </c>
      <c r="F44" s="54">
        <f t="shared" si="2"/>
        <v>-3740.8899450000004</v>
      </c>
      <c r="G44" s="54">
        <f t="shared" si="3"/>
        <v>-3740.8899450000004</v>
      </c>
    </row>
    <row r="45" spans="1:14">
      <c r="A45" s="8" t="s">
        <v>46</v>
      </c>
      <c r="B45" s="50">
        <v>333441.67</v>
      </c>
      <c r="C45" s="51">
        <v>1.4500000000000001E-2</v>
      </c>
      <c r="D45" s="52">
        <f t="shared" si="1"/>
        <v>4834.9042149999996</v>
      </c>
      <c r="E45" s="53">
        <f t="shared" si="4"/>
        <v>4834.9042149999996</v>
      </c>
      <c r="F45" s="54">
        <f t="shared" si="2"/>
        <v>-4834.9042149999996</v>
      </c>
      <c r="G45" s="54">
        <f t="shared" si="3"/>
        <v>-4834.9042149999996</v>
      </c>
    </row>
    <row r="46" spans="1:14">
      <c r="A46" s="8" t="s">
        <v>47</v>
      </c>
      <c r="B46" s="50">
        <v>305026.63</v>
      </c>
      <c r="C46" s="51">
        <v>1.4500000000000001E-2</v>
      </c>
      <c r="D46" s="52">
        <f t="shared" si="1"/>
        <v>4422.8861350000006</v>
      </c>
      <c r="E46" s="53">
        <f t="shared" si="4"/>
        <v>4422.8861350000006</v>
      </c>
      <c r="F46" s="54">
        <f t="shared" si="2"/>
        <v>-4422.8861350000006</v>
      </c>
      <c r="G46" s="54">
        <f t="shared" si="3"/>
        <v>-4422.8861350000006</v>
      </c>
    </row>
    <row r="47" spans="1:14">
      <c r="B47" s="19"/>
      <c r="C47" s="20"/>
      <c r="F47" s="6"/>
      <c r="G47" s="6"/>
    </row>
    <row r="48" spans="1:14" ht="17" thickBot="1">
      <c r="B48" s="19"/>
      <c r="C48" s="20"/>
      <c r="F48" s="6"/>
      <c r="G48" s="6"/>
    </row>
    <row r="49" spans="1:8" ht="17" thickBot="1">
      <c r="A49" s="47" t="s">
        <v>48</v>
      </c>
      <c r="B49" s="48" t="s">
        <v>49</v>
      </c>
      <c r="C49" s="55" t="s">
        <v>50</v>
      </c>
      <c r="D49" s="102" t="s">
        <v>51</v>
      </c>
      <c r="E49" s="87" t="s">
        <v>52</v>
      </c>
      <c r="F49" s="86" t="s">
        <v>53</v>
      </c>
      <c r="G49" s="6"/>
      <c r="H49" s="57"/>
    </row>
    <row r="50" spans="1:8">
      <c r="A50" s="8" t="s">
        <v>42</v>
      </c>
      <c r="B50" s="58">
        <f t="shared" ref="B50:B55" si="5">B41</f>
        <v>165986.75</v>
      </c>
      <c r="C50" s="59">
        <f>-C38</f>
        <v>-22425.599999999999</v>
      </c>
      <c r="D50" s="40">
        <f>-IF($C$13&lt;DATE(2020,6,30),IF(SUM(B50,C50)&lt;D13,SUM(B50,C50),D13),0)/3</f>
        <v>-38400</v>
      </c>
      <c r="E50" s="61">
        <f>SUM(B50:D50)</f>
        <v>105161.15</v>
      </c>
      <c r="F50" s="62">
        <f t="shared" ref="F50:F55" si="6">E50</f>
        <v>105161.15</v>
      </c>
      <c r="G50" s="6"/>
      <c r="H50" s="21"/>
    </row>
    <row r="51" spans="1:8">
      <c r="A51" s="8" t="s">
        <v>43</v>
      </c>
      <c r="B51" s="58">
        <f t="shared" si="5"/>
        <v>155961.09</v>
      </c>
      <c r="C51" s="59">
        <f>-D38</f>
        <v>-26041.7</v>
      </c>
      <c r="D51" s="60">
        <f>IF($C$13&lt;DATE(2020,9,30),IF(SUM($D$13,D50)&gt;0,IF(SUM($D$13,D50)&gt;(SUM(B51,C51)),-(B51+C51),-SUM($D$13,D50)),0),0)</f>
        <v>-76800</v>
      </c>
      <c r="E51" s="61">
        <f>SUM(B51:D51)</f>
        <v>53119.39</v>
      </c>
      <c r="F51" s="63">
        <f t="shared" si="6"/>
        <v>53119.39</v>
      </c>
      <c r="G51" s="6"/>
    </row>
    <row r="52" spans="1:8">
      <c r="A52" s="8" t="s">
        <v>44</v>
      </c>
      <c r="B52" s="58">
        <f t="shared" si="5"/>
        <v>187770.25</v>
      </c>
      <c r="C52" s="59">
        <f>-D38</f>
        <v>-26041.7</v>
      </c>
      <c r="D52" s="60">
        <f>IF($C$13&lt;DATE(2020,12,30),IF(SUM($D$13,SUM(D50,D51))&gt;0,IF(SUM($D$13,SUM(D50,D51))&gt;(SUM(B52,C52)),-(B52+C52),-SUM($D$13,SUM(D50,D51))),0),0)</f>
        <v>0</v>
      </c>
      <c r="E52" s="61">
        <f>SUM(B52:D52)</f>
        <v>161728.54999999999</v>
      </c>
      <c r="F52" s="63">
        <f t="shared" si="6"/>
        <v>161728.54999999999</v>
      </c>
      <c r="G52" s="6"/>
    </row>
    <row r="53" spans="1:8">
      <c r="A53" s="8" t="s">
        <v>45</v>
      </c>
      <c r="B53" s="58">
        <f t="shared" si="5"/>
        <v>257992.41</v>
      </c>
      <c r="C53" s="59">
        <f>-F38</f>
        <v>-46666.68</v>
      </c>
      <c r="D53" s="60">
        <f>IF($C$14&lt;DATE(2021,3,31),IF(SUM($D$15,D50:D52)&gt;0,IF(SUM($D$15,D50:D52)&gt;(SUM(B53,C53)),-(B53+C53),-SUM($D$15,D50:D52)),0),0)/3</f>
        <v>0</v>
      </c>
      <c r="E53" s="61">
        <f t="shared" ref="E53:E55" si="7">SUM(B53:D53)</f>
        <v>211325.73</v>
      </c>
      <c r="F53" s="63">
        <f t="shared" si="6"/>
        <v>211325.73</v>
      </c>
      <c r="G53" s="6"/>
    </row>
    <row r="54" spans="1:8">
      <c r="A54" s="8" t="s">
        <v>46</v>
      </c>
      <c r="B54" s="58">
        <f t="shared" si="5"/>
        <v>333441.67</v>
      </c>
      <c r="C54" s="59">
        <f>-G38</f>
        <v>-50000.04</v>
      </c>
      <c r="D54" s="60">
        <f>IF($C$14&lt;DATE(2021,9,30),IF(SUM($D$15,D50:D53)&gt;0,IF(SUM($D$15,D50:D53)&gt;(SUM(B54,C54)),-(B54+C54),-SUM($D$15,D50:D53)),0),0)</f>
        <v>0</v>
      </c>
      <c r="E54" s="61">
        <f>SUM(B54:D54)</f>
        <v>283441.63</v>
      </c>
      <c r="F54" s="63">
        <f t="shared" si="6"/>
        <v>283441.63</v>
      </c>
      <c r="G54" s="6"/>
    </row>
    <row r="55" spans="1:8">
      <c r="A55" s="8" t="s">
        <v>47</v>
      </c>
      <c r="B55" s="58">
        <f t="shared" si="5"/>
        <v>305026.63</v>
      </c>
      <c r="C55" s="59">
        <f>-H38</f>
        <v>-41666.699999999997</v>
      </c>
      <c r="D55" s="60">
        <f>IF($C$14&lt;DATE(2021,9,30),IF(SUM($D$15,D50:D54)&gt;0,IF(SUM($D$15,D50:D54)&gt;(SUM(B55,C55)),-(B55+C55),-SUM($D$15,D50:D54)),0),0)</f>
        <v>0</v>
      </c>
      <c r="E55" s="61">
        <f t="shared" si="7"/>
        <v>263359.93</v>
      </c>
      <c r="F55" s="63">
        <f t="shared" si="6"/>
        <v>263359.93</v>
      </c>
      <c r="G55" s="6"/>
    </row>
    <row r="56" spans="1:8" ht="17" thickBot="1">
      <c r="B56" s="19"/>
      <c r="C56" s="20"/>
      <c r="F56" s="6"/>
      <c r="G56" s="6"/>
    </row>
    <row r="57" spans="1:8" ht="17" thickBot="1">
      <c r="A57" s="47" t="s">
        <v>54</v>
      </c>
      <c r="B57" s="48" t="s">
        <v>55</v>
      </c>
      <c r="C57" s="49" t="s">
        <v>37</v>
      </c>
      <c r="D57" s="56" t="s">
        <v>56</v>
      </c>
      <c r="E57" s="64" t="s">
        <v>57</v>
      </c>
      <c r="F57" s="65" t="s">
        <v>58</v>
      </c>
      <c r="G57" s="90" t="s">
        <v>59</v>
      </c>
    </row>
    <row r="58" spans="1:8">
      <c r="A58" s="8" t="s">
        <v>42</v>
      </c>
      <c r="B58" s="66">
        <f t="shared" ref="B58:B63" si="8">F50</f>
        <v>105161.15</v>
      </c>
      <c r="C58" s="67">
        <v>0.5</v>
      </c>
      <c r="D58" s="54">
        <f t="shared" ref="D58:D63" si="9">B58*C58</f>
        <v>52580.574999999997</v>
      </c>
      <c r="E58" s="68">
        <f>D58/C27</f>
        <v>5842.2861111111106</v>
      </c>
      <c r="F58" s="40">
        <f>IF(E58&gt;5000,5000,E58)</f>
        <v>5000</v>
      </c>
      <c r="G58" s="69">
        <f>F58*B27</f>
        <v>45000</v>
      </c>
    </row>
    <row r="59" spans="1:8">
      <c r="A59" s="8" t="s">
        <v>43</v>
      </c>
      <c r="B59" s="66">
        <f t="shared" si="8"/>
        <v>53119.39</v>
      </c>
      <c r="C59" s="67">
        <v>0.5</v>
      </c>
      <c r="D59" s="54">
        <f t="shared" si="9"/>
        <v>26559.695</v>
      </c>
      <c r="E59" s="68">
        <f>D59/C27</f>
        <v>2951.0772222222222</v>
      </c>
      <c r="F59" s="40">
        <f>IF(E58&lt;5000,IF(SUM(E58,E59)&lt;5000,E59,SUM(5000-E58)),0)</f>
        <v>0</v>
      </c>
      <c r="G59" s="69">
        <f>F59*C27</f>
        <v>0</v>
      </c>
    </row>
    <row r="60" spans="1:8">
      <c r="A60" s="8" t="s">
        <v>44</v>
      </c>
      <c r="B60" s="66">
        <f t="shared" si="8"/>
        <v>161728.54999999999</v>
      </c>
      <c r="C60" s="67">
        <v>0.5</v>
      </c>
      <c r="D60" s="54">
        <f t="shared" si="9"/>
        <v>80864.274999999994</v>
      </c>
      <c r="E60" s="68">
        <f>D60/D27</f>
        <v>5776.0196428571426</v>
      </c>
      <c r="F60" s="40">
        <f>IF(SUM(E58,E59)&lt;5000,IF(SUM(E58,E59,E60)&lt;5000,E60,SUM(5000-E58-E59)),0)</f>
        <v>0</v>
      </c>
      <c r="G60" s="69">
        <f>F60*D27</f>
        <v>0</v>
      </c>
    </row>
    <row r="61" spans="1:8">
      <c r="A61" s="8" t="s">
        <v>45</v>
      </c>
      <c r="B61" s="66">
        <f t="shared" si="8"/>
        <v>211325.73</v>
      </c>
      <c r="C61" s="70">
        <f>0.7</f>
        <v>0.7</v>
      </c>
      <c r="D61" s="54">
        <f t="shared" si="9"/>
        <v>147928.011</v>
      </c>
      <c r="E61" s="68">
        <f>D61/E27</f>
        <v>8218.2228333333333</v>
      </c>
      <c r="F61" s="40">
        <f>IF(E61&gt;10000,(10000*0.7),E61*0.7)</f>
        <v>5752.7559833333326</v>
      </c>
      <c r="G61" s="69">
        <f>F61*E27</f>
        <v>103549.60769999999</v>
      </c>
    </row>
    <row r="62" spans="1:8">
      <c r="A62" s="8" t="s">
        <v>46</v>
      </c>
      <c r="B62" s="66">
        <f t="shared" si="8"/>
        <v>283441.63</v>
      </c>
      <c r="C62" s="70">
        <f t="shared" ref="C62:C63" si="10">0.7</f>
        <v>0.7</v>
      </c>
      <c r="D62" s="54">
        <f t="shared" si="9"/>
        <v>198409.141</v>
      </c>
      <c r="E62" s="68">
        <f>D62/F27</f>
        <v>12400.5713125</v>
      </c>
      <c r="F62" s="40">
        <f>IF(E62&gt;10000,7000,(E62*0.7))</f>
        <v>7000</v>
      </c>
      <c r="G62" s="69">
        <f>F62*F27</f>
        <v>112000</v>
      </c>
    </row>
    <row r="63" spans="1:8" ht="17" thickBot="1">
      <c r="A63" s="8" t="s">
        <v>47</v>
      </c>
      <c r="B63" s="66">
        <f t="shared" si="8"/>
        <v>263359.93</v>
      </c>
      <c r="C63" s="70">
        <f t="shared" si="10"/>
        <v>0.7</v>
      </c>
      <c r="D63" s="54">
        <f t="shared" si="9"/>
        <v>184351.95099999997</v>
      </c>
      <c r="E63" s="71">
        <f>D63/G27</f>
        <v>10844.232411764704</v>
      </c>
      <c r="F63" s="40">
        <f>IF(E63&gt;10000,7000,(E63*0.7))</f>
        <v>7000</v>
      </c>
      <c r="G63" s="72">
        <f>F63*G27</f>
        <v>119000</v>
      </c>
    </row>
    <row r="64" spans="1:8">
      <c r="B64" s="73"/>
      <c r="C64" s="20"/>
      <c r="F64" s="6"/>
      <c r="G64" s="6"/>
    </row>
    <row r="65" spans="1:8" ht="17" thickBot="1">
      <c r="B65" s="19"/>
      <c r="C65" s="20"/>
      <c r="F65" s="6"/>
      <c r="G65" s="6"/>
    </row>
    <row r="66" spans="1:8" ht="17" thickBot="1">
      <c r="A66" s="47" t="s">
        <v>60</v>
      </c>
      <c r="B66" s="48" t="s">
        <v>61</v>
      </c>
      <c r="C66" s="49" t="s">
        <v>55</v>
      </c>
      <c r="D66" s="74" t="s">
        <v>62</v>
      </c>
      <c r="E66" s="88" t="s">
        <v>63</v>
      </c>
      <c r="F66" s="88" t="s">
        <v>64</v>
      </c>
      <c r="G66" s="89" t="s">
        <v>65</v>
      </c>
    </row>
    <row r="67" spans="1:8">
      <c r="A67" s="8" t="s">
        <v>42</v>
      </c>
      <c r="B67" s="52">
        <f t="shared" ref="B67:B72" si="11">D41</f>
        <v>10623.152</v>
      </c>
      <c r="C67" s="61">
        <f t="shared" ref="C67:C72" si="12">D58</f>
        <v>52580.574999999997</v>
      </c>
      <c r="D67" s="41" t="s">
        <v>66</v>
      </c>
      <c r="E67" s="75">
        <f t="shared" ref="E67:E72" si="13">C67+B67</f>
        <v>63203.726999999999</v>
      </c>
      <c r="F67" s="76">
        <f t="shared" ref="F67:F72" si="14">C67+B67</f>
        <v>63203.726999999999</v>
      </c>
      <c r="G67" s="54">
        <f t="shared" ref="G67:G72" si="15">-C67+B67</f>
        <v>-41957.422999999995</v>
      </c>
    </row>
    <row r="68" spans="1:8">
      <c r="A68" s="8" t="s">
        <v>43</v>
      </c>
      <c r="B68" s="52">
        <f t="shared" si="11"/>
        <v>9981.5097600000008</v>
      </c>
      <c r="C68" s="61">
        <f t="shared" si="12"/>
        <v>26559.695</v>
      </c>
      <c r="D68" s="41" t="s">
        <v>66</v>
      </c>
      <c r="E68" s="75">
        <f t="shared" si="13"/>
        <v>36541.204760000001</v>
      </c>
      <c r="F68" s="76">
        <f t="shared" si="14"/>
        <v>36541.204760000001</v>
      </c>
      <c r="G68" s="54">
        <f t="shared" si="15"/>
        <v>-16578.185239999999</v>
      </c>
    </row>
    <row r="69" spans="1:8">
      <c r="A69" s="8" t="s">
        <v>44</v>
      </c>
      <c r="B69" s="52">
        <f t="shared" si="11"/>
        <v>12017.296</v>
      </c>
      <c r="C69" s="61">
        <f t="shared" si="12"/>
        <v>80864.274999999994</v>
      </c>
      <c r="D69" s="41" t="s">
        <v>66</v>
      </c>
      <c r="E69" s="75">
        <f t="shared" si="13"/>
        <v>92881.570999999996</v>
      </c>
      <c r="F69" s="76">
        <f t="shared" si="14"/>
        <v>92881.570999999996</v>
      </c>
      <c r="G69" s="54">
        <f t="shared" si="15"/>
        <v>-68846.978999999992</v>
      </c>
    </row>
    <row r="70" spans="1:8">
      <c r="A70" s="8" t="s">
        <v>45</v>
      </c>
      <c r="B70" s="52">
        <f t="shared" si="11"/>
        <v>3740.8899450000004</v>
      </c>
      <c r="C70" s="61">
        <f t="shared" si="12"/>
        <v>147928.011</v>
      </c>
      <c r="D70" s="41" t="s">
        <v>66</v>
      </c>
      <c r="E70" s="75">
        <f t="shared" si="13"/>
        <v>151668.900945</v>
      </c>
      <c r="F70" s="76">
        <f t="shared" si="14"/>
        <v>151668.900945</v>
      </c>
      <c r="G70" s="54">
        <f t="shared" si="15"/>
        <v>-144187.121055</v>
      </c>
    </row>
    <row r="71" spans="1:8">
      <c r="A71" s="8" t="s">
        <v>46</v>
      </c>
      <c r="B71" s="52">
        <f t="shared" si="11"/>
        <v>4834.9042149999996</v>
      </c>
      <c r="C71" s="61">
        <f t="shared" si="12"/>
        <v>198409.141</v>
      </c>
      <c r="D71" s="41" t="s">
        <v>66</v>
      </c>
      <c r="E71" s="75">
        <f t="shared" si="13"/>
        <v>203244.04521499999</v>
      </c>
      <c r="F71" s="76">
        <f t="shared" si="14"/>
        <v>203244.04521499999</v>
      </c>
      <c r="G71" s="54">
        <f t="shared" si="15"/>
        <v>-193574.23678500002</v>
      </c>
    </row>
    <row r="72" spans="1:8">
      <c r="A72" s="8" t="s">
        <v>47</v>
      </c>
      <c r="B72" s="52">
        <f t="shared" si="11"/>
        <v>4422.8861350000006</v>
      </c>
      <c r="C72" s="61">
        <f t="shared" si="12"/>
        <v>184351.95099999997</v>
      </c>
      <c r="D72" s="41" t="s">
        <v>66</v>
      </c>
      <c r="E72" s="75">
        <f t="shared" si="13"/>
        <v>188774.83713499998</v>
      </c>
      <c r="F72" s="76">
        <f t="shared" si="14"/>
        <v>188774.83713499998</v>
      </c>
      <c r="G72" s="54">
        <f t="shared" si="15"/>
        <v>-179929.06486499996</v>
      </c>
    </row>
    <row r="73" spans="1:8">
      <c r="B73" s="19"/>
      <c r="C73" s="20"/>
      <c r="F73" s="6"/>
      <c r="G73" s="6"/>
    </row>
    <row r="74" spans="1:8" ht="17" thickBot="1">
      <c r="B74" s="19"/>
      <c r="C74" s="20"/>
      <c r="F74" s="6"/>
      <c r="G74" s="6"/>
    </row>
    <row r="75" spans="1:8">
      <c r="A75" s="1" t="s">
        <v>67</v>
      </c>
      <c r="B75" s="3" t="s">
        <v>68</v>
      </c>
      <c r="C75" s="91" t="s">
        <v>69</v>
      </c>
      <c r="D75" s="4" t="s">
        <v>37</v>
      </c>
      <c r="E75" s="5" t="s">
        <v>70</v>
      </c>
      <c r="G75" s="6"/>
      <c r="H75" s="6"/>
    </row>
    <row r="76" spans="1:8">
      <c r="A76" s="8" t="s">
        <v>42</v>
      </c>
      <c r="B76" s="77">
        <f t="shared" ref="B76:B81" si="16">D58</f>
        <v>52580.574999999997</v>
      </c>
      <c r="C76" s="78">
        <f t="shared" ref="C76:C81" si="17">G58</f>
        <v>45000</v>
      </c>
      <c r="D76" s="59" t="s">
        <v>71</v>
      </c>
      <c r="E76" s="79">
        <f>IF($C$82&lt;200000,C76*0.18,C76*0.15)</f>
        <v>6750</v>
      </c>
      <c r="G76" s="6" t="s">
        <v>72</v>
      </c>
      <c r="H76" s="80" t="s">
        <v>73</v>
      </c>
    </row>
    <row r="77" spans="1:8">
      <c r="A77" s="8" t="s">
        <v>43</v>
      </c>
      <c r="B77" s="77">
        <f t="shared" si="16"/>
        <v>26559.695</v>
      </c>
      <c r="C77" s="78">
        <f t="shared" si="17"/>
        <v>0</v>
      </c>
      <c r="D77" s="59" t="s">
        <v>71</v>
      </c>
      <c r="E77" s="79">
        <f t="shared" ref="E77:E78" si="18">IF($C$82&lt;200000,C77*0.18,C77*0.2)</f>
        <v>0</v>
      </c>
      <c r="G77" s="6"/>
      <c r="H77" s="6"/>
    </row>
    <row r="78" spans="1:8">
      <c r="A78" s="8" t="s">
        <v>44</v>
      </c>
      <c r="B78" s="77">
        <f t="shared" si="16"/>
        <v>80864.274999999994</v>
      </c>
      <c r="C78" s="78">
        <f t="shared" si="17"/>
        <v>0</v>
      </c>
      <c r="D78" s="59" t="s">
        <v>71</v>
      </c>
      <c r="E78" s="79">
        <f t="shared" si="18"/>
        <v>0</v>
      </c>
      <c r="G78" s="6" t="s">
        <v>74</v>
      </c>
      <c r="H78" s="6" t="s">
        <v>75</v>
      </c>
    </row>
    <row r="79" spans="1:8">
      <c r="A79" s="8" t="s">
        <v>45</v>
      </c>
      <c r="B79" s="77">
        <f t="shared" si="16"/>
        <v>147928.011</v>
      </c>
      <c r="C79" s="78">
        <f t="shared" si="17"/>
        <v>103549.60769999999</v>
      </c>
      <c r="D79" s="59" t="s">
        <v>71</v>
      </c>
      <c r="E79" s="79">
        <f>IF($C$82&lt;200000,C79*0.18,C79*0.15)</f>
        <v>15532.441154999999</v>
      </c>
      <c r="G79" s="6"/>
    </row>
    <row r="80" spans="1:8">
      <c r="A80" s="8" t="s">
        <v>46</v>
      </c>
      <c r="B80" s="77">
        <f t="shared" si="16"/>
        <v>198409.141</v>
      </c>
      <c r="C80" s="78">
        <f t="shared" si="17"/>
        <v>112000</v>
      </c>
      <c r="D80" s="59" t="s">
        <v>71</v>
      </c>
      <c r="E80" s="79">
        <f>IF($C$82&lt;200000,C80*0.18,C80*0.15)</f>
        <v>16800</v>
      </c>
      <c r="G80" s="6"/>
    </row>
    <row r="81" spans="1:7" ht="17" thickBot="1">
      <c r="A81" s="14" t="s">
        <v>47</v>
      </c>
      <c r="B81" s="81">
        <f t="shared" si="16"/>
        <v>184351.95099999997</v>
      </c>
      <c r="C81" s="82">
        <f t="shared" si="17"/>
        <v>119000</v>
      </c>
      <c r="D81" s="59" t="s">
        <v>71</v>
      </c>
      <c r="E81" s="79">
        <f>IF($C$82&lt;200000,C81*0.18,C81*0.15)</f>
        <v>17850</v>
      </c>
      <c r="G81" s="6"/>
    </row>
    <row r="82" spans="1:7">
      <c r="B82" s="83">
        <f>SUM(B76:B81)</f>
        <v>690693.64799999993</v>
      </c>
      <c r="C82" s="84">
        <f>SUM(C76:C81)</f>
        <v>379549.60769999999</v>
      </c>
      <c r="D82" s="83"/>
      <c r="E82" s="84">
        <f>SUM(E76:E81)</f>
        <v>56932.441155</v>
      </c>
      <c r="G82" s="6"/>
    </row>
    <row r="83" spans="1:7">
      <c r="D83" s="21"/>
      <c r="F83" s="6"/>
    </row>
    <row r="84" spans="1:7">
      <c r="F84" s="6"/>
    </row>
    <row r="85" spans="1:7">
      <c r="F85" s="6"/>
    </row>
    <row r="86" spans="1:7" ht="17" thickBot="1"/>
    <row r="87" spans="1:7">
      <c r="A87" s="109" t="s">
        <v>76</v>
      </c>
      <c r="B87" s="110"/>
      <c r="C87" s="110"/>
      <c r="D87" s="111"/>
    </row>
    <row r="88" spans="1:7">
      <c r="A88" s="112"/>
      <c r="B88" s="113"/>
      <c r="C88" s="113"/>
      <c r="D88" s="114"/>
    </row>
    <row r="89" spans="1:7" ht="17" thickBot="1">
      <c r="A89" s="115"/>
      <c r="B89" s="116"/>
      <c r="C89" s="116"/>
      <c r="D89" s="117"/>
    </row>
  </sheetData>
  <mergeCells count="1">
    <mergeCell ref="A87:D89"/>
  </mergeCells>
  <conditionalFormatting sqref="D50:D55">
    <cfRule type="cellIs" dxfId="3" priority="2" operator="greaterThan">
      <formula>0</formula>
    </cfRule>
  </conditionalFormatting>
  <conditionalFormatting sqref="E58:E60">
    <cfRule type="cellIs" dxfId="2" priority="4" operator="greaterThan">
      <formula>5000</formula>
    </cfRule>
  </conditionalFormatting>
  <conditionalFormatting sqref="E60:E63">
    <cfRule type="cellIs" dxfId="1" priority="3" operator="greaterThan">
      <formula>7000</formula>
    </cfRule>
  </conditionalFormatting>
  <conditionalFormatting sqref="E50:F55">
    <cfRule type="cellIs" dxfId="0" priority="1" operator="lessThan">
      <formula>0</formula>
    </cfRule>
  </conditionalFormatting>
  <dataValidations disablePrompts="1" count="1">
    <dataValidation type="list" allowBlank="1" showInputMessage="1" showErrorMessage="1" sqref="E13:E15 B13:B15 B18 B21 B24" xr:uid="{F92E4E93-9F5E-C047-97DB-31395510A1A8}">
      <formula1>"Yes, No"</formula1>
    </dataValidation>
  </dataValidations>
  <hyperlinks>
    <hyperlink ref="H76" r:id="rId1" xr:uid="{3B05CDC1-082B-764C-80D0-C0A152824D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CALCULATOR</vt:lpstr>
      <vt:lpstr>Example 1</vt:lpstr>
      <vt:lpstr>Example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Lee</dc:creator>
  <cp:lastModifiedBy>Parker Lee</cp:lastModifiedBy>
  <dcterms:created xsi:type="dcterms:W3CDTF">2023-04-17T06:51:46Z</dcterms:created>
  <dcterms:modified xsi:type="dcterms:W3CDTF">2023-04-20T23:50:33Z</dcterms:modified>
</cp:coreProperties>
</file>