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@Teaching\Spring 15 simulations\Adiabatic Flash\"/>
    </mc:Choice>
  </mc:AlternateContent>
  <bookViews>
    <workbookView xWindow="0" yWindow="0" windowWidth="16392" windowHeight="5796" activeTab="1"/>
  </bookViews>
  <sheets>
    <sheet name="Computation" sheetId="1" r:id="rId1"/>
    <sheet name="Directions" sheetId="2" r:id="rId2"/>
  </sheets>
  <definedNames>
    <definedName name="a_e">Directions!$C$107</definedName>
    <definedName name="a_m">Directions!$B$107</definedName>
    <definedName name="b_e">Directions!$C$108</definedName>
    <definedName name="b_m">Directions!$B$108</definedName>
    <definedName name="c_e">Directions!$C$109</definedName>
    <definedName name="c_m">Directions!$B$109</definedName>
    <definedName name="CPLE">Directions!$B$102</definedName>
    <definedName name="CPLM">Directions!$C$102</definedName>
    <definedName name="CPVE">Directions!$B$103</definedName>
    <definedName name="CPVM">Directions!$C$103</definedName>
    <definedName name="Energy">Directions!$C$132</definedName>
    <definedName name="EthVLE">Directions!$C$130</definedName>
    <definedName name="FEE">Directions!$B$126</definedName>
    <definedName name="FeedE">Directions!$B$127</definedName>
    <definedName name="FeedM">Directions!$B$124</definedName>
    <definedName name="FeedT">Directions!$B$120</definedName>
    <definedName name="FME">Directions!$B$125</definedName>
    <definedName name="HOVE">Directions!$B$104</definedName>
    <definedName name="HOVM">Directions!$C$104</definedName>
    <definedName name="LEE">Directions!$F$126</definedName>
    <definedName name="LiquidE">Directions!$F$127</definedName>
    <definedName name="LiquidM">Directions!$F$124</definedName>
    <definedName name="LiquidT">Directions!$F$120</definedName>
    <definedName name="LME">Directions!$F$125</definedName>
    <definedName name="MethVLE">Directions!$C$131</definedName>
    <definedName name="MethVLE1">Directions!$C$130</definedName>
    <definedName name="pout">Directions!$J$121</definedName>
    <definedName name="psate">Directions!$J$125</definedName>
    <definedName name="psatm">Directions!$J$123</definedName>
    <definedName name="solver_adj" localSheetId="0" hidden="1">Computation!$L$10,Computation!$L$12,Computation!$L$14</definedName>
    <definedName name="solver_adj" localSheetId="1" hidden="1">Directions!$F$120,Directions!$F$122,Directions!$F$124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Computation!$I$22</definedName>
    <definedName name="solver_lhs1" localSheetId="1" hidden="1">Directions!$C$130</definedName>
    <definedName name="solver_lhs2" localSheetId="0" hidden="1">Computation!$K$20</definedName>
    <definedName name="solver_lhs2" localSheetId="1" hidden="1">Directions!$C$131</definedName>
    <definedName name="solver_lhs3" localSheetId="0" hidden="1">Computation!$K$21</definedName>
    <definedName name="solver_lhs3" localSheetId="1" hidden="1">Directions!$F$123</definedName>
    <definedName name="solver_lhs4" localSheetId="0" hidden="1">Computation!$L$12</definedName>
    <definedName name="solver_lhs4" localSheetId="1" hidden="1">Directions!$F$122</definedName>
    <definedName name="solver_lhs5" localSheetId="0" hidden="1">Computation!$L$13</definedName>
    <definedName name="solver_lhs5" localSheetId="1" hidden="1">Directions!$J$124</definedName>
    <definedName name="solver_lhs6" localSheetId="0" hidden="1">Computation!$Q$12</definedName>
    <definedName name="solver_lhs6" localSheetId="1" hidden="1">Directions!$J$122</definedName>
    <definedName name="solver_lhs7" localSheetId="0" hidden="1">Computation!$Q$13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Computation!$O$20</definedName>
    <definedName name="solver_opt" localSheetId="1" hidden="1">Directions!$C$132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hs1" localSheetId="0" hidden="1">2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hs3" localSheetId="0" hidden="1">0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hs5" localSheetId="0" hidden="1">0</definedName>
    <definedName name="solver_rhs5" localSheetId="1" hidden="1">0</definedName>
    <definedName name="solver_rhs6" localSheetId="0" hidden="1">0</definedName>
    <definedName name="solver_rhs6" localSheetId="1" hidden="1">0</definedName>
    <definedName name="solver_rhs7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ST">Directions!$F$114</definedName>
    <definedName name="VaporE">Directions!$J$129</definedName>
    <definedName name="VaporM">Directions!$J$126</definedName>
    <definedName name="VaporT">Directions!$J$120</definedName>
    <definedName name="VEE">Directions!$J$128</definedName>
    <definedName name="VME">Directions!$J$127</definedName>
    <definedName name="Xe">Directions!$F$123</definedName>
    <definedName name="Xm">Directions!$F$122</definedName>
    <definedName name="Ye">Directions!$J$124</definedName>
    <definedName name="Ym">Directions!$J$122</definedName>
    <definedName name="Ze">Directions!$B$123</definedName>
    <definedName name="Zm">Directions!$B$122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1" i="2" l="1"/>
  <c r="Q11" i="1" l="1"/>
  <c r="F125" i="2" l="1"/>
  <c r="Q12" i="1"/>
  <c r="B123" i="2"/>
  <c r="B126" i="2" s="1"/>
  <c r="J126" i="2"/>
  <c r="J122" i="2" s="1"/>
  <c r="J124" i="2" s="1"/>
  <c r="F123" i="2"/>
  <c r="J120" i="2"/>
  <c r="B125" i="2"/>
  <c r="B127" i="2" s="1"/>
  <c r="B120" i="2"/>
  <c r="H21" i="1"/>
  <c r="H20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B10" i="2"/>
  <c r="L13" i="1"/>
  <c r="L15" i="1"/>
  <c r="F16" i="1"/>
  <c r="F15" i="1"/>
  <c r="Q14" i="1"/>
  <c r="J128" i="2" l="1"/>
  <c r="J127" i="2"/>
  <c r="F126" i="2"/>
  <c r="F127" i="2" s="1"/>
  <c r="J123" i="2"/>
  <c r="C131" i="2" s="1"/>
  <c r="J125" i="2"/>
  <c r="C130" i="2" s="1"/>
  <c r="L16" i="1"/>
  <c r="M16" i="1" s="1"/>
  <c r="F10" i="1"/>
  <c r="Q10" i="1"/>
  <c r="G15" i="1"/>
  <c r="M15" i="1"/>
  <c r="G1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J129" i="2" l="1"/>
  <c r="C132" i="2" s="1"/>
  <c r="I20" i="1"/>
  <c r="I21" i="1"/>
  <c r="M17" i="1"/>
  <c r="G17" i="1"/>
  <c r="Q13" i="1" l="1"/>
  <c r="J20" i="1"/>
  <c r="K20" i="1" s="1"/>
  <c r="I22" i="1"/>
  <c r="Q15" i="1"/>
  <c r="R15" i="1" s="1"/>
  <c r="Q16" i="1" l="1"/>
  <c r="R16" i="1" s="1"/>
  <c r="J21" i="1"/>
  <c r="K21" i="1" s="1"/>
  <c r="R17" i="1" l="1"/>
  <c r="O20" i="1" s="1"/>
</calcChain>
</file>

<file path=xl/sharedStrings.xml><?xml version="1.0" encoding="utf-8"?>
<sst xmlns="http://schemas.openxmlformats.org/spreadsheetml/2006/main" count="422" uniqueCount="217">
  <si>
    <t>Methanol</t>
  </si>
  <si>
    <t>Ethanol</t>
  </si>
  <si>
    <t>Antoine's</t>
  </si>
  <si>
    <t>B</t>
  </si>
  <si>
    <t xml:space="preserve">A </t>
  </si>
  <si>
    <t xml:space="preserve">C </t>
  </si>
  <si>
    <t>Liquid HC</t>
  </si>
  <si>
    <t>A</t>
  </si>
  <si>
    <t>C</t>
  </si>
  <si>
    <t>D</t>
  </si>
  <si>
    <t>Data</t>
  </si>
  <si>
    <t>Feed</t>
  </si>
  <si>
    <t>T</t>
  </si>
  <si>
    <t>P</t>
  </si>
  <si>
    <t>Me mol fraction</t>
  </si>
  <si>
    <t>Eth mol fraction</t>
  </si>
  <si>
    <t>Property</t>
  </si>
  <si>
    <t>Standard State</t>
  </si>
  <si>
    <t>Unit</t>
  </si>
  <si>
    <t xml:space="preserve">P </t>
  </si>
  <si>
    <t>K</t>
  </si>
  <si>
    <t>bar</t>
  </si>
  <si>
    <t>Cp L Meth</t>
  </si>
  <si>
    <t>Cp V Meth</t>
  </si>
  <si>
    <t xml:space="preserve">Cp L Eth </t>
  </si>
  <si>
    <t>Cp V Eth</t>
  </si>
  <si>
    <t>How to decide what heat capcaity to use for constant?</t>
  </si>
  <si>
    <t>Basis (mol)</t>
  </si>
  <si>
    <t>Me moles</t>
  </si>
  <si>
    <t>Eth moles</t>
  </si>
  <si>
    <t>1) Set Up Feed Data</t>
  </si>
  <si>
    <t>State</t>
  </si>
  <si>
    <t>Liquid</t>
  </si>
  <si>
    <t>Energy</t>
  </si>
  <si>
    <t>J</t>
  </si>
  <si>
    <t>Total</t>
  </si>
  <si>
    <t>Exit Liquid</t>
  </si>
  <si>
    <t>Exit Vapor</t>
  </si>
  <si>
    <t>3)Set up exit liquid</t>
  </si>
  <si>
    <t>4) Set up exit vapor</t>
  </si>
  <si>
    <t>7) total moles add to 1</t>
  </si>
  <si>
    <t>5) mole fracs add to 1</t>
  </si>
  <si>
    <t>6) mole fracs add to 1</t>
  </si>
  <si>
    <t>8) Exit pressure is set to 2 bar</t>
  </si>
  <si>
    <t>P meth</t>
  </si>
  <si>
    <t>P eth</t>
  </si>
  <si>
    <t>Xme*Psat</t>
  </si>
  <si>
    <t>Xeth*Psat</t>
  </si>
  <si>
    <t>P = Psat,me + Psat,eth</t>
  </si>
  <si>
    <t>Psat Eth</t>
  </si>
  <si>
    <t>Psat Me</t>
  </si>
  <si>
    <t>X*Psat</t>
  </si>
  <si>
    <t>10) Want it to equal zero</t>
  </si>
  <si>
    <t>Moles</t>
  </si>
  <si>
    <t>Yi*P</t>
  </si>
  <si>
    <t>X*Psat-Yi*P = 0</t>
  </si>
  <si>
    <t xml:space="preserve">Problem Statement: </t>
  </si>
  <si>
    <t>A mixture of 30 % Methanol and 70% Ethanol is fed to an adiabatic flash drum.</t>
  </si>
  <si>
    <t>Xm</t>
  </si>
  <si>
    <t>Xe</t>
  </si>
  <si>
    <t>Zm</t>
  </si>
  <si>
    <t>Ze</t>
  </si>
  <si>
    <t>Feed Data</t>
  </si>
  <si>
    <t>Values</t>
  </si>
  <si>
    <t>Units</t>
  </si>
  <si>
    <t>Flash Drum</t>
  </si>
  <si>
    <t>Vapor Data</t>
  </si>
  <si>
    <t>Ym</t>
  </si>
  <si>
    <t>Ye</t>
  </si>
  <si>
    <t>Liquid Data</t>
  </si>
  <si>
    <t>??</t>
  </si>
  <si>
    <t>1) Set up initial diagram:</t>
  </si>
  <si>
    <t>T-vapor</t>
  </si>
  <si>
    <t>T-liquid</t>
  </si>
  <si>
    <t>Vapor</t>
  </si>
  <si>
    <t>Vapor Moles</t>
  </si>
  <si>
    <t>Liquid Moles</t>
  </si>
  <si>
    <t>Feed Moles</t>
  </si>
  <si>
    <t xml:space="preserve">Set a basis 1 mole entering the flash drum </t>
  </si>
  <si>
    <t>3) Identify Unknowns:</t>
  </si>
  <si>
    <t>4) Equations:</t>
  </si>
  <si>
    <t>Feed moles</t>
  </si>
  <si>
    <t>Liquid moles</t>
  </si>
  <si>
    <t>streams leave at 2 bar pressure in VLE. What is the temperature, composition,</t>
  </si>
  <si>
    <t>and moles out of the exiting streams?</t>
  </si>
  <si>
    <t>2) Assumptions</t>
  </si>
  <si>
    <t>No heat of mixing</t>
  </si>
  <si>
    <t>Ideal VLE</t>
  </si>
  <si>
    <t>Mass in = Mass out</t>
  </si>
  <si>
    <t>Moles Feed = Moles Vapor + Moles Lquid</t>
  </si>
  <si>
    <t>Moles Ethanol in Feed = Moles Ethanol in Vapor + Moles Ethanol in Liquid</t>
  </si>
  <si>
    <t>Enthalpy of feed = Enthalpy of liquid + Enthalpy of vapor</t>
  </si>
  <si>
    <t>T-vapor = T-liquid</t>
  </si>
  <si>
    <t>Temperature leaving is the same (equilibrium)</t>
  </si>
  <si>
    <t>Raoult's Law on both componenets</t>
  </si>
  <si>
    <t>Xe*Psat(ethanol) = Ye*P</t>
  </si>
  <si>
    <t>Xm*Psat(methanol) = Ym*P</t>
  </si>
  <si>
    <t>Mole fractions add to 1</t>
  </si>
  <si>
    <t>Xe + Xm = 1</t>
  </si>
  <si>
    <t>Ye + Ym = 1</t>
  </si>
  <si>
    <t>equations</t>
  </si>
  <si>
    <t>5) Intermediate Steps</t>
  </si>
  <si>
    <t>Feed Methanol E</t>
  </si>
  <si>
    <t>Feed Ethanol E</t>
  </si>
  <si>
    <t>Vapor Methanol E</t>
  </si>
  <si>
    <t>Vapor Ethanol E</t>
  </si>
  <si>
    <t>Liquid Methanol E</t>
  </si>
  <si>
    <t>Liquid Ethanol E</t>
  </si>
  <si>
    <t>Total Liquid E</t>
  </si>
  <si>
    <t>Total Vapor E</t>
  </si>
  <si>
    <t>Total Feed E</t>
  </si>
  <si>
    <t>Meth Feed E + Eth Feed E</t>
  </si>
  <si>
    <t>Meth Liquid E + Eth Liquid E</t>
  </si>
  <si>
    <t>Vapor Methanol E + Vapor Ethano E</t>
  </si>
  <si>
    <t>Total E</t>
  </si>
  <si>
    <t>Energy balances (Set standard state to 298 K, 1 bar, Liquid)</t>
  </si>
  <si>
    <t>Psat m</t>
  </si>
  <si>
    <t>Psat e</t>
  </si>
  <si>
    <t>Psat e using Antoine's</t>
  </si>
  <si>
    <t>Psat m using Anointe's</t>
  </si>
  <si>
    <t>Feed Methanol E = CP(methanol,liquid)*Zm*Feed Moles*(T-Feed - T standarad state)</t>
  </si>
  <si>
    <t>Feed Methanol E = CP(ethanol,liquid)*Ze*Feed Moles*(T-Feed - T standarad state)</t>
  </si>
  <si>
    <t>Feed energy = Feed Methanol E + Feed Ethanol E</t>
  </si>
  <si>
    <t>Liquid Methanol E = CP(methanol,liquid)*Xm*Liquid Moles*(T-liquid - T standarad state)</t>
  </si>
  <si>
    <t>Liquid Methanol E = CP(ethanol,liquid)*Xe*Liquid Moles*(T-liquid - T standarad state)</t>
  </si>
  <si>
    <t>Liquid energy = Liquid Methanol E + Liquid Ethanol E</t>
  </si>
  <si>
    <t>Vapor energy = Vapor Methanol E + Vapor Ethanol E</t>
  </si>
  <si>
    <t>Finding CP values, using values in the back of the book</t>
  </si>
  <si>
    <t>Vapor HC</t>
  </si>
  <si>
    <t>Ethnaol</t>
  </si>
  <si>
    <t>Using the values in the back of the book</t>
  </si>
  <si>
    <t>The feed temperature is at 150 degrees celsius and 20 bar pressure. The exiting</t>
  </si>
  <si>
    <t>We know we are operating between 423 K and that we will be cooling the system as we flash</t>
  </si>
  <si>
    <t>Average</t>
  </si>
  <si>
    <t>Heat of Vaporization</t>
  </si>
  <si>
    <t>J/(K*mol)</t>
  </si>
  <si>
    <t>KJ/mol</t>
  </si>
  <si>
    <t>Antoine's Constants</t>
  </si>
  <si>
    <t>Note: T is in Celsius and P is in mmHg</t>
  </si>
  <si>
    <t>750.1 mmHg = 1 Bar</t>
  </si>
  <si>
    <t>6) Reset up the data tables with the equations integrated included</t>
  </si>
  <si>
    <t>Cell Names</t>
  </si>
  <si>
    <t>CPLE</t>
  </si>
  <si>
    <t>CPVE</t>
  </si>
  <si>
    <t>HOVE</t>
  </si>
  <si>
    <t>CPLM</t>
  </si>
  <si>
    <t>CPVM</t>
  </si>
  <si>
    <t>HOVM</t>
  </si>
  <si>
    <t>a_m</t>
  </si>
  <si>
    <t>b_m</t>
  </si>
  <si>
    <t>c_m</t>
  </si>
  <si>
    <t>a_e</t>
  </si>
  <si>
    <t>b_e</t>
  </si>
  <si>
    <t>c_e</t>
  </si>
  <si>
    <t>Phase</t>
  </si>
  <si>
    <t>Note</t>
  </si>
  <si>
    <t>Equation/Given</t>
  </si>
  <si>
    <t>Equation/Given/Guessed</t>
  </si>
  <si>
    <t>Number</t>
  </si>
  <si>
    <t>Given</t>
  </si>
  <si>
    <t>#1</t>
  </si>
  <si>
    <t>#6</t>
  </si>
  <si>
    <t>#7</t>
  </si>
  <si>
    <t>#8</t>
  </si>
  <si>
    <t>Guessed</t>
  </si>
  <si>
    <t>#4</t>
  </si>
  <si>
    <t>#9</t>
  </si>
  <si>
    <t>#10</t>
  </si>
  <si>
    <t>#11</t>
  </si>
  <si>
    <t>#16</t>
  </si>
  <si>
    <t>#3</t>
  </si>
  <si>
    <t>#17</t>
  </si>
  <si>
    <t>#18</t>
  </si>
  <si>
    <t>#5</t>
  </si>
  <si>
    <t>#2</t>
  </si>
  <si>
    <t>Vapor Methanol E = Heat of Vaporization*Ym*Vapor Moles + CP(methanol,vapor)*Ym*Vapor Moles*(T-vapor - T standarad state)</t>
  </si>
  <si>
    <t>Vapor Ethanol E = Heat of Vaporization*Ye*Vapor Moles + CP(ethanol,vapor)*Ye*Vapor Moles*(T-vapor - T standarad state)</t>
  </si>
  <si>
    <t>#12</t>
  </si>
  <si>
    <t>#13</t>
  </si>
  <si>
    <t>#14</t>
  </si>
  <si>
    <t>Additional Equations</t>
  </si>
  <si>
    <t>Methanol VLE</t>
  </si>
  <si>
    <t>Ethanol VLE</t>
  </si>
  <si>
    <t>Energy Balance</t>
  </si>
  <si>
    <t>#19</t>
  </si>
  <si>
    <t>#20</t>
  </si>
  <si>
    <t>#15</t>
  </si>
  <si>
    <t>Formula</t>
  </si>
  <si>
    <t>Xm*Psatm - Ym*P = 0, restraint equal to 0</t>
  </si>
  <si>
    <t>Xe*Psate - Ye*P = 0, restraint equal to 0</t>
  </si>
  <si>
    <t>Formulas Shown Below</t>
  </si>
  <si>
    <t>Feed E - Liquid E - Vapor E = 0, target cell in solver, set equal to zero (0 because it is adiabatic)</t>
  </si>
  <si>
    <t>mol</t>
  </si>
  <si>
    <t>Instructions</t>
  </si>
  <si>
    <t>Guess Values for T, less than 423</t>
  </si>
  <si>
    <t>Guess Xm, between 0 and 1</t>
  </si>
  <si>
    <t>Guess Liquid moles between 0 and 1</t>
  </si>
  <si>
    <t>Add all the formulas to the given Cells</t>
  </si>
  <si>
    <t>Then fill out the solver sheet as shown to the left</t>
  </si>
  <si>
    <t>Solve and make sure the constraints are in place</t>
  </si>
  <si>
    <t>Liquid HC- Heat capacity?</t>
  </si>
  <si>
    <t>HC J/K/mol ????</t>
  </si>
  <si>
    <t>Heat Vaporization kJ/mol</t>
  </si>
  <si>
    <t>2) Find Enthalpy in using standard state</t>
  </si>
  <si>
    <t>Enthalpy?</t>
  </si>
  <si>
    <t>9) Must equal 2 ??</t>
  </si>
  <si>
    <t>Ein - Eout =</t>
  </si>
  <si>
    <t>Change green values to satisfy equations</t>
  </si>
  <si>
    <t>Change outlet pressure but answer does not change?</t>
  </si>
  <si>
    <t>The yellow highlighted cells are guess input values</t>
  </si>
  <si>
    <t>The blue highlighted cells are parameters that can be changed</t>
  </si>
  <si>
    <t>The highlighted green are calculated values</t>
  </si>
  <si>
    <t>Liquid in---------&gt;</t>
  </si>
  <si>
    <r>
      <rPr>
        <b/>
        <sz val="14"/>
        <color theme="1"/>
        <rFont val="Calibri"/>
        <family val="2"/>
        <scheme val="minor"/>
      </rPr>
      <t xml:space="preserve">Vapor out </t>
    </r>
    <r>
      <rPr>
        <b/>
        <sz val="18"/>
        <color theme="1"/>
        <rFont val="Calibri"/>
        <family val="2"/>
        <scheme val="minor"/>
      </rPr>
      <t>----&gt;</t>
    </r>
  </si>
  <si>
    <r>
      <rPr>
        <b/>
        <sz val="14"/>
        <color theme="1"/>
        <rFont val="Calibri"/>
        <family val="2"/>
        <scheme val="minor"/>
      </rPr>
      <t>Liquid out</t>
    </r>
    <r>
      <rPr>
        <b/>
        <sz val="18"/>
        <color theme="1"/>
        <rFont val="Calibri"/>
        <family val="2"/>
        <scheme val="minor"/>
      </rPr>
      <t>----&gt;</t>
    </r>
  </si>
  <si>
    <t>Outlet liquid</t>
  </si>
  <si>
    <t>Outlet 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</si>
</sst>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right"/>
    </xf>
    <xf numFmtId="0" fontId="1" fillId="0" borderId="0" xfId="0" applyFont="1"/>
    <xf numFmtId="166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1" fillId="2" borderId="0" xfId="0" applyFont="1" applyFill="1"/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3" borderId="11" xfId="0" applyFont="1" applyFill="1" applyBorder="1"/>
    <xf numFmtId="0" fontId="0" fillId="3" borderId="13" xfId="0" applyFill="1" applyBorder="1"/>
    <xf numFmtId="165" fontId="0" fillId="4" borderId="10" xfId="0" applyNumberForma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left"/>
    </xf>
    <xf numFmtId="2" fontId="0" fillId="4" borderId="10" xfId="0" applyNumberFormat="1" applyFill="1" applyBorder="1" applyAlignment="1">
      <alignment horizontal="left"/>
    </xf>
    <xf numFmtId="2" fontId="0" fillId="5" borderId="0" xfId="0" applyNumberFormat="1" applyFill="1" applyAlignment="1">
      <alignment horizontal="left"/>
    </xf>
    <xf numFmtId="0" fontId="1" fillId="4" borderId="0" xfId="0" applyFont="1" applyFill="1"/>
    <xf numFmtId="0" fontId="0" fillId="4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6" borderId="0" xfId="0" applyFill="1"/>
    <xf numFmtId="2" fontId="3" fillId="6" borderId="0" xfId="0" applyNumberFormat="1" applyFont="1" applyFill="1"/>
    <xf numFmtId="0" fontId="3" fillId="6" borderId="0" xfId="0" applyFont="1" applyFill="1"/>
    <xf numFmtId="0" fontId="3" fillId="0" borderId="0" xfId="0" applyFont="1"/>
    <xf numFmtId="2" fontId="3" fillId="6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9" xfId="0" applyFont="1" applyBorder="1"/>
    <xf numFmtId="0" fontId="4" fillId="0" borderId="0" xfId="0" applyFont="1"/>
    <xf numFmtId="2" fontId="2" fillId="4" borderId="0" xfId="0" applyNumberFormat="1" applyFont="1" applyFill="1"/>
    <xf numFmtId="0" fontId="0" fillId="3" borderId="0" xfId="0" applyFill="1"/>
    <xf numFmtId="164" fontId="3" fillId="4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4" fontId="3" fillId="4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3" fillId="7" borderId="0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6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7</xdr:col>
      <xdr:colOff>329374</xdr:colOff>
      <xdr:row>45</xdr:row>
      <xdr:rowOff>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96543"/>
          <a:ext cx="6609524" cy="3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156</xdr:row>
      <xdr:rowOff>0</xdr:rowOff>
    </xdr:from>
    <xdr:to>
      <xdr:col>14</xdr:col>
      <xdr:colOff>608330</xdr:colOff>
      <xdr:row>174</xdr:row>
      <xdr:rowOff>45720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59760"/>
          <a:ext cx="18531840" cy="3337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4</xdr:col>
      <xdr:colOff>804966</xdr:colOff>
      <xdr:row>153</xdr:row>
      <xdr:rowOff>94781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353520"/>
          <a:ext cx="6790476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6" zoomScale="80" zoomScaleNormal="80" workbookViewId="0">
      <selection activeCell="Q13" sqref="Q13"/>
    </sheetView>
  </sheetViews>
  <sheetFormatPr defaultRowHeight="14.4" x14ac:dyDescent="0.3"/>
  <cols>
    <col min="1" max="1" width="24.21875" bestFit="1" customWidth="1"/>
    <col min="2" max="3" width="10.33203125" bestFit="1" customWidth="1"/>
    <col min="4" max="4" width="9.44140625" bestFit="1" customWidth="1"/>
    <col min="5" max="5" width="15.5546875" bestFit="1" customWidth="1"/>
    <col min="6" max="6" width="13.109375" customWidth="1"/>
    <col min="7" max="7" width="8.44140625" customWidth="1"/>
    <col min="8" max="8" width="8.77734375" customWidth="1"/>
    <col min="10" max="10" width="9.6640625" bestFit="1" customWidth="1"/>
    <col min="11" max="11" width="10.88671875" customWidth="1"/>
    <col min="12" max="12" width="10.5546875" bestFit="1" customWidth="1"/>
    <col min="13" max="13" width="7.33203125" customWidth="1"/>
    <col min="14" max="14" width="9.21875" customWidth="1"/>
    <col min="15" max="15" width="11.109375" customWidth="1"/>
    <col min="16" max="16" width="12.44140625" customWidth="1"/>
    <col min="17" max="17" width="10.5546875" bestFit="1" customWidth="1"/>
    <col min="18" max="18" width="9.77734375" bestFit="1" customWidth="1"/>
    <col min="19" max="19" width="9" bestFit="1" customWidth="1"/>
    <col min="20" max="20" width="8.5546875" bestFit="1" customWidth="1"/>
    <col min="22" max="22" width="4.5546875" bestFit="1" customWidth="1"/>
    <col min="23" max="23" width="9.6640625" bestFit="1" customWidth="1"/>
    <col min="24" max="24" width="9.77734375" bestFit="1" customWidth="1"/>
    <col min="25" max="25" width="9" bestFit="1" customWidth="1"/>
    <col min="26" max="26" width="8.5546875" bestFit="1" customWidth="1"/>
  </cols>
  <sheetData>
    <row r="1" spans="1:28" x14ac:dyDescent="0.3">
      <c r="A1" s="10" t="s">
        <v>10</v>
      </c>
      <c r="E1" s="12" t="s">
        <v>16</v>
      </c>
      <c r="F1" s="10" t="s">
        <v>17</v>
      </c>
      <c r="G1" s="10" t="s">
        <v>18</v>
      </c>
      <c r="V1" t="s">
        <v>12</v>
      </c>
      <c r="W1" t="s">
        <v>22</v>
      </c>
      <c r="X1" t="s">
        <v>23</v>
      </c>
      <c r="Y1" t="s">
        <v>24</v>
      </c>
      <c r="Z1" t="s">
        <v>25</v>
      </c>
      <c r="AB1" t="s">
        <v>26</v>
      </c>
    </row>
    <row r="2" spans="1:28" x14ac:dyDescent="0.3">
      <c r="A2" t="s">
        <v>2</v>
      </c>
      <c r="B2" s="5" t="s">
        <v>0</v>
      </c>
      <c r="C2" s="5" t="s">
        <v>1</v>
      </c>
      <c r="E2" s="5" t="s">
        <v>12</v>
      </c>
      <c r="F2">
        <v>298</v>
      </c>
      <c r="G2" t="s">
        <v>20</v>
      </c>
      <c r="V2">
        <v>200</v>
      </c>
      <c r="W2" s="29">
        <f>$B$8+$B$9*V2+$B$10*V2^2</f>
        <v>70.02000000000001</v>
      </c>
      <c r="X2" s="29">
        <f>$B$13+$B$14*V2+$B$15*V2^2+$B$16*V2^3</f>
        <v>36.140639999999991</v>
      </c>
      <c r="Y2" s="29">
        <f>$C$8+$C$9*V2+$C$10*V2^2</f>
        <v>110.72000000000003</v>
      </c>
      <c r="Z2" s="29">
        <f>$C$13+$C$14*V2+$C$15*V2^2+$C$16*V2^3</f>
        <v>48.488984000000002</v>
      </c>
    </row>
    <row r="3" spans="1:28" x14ac:dyDescent="0.3">
      <c r="A3" t="s">
        <v>4</v>
      </c>
      <c r="B3" s="2">
        <v>8.0809700000000007</v>
      </c>
      <c r="C3" s="2">
        <v>8.1121999999999996</v>
      </c>
      <c r="E3" s="5" t="s">
        <v>19</v>
      </c>
      <c r="F3">
        <v>1</v>
      </c>
      <c r="G3" t="s">
        <v>21</v>
      </c>
      <c r="V3">
        <v>210</v>
      </c>
      <c r="W3" s="29">
        <f t="shared" ref="W3:W22" si="0">$B$8+$B$9*V3+$B$10*V3^2</f>
        <v>70.225000000000009</v>
      </c>
      <c r="X3" s="29">
        <f t="shared" ref="X3:X22" si="1">$B$13+$B$14*V3+$B$15*V3^2+$B$16*V3^3</f>
        <v>36.919943279999998</v>
      </c>
      <c r="Y3" s="29">
        <f t="shared" ref="Y3:Y22" si="2">$C$8+$C$9*V3+$C$10*V3^2</f>
        <v>108.2723</v>
      </c>
      <c r="Z3" s="29">
        <f t="shared" ref="Z3:Z22" si="3">$C$13+$C$14*V3+$C$15*V3^2+$C$16*V3^3</f>
        <v>50.287725353000006</v>
      </c>
    </row>
    <row r="4" spans="1:28" x14ac:dyDescent="0.3">
      <c r="A4" t="s">
        <v>3</v>
      </c>
      <c r="B4" s="3">
        <v>1582.271</v>
      </c>
      <c r="C4" s="3">
        <v>1592.864</v>
      </c>
      <c r="V4">
        <v>220</v>
      </c>
      <c r="W4" s="29">
        <f t="shared" si="0"/>
        <v>70.647999999999996</v>
      </c>
      <c r="X4" s="29">
        <f t="shared" si="1"/>
        <v>37.700827039999993</v>
      </c>
      <c r="Y4" s="29">
        <f t="shared" si="2"/>
        <v>106.40520000000004</v>
      </c>
      <c r="Z4" s="29">
        <f t="shared" si="3"/>
        <v>52.069859703999995</v>
      </c>
    </row>
    <row r="5" spans="1:28" x14ac:dyDescent="0.3">
      <c r="A5" t="s">
        <v>5</v>
      </c>
      <c r="B5" s="3">
        <v>239.726</v>
      </c>
      <c r="C5" s="3">
        <v>226.184</v>
      </c>
      <c r="V5">
        <v>230</v>
      </c>
      <c r="W5" s="29">
        <f t="shared" si="0"/>
        <v>71.289000000000001</v>
      </c>
      <c r="X5" s="29">
        <f t="shared" si="1"/>
        <v>38.483120159999999</v>
      </c>
      <c r="Y5" s="29">
        <f t="shared" si="2"/>
        <v>105.11870000000002</v>
      </c>
      <c r="Z5" s="29">
        <f t="shared" si="3"/>
        <v>53.835395291000005</v>
      </c>
    </row>
    <row r="6" spans="1:28" x14ac:dyDescent="0.3">
      <c r="E6" t="s">
        <v>30</v>
      </c>
      <c r="G6" t="s">
        <v>203</v>
      </c>
      <c r="K6" t="s">
        <v>38</v>
      </c>
      <c r="P6" t="s">
        <v>39</v>
      </c>
      <c r="V6">
        <v>240</v>
      </c>
      <c r="W6" s="29">
        <f t="shared" si="0"/>
        <v>72.147999999999996</v>
      </c>
      <c r="X6" s="29">
        <f t="shared" si="1"/>
        <v>39.266651520000003</v>
      </c>
      <c r="Y6" s="29">
        <f t="shared" si="2"/>
        <v>104.4128</v>
      </c>
      <c r="Z6" s="29">
        <f t="shared" si="3"/>
        <v>55.584340351999998</v>
      </c>
    </row>
    <row r="7" spans="1:28" ht="15" thickBot="1" x14ac:dyDescent="0.35">
      <c r="A7" s="8" t="s">
        <v>200</v>
      </c>
      <c r="B7" s="5" t="s">
        <v>0</v>
      </c>
      <c r="C7" s="5" t="s">
        <v>1</v>
      </c>
      <c r="K7" s="33" t="s">
        <v>207</v>
      </c>
      <c r="L7" s="34"/>
      <c r="M7" s="34"/>
      <c r="V7">
        <v>250</v>
      </c>
      <c r="W7" s="29">
        <f t="shared" si="0"/>
        <v>73.225000000000009</v>
      </c>
      <c r="X7" s="29">
        <f t="shared" si="1"/>
        <v>40.051249999999996</v>
      </c>
      <c r="Y7" s="29">
        <f t="shared" si="2"/>
        <v>104.28750000000002</v>
      </c>
      <c r="Z7" s="29">
        <f t="shared" si="3"/>
        <v>57.316703125000004</v>
      </c>
    </row>
    <row r="8" spans="1:28" x14ac:dyDescent="0.3">
      <c r="A8" t="s">
        <v>7</v>
      </c>
      <c r="B8" s="3">
        <v>111.7</v>
      </c>
      <c r="C8" s="3">
        <v>281.60000000000002</v>
      </c>
      <c r="F8" s="19" t="s">
        <v>11</v>
      </c>
      <c r="G8" s="15" t="s">
        <v>204</v>
      </c>
      <c r="L8" s="10" t="s">
        <v>36</v>
      </c>
      <c r="M8" t="s">
        <v>33</v>
      </c>
      <c r="Q8" s="10" t="s">
        <v>37</v>
      </c>
      <c r="R8" t="s">
        <v>33</v>
      </c>
      <c r="V8">
        <v>260</v>
      </c>
      <c r="W8" s="29">
        <f t="shared" si="0"/>
        <v>74.52</v>
      </c>
      <c r="X8" s="29">
        <f t="shared" si="1"/>
        <v>40.83674448</v>
      </c>
      <c r="Y8" s="29">
        <f t="shared" si="2"/>
        <v>104.74280000000002</v>
      </c>
      <c r="Z8" s="29">
        <f t="shared" si="3"/>
        <v>59.032491848000014</v>
      </c>
    </row>
    <row r="9" spans="1:28" ht="15" thickBot="1" x14ac:dyDescent="0.35">
      <c r="A9" t="s">
        <v>3</v>
      </c>
      <c r="B9" s="25">
        <v>-0.4264</v>
      </c>
      <c r="C9" s="2">
        <v>-1.4350000000000001</v>
      </c>
      <c r="E9" t="s">
        <v>31</v>
      </c>
      <c r="F9" s="20" t="s">
        <v>32</v>
      </c>
      <c r="K9" t="s">
        <v>31</v>
      </c>
      <c r="L9" t="s">
        <v>32</v>
      </c>
      <c r="P9" t="s">
        <v>31</v>
      </c>
      <c r="Q9" s="8" t="s">
        <v>74</v>
      </c>
      <c r="V9">
        <v>270</v>
      </c>
      <c r="W9" s="29">
        <f t="shared" si="0"/>
        <v>76.033000000000001</v>
      </c>
      <c r="X9" s="29">
        <f t="shared" si="1"/>
        <v>41.622963839999997</v>
      </c>
      <c r="Y9" s="29">
        <f t="shared" si="2"/>
        <v>105.77870000000004</v>
      </c>
      <c r="Z9" s="29">
        <f t="shared" si="3"/>
        <v>60.731714758999999</v>
      </c>
    </row>
    <row r="10" spans="1:28" ht="15" thickBot="1" x14ac:dyDescent="0.35">
      <c r="A10" t="s">
        <v>8</v>
      </c>
      <c r="B10" s="25">
        <v>1.09E-3</v>
      </c>
      <c r="C10" s="25">
        <v>2.9030000000000002E-3</v>
      </c>
      <c r="E10" t="s">
        <v>12</v>
      </c>
      <c r="F10" s="16">
        <f>150+273</f>
        <v>423</v>
      </c>
      <c r="K10" s="5" t="s">
        <v>12</v>
      </c>
      <c r="L10" s="21">
        <v>370</v>
      </c>
      <c r="P10" s="5" t="s">
        <v>12</v>
      </c>
      <c r="Q10" s="24">
        <f>L10</f>
        <v>370</v>
      </c>
      <c r="V10">
        <v>280</v>
      </c>
      <c r="W10" s="29">
        <f t="shared" si="0"/>
        <v>77.76400000000001</v>
      </c>
      <c r="X10" s="29">
        <f t="shared" si="1"/>
        <v>42.409736959999996</v>
      </c>
      <c r="Y10" s="29">
        <f t="shared" si="2"/>
        <v>107.39520000000002</v>
      </c>
      <c r="Z10" s="29">
        <f t="shared" si="3"/>
        <v>62.414380096000002</v>
      </c>
    </row>
    <row r="11" spans="1:28" ht="15" thickBot="1" x14ac:dyDescent="0.35">
      <c r="A11" s="8" t="s">
        <v>201</v>
      </c>
      <c r="B11">
        <v>80</v>
      </c>
      <c r="C11">
        <v>110</v>
      </c>
      <c r="E11" t="s">
        <v>13</v>
      </c>
      <c r="F11" s="17">
        <v>20</v>
      </c>
      <c r="K11" s="5" t="s">
        <v>13</v>
      </c>
      <c r="L11" s="22">
        <v>2</v>
      </c>
      <c r="P11" s="5" t="s">
        <v>13</v>
      </c>
      <c r="Q11" s="23">
        <f>L11</f>
        <v>2</v>
      </c>
      <c r="V11">
        <v>290</v>
      </c>
      <c r="W11" s="29">
        <f t="shared" si="0"/>
        <v>79.712999999999994</v>
      </c>
      <c r="X11" s="29">
        <f t="shared" si="1"/>
        <v>43.196892719999994</v>
      </c>
      <c r="Y11" s="29">
        <f t="shared" si="2"/>
        <v>109.59229999999999</v>
      </c>
      <c r="Z11" s="29">
        <f t="shared" si="3"/>
        <v>64.080496097000008</v>
      </c>
    </row>
    <row r="12" spans="1:28" ht="15" thickBot="1" x14ac:dyDescent="0.35">
      <c r="A12" s="14" t="s">
        <v>202</v>
      </c>
      <c r="B12">
        <v>35.299999999999997</v>
      </c>
      <c r="C12">
        <v>38.6</v>
      </c>
      <c r="E12" t="s">
        <v>14</v>
      </c>
      <c r="F12" s="17">
        <v>0.3</v>
      </c>
      <c r="K12" s="5" t="s">
        <v>14</v>
      </c>
      <c r="L12" s="31">
        <v>0.28424456133464782</v>
      </c>
      <c r="P12" s="5" t="s">
        <v>14</v>
      </c>
      <c r="Q12" s="32">
        <f>(F15-L15)/Q14</f>
        <v>0.38543174924967144</v>
      </c>
      <c r="V12">
        <v>300</v>
      </c>
      <c r="W12" s="29">
        <f t="shared" si="0"/>
        <v>81.88000000000001</v>
      </c>
      <c r="X12" s="29">
        <f t="shared" si="1"/>
        <v>43.984259999999999</v>
      </c>
      <c r="Y12" s="29">
        <f t="shared" si="2"/>
        <v>112.37000000000006</v>
      </c>
      <c r="Z12" s="29">
        <f t="shared" si="3"/>
        <v>65.730070999999995</v>
      </c>
    </row>
    <row r="13" spans="1:28" ht="15" thickBot="1" x14ac:dyDescent="0.35">
      <c r="A13" t="s">
        <v>7</v>
      </c>
      <c r="B13">
        <v>21.15</v>
      </c>
      <c r="C13" s="2">
        <v>9.0139999999999993</v>
      </c>
      <c r="E13" t="s">
        <v>15</v>
      </c>
      <c r="F13" s="18">
        <v>0.7</v>
      </c>
      <c r="K13" s="5" t="s">
        <v>15</v>
      </c>
      <c r="L13" s="30">
        <f>1-L12</f>
        <v>0.71575543866535218</v>
      </c>
      <c r="M13" t="s">
        <v>41</v>
      </c>
      <c r="P13" s="5" t="s">
        <v>15</v>
      </c>
      <c r="Q13" s="32">
        <f>1-Q12</f>
        <v>0.6145682507503285</v>
      </c>
      <c r="R13" t="s">
        <v>42</v>
      </c>
      <c r="V13">
        <v>310</v>
      </c>
      <c r="W13" s="29">
        <f t="shared" si="0"/>
        <v>84.265000000000015</v>
      </c>
      <c r="X13" s="29">
        <f t="shared" si="1"/>
        <v>44.771667679999993</v>
      </c>
      <c r="Y13" s="29">
        <f t="shared" si="2"/>
        <v>115.72830000000005</v>
      </c>
      <c r="Z13" s="29">
        <f t="shared" si="3"/>
        <v>67.363113042999998</v>
      </c>
    </row>
    <row r="14" spans="1:28" ht="15" thickBot="1" x14ac:dyDescent="0.35">
      <c r="A14" t="s">
        <v>3</v>
      </c>
      <c r="B14" s="11">
        <v>7.0919999999999997E-2</v>
      </c>
      <c r="C14" s="6">
        <v>0.21410000000000001</v>
      </c>
      <c r="E14" t="s">
        <v>27</v>
      </c>
      <c r="F14" s="13">
        <v>1</v>
      </c>
      <c r="K14" s="5" t="s">
        <v>53</v>
      </c>
      <c r="L14" s="31">
        <v>0.84429413456391844</v>
      </c>
      <c r="P14" s="5" t="s">
        <v>53</v>
      </c>
      <c r="Q14" s="32">
        <f>F14-L14</f>
        <v>0.15570586543608156</v>
      </c>
      <c r="R14" t="s">
        <v>40</v>
      </c>
      <c r="V14">
        <v>320</v>
      </c>
      <c r="W14" s="29">
        <f t="shared" si="0"/>
        <v>86.867999999999995</v>
      </c>
      <c r="X14" s="29">
        <f t="shared" si="1"/>
        <v>45.558944639999993</v>
      </c>
      <c r="Y14" s="29">
        <f t="shared" si="2"/>
        <v>119.66719999999998</v>
      </c>
      <c r="Z14" s="29">
        <f t="shared" si="3"/>
        <v>68.979630463999996</v>
      </c>
    </row>
    <row r="15" spans="1:28" x14ac:dyDescent="0.3">
      <c r="A15" t="s">
        <v>8</v>
      </c>
      <c r="B15" s="25">
        <v>2.5870000000000001E-5</v>
      </c>
      <c r="C15" s="25">
        <v>-8.3900000000000006E-5</v>
      </c>
      <c r="E15" t="s">
        <v>28</v>
      </c>
      <c r="F15" s="13">
        <f>F12*F14</f>
        <v>0.3</v>
      </c>
      <c r="G15">
        <f>F15*(F10-F2)*B11</f>
        <v>3000</v>
      </c>
      <c r="H15" t="s">
        <v>34</v>
      </c>
      <c r="K15" s="5" t="s">
        <v>28</v>
      </c>
      <c r="L15" s="23">
        <f>L12*L14</f>
        <v>0.23998601591653712</v>
      </c>
      <c r="M15" s="3">
        <f>L15*(L10-F2)*B11</f>
        <v>1382.3194516792537</v>
      </c>
      <c r="N15" t="s">
        <v>34</v>
      </c>
      <c r="P15" s="5" t="s">
        <v>28</v>
      </c>
      <c r="Q15" s="23">
        <f>Q12*Q14</f>
        <v>6.0013984083462868E-2</v>
      </c>
      <c r="R15" s="3">
        <f>Q15*(Q10-F2)*B17+Q15*B12*1000</f>
        <v>2308.6179397226492</v>
      </c>
      <c r="S15" t="s">
        <v>34</v>
      </c>
      <c r="V15">
        <v>330</v>
      </c>
      <c r="W15" s="29">
        <f t="shared" si="0"/>
        <v>89.689000000000021</v>
      </c>
      <c r="X15" s="29">
        <f t="shared" si="1"/>
        <v>46.345919759999994</v>
      </c>
      <c r="Y15" s="29">
        <f t="shared" si="2"/>
        <v>124.18670000000003</v>
      </c>
      <c r="Z15" s="29">
        <f t="shared" si="3"/>
        <v>70.579631501000009</v>
      </c>
    </row>
    <row r="16" spans="1:28" x14ac:dyDescent="0.3">
      <c r="A16" t="s">
        <v>9</v>
      </c>
      <c r="B16" s="25">
        <v>-2.852E-8</v>
      </c>
      <c r="C16" s="25">
        <v>1.3729999999999999E-9</v>
      </c>
      <c r="E16" t="s">
        <v>29</v>
      </c>
      <c r="F16" s="13">
        <f>F13*F14</f>
        <v>0.7</v>
      </c>
      <c r="G16">
        <f>F16*(F10-F2)*C11</f>
        <v>9625</v>
      </c>
      <c r="H16" t="s">
        <v>34</v>
      </c>
      <c r="K16" s="5" t="s">
        <v>29</v>
      </c>
      <c r="L16" s="23">
        <f>L13*L14</f>
        <v>0.60430811864738132</v>
      </c>
      <c r="M16" s="3">
        <f>L16*(L10-F2)*C11</f>
        <v>4786.1202996872598</v>
      </c>
      <c r="N16" t="s">
        <v>34</v>
      </c>
      <c r="P16" s="5" t="s">
        <v>29</v>
      </c>
      <c r="Q16" s="23">
        <f>Q13*Q14</f>
        <v>9.5691881352618677E-2</v>
      </c>
      <c r="R16" s="3">
        <f>Q16*(Q10-F2)*C17+Q16*C12*1000</f>
        <v>4148.4344403987252</v>
      </c>
      <c r="S16" t="s">
        <v>34</v>
      </c>
      <c r="V16">
        <v>340</v>
      </c>
      <c r="W16" s="29">
        <f t="shared" si="0"/>
        <v>92.728000000000009</v>
      </c>
      <c r="X16" s="29">
        <f t="shared" si="1"/>
        <v>47.132421919999999</v>
      </c>
      <c r="Y16" s="29">
        <f t="shared" si="2"/>
        <v>129.28680000000003</v>
      </c>
      <c r="Z16" s="29">
        <f t="shared" si="3"/>
        <v>72.163124392</v>
      </c>
    </row>
    <row r="17" spans="1:26" x14ac:dyDescent="0.3">
      <c r="A17" s="8" t="s">
        <v>201</v>
      </c>
      <c r="B17">
        <v>44</v>
      </c>
      <c r="C17">
        <v>66</v>
      </c>
      <c r="E17" t="s">
        <v>35</v>
      </c>
      <c r="G17">
        <f>G16+G15</f>
        <v>12625</v>
      </c>
      <c r="H17" t="s">
        <v>34</v>
      </c>
      <c r="K17" t="s">
        <v>35</v>
      </c>
      <c r="M17" s="3">
        <f>M16+M15</f>
        <v>6168.4397513665135</v>
      </c>
      <c r="N17" t="s">
        <v>34</v>
      </c>
      <c r="P17" t="s">
        <v>35</v>
      </c>
      <c r="R17" s="3">
        <f>R16+R15</f>
        <v>6457.0523801213749</v>
      </c>
      <c r="S17" t="s">
        <v>34</v>
      </c>
      <c r="V17">
        <v>350</v>
      </c>
      <c r="W17" s="29">
        <f t="shared" si="0"/>
        <v>95.984999999999999</v>
      </c>
      <c r="X17" s="29">
        <f t="shared" si="1"/>
        <v>47.918279999999996</v>
      </c>
      <c r="Y17" s="29">
        <f t="shared" si="2"/>
        <v>134.96750000000003</v>
      </c>
      <c r="Z17" s="29">
        <f t="shared" si="3"/>
        <v>73.730117375000006</v>
      </c>
    </row>
    <row r="18" spans="1:26" x14ac:dyDescent="0.3">
      <c r="V18">
        <v>360</v>
      </c>
      <c r="W18" s="29">
        <f t="shared" si="0"/>
        <v>99.460000000000022</v>
      </c>
      <c r="X18" s="29">
        <f t="shared" si="1"/>
        <v>48.703322880000002</v>
      </c>
      <c r="Y18" s="29">
        <f t="shared" si="2"/>
        <v>141.22880000000004</v>
      </c>
      <c r="Z18" s="29">
        <f t="shared" si="3"/>
        <v>75.280618688000004</v>
      </c>
    </row>
    <row r="19" spans="1:26" x14ac:dyDescent="0.3">
      <c r="E19" t="s">
        <v>43</v>
      </c>
      <c r="I19" s="27" t="s">
        <v>51</v>
      </c>
      <c r="J19" s="27" t="s">
        <v>54</v>
      </c>
      <c r="K19" t="s">
        <v>55</v>
      </c>
      <c r="V19">
        <v>370</v>
      </c>
      <c r="W19" s="29">
        <f t="shared" si="0"/>
        <v>103.15300000000001</v>
      </c>
      <c r="X19" s="29">
        <f t="shared" si="1"/>
        <v>49.487379440000005</v>
      </c>
      <c r="Y19" s="29">
        <f t="shared" si="2"/>
        <v>148.07069999999999</v>
      </c>
      <c r="Z19" s="29">
        <f t="shared" si="3"/>
        <v>76.814636568999987</v>
      </c>
    </row>
    <row r="20" spans="1:26" x14ac:dyDescent="0.3">
      <c r="E20" t="s">
        <v>44</v>
      </c>
      <c r="F20" t="s">
        <v>46</v>
      </c>
      <c r="G20" t="s">
        <v>50</v>
      </c>
      <c r="H20" s="26">
        <f>(10^(B3-B4/(B5+L10-273)))/750.1</f>
        <v>3.2126552306851353</v>
      </c>
      <c r="I20" s="28">
        <f>L15*H20</f>
        <v>0.77099232932554906</v>
      </c>
      <c r="J20" s="28">
        <f>Q11*Q12</f>
        <v>0.77086349849934288</v>
      </c>
      <c r="K20" s="26">
        <f>I20-J20</f>
        <v>1.2883082620618325E-4</v>
      </c>
      <c r="N20" s="5" t="s">
        <v>206</v>
      </c>
      <c r="O20" s="24">
        <f>G17-M17-R17</f>
        <v>-0.49213148788840044</v>
      </c>
      <c r="P20" t="s">
        <v>52</v>
      </c>
      <c r="V20">
        <v>380</v>
      </c>
      <c r="W20" s="29">
        <f t="shared" si="0"/>
        <v>107.06400000000001</v>
      </c>
      <c r="X20" s="29">
        <f t="shared" si="1"/>
        <v>50.270278559999994</v>
      </c>
      <c r="Y20" s="29">
        <f t="shared" si="2"/>
        <v>155.4932</v>
      </c>
      <c r="Z20" s="29">
        <f t="shared" si="3"/>
        <v>78.332179256000003</v>
      </c>
    </row>
    <row r="21" spans="1:26" x14ac:dyDescent="0.3">
      <c r="E21" t="s">
        <v>45</v>
      </c>
      <c r="F21" t="s">
        <v>47</v>
      </c>
      <c r="G21" t="s">
        <v>49</v>
      </c>
      <c r="H21" s="26">
        <f>(10^(C3-C4/(C5+L10-273)))/750.1</f>
        <v>2.0343281088134688</v>
      </c>
      <c r="I21" s="28">
        <f>L16*H21</f>
        <v>1.2293609921485527</v>
      </c>
      <c r="J21" s="28">
        <f>Q11*Q13</f>
        <v>1.229136501500657</v>
      </c>
      <c r="K21" s="26">
        <f>I21-J21</f>
        <v>2.2449064789564765E-4</v>
      </c>
      <c r="V21">
        <v>390</v>
      </c>
      <c r="W21" s="29">
        <f t="shared" si="0"/>
        <v>111.19300000000003</v>
      </c>
      <c r="X21" s="29">
        <f t="shared" si="1"/>
        <v>51.05184912</v>
      </c>
      <c r="Y21" s="29">
        <f t="shared" si="2"/>
        <v>163.49630000000008</v>
      </c>
      <c r="Z21" s="29">
        <f t="shared" si="3"/>
        <v>79.833254987000004</v>
      </c>
    </row>
    <row r="22" spans="1:26" x14ac:dyDescent="0.3">
      <c r="E22" t="s">
        <v>48</v>
      </c>
      <c r="I22" s="26">
        <f>SUM(I20:I21)</f>
        <v>2.0003533214741016</v>
      </c>
      <c r="J22" t="s">
        <v>21</v>
      </c>
      <c r="V22">
        <v>400</v>
      </c>
      <c r="W22" s="29">
        <f t="shared" si="0"/>
        <v>115.54</v>
      </c>
      <c r="X22" s="29">
        <f t="shared" si="1"/>
        <v>51.831920000000004</v>
      </c>
      <c r="Y22" s="29">
        <f t="shared" si="2"/>
        <v>172.08000000000004</v>
      </c>
      <c r="Z22" s="29">
        <f t="shared" si="3"/>
        <v>81.317871999999994</v>
      </c>
    </row>
    <row r="23" spans="1:26" x14ac:dyDescent="0.3">
      <c r="V23">
        <v>410</v>
      </c>
      <c r="W23" s="29">
        <f t="shared" ref="W23:W26" si="4">$B$8+$B$9*V23+$B$10*V23^2</f>
        <v>120.105</v>
      </c>
      <c r="X23" s="29">
        <f t="shared" ref="X23:X26" si="5">$B$13+$B$14*V23+$B$15*V23^2+$B$16*V23^3</f>
        <v>52.610320080000001</v>
      </c>
      <c r="Y23" s="29">
        <f t="shared" ref="Y23:Y26" si="6">$C$8+$C$9*V23+$C$10*V23^2</f>
        <v>181.24430000000001</v>
      </c>
      <c r="Z23" s="29">
        <f t="shared" ref="Z23:Z26" si="7">$C$13+$C$14*V23+$C$15*V23^2+$C$16*V23^3</f>
        <v>82.78603853300001</v>
      </c>
    </row>
    <row r="24" spans="1:26" x14ac:dyDescent="0.3">
      <c r="H24" s="8" t="s">
        <v>205</v>
      </c>
      <c r="J24" s="8" t="s">
        <v>208</v>
      </c>
      <c r="K24" s="8"/>
      <c r="L24" s="8"/>
      <c r="M24" s="8"/>
      <c r="N24" s="8"/>
      <c r="V24">
        <v>420</v>
      </c>
      <c r="W24" s="29">
        <f t="shared" si="4"/>
        <v>124.88800000000002</v>
      </c>
      <c r="X24" s="29">
        <f t="shared" si="5"/>
        <v>53.386878240000001</v>
      </c>
      <c r="Y24" s="29">
        <f t="shared" si="6"/>
        <v>190.98919999999998</v>
      </c>
      <c r="Z24" s="29">
        <f t="shared" si="7"/>
        <v>84.237762824000015</v>
      </c>
    </row>
    <row r="25" spans="1:26" x14ac:dyDescent="0.3">
      <c r="V25">
        <v>430</v>
      </c>
      <c r="W25" s="29">
        <f t="shared" si="4"/>
        <v>129.88900000000001</v>
      </c>
      <c r="X25" s="29">
        <f t="shared" si="5"/>
        <v>54.161423360000001</v>
      </c>
      <c r="Y25" s="29">
        <f t="shared" si="6"/>
        <v>201.31470000000002</v>
      </c>
      <c r="Z25" s="29">
        <f t="shared" si="7"/>
        <v>85.673053111000002</v>
      </c>
    </row>
    <row r="26" spans="1:26" x14ac:dyDescent="0.3">
      <c r="V26">
        <v>440</v>
      </c>
      <c r="W26" s="29">
        <f t="shared" si="4"/>
        <v>135.108</v>
      </c>
      <c r="X26" s="29">
        <f t="shared" si="5"/>
        <v>54.933784319999994</v>
      </c>
      <c r="Y26" s="29">
        <f t="shared" si="6"/>
        <v>212.22080000000005</v>
      </c>
      <c r="Z26" s="29">
        <f t="shared" si="7"/>
        <v>87.091917632000005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topLeftCell="A122" zoomScale="80" zoomScaleNormal="80" workbookViewId="0">
      <selection activeCell="F114" sqref="F114"/>
    </sheetView>
  </sheetViews>
  <sheetFormatPr defaultRowHeight="14.4" x14ac:dyDescent="0.3"/>
  <cols>
    <col min="1" max="1" width="16.77734375" customWidth="1"/>
    <col min="2" max="2" width="24.44140625" customWidth="1"/>
    <col min="3" max="3" width="17.109375" customWidth="1"/>
    <col min="4" max="4" width="28.77734375" customWidth="1"/>
    <col min="5" max="5" width="20.77734375" bestFit="1" customWidth="1"/>
    <col min="6" max="6" width="19.33203125" customWidth="1"/>
    <col min="7" max="7" width="10.33203125" bestFit="1" customWidth="1"/>
    <col min="8" max="8" width="25.21875" bestFit="1" customWidth="1"/>
    <col min="9" max="9" width="18.33203125" customWidth="1"/>
    <col min="10" max="10" width="19.44140625" customWidth="1"/>
    <col min="11" max="11" width="26.109375" customWidth="1"/>
    <col min="12" max="12" width="15.88671875" bestFit="1" customWidth="1"/>
  </cols>
  <sheetData>
    <row r="1" spans="1:12" x14ac:dyDescent="0.3">
      <c r="A1" t="s">
        <v>56</v>
      </c>
    </row>
    <row r="2" spans="1:12" x14ac:dyDescent="0.3">
      <c r="A2" t="s">
        <v>57</v>
      </c>
      <c r="J2" s="5" t="s">
        <v>66</v>
      </c>
      <c r="K2" s="5" t="s">
        <v>63</v>
      </c>
      <c r="L2" t="s">
        <v>64</v>
      </c>
    </row>
    <row r="3" spans="1:12" x14ac:dyDescent="0.3">
      <c r="A3" t="s">
        <v>131</v>
      </c>
      <c r="J3" s="5" t="s">
        <v>12</v>
      </c>
      <c r="K3" s="5" t="s">
        <v>72</v>
      </c>
      <c r="L3" t="s">
        <v>20</v>
      </c>
    </row>
    <row r="4" spans="1:12" x14ac:dyDescent="0.3">
      <c r="A4" t="s">
        <v>83</v>
      </c>
      <c r="J4" s="5" t="s">
        <v>13</v>
      </c>
      <c r="K4" s="5">
        <v>2</v>
      </c>
      <c r="L4" t="s">
        <v>21</v>
      </c>
    </row>
    <row r="5" spans="1:12" x14ac:dyDescent="0.3">
      <c r="A5" t="s">
        <v>84</v>
      </c>
      <c r="J5" s="5" t="s">
        <v>67</v>
      </c>
      <c r="K5" s="5" t="s">
        <v>70</v>
      </c>
    </row>
    <row r="6" spans="1:12" x14ac:dyDescent="0.3">
      <c r="J6" s="5" t="s">
        <v>116</v>
      </c>
      <c r="K6" s="5" t="s">
        <v>70</v>
      </c>
      <c r="L6" t="s">
        <v>21</v>
      </c>
    </row>
    <row r="7" spans="1:12" ht="15" thickBot="1" x14ac:dyDescent="0.35">
      <c r="A7" t="s">
        <v>71</v>
      </c>
      <c r="J7" s="5" t="s">
        <v>68</v>
      </c>
      <c r="K7" s="5" t="s">
        <v>70</v>
      </c>
    </row>
    <row r="8" spans="1:12" ht="23.4" x14ac:dyDescent="0.45">
      <c r="E8" s="53"/>
      <c r="F8" s="54"/>
      <c r="G8" s="54"/>
      <c r="H8" s="55"/>
      <c r="I8" s="63" t="s">
        <v>213</v>
      </c>
      <c r="J8" s="5" t="s">
        <v>117</v>
      </c>
      <c r="K8" s="5" t="s">
        <v>70</v>
      </c>
      <c r="L8" t="s">
        <v>21</v>
      </c>
    </row>
    <row r="9" spans="1:12" x14ac:dyDescent="0.3">
      <c r="A9" t="s">
        <v>62</v>
      </c>
      <c r="B9" s="5" t="s">
        <v>63</v>
      </c>
      <c r="C9" t="s">
        <v>64</v>
      </c>
      <c r="E9" s="56"/>
      <c r="F9" s="57"/>
      <c r="G9" s="57"/>
      <c r="H9" s="58"/>
      <c r="J9" s="5" t="s">
        <v>75</v>
      </c>
      <c r="K9" s="5" t="s">
        <v>70</v>
      </c>
      <c r="L9" t="s">
        <v>192</v>
      </c>
    </row>
    <row r="10" spans="1:12" x14ac:dyDescent="0.3">
      <c r="A10" t="s">
        <v>12</v>
      </c>
      <c r="B10">
        <f>150+273</f>
        <v>423</v>
      </c>
      <c r="C10" t="s">
        <v>20</v>
      </c>
      <c r="E10" s="56"/>
      <c r="F10" s="57"/>
      <c r="G10" s="57"/>
      <c r="H10" s="58"/>
      <c r="J10" s="5" t="s">
        <v>104</v>
      </c>
      <c r="K10" s="5" t="s">
        <v>70</v>
      </c>
      <c r="L10" t="s">
        <v>34</v>
      </c>
    </row>
    <row r="11" spans="1:12" ht="23.4" x14ac:dyDescent="0.45">
      <c r="A11" t="s">
        <v>13</v>
      </c>
      <c r="B11">
        <v>20</v>
      </c>
      <c r="C11" t="s">
        <v>21</v>
      </c>
      <c r="D11" s="64" t="s">
        <v>212</v>
      </c>
      <c r="E11" s="56"/>
      <c r="F11" s="59" t="s">
        <v>65</v>
      </c>
      <c r="G11" s="57"/>
      <c r="H11" s="58"/>
      <c r="J11" s="5" t="s">
        <v>105</v>
      </c>
      <c r="K11" s="5" t="s">
        <v>70</v>
      </c>
      <c r="L11" t="s">
        <v>34</v>
      </c>
    </row>
    <row r="12" spans="1:12" x14ac:dyDescent="0.3">
      <c r="A12" t="s">
        <v>60</v>
      </c>
      <c r="B12">
        <v>0.3</v>
      </c>
      <c r="E12" s="56"/>
      <c r="F12" s="57"/>
      <c r="G12" s="57"/>
      <c r="H12" s="58"/>
      <c r="J12" s="5" t="s">
        <v>109</v>
      </c>
      <c r="K12" s="5" t="s">
        <v>113</v>
      </c>
      <c r="L12" t="s">
        <v>34</v>
      </c>
    </row>
    <row r="13" spans="1:12" x14ac:dyDescent="0.3">
      <c r="A13" t="s">
        <v>61</v>
      </c>
      <c r="B13">
        <v>0.7</v>
      </c>
      <c r="E13" s="56"/>
      <c r="F13" s="57"/>
      <c r="G13" s="57"/>
      <c r="H13" s="58"/>
      <c r="J13" s="5"/>
    </row>
    <row r="14" spans="1:12" x14ac:dyDescent="0.3">
      <c r="A14" t="s">
        <v>77</v>
      </c>
      <c r="B14" s="5" t="s">
        <v>70</v>
      </c>
      <c r="C14" t="s">
        <v>192</v>
      </c>
      <c r="E14" s="56"/>
      <c r="F14" s="57"/>
      <c r="G14" s="57"/>
      <c r="H14" s="58"/>
      <c r="J14" s="5" t="s">
        <v>69</v>
      </c>
      <c r="K14" t="s">
        <v>63</v>
      </c>
      <c r="L14" t="s">
        <v>64</v>
      </c>
    </row>
    <row r="15" spans="1:12" ht="24" thickBot="1" x14ac:dyDescent="0.5">
      <c r="A15" t="s">
        <v>102</v>
      </c>
      <c r="B15" s="5" t="s">
        <v>70</v>
      </c>
      <c r="C15" t="s">
        <v>34</v>
      </c>
      <c r="E15" s="60"/>
      <c r="F15" s="61"/>
      <c r="G15" s="61"/>
      <c r="H15" s="62"/>
      <c r="I15" s="63" t="s">
        <v>214</v>
      </c>
      <c r="J15" s="5" t="s">
        <v>12</v>
      </c>
      <c r="K15" s="5" t="s">
        <v>73</v>
      </c>
      <c r="L15" t="s">
        <v>20</v>
      </c>
    </row>
    <row r="16" spans="1:12" x14ac:dyDescent="0.3">
      <c r="A16" t="s">
        <v>103</v>
      </c>
      <c r="B16" s="5" t="s">
        <v>70</v>
      </c>
      <c r="C16" t="s">
        <v>34</v>
      </c>
      <c r="J16" s="5" t="s">
        <v>13</v>
      </c>
      <c r="K16" s="5">
        <v>2</v>
      </c>
      <c r="L16" t="s">
        <v>21</v>
      </c>
    </row>
    <row r="17" spans="1:12" x14ac:dyDescent="0.3">
      <c r="A17" t="s">
        <v>110</v>
      </c>
      <c r="B17" t="s">
        <v>111</v>
      </c>
      <c r="C17" t="s">
        <v>34</v>
      </c>
      <c r="J17" s="5" t="s">
        <v>58</v>
      </c>
      <c r="K17" s="5" t="s">
        <v>70</v>
      </c>
    </row>
    <row r="18" spans="1:12" x14ac:dyDescent="0.3">
      <c r="J18" s="5" t="s">
        <v>59</v>
      </c>
      <c r="K18" s="5" t="s">
        <v>70</v>
      </c>
    </row>
    <row r="19" spans="1:12" x14ac:dyDescent="0.3">
      <c r="J19" s="5" t="s">
        <v>76</v>
      </c>
      <c r="K19" s="5" t="s">
        <v>70</v>
      </c>
      <c r="L19" t="s">
        <v>192</v>
      </c>
    </row>
    <row r="20" spans="1:12" x14ac:dyDescent="0.3">
      <c r="J20" s="5" t="s">
        <v>106</v>
      </c>
      <c r="K20" s="5" t="s">
        <v>70</v>
      </c>
      <c r="L20" t="s">
        <v>34</v>
      </c>
    </row>
    <row r="21" spans="1:12" x14ac:dyDescent="0.3">
      <c r="A21" t="s">
        <v>85</v>
      </c>
      <c r="J21" s="5" t="s">
        <v>107</v>
      </c>
      <c r="K21" s="5" t="s">
        <v>70</v>
      </c>
      <c r="L21" t="s">
        <v>34</v>
      </c>
    </row>
    <row r="22" spans="1:12" x14ac:dyDescent="0.3">
      <c r="A22" t="s">
        <v>87</v>
      </c>
      <c r="J22" s="5" t="s">
        <v>108</v>
      </c>
      <c r="K22" t="s">
        <v>112</v>
      </c>
      <c r="L22" t="s">
        <v>34</v>
      </c>
    </row>
    <row r="23" spans="1:12" x14ac:dyDescent="0.3">
      <c r="A23" t="s">
        <v>86</v>
      </c>
    </row>
    <row r="28" spans="1:12" x14ac:dyDescent="0.3">
      <c r="A28" t="s">
        <v>79</v>
      </c>
    </row>
    <row r="29" spans="1:12" x14ac:dyDescent="0.3">
      <c r="A29" t="s">
        <v>72</v>
      </c>
      <c r="B29" t="s">
        <v>67</v>
      </c>
      <c r="C29" t="s">
        <v>102</v>
      </c>
      <c r="D29" t="s">
        <v>104</v>
      </c>
      <c r="E29" t="s">
        <v>106</v>
      </c>
      <c r="F29" t="s">
        <v>117</v>
      </c>
    </row>
    <row r="30" spans="1:12" x14ac:dyDescent="0.3">
      <c r="A30" t="s">
        <v>73</v>
      </c>
      <c r="B30" t="s">
        <v>68</v>
      </c>
      <c r="C30" t="s">
        <v>103</v>
      </c>
      <c r="D30" t="s">
        <v>105</v>
      </c>
      <c r="E30" t="s">
        <v>107</v>
      </c>
      <c r="F30" t="s">
        <v>116</v>
      </c>
    </row>
    <row r="31" spans="1:12" x14ac:dyDescent="0.3">
      <c r="A31" t="s">
        <v>81</v>
      </c>
      <c r="B31" t="s">
        <v>58</v>
      </c>
      <c r="C31" t="s">
        <v>110</v>
      </c>
      <c r="D31" t="s">
        <v>109</v>
      </c>
      <c r="E31" t="s">
        <v>114</v>
      </c>
    </row>
    <row r="32" spans="1:12" x14ac:dyDescent="0.3">
      <c r="A32" t="s">
        <v>82</v>
      </c>
      <c r="B32" t="s">
        <v>59</v>
      </c>
    </row>
    <row r="33" spans="1:7" x14ac:dyDescent="0.3">
      <c r="A33" t="s">
        <v>75</v>
      </c>
    </row>
    <row r="35" spans="1:7" x14ac:dyDescent="0.3">
      <c r="A35" t="s">
        <v>35</v>
      </c>
      <c r="B35">
        <v>20</v>
      </c>
    </row>
    <row r="37" spans="1:7" x14ac:dyDescent="0.3">
      <c r="A37" t="s">
        <v>80</v>
      </c>
      <c r="G37" t="s">
        <v>158</v>
      </c>
    </row>
    <row r="38" spans="1:7" x14ac:dyDescent="0.3">
      <c r="A38" t="s">
        <v>78</v>
      </c>
      <c r="G38">
        <v>1</v>
      </c>
    </row>
    <row r="39" spans="1:7" x14ac:dyDescent="0.3">
      <c r="A39" t="s">
        <v>88</v>
      </c>
    </row>
    <row r="40" spans="1:7" x14ac:dyDescent="0.3">
      <c r="B40" t="s">
        <v>35</v>
      </c>
      <c r="C40" t="s">
        <v>89</v>
      </c>
      <c r="G40">
        <v>2</v>
      </c>
    </row>
    <row r="41" spans="1:7" x14ac:dyDescent="0.3">
      <c r="B41" t="s">
        <v>1</v>
      </c>
      <c r="C41" t="s">
        <v>90</v>
      </c>
      <c r="G41">
        <v>3</v>
      </c>
    </row>
    <row r="42" spans="1:7" x14ac:dyDescent="0.3">
      <c r="A42" t="s">
        <v>97</v>
      </c>
    </row>
    <row r="43" spans="1:7" x14ac:dyDescent="0.3">
      <c r="B43" t="s">
        <v>98</v>
      </c>
      <c r="G43">
        <v>4</v>
      </c>
    </row>
    <row r="44" spans="1:7" x14ac:dyDescent="0.3">
      <c r="B44" t="s">
        <v>99</v>
      </c>
      <c r="G44">
        <v>5</v>
      </c>
    </row>
    <row r="45" spans="1:7" x14ac:dyDescent="0.3">
      <c r="A45" t="s">
        <v>115</v>
      </c>
    </row>
    <row r="46" spans="1:7" x14ac:dyDescent="0.3">
      <c r="B46" t="s">
        <v>120</v>
      </c>
      <c r="G46">
        <v>6</v>
      </c>
    </row>
    <row r="47" spans="1:7" x14ac:dyDescent="0.3">
      <c r="B47" t="s">
        <v>121</v>
      </c>
      <c r="G47">
        <v>7</v>
      </c>
    </row>
    <row r="48" spans="1:7" x14ac:dyDescent="0.3">
      <c r="B48" t="s">
        <v>122</v>
      </c>
      <c r="G48">
        <v>8</v>
      </c>
    </row>
    <row r="49" spans="1:7" x14ac:dyDescent="0.3">
      <c r="B49" t="s">
        <v>123</v>
      </c>
      <c r="G49">
        <v>9</v>
      </c>
    </row>
    <row r="50" spans="1:7" x14ac:dyDescent="0.3">
      <c r="B50" t="s">
        <v>124</v>
      </c>
      <c r="G50">
        <v>10</v>
      </c>
    </row>
    <row r="51" spans="1:7" x14ac:dyDescent="0.3">
      <c r="B51" t="s">
        <v>125</v>
      </c>
      <c r="G51">
        <v>11</v>
      </c>
    </row>
    <row r="52" spans="1:7" x14ac:dyDescent="0.3">
      <c r="B52" t="s">
        <v>175</v>
      </c>
      <c r="G52">
        <v>12</v>
      </c>
    </row>
    <row r="53" spans="1:7" x14ac:dyDescent="0.3">
      <c r="B53" t="s">
        <v>176</v>
      </c>
      <c r="G53">
        <v>13</v>
      </c>
    </row>
    <row r="54" spans="1:7" x14ac:dyDescent="0.3">
      <c r="B54" t="s">
        <v>126</v>
      </c>
      <c r="G54">
        <v>14</v>
      </c>
    </row>
    <row r="55" spans="1:7" x14ac:dyDescent="0.3">
      <c r="B55" t="s">
        <v>91</v>
      </c>
      <c r="G55">
        <v>15</v>
      </c>
    </row>
    <row r="56" spans="1:7" x14ac:dyDescent="0.3">
      <c r="A56" t="s">
        <v>93</v>
      </c>
    </row>
    <row r="57" spans="1:7" x14ac:dyDescent="0.3">
      <c r="B57" t="s">
        <v>92</v>
      </c>
      <c r="G57">
        <v>16</v>
      </c>
    </row>
    <row r="58" spans="1:7" x14ac:dyDescent="0.3">
      <c r="A58" t="s">
        <v>94</v>
      </c>
    </row>
    <row r="59" spans="1:7" x14ac:dyDescent="0.3">
      <c r="B59" t="s">
        <v>119</v>
      </c>
      <c r="G59">
        <v>17</v>
      </c>
    </row>
    <row r="60" spans="1:7" x14ac:dyDescent="0.3">
      <c r="B60" t="s">
        <v>118</v>
      </c>
      <c r="G60">
        <v>18</v>
      </c>
    </row>
    <row r="61" spans="1:7" x14ac:dyDescent="0.3">
      <c r="B61" t="s">
        <v>95</v>
      </c>
      <c r="G61">
        <v>19</v>
      </c>
    </row>
    <row r="62" spans="1:7" x14ac:dyDescent="0.3">
      <c r="B62" t="s">
        <v>96</v>
      </c>
      <c r="G62">
        <v>20</v>
      </c>
    </row>
    <row r="64" spans="1:7" x14ac:dyDescent="0.3">
      <c r="A64" t="s">
        <v>35</v>
      </c>
      <c r="B64">
        <v>20</v>
      </c>
      <c r="C64" t="s">
        <v>100</v>
      </c>
    </row>
    <row r="67" spans="1:3" x14ac:dyDescent="0.3">
      <c r="A67" t="s">
        <v>101</v>
      </c>
    </row>
    <row r="68" spans="1:3" x14ac:dyDescent="0.3">
      <c r="A68" t="s">
        <v>127</v>
      </c>
    </row>
    <row r="70" spans="1:3" x14ac:dyDescent="0.3">
      <c r="A70" t="s">
        <v>6</v>
      </c>
      <c r="B70" t="s">
        <v>0</v>
      </c>
      <c r="C70" t="s">
        <v>1</v>
      </c>
    </row>
    <row r="71" spans="1:3" x14ac:dyDescent="0.3">
      <c r="A71" t="s">
        <v>7</v>
      </c>
      <c r="B71">
        <v>111.7</v>
      </c>
      <c r="C71">
        <v>281.60000000000002</v>
      </c>
    </row>
    <row r="72" spans="1:3" x14ac:dyDescent="0.3">
      <c r="A72" t="s">
        <v>3</v>
      </c>
      <c r="B72" s="2">
        <v>-0.4264</v>
      </c>
      <c r="C72">
        <v>-1.4350000000000001</v>
      </c>
    </row>
    <row r="73" spans="1:3" x14ac:dyDescent="0.3">
      <c r="A73" t="s">
        <v>8</v>
      </c>
      <c r="B73" s="1">
        <v>1.09E-3</v>
      </c>
      <c r="C73" s="1">
        <v>2.9030000000000002E-3</v>
      </c>
    </row>
    <row r="74" spans="1:3" x14ac:dyDescent="0.3">
      <c r="A74" t="s">
        <v>128</v>
      </c>
      <c r="B74" t="s">
        <v>0</v>
      </c>
      <c r="C74" t="s">
        <v>129</v>
      </c>
    </row>
    <row r="75" spans="1:3" x14ac:dyDescent="0.3">
      <c r="A75" t="s">
        <v>7</v>
      </c>
      <c r="B75">
        <v>21.15</v>
      </c>
      <c r="C75" s="2">
        <v>9.0139999999999993</v>
      </c>
    </row>
    <row r="76" spans="1:3" x14ac:dyDescent="0.3">
      <c r="A76" t="s">
        <v>3</v>
      </c>
      <c r="B76" s="11">
        <v>7.0919999999999997E-2</v>
      </c>
      <c r="C76" s="6">
        <v>0.21410000000000001</v>
      </c>
    </row>
    <row r="77" spans="1:3" x14ac:dyDescent="0.3">
      <c r="A77" t="s">
        <v>8</v>
      </c>
      <c r="B77" s="1">
        <v>2.5870000000000001E-5</v>
      </c>
      <c r="C77" s="1">
        <v>-8.3900000000000006E-5</v>
      </c>
    </row>
    <row r="78" spans="1:3" x14ac:dyDescent="0.3">
      <c r="A78" t="s">
        <v>9</v>
      </c>
      <c r="B78" s="1">
        <v>-2.852E-8</v>
      </c>
      <c r="C78" s="1">
        <v>1.3729999999999999E-9</v>
      </c>
    </row>
    <row r="81" spans="1:5" x14ac:dyDescent="0.3">
      <c r="A81" t="s">
        <v>132</v>
      </c>
    </row>
    <row r="82" spans="1:5" x14ac:dyDescent="0.3">
      <c r="A82" t="s">
        <v>130</v>
      </c>
    </row>
    <row r="83" spans="1:5" x14ac:dyDescent="0.3">
      <c r="A83" s="5" t="s">
        <v>12</v>
      </c>
      <c r="B83" s="5" t="s">
        <v>22</v>
      </c>
      <c r="C83" s="5" t="s">
        <v>23</v>
      </c>
      <c r="D83" s="5" t="s">
        <v>24</v>
      </c>
      <c r="E83" s="5" t="s">
        <v>25</v>
      </c>
    </row>
    <row r="84" spans="1:5" x14ac:dyDescent="0.3">
      <c r="A84">
        <v>300</v>
      </c>
      <c r="B84" s="7">
        <v>81.88000000000001</v>
      </c>
      <c r="C84">
        <v>43.984259999999999</v>
      </c>
      <c r="D84" s="7">
        <v>112.37000000000006</v>
      </c>
      <c r="E84" s="7">
        <v>65.730070999999995</v>
      </c>
    </row>
    <row r="85" spans="1:5" x14ac:dyDescent="0.3">
      <c r="A85">
        <v>310</v>
      </c>
      <c r="B85" s="7">
        <v>84.265000000000015</v>
      </c>
      <c r="C85" s="7">
        <v>44.771667679999993</v>
      </c>
      <c r="D85" s="7">
        <v>115.72830000000005</v>
      </c>
      <c r="E85" s="7">
        <v>67.363113042999998</v>
      </c>
    </row>
    <row r="86" spans="1:5" x14ac:dyDescent="0.3">
      <c r="A86">
        <v>320</v>
      </c>
      <c r="B86" s="7">
        <v>86.867999999999995</v>
      </c>
      <c r="C86" s="7">
        <v>45.558944639999993</v>
      </c>
      <c r="D86" s="7">
        <v>119.66719999999998</v>
      </c>
      <c r="E86" s="7">
        <v>68.979630463999996</v>
      </c>
    </row>
    <row r="87" spans="1:5" x14ac:dyDescent="0.3">
      <c r="A87">
        <v>330</v>
      </c>
      <c r="B87" s="7">
        <v>89.689000000000021</v>
      </c>
      <c r="C87" s="7">
        <v>46.345919759999994</v>
      </c>
      <c r="D87" s="7">
        <v>124.18670000000003</v>
      </c>
      <c r="E87" s="7">
        <v>70.579631501000009</v>
      </c>
    </row>
    <row r="88" spans="1:5" x14ac:dyDescent="0.3">
      <c r="A88">
        <v>340</v>
      </c>
      <c r="B88" s="7">
        <v>92.728000000000009</v>
      </c>
      <c r="C88" s="7">
        <v>47.132421919999999</v>
      </c>
      <c r="D88" s="7">
        <v>129.28680000000003</v>
      </c>
      <c r="E88" s="7">
        <v>72.163124392</v>
      </c>
    </row>
    <row r="89" spans="1:5" x14ac:dyDescent="0.3">
      <c r="A89">
        <v>350</v>
      </c>
      <c r="B89" s="7">
        <v>95.984999999999999</v>
      </c>
      <c r="C89" s="7">
        <v>47.918279999999996</v>
      </c>
      <c r="D89" s="7">
        <v>134.96750000000003</v>
      </c>
      <c r="E89" s="7">
        <v>73.730117375000006</v>
      </c>
    </row>
    <row r="90" spans="1:5" x14ac:dyDescent="0.3">
      <c r="A90">
        <v>360</v>
      </c>
      <c r="B90" s="7">
        <v>99.460000000000022</v>
      </c>
      <c r="C90" s="7">
        <v>48.703322880000002</v>
      </c>
      <c r="D90" s="7">
        <v>141.22880000000004</v>
      </c>
      <c r="E90" s="7">
        <v>75.280618688000004</v>
      </c>
    </row>
    <row r="91" spans="1:5" x14ac:dyDescent="0.3">
      <c r="A91">
        <v>370</v>
      </c>
      <c r="B91" s="7">
        <v>103.15300000000001</v>
      </c>
      <c r="C91" s="7">
        <v>49.487379440000005</v>
      </c>
      <c r="D91" s="7">
        <v>148.07069999999999</v>
      </c>
      <c r="E91" s="7">
        <v>76.814636568999987</v>
      </c>
    </row>
    <row r="92" spans="1:5" x14ac:dyDescent="0.3">
      <c r="A92">
        <v>380</v>
      </c>
      <c r="B92" s="7">
        <v>107.06400000000001</v>
      </c>
      <c r="C92" s="7">
        <v>50.270278559999994</v>
      </c>
      <c r="D92" s="7">
        <v>155.4932</v>
      </c>
      <c r="E92" s="7">
        <v>78.332179256000003</v>
      </c>
    </row>
    <row r="93" spans="1:5" x14ac:dyDescent="0.3">
      <c r="A93">
        <v>390</v>
      </c>
      <c r="B93" s="7">
        <v>111.19300000000003</v>
      </c>
      <c r="C93" s="7">
        <v>51.05184912</v>
      </c>
      <c r="D93" s="7">
        <v>163.49630000000008</v>
      </c>
      <c r="E93" s="7">
        <v>79.833254987000004</v>
      </c>
    </row>
    <row r="94" spans="1:5" x14ac:dyDescent="0.3">
      <c r="A94">
        <v>400</v>
      </c>
      <c r="B94" s="7">
        <v>115.54</v>
      </c>
      <c r="C94" s="7">
        <v>51.831920000000004</v>
      </c>
      <c r="D94" s="7">
        <v>172.08000000000004</v>
      </c>
      <c r="E94" s="7">
        <v>81.317871999999994</v>
      </c>
    </row>
    <row r="95" spans="1:5" x14ac:dyDescent="0.3">
      <c r="A95">
        <v>410</v>
      </c>
      <c r="B95" s="7">
        <v>120.105</v>
      </c>
      <c r="C95" s="7">
        <v>52.610320080000001</v>
      </c>
      <c r="D95" s="7">
        <v>181.24430000000001</v>
      </c>
      <c r="E95" s="7">
        <v>82.78603853300001</v>
      </c>
    </row>
    <row r="96" spans="1:5" x14ac:dyDescent="0.3">
      <c r="A96">
        <v>420</v>
      </c>
      <c r="B96" s="7">
        <v>124.88800000000002</v>
      </c>
      <c r="C96" s="7">
        <v>53.386878240000001</v>
      </c>
      <c r="D96" s="7">
        <v>190.98919999999998</v>
      </c>
      <c r="E96" s="7">
        <v>84.237762824000015</v>
      </c>
    </row>
    <row r="97" spans="1:7" x14ac:dyDescent="0.3">
      <c r="A97">
        <v>430</v>
      </c>
      <c r="B97" s="7">
        <v>129.88900000000001</v>
      </c>
      <c r="C97" s="7">
        <v>54.161423360000001</v>
      </c>
      <c r="D97" s="7">
        <v>201.31470000000002</v>
      </c>
      <c r="E97" s="7">
        <v>85.673053111000002</v>
      </c>
    </row>
    <row r="98" spans="1:7" x14ac:dyDescent="0.3">
      <c r="A98">
        <v>440</v>
      </c>
      <c r="B98" s="7">
        <v>135.108</v>
      </c>
      <c r="C98" s="7">
        <v>54.933784319999994</v>
      </c>
      <c r="D98" s="7">
        <v>212.22080000000005</v>
      </c>
      <c r="E98" s="7">
        <v>87.091917632000005</v>
      </c>
    </row>
    <row r="99" spans="1:7" x14ac:dyDescent="0.3">
      <c r="A99" t="s">
        <v>133</v>
      </c>
      <c r="B99">
        <v>110</v>
      </c>
      <c r="C99">
        <v>52</v>
      </c>
      <c r="D99">
        <v>165</v>
      </c>
      <c r="E99">
        <v>80</v>
      </c>
    </row>
    <row r="101" spans="1:7" x14ac:dyDescent="0.3">
      <c r="B101" s="5" t="s">
        <v>129</v>
      </c>
      <c r="C101" s="5" t="s">
        <v>0</v>
      </c>
      <c r="D101" t="s">
        <v>64</v>
      </c>
      <c r="E101" t="s">
        <v>141</v>
      </c>
      <c r="F101" t="s">
        <v>129</v>
      </c>
      <c r="G101" t="s">
        <v>0</v>
      </c>
    </row>
    <row r="102" spans="1:7" x14ac:dyDescent="0.3">
      <c r="A102" t="s">
        <v>32</v>
      </c>
      <c r="B102">
        <v>165</v>
      </c>
      <c r="C102">
        <v>110</v>
      </c>
      <c r="D102" t="s">
        <v>135</v>
      </c>
      <c r="E102" t="s">
        <v>32</v>
      </c>
      <c r="F102" t="s">
        <v>142</v>
      </c>
      <c r="G102" t="s">
        <v>145</v>
      </c>
    </row>
    <row r="103" spans="1:7" x14ac:dyDescent="0.3">
      <c r="A103" t="s">
        <v>74</v>
      </c>
      <c r="B103">
        <v>80</v>
      </c>
      <c r="C103">
        <v>52</v>
      </c>
      <c r="D103" t="s">
        <v>135</v>
      </c>
      <c r="E103" t="s">
        <v>74</v>
      </c>
      <c r="F103" t="s">
        <v>143</v>
      </c>
      <c r="G103" t="s">
        <v>146</v>
      </c>
    </row>
    <row r="104" spans="1:7" x14ac:dyDescent="0.3">
      <c r="A104" t="s">
        <v>134</v>
      </c>
      <c r="B104">
        <v>38.6</v>
      </c>
      <c r="C104">
        <v>35.299999999999997</v>
      </c>
      <c r="D104" t="s">
        <v>136</v>
      </c>
      <c r="E104" t="s">
        <v>134</v>
      </c>
      <c r="F104" t="s">
        <v>144</v>
      </c>
      <c r="G104" t="s">
        <v>147</v>
      </c>
    </row>
    <row r="106" spans="1:7" x14ac:dyDescent="0.3">
      <c r="A106" t="s">
        <v>137</v>
      </c>
      <c r="B106" t="s">
        <v>0</v>
      </c>
      <c r="C106" t="s">
        <v>1</v>
      </c>
      <c r="E106" t="s">
        <v>141</v>
      </c>
    </row>
    <row r="107" spans="1:7" x14ac:dyDescent="0.3">
      <c r="A107" t="s">
        <v>4</v>
      </c>
      <c r="B107" s="2">
        <v>8.0809700000000007</v>
      </c>
      <c r="C107" s="2">
        <v>8.1121999999999996</v>
      </c>
      <c r="E107" t="s">
        <v>4</v>
      </c>
      <c r="F107" t="s">
        <v>148</v>
      </c>
      <c r="G107" t="s">
        <v>151</v>
      </c>
    </row>
    <row r="108" spans="1:7" x14ac:dyDescent="0.3">
      <c r="A108" t="s">
        <v>3</v>
      </c>
      <c r="B108" s="3">
        <v>1582.271</v>
      </c>
      <c r="C108" s="3">
        <v>1592.864</v>
      </c>
      <c r="E108" t="s">
        <v>3</v>
      </c>
      <c r="F108" t="s">
        <v>149</v>
      </c>
      <c r="G108" t="s">
        <v>152</v>
      </c>
    </row>
    <row r="109" spans="1:7" x14ac:dyDescent="0.3">
      <c r="A109" t="s">
        <v>5</v>
      </c>
      <c r="B109" s="3">
        <v>239.726</v>
      </c>
      <c r="C109" s="3">
        <v>226.184</v>
      </c>
      <c r="E109" t="s">
        <v>5</v>
      </c>
      <c r="F109" t="s">
        <v>150</v>
      </c>
      <c r="G109" t="s">
        <v>153</v>
      </c>
    </row>
    <row r="111" spans="1:7" x14ac:dyDescent="0.3">
      <c r="A111" t="s">
        <v>138</v>
      </c>
    </row>
    <row r="112" spans="1:7" x14ac:dyDescent="0.3">
      <c r="A112" t="s">
        <v>139</v>
      </c>
    </row>
    <row r="114" spans="1:12" x14ac:dyDescent="0.3">
      <c r="A114" t="s">
        <v>140</v>
      </c>
      <c r="D114" t="s">
        <v>17</v>
      </c>
      <c r="E114" t="s">
        <v>12</v>
      </c>
      <c r="F114">
        <v>298</v>
      </c>
      <c r="G114" t="s">
        <v>20</v>
      </c>
    </row>
    <row r="115" spans="1:12" x14ac:dyDescent="0.3">
      <c r="E115" t="s">
        <v>13</v>
      </c>
      <c r="F115">
        <v>1</v>
      </c>
      <c r="G115" t="s">
        <v>21</v>
      </c>
    </row>
    <row r="116" spans="1:12" x14ac:dyDescent="0.3">
      <c r="A116" s="34" t="s">
        <v>211</v>
      </c>
      <c r="B116" s="34"/>
      <c r="E116" t="s">
        <v>154</v>
      </c>
      <c r="F116" t="s">
        <v>32</v>
      </c>
    </row>
    <row r="117" spans="1:12" x14ac:dyDescent="0.3">
      <c r="A117" s="37" t="s">
        <v>210</v>
      </c>
      <c r="B117" s="37"/>
      <c r="C117" s="37"/>
    </row>
    <row r="118" spans="1:12" ht="18.600000000000001" thickBot="1" x14ac:dyDescent="0.4">
      <c r="A118" s="47" t="s">
        <v>209</v>
      </c>
      <c r="B118" s="47"/>
      <c r="C118" s="47"/>
      <c r="E118" s="70" t="s">
        <v>215</v>
      </c>
      <c r="F118" s="70"/>
      <c r="G118" s="70"/>
      <c r="H118" s="4"/>
      <c r="I118" s="70" t="s">
        <v>216</v>
      </c>
      <c r="J118" s="70"/>
      <c r="K118" s="70"/>
    </row>
    <row r="119" spans="1:12" s="45" customFormat="1" ht="16.8" thickTop="1" thickBot="1" x14ac:dyDescent="0.35">
      <c r="A119" s="43" t="s">
        <v>62</v>
      </c>
      <c r="B119" s="43" t="s">
        <v>63</v>
      </c>
      <c r="C119" s="44" t="s">
        <v>64</v>
      </c>
      <c r="D119" s="44" t="s">
        <v>156</v>
      </c>
      <c r="E119" s="43" t="s">
        <v>69</v>
      </c>
      <c r="F119" s="43" t="s">
        <v>63</v>
      </c>
      <c r="G119" s="44" t="s">
        <v>64</v>
      </c>
      <c r="H119" s="44" t="s">
        <v>157</v>
      </c>
      <c r="I119" s="43" t="s">
        <v>66</v>
      </c>
      <c r="J119" s="43" t="s">
        <v>63</v>
      </c>
      <c r="K119" s="44" t="s">
        <v>64</v>
      </c>
      <c r="L119" s="44" t="s">
        <v>156</v>
      </c>
    </row>
    <row r="120" spans="1:12" ht="18.600000000000001" thickTop="1" x14ac:dyDescent="0.35">
      <c r="A120" s="65" t="s">
        <v>12</v>
      </c>
      <c r="B120" s="39">
        <f>150+273</f>
        <v>423</v>
      </c>
      <c r="C120" s="40" t="s">
        <v>20</v>
      </c>
      <c r="D120" t="s">
        <v>159</v>
      </c>
      <c r="E120" s="67" t="s">
        <v>12</v>
      </c>
      <c r="F120" s="68">
        <v>365.25466511801608</v>
      </c>
      <c r="G120" t="s">
        <v>20</v>
      </c>
      <c r="H120" t="s">
        <v>164</v>
      </c>
      <c r="I120" s="49" t="s">
        <v>12</v>
      </c>
      <c r="J120" s="51">
        <f>LiquidT</f>
        <v>365.25466511801608</v>
      </c>
      <c r="K120" t="s">
        <v>20</v>
      </c>
      <c r="L120" t="s">
        <v>169</v>
      </c>
    </row>
    <row r="121" spans="1:12" ht="18" x14ac:dyDescent="0.35">
      <c r="A121" s="49" t="s">
        <v>13</v>
      </c>
      <c r="B121" s="40">
        <v>20</v>
      </c>
      <c r="C121" t="s">
        <v>21</v>
      </c>
      <c r="D121" t="s">
        <v>159</v>
      </c>
      <c r="E121" s="49" t="s">
        <v>13</v>
      </c>
      <c r="F121" s="41">
        <v>2</v>
      </c>
      <c r="G121" t="s">
        <v>21</v>
      </c>
      <c r="H121" t="s">
        <v>159</v>
      </c>
      <c r="I121" s="49" t="s">
        <v>13</v>
      </c>
      <c r="J121" s="52">
        <f>F121</f>
        <v>2</v>
      </c>
      <c r="K121" t="s">
        <v>21</v>
      </c>
      <c r="L121" t="s">
        <v>159</v>
      </c>
    </row>
    <row r="122" spans="1:12" ht="18" x14ac:dyDescent="0.35">
      <c r="A122" s="65" t="s">
        <v>60</v>
      </c>
      <c r="B122" s="38">
        <v>0.3</v>
      </c>
      <c r="D122" t="s">
        <v>159</v>
      </c>
      <c r="E122" s="67" t="s">
        <v>58</v>
      </c>
      <c r="F122" s="69">
        <v>0.27278128850867944</v>
      </c>
      <c r="H122" t="s">
        <v>164</v>
      </c>
      <c r="I122" s="66" t="s">
        <v>67</v>
      </c>
      <c r="J122" s="48">
        <f>(FeedM*Zm-Xm*LiquidM)/VaporM</f>
        <v>0.37538882514464239</v>
      </c>
      <c r="L122" t="s">
        <v>170</v>
      </c>
    </row>
    <row r="123" spans="1:12" ht="18" x14ac:dyDescent="0.35">
      <c r="A123" s="5" t="s">
        <v>61</v>
      </c>
      <c r="B123" s="2">
        <f>1-Zm</f>
        <v>0.7</v>
      </c>
      <c r="D123" t="s">
        <v>159</v>
      </c>
      <c r="E123" s="49" t="s">
        <v>59</v>
      </c>
      <c r="F123" s="42">
        <f>1-Xm</f>
        <v>0.72721871149132056</v>
      </c>
      <c r="H123" t="s">
        <v>165</v>
      </c>
      <c r="I123" s="5" t="s">
        <v>116</v>
      </c>
      <c r="J123" s="9">
        <f>10^(a_m-(b_m/(VaporT-273+c_m)))/(750.1)</f>
        <v>2.7523062678563215</v>
      </c>
      <c r="K123" t="s">
        <v>21</v>
      </c>
      <c r="L123" t="s">
        <v>171</v>
      </c>
    </row>
    <row r="124" spans="1:12" ht="18" x14ac:dyDescent="0.35">
      <c r="A124" s="5" t="s">
        <v>77</v>
      </c>
      <c r="B124">
        <v>1</v>
      </c>
      <c r="C124" t="s">
        <v>192</v>
      </c>
      <c r="D124" t="s">
        <v>160</v>
      </c>
      <c r="E124" s="67" t="s">
        <v>76</v>
      </c>
      <c r="F124" s="69">
        <v>0.73472990012528339</v>
      </c>
      <c r="G124" t="s">
        <v>192</v>
      </c>
      <c r="H124" t="s">
        <v>164</v>
      </c>
      <c r="I124" s="66" t="s">
        <v>68</v>
      </c>
      <c r="J124" s="50">
        <f>1-Ym</f>
        <v>0.62461117485535755</v>
      </c>
      <c r="L124" t="s">
        <v>173</v>
      </c>
    </row>
    <row r="125" spans="1:12" x14ac:dyDescent="0.3">
      <c r="A125" s="5" t="s">
        <v>102</v>
      </c>
      <c r="B125">
        <f>Zm*FeedM*CPLM*(FeedT-SST)</f>
        <v>4125</v>
      </c>
      <c r="C125" t="s">
        <v>34</v>
      </c>
      <c r="D125" t="s">
        <v>161</v>
      </c>
      <c r="E125" s="5" t="s">
        <v>106</v>
      </c>
      <c r="F125" s="36">
        <f>CPLM*Xm*LiquidM*(LiquidT-SST)</f>
        <v>1482.7140065735782</v>
      </c>
      <c r="G125" t="s">
        <v>34</v>
      </c>
      <c r="H125" t="s">
        <v>166</v>
      </c>
      <c r="I125" s="5" t="s">
        <v>117</v>
      </c>
      <c r="J125" s="35">
        <f>10^(a_e-(b_e/(VaporT-273+c_e)))/750.1</f>
        <v>1.7178083158660962</v>
      </c>
      <c r="K125" t="s">
        <v>21</v>
      </c>
      <c r="L125" t="s">
        <v>172</v>
      </c>
    </row>
    <row r="126" spans="1:12" ht="18" x14ac:dyDescent="0.35">
      <c r="A126" s="5" t="s">
        <v>103</v>
      </c>
      <c r="B126" s="3">
        <f>Ze*FeedM*CPLE*(FeedT-SST)</f>
        <v>14437.499999999998</v>
      </c>
      <c r="C126" t="s">
        <v>34</v>
      </c>
      <c r="D126" t="s">
        <v>162</v>
      </c>
      <c r="E126" s="5" t="s">
        <v>107</v>
      </c>
      <c r="F126" s="36">
        <f>CPLE*Xe*LiquidM*(LiquidT-SST)</f>
        <v>5929.2411986843226</v>
      </c>
      <c r="G126" t="s">
        <v>34</v>
      </c>
      <c r="H126" t="s">
        <v>167</v>
      </c>
      <c r="I126" s="66" t="s">
        <v>75</v>
      </c>
      <c r="J126" s="50">
        <f>FeedM-LiquidM</f>
        <v>0.26527009987471661</v>
      </c>
      <c r="K126" t="s">
        <v>192</v>
      </c>
      <c r="L126" t="s">
        <v>174</v>
      </c>
    </row>
    <row r="127" spans="1:12" x14ac:dyDescent="0.3">
      <c r="A127" s="5" t="s">
        <v>110</v>
      </c>
      <c r="B127" s="3">
        <f>FME+FEE</f>
        <v>18562.5</v>
      </c>
      <c r="C127" t="s">
        <v>34</v>
      </c>
      <c r="D127" t="s">
        <v>163</v>
      </c>
      <c r="E127" s="5" t="s">
        <v>108</v>
      </c>
      <c r="F127" s="3">
        <f>LME+LEE</f>
        <v>7411.9552052579011</v>
      </c>
      <c r="G127" t="s">
        <v>34</v>
      </c>
      <c r="H127" t="s">
        <v>168</v>
      </c>
      <c r="I127" s="5" t="s">
        <v>104</v>
      </c>
      <c r="J127" s="36">
        <f>1000*HOVM*Ym*VaporM+CPVM*Ym*VaporM*(VaporT-SST)</f>
        <v>3863.4073464494013</v>
      </c>
      <c r="K127" t="s">
        <v>34</v>
      </c>
      <c r="L127" t="s">
        <v>177</v>
      </c>
    </row>
    <row r="128" spans="1:12" x14ac:dyDescent="0.3">
      <c r="I128" s="5" t="s">
        <v>105</v>
      </c>
      <c r="J128" s="36">
        <f>1000*HOVE*Ye*VaporM+CPVE*Ye*VaporM*(VaporT-SST)</f>
        <v>7287.1374483639411</v>
      </c>
      <c r="K128" t="s">
        <v>34</v>
      </c>
      <c r="L128" t="s">
        <v>178</v>
      </c>
    </row>
    <row r="129" spans="1:12" x14ac:dyDescent="0.3">
      <c r="A129" t="s">
        <v>180</v>
      </c>
      <c r="C129" t="s">
        <v>187</v>
      </c>
      <c r="D129" t="s">
        <v>155</v>
      </c>
      <c r="I129" s="5" t="s">
        <v>109</v>
      </c>
      <c r="J129" s="36">
        <f>VME+VEE</f>
        <v>11150.544794813342</v>
      </c>
      <c r="K129" t="s">
        <v>34</v>
      </c>
      <c r="L129" t="s">
        <v>179</v>
      </c>
    </row>
    <row r="130" spans="1:12" ht="15.6" x14ac:dyDescent="0.3">
      <c r="A130" t="s">
        <v>182</v>
      </c>
      <c r="B130" t="s">
        <v>184</v>
      </c>
      <c r="C130" s="46">
        <f>Xe*psate-Ye*pout</f>
        <v>3.4250269287383617E-10</v>
      </c>
      <c r="D130" t="s">
        <v>188</v>
      </c>
    </row>
    <row r="131" spans="1:12" ht="15.6" x14ac:dyDescent="0.3">
      <c r="A131" t="s">
        <v>181</v>
      </c>
      <c r="B131" t="s">
        <v>185</v>
      </c>
      <c r="C131" s="46">
        <f>Xm*psatm-Ym*pout</f>
        <v>-1.7292278720049126E-10</v>
      </c>
      <c r="D131" t="s">
        <v>189</v>
      </c>
    </row>
    <row r="132" spans="1:12" ht="15.6" x14ac:dyDescent="0.3">
      <c r="A132" t="s">
        <v>183</v>
      </c>
      <c r="B132" t="s">
        <v>186</v>
      </c>
      <c r="C132" s="46">
        <f>FeedE-LiquidE-VaporE</f>
        <v>-7.1244357968680561E-8</v>
      </c>
      <c r="D132" t="s">
        <v>191</v>
      </c>
      <c r="H132" s="10" t="s">
        <v>193</v>
      </c>
    </row>
    <row r="133" spans="1:12" x14ac:dyDescent="0.3">
      <c r="H133" t="s">
        <v>194</v>
      </c>
    </row>
    <row r="134" spans="1:12" x14ac:dyDescent="0.3">
      <c r="H134" t="s">
        <v>195</v>
      </c>
    </row>
    <row r="135" spans="1:12" x14ac:dyDescent="0.3">
      <c r="H135" t="s">
        <v>196</v>
      </c>
    </row>
    <row r="136" spans="1:12" x14ac:dyDescent="0.3">
      <c r="H136" t="s">
        <v>197</v>
      </c>
    </row>
    <row r="137" spans="1:12" x14ac:dyDescent="0.3">
      <c r="H137" t="s">
        <v>198</v>
      </c>
    </row>
    <row r="138" spans="1:12" x14ac:dyDescent="0.3">
      <c r="H138" t="s">
        <v>199</v>
      </c>
    </row>
    <row r="144" spans="1:12" x14ac:dyDescent="0.3">
      <c r="A144" t="s">
        <v>190</v>
      </c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</sheetData>
  <mergeCells count="2">
    <mergeCell ref="E118:G118"/>
    <mergeCell ref="I118:K1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41</vt:i4>
      </vt:variant>
    </vt:vector>
  </HeadingPairs>
  <TitlesOfParts>
    <vt:vector size="43" baseType="lpstr">
      <vt:lpstr>Computation</vt:lpstr>
      <vt:lpstr>Directions</vt:lpstr>
      <vt:lpstr>a_e</vt:lpstr>
      <vt:lpstr>a_m</vt:lpstr>
      <vt:lpstr>b_e</vt:lpstr>
      <vt:lpstr>b_m</vt:lpstr>
      <vt:lpstr>c_e</vt:lpstr>
      <vt:lpstr>c_m</vt:lpstr>
      <vt:lpstr>CPLE</vt:lpstr>
      <vt:lpstr>CPLM</vt:lpstr>
      <vt:lpstr>CPVE</vt:lpstr>
      <vt:lpstr>CPVM</vt:lpstr>
      <vt:lpstr>Energy</vt:lpstr>
      <vt:lpstr>EthVLE</vt:lpstr>
      <vt:lpstr>FEE</vt:lpstr>
      <vt:lpstr>FeedE</vt:lpstr>
      <vt:lpstr>FeedM</vt:lpstr>
      <vt:lpstr>FeedT</vt:lpstr>
      <vt:lpstr>FME</vt:lpstr>
      <vt:lpstr>HOVE</vt:lpstr>
      <vt:lpstr>HOVM</vt:lpstr>
      <vt:lpstr>LEE</vt:lpstr>
      <vt:lpstr>LiquidE</vt:lpstr>
      <vt:lpstr>LiquidM</vt:lpstr>
      <vt:lpstr>LiquidT</vt:lpstr>
      <vt:lpstr>LME</vt:lpstr>
      <vt:lpstr>MethVLE</vt:lpstr>
      <vt:lpstr>MethVLE1</vt:lpstr>
      <vt:lpstr>pout</vt:lpstr>
      <vt:lpstr>psate</vt:lpstr>
      <vt:lpstr>psatm</vt:lpstr>
      <vt:lpstr>SST</vt:lpstr>
      <vt:lpstr>VaporE</vt:lpstr>
      <vt:lpstr>VaporM</vt:lpstr>
      <vt:lpstr>VaporT</vt:lpstr>
      <vt:lpstr>VEE</vt:lpstr>
      <vt:lpstr>VME</vt:lpstr>
      <vt:lpstr>Xe</vt:lpstr>
      <vt:lpstr>Xm</vt:lpstr>
      <vt:lpstr>Ye</vt:lpstr>
      <vt:lpstr>Ym</vt:lpstr>
      <vt:lpstr>Ze</vt:lpstr>
      <vt:lpstr>Zm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John L. Falconer</cp:lastModifiedBy>
  <dcterms:created xsi:type="dcterms:W3CDTF">2015-02-15T23:53:57Z</dcterms:created>
  <dcterms:modified xsi:type="dcterms:W3CDTF">2015-03-12T23:39:04Z</dcterms:modified>
</cp:coreProperties>
</file>