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59 PREOS for mixtures\"/>
    </mc:Choice>
  </mc:AlternateContent>
  <bookViews>
    <workbookView xWindow="0" yWindow="0" windowWidth="15345" windowHeight="4650" tabRatio="731" firstSheet="1" activeTab="4"/>
  </bookViews>
  <sheets>
    <sheet name="Don't mess it up" sheetId="4" r:id="rId1"/>
    <sheet name="critical prop" sheetId="1" r:id="rId2"/>
    <sheet name="Raoults" sheetId="5" r:id="rId3"/>
    <sheet name="LIQ" sheetId="2" r:id="rId4"/>
    <sheet name="VAP" sheetId="3" r:id="rId5"/>
  </sheets>
  <definedNames>
    <definedName name="Am">LIQ!$O$20</definedName>
    <definedName name="Amv">VAP!$O$20</definedName>
    <definedName name="Bm">LIQ!$O$21</definedName>
    <definedName name="Bmv">VAP!$O$21</definedName>
    <definedName name="kappa">LIQ!$D$21:$D$22</definedName>
    <definedName name="P">LIQ!$B$12</definedName>
    <definedName name="Pc">LIQ!$D$7:$D$8</definedName>
    <definedName name="Pr">LIQ!$C$21:$C$22</definedName>
    <definedName name="Psat1">Raoults!$F$4</definedName>
    <definedName name="Psat2">Raoults!$F$5</definedName>
    <definedName name="Px">Raoults!$C$7</definedName>
    <definedName name="Rgas">LIQ!$N$23</definedName>
    <definedName name="T">LIQ!$B$11</definedName>
    <definedName name="Tc">LIQ!$C$7:$C$8</definedName>
    <definedName name="theta1">LIQ!$J$6</definedName>
    <definedName name="theta2">LIQ!$J$7</definedName>
    <definedName name="Tr">LIQ!$B$21:$B$22</definedName>
    <definedName name="w">LIQ!$E$7:$E$8</definedName>
    <definedName name="xi">LIQ!$B$7:$B$8</definedName>
    <definedName name="y1calc">Raoults!$C$8</definedName>
    <definedName name="yi">VAP!$B$7:$B$8</definedName>
    <definedName name="Z">LIQ!$C$13:$C$16</definedName>
    <definedName name="Zv">VAP!$C$13:$C$16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F4" i="5"/>
  <c r="B5" i="5"/>
  <c r="B4" i="5"/>
  <c r="E13" i="3" l="1" a="1"/>
  <c r="A8" i="3" l="1"/>
  <c r="I7" i="3" s="1"/>
  <c r="A7" i="3"/>
  <c r="A21" i="3" s="1"/>
  <c r="C8" i="3"/>
  <c r="D8" i="3"/>
  <c r="E8" i="3"/>
  <c r="D7" i="3"/>
  <c r="E7" i="3"/>
  <c r="C7" i="3"/>
  <c r="B11" i="3"/>
  <c r="H13" i="3" a="1"/>
  <c r="O21" i="3" a="1"/>
  <c r="D13" i="3" a="1"/>
  <c r="J6" i="3"/>
  <c r="H22" i="3"/>
  <c r="H21" i="3"/>
  <c r="J21" i="3" s="1" a="1"/>
  <c r="H21" i="3" a="1"/>
  <c r="F22" i="3"/>
  <c r="F21" i="3" a="1"/>
  <c r="F21" i="3" s="1"/>
  <c r="E21" i="3" a="1"/>
  <c r="D21" i="3" a="1"/>
  <c r="D22" i="3" s="1"/>
  <c r="C21" i="3" a="1"/>
  <c r="B22" i="3"/>
  <c r="B21" i="3"/>
  <c r="B21" i="3" a="1"/>
  <c r="H16" i="2" a="1"/>
  <c r="H15" i="2" a="1"/>
  <c r="H13" i="2" a="1"/>
  <c r="I6" i="3" l="1"/>
  <c r="F6" i="3" a="1"/>
  <c r="G6" i="3" s="1"/>
  <c r="I21" i="3" a="1"/>
  <c r="A22" i="3"/>
  <c r="D21" i="3"/>
  <c r="A21" i="2"/>
  <c r="B8" i="2"/>
  <c r="D8" i="2"/>
  <c r="E8" i="2"/>
  <c r="C8" i="2"/>
  <c r="D7" i="2"/>
  <c r="C21" i="2" s="1" a="1"/>
  <c r="E7" i="2"/>
  <c r="D21" i="2" s="1" a="1"/>
  <c r="D21" i="2" s="1"/>
  <c r="C7" i="2"/>
  <c r="A8" i="2"/>
  <c r="A22" i="2" s="1"/>
  <c r="A7" i="2"/>
  <c r="F6" i="2" s="1" a="1"/>
  <c r="F6" i="2" s="1"/>
  <c r="J7" i="3" l="1"/>
  <c r="C7" i="5"/>
  <c r="F6" i="3"/>
  <c r="F12" i="3" s="1"/>
  <c r="K20" i="3"/>
  <c r="H12" i="3"/>
  <c r="G12" i="3"/>
  <c r="L20" i="3"/>
  <c r="I12" i="3"/>
  <c r="K20" i="2"/>
  <c r="H12" i="2"/>
  <c r="F12" i="2"/>
  <c r="B21" i="2" a="1"/>
  <c r="H21" i="2" a="1"/>
  <c r="F21" i="2" a="1"/>
  <c r="D22" i="2"/>
  <c r="G6" i="2"/>
  <c r="B12" i="2" l="1"/>
  <c r="C21" i="2" s="1"/>
  <c r="C8" i="5"/>
  <c r="B7" i="3" s="1"/>
  <c r="I12" i="2"/>
  <c r="G12" i="2"/>
  <c r="L20" i="2"/>
  <c r="F21" i="2"/>
  <c r="F22" i="2"/>
  <c r="H21" i="2"/>
  <c r="H22" i="2"/>
  <c r="B21" i="2"/>
  <c r="B22" i="2"/>
  <c r="E22" i="3" s="1"/>
  <c r="G22" i="3" s="1"/>
  <c r="I22" i="3" l="1"/>
  <c r="L22" i="3" s="1"/>
  <c r="C22" i="3"/>
  <c r="J21" i="3"/>
  <c r="C22" i="2"/>
  <c r="C21" i="3"/>
  <c r="J22" i="3"/>
  <c r="B12" i="3"/>
  <c r="L6" i="3"/>
  <c r="L7" i="3" s="1"/>
  <c r="B8" i="3"/>
  <c r="E21" i="2" a="1"/>
  <c r="E21" i="3"/>
  <c r="G21" i="3" s="1"/>
  <c r="E22" i="2"/>
  <c r="G22" i="2" s="1"/>
  <c r="E21" i="2"/>
  <c r="G21" i="2" s="1"/>
  <c r="J21" i="2" a="1"/>
  <c r="O21" i="3" l="1"/>
  <c r="A28" i="3" s="1"/>
  <c r="I21" i="2" a="1"/>
  <c r="F8" i="2"/>
  <c r="F8" i="3"/>
  <c r="I21" i="3"/>
  <c r="H16" i="3" a="1"/>
  <c r="H15" i="3" a="1"/>
  <c r="J21" i="2"/>
  <c r="J22" i="2"/>
  <c r="I22" i="2"/>
  <c r="L22" i="2" s="1"/>
  <c r="I21" i="2"/>
  <c r="K22" i="3" l="1"/>
  <c r="L21" i="3" s="1"/>
  <c r="K21" i="3"/>
  <c r="K21" i="2"/>
  <c r="K22" i="2"/>
  <c r="L21" i="2" s="1"/>
  <c r="O21" i="2" a="1"/>
  <c r="O21" i="2" s="1"/>
  <c r="O20" i="3" l="1" a="1"/>
  <c r="O20" i="3" s="1"/>
  <c r="A28" i="2"/>
  <c r="O20" i="2" a="1"/>
  <c r="O20" i="2" s="1"/>
  <c r="C28" i="3" l="1"/>
  <c r="B28" i="3"/>
  <c r="D28" i="3" s="1"/>
  <c r="B28" i="2"/>
  <c r="C28" i="2"/>
  <c r="E28" i="3" l="1"/>
  <c r="H26" i="3" s="1"/>
  <c r="A36" i="3"/>
  <c r="D28" i="2"/>
  <c r="A36" i="2" s="1"/>
  <c r="E28" i="2"/>
  <c r="H26" i="2" s="1"/>
  <c r="A32" i="3" l="1"/>
  <c r="B32" i="3"/>
  <c r="B36" i="3"/>
  <c r="C36" i="3" s="1"/>
  <c r="D36" i="3" s="1"/>
  <c r="E36" i="3" s="1"/>
  <c r="C13" i="3" s="1"/>
  <c r="A32" i="2"/>
  <c r="B36" i="2"/>
  <c r="C36" i="2" s="1"/>
  <c r="D36" i="2" s="1"/>
  <c r="E36" i="2" s="1"/>
  <c r="C13" i="2" l="1"/>
  <c r="F13" i="2" s="1" a="1"/>
  <c r="F13" i="2" s="1"/>
  <c r="E13" i="3"/>
  <c r="F13" i="3" a="1"/>
  <c r="C32" i="3"/>
  <c r="C16" i="3" s="1"/>
  <c r="G36" i="3"/>
  <c r="C15" i="3" s="1"/>
  <c r="F36" i="3"/>
  <c r="C14" i="3" s="1"/>
  <c r="D13" i="3"/>
  <c r="B32" i="2"/>
  <c r="C32" i="2" s="1"/>
  <c r="C16" i="2" s="1"/>
  <c r="F36" i="2"/>
  <c r="C14" i="2" s="1"/>
  <c r="E13" i="2" s="1" a="1"/>
  <c r="G36" i="2"/>
  <c r="C15" i="2" s="1"/>
  <c r="E13" i="2"/>
  <c r="D13" i="2" a="1"/>
  <c r="G13" i="2" l="1"/>
  <c r="I13" i="2" s="1"/>
  <c r="D14" i="3"/>
  <c r="E14" i="3"/>
  <c r="E15" i="3"/>
  <c r="F15" i="3" a="1"/>
  <c r="F13" i="3"/>
  <c r="H13" i="3" s="1"/>
  <c r="G13" i="3"/>
  <c r="I13" i="3" s="1"/>
  <c r="D16" i="3"/>
  <c r="E16" i="3"/>
  <c r="F16" i="3" a="1"/>
  <c r="D15" i="3"/>
  <c r="E15" i="2"/>
  <c r="F15" i="2" a="1"/>
  <c r="E16" i="2"/>
  <c r="F16" i="2" a="1"/>
  <c r="H13" i="2"/>
  <c r="E14" i="2"/>
  <c r="D13" i="2"/>
  <c r="D16" i="2"/>
  <c r="D15" i="2"/>
  <c r="D14" i="2"/>
  <c r="F15" i="3" l="1"/>
  <c r="H15" i="3" s="1"/>
  <c r="G15" i="3"/>
  <c r="I15" i="3" s="1"/>
  <c r="G16" i="3"/>
  <c r="I16" i="3" s="1"/>
  <c r="F16" i="3"/>
  <c r="H16" i="3" s="1"/>
  <c r="G16" i="2"/>
  <c r="I16" i="2" s="1"/>
  <c r="F16" i="2"/>
  <c r="G15" i="2"/>
  <c r="I15" i="2" s="1"/>
  <c r="F15" i="2"/>
  <c r="H15" i="2" s="1"/>
  <c r="K6" i="3" l="1" a="1"/>
  <c r="M6" i="3" a="1"/>
  <c r="M7" i="3" s="1"/>
  <c r="H16" i="2"/>
  <c r="K7" i="3" l="1"/>
  <c r="N7" i="3" s="1"/>
  <c r="O7" i="3" s="1"/>
  <c r="K6" i="3"/>
  <c r="M6" i="3"/>
  <c r="N6" i="3" l="1"/>
  <c r="O6" i="3"/>
  <c r="O8" i="3" s="1"/>
  <c r="P6" i="3" s="1"/>
  <c r="P7" i="3" l="1"/>
  <c r="P8" i="3" s="1"/>
</calcChain>
</file>

<file path=xl/sharedStrings.xml><?xml version="1.0" encoding="utf-8"?>
<sst xmlns="http://schemas.openxmlformats.org/spreadsheetml/2006/main" count="248" uniqueCount="183">
  <si>
    <t>Critical properties from the endflap.</t>
  </si>
  <si>
    <t>PROPERTIES OF SELECTED COMPOUNDS</t>
  </si>
  <si>
    <t xml:space="preserve">Heat capacities are values for vapor at 298 K and should be used for order of </t>
  </si>
  <si>
    <t xml:space="preserve">magnitude calculations only.  See appendices for temperature dependent formulas </t>
  </si>
  <si>
    <t>and constants.</t>
  </si>
  <si>
    <t>Hint: To transfer values to the other worksheets, copy the desired cells, then use Paste Special... Values....</t>
  </si>
  <si>
    <t>in order to preserve the formats of the cells.</t>
  </si>
  <si>
    <t>Compound</t>
  </si>
  <si>
    <t>Tc(K)</t>
  </si>
  <si>
    <t>Pc(MPa)</t>
  </si>
  <si>
    <t>w</t>
  </si>
  <si>
    <t>Zc</t>
  </si>
  <si>
    <t>CP/R</t>
  </si>
  <si>
    <t>Paraffins</t>
  </si>
  <si>
    <t>METHANE</t>
  </si>
  <si>
    <t>ETHANE</t>
  </si>
  <si>
    <t>PROPANE</t>
  </si>
  <si>
    <t>n-BUTANE</t>
  </si>
  <si>
    <t>ISOBUTANE</t>
  </si>
  <si>
    <t>n-PENTANE</t>
  </si>
  <si>
    <t>ISOPENTANE</t>
  </si>
  <si>
    <t>NEOPENTANE</t>
  </si>
  <si>
    <t>n-HEXANE</t>
  </si>
  <si>
    <t>n-HEPTANE</t>
  </si>
  <si>
    <t>n-OCTANE</t>
  </si>
  <si>
    <t>n-NONANE</t>
  </si>
  <si>
    <t>n-DECANE</t>
  </si>
  <si>
    <t>n-DODECANE</t>
  </si>
  <si>
    <t>n-TETRADECANE</t>
  </si>
  <si>
    <t>n-HEXADECANE</t>
  </si>
  <si>
    <t>Naphthenes</t>
  </si>
  <si>
    <t>CYCLOPENTANE</t>
  </si>
  <si>
    <t>METHYLCYCLOPENTANE</t>
  </si>
  <si>
    <t>CYCLOHEXANE</t>
  </si>
  <si>
    <t>METHYLCYCLOHEXANE</t>
  </si>
  <si>
    <t>Olefins and Acetylene</t>
  </si>
  <si>
    <t>ETHYLENE</t>
  </si>
  <si>
    <t>PROPYLENE</t>
  </si>
  <si>
    <t>1-BUTENE</t>
  </si>
  <si>
    <t>ISOBUTENE</t>
  </si>
  <si>
    <t>1-PENTENE</t>
  </si>
  <si>
    <t>ACETYLENE</t>
  </si>
  <si>
    <t>1,3-BUTADIENE</t>
  </si>
  <si>
    <t>ISOPRENE</t>
  </si>
  <si>
    <t>Aromatics</t>
  </si>
  <si>
    <t>BENZENE</t>
  </si>
  <si>
    <t>TOLUENE</t>
  </si>
  <si>
    <t>ETHYLBENZENE</t>
  </si>
  <si>
    <t>o-XYLENE</t>
  </si>
  <si>
    <t>m-XYLENE</t>
  </si>
  <si>
    <t>p-XYLENE</t>
  </si>
  <si>
    <t>CUMENE</t>
  </si>
  <si>
    <t>BIPHENYL</t>
  </si>
  <si>
    <t>DIPHENYLMETHANE</t>
  </si>
  <si>
    <t>NAPHTHALENE</t>
  </si>
  <si>
    <t>1-METHYLNAPHTHALENE</t>
  </si>
  <si>
    <t>TETRALIN</t>
  </si>
  <si>
    <t>Oxygenated</t>
  </si>
  <si>
    <t>Hydrocarbons</t>
  </si>
  <si>
    <t>METHANOL</t>
  </si>
  <si>
    <t>ETHANOL</t>
  </si>
  <si>
    <t>PROPANOL</t>
  </si>
  <si>
    <t>ISOPROPANOL</t>
  </si>
  <si>
    <t>1-BUTANOL</t>
  </si>
  <si>
    <t>ISOBUTANOL</t>
  </si>
  <si>
    <t>THF</t>
  </si>
  <si>
    <t>###</t>
  </si>
  <si>
    <t>DIETHYL ETHER</t>
  </si>
  <si>
    <t>#</t>
  </si>
  <si>
    <t>ETHYLENE OXIDE</t>
  </si>
  <si>
    <t>METHYL ETHYL KETONE</t>
  </si>
  <si>
    <t>Halocarbons</t>
  </si>
  <si>
    <t>FREON-12(CCl2F2)</t>
  </si>
  <si>
    <t>FREON-22(CClF2)</t>
  </si>
  <si>
    <t>FREON-11(CCl3F)</t>
  </si>
  <si>
    <t>FREON-113(C2Cl3F3)</t>
  </si>
  <si>
    <t>METHYL CHLORIDE</t>
  </si>
  <si>
    <t>CHLOROFORM(CHCl3)</t>
  </si>
  <si>
    <t>CARBON TETRACHLORIDE</t>
  </si>
  <si>
    <t>CHLOROBENZENE</t>
  </si>
  <si>
    <t>Gases</t>
  </si>
  <si>
    <t>ARGON</t>
  </si>
  <si>
    <t>BROMINE</t>
  </si>
  <si>
    <t>CHLORINE</t>
  </si>
  <si>
    <t>HELIUM-4</t>
  </si>
  <si>
    <t>KRYPTON</t>
  </si>
  <si>
    <t>NEON</t>
  </si>
  <si>
    <t>XENON</t>
  </si>
  <si>
    <t>NITRIC OXIDE</t>
  </si>
  <si>
    <t>NITROUS OXIDE</t>
  </si>
  <si>
    <t>SULFUR DIOXIDE</t>
  </si>
  <si>
    <t>SULFUR TRIOXIDE</t>
  </si>
  <si>
    <t>OXYGEN</t>
  </si>
  <si>
    <t>HYDROGEN</t>
  </si>
  <si>
    <t>NITROGEN</t>
  </si>
  <si>
    <t>CARBON MONOXIDE</t>
  </si>
  <si>
    <t>CARBON DIOXIDE</t>
  </si>
  <si>
    <t>Nasty gases</t>
  </si>
  <si>
    <t>HYDROGEN SULFIDE</t>
  </si>
  <si>
    <t>CARBON DISULFIDE</t>
  </si>
  <si>
    <t>HYDRAZINE(N2H4)</t>
  </si>
  <si>
    <t>HYDROGEN CHLORIDE</t>
  </si>
  <si>
    <t>HYDROGEN CYANIDE</t>
  </si>
  <si>
    <t>Miscellaneous Compounds</t>
  </si>
  <si>
    <t>ACETONE</t>
  </si>
  <si>
    <t>ACETONITRILE</t>
  </si>
  <si>
    <t>ACETIC ACID</t>
  </si>
  <si>
    <t>AMMONIA</t>
  </si>
  <si>
    <t>WATER</t>
  </si>
  <si>
    <t>Peng-Robinson Equation of State (Mixture)</t>
  </si>
  <si>
    <t>kij</t>
  </si>
  <si>
    <t>Component</t>
  </si>
  <si>
    <t>Tc (K)</t>
  </si>
  <si>
    <t>Pc (MPa)</t>
  </si>
  <si>
    <t>Current State</t>
  </si>
  <si>
    <t>Roots</t>
  </si>
  <si>
    <t>T (K)</t>
  </si>
  <si>
    <t>Z</t>
  </si>
  <si>
    <t>V</t>
  </si>
  <si>
    <t>fugacity</t>
  </si>
  <si>
    <t>P (MPa)</t>
  </si>
  <si>
    <t>MPa</t>
  </si>
  <si>
    <t>A</t>
  </si>
  <si>
    <t>B</t>
  </si>
  <si>
    <t>Tr</t>
  </si>
  <si>
    <t>Pr</t>
  </si>
  <si>
    <t>a</t>
  </si>
  <si>
    <t>ac</t>
  </si>
  <si>
    <t>b</t>
  </si>
  <si>
    <t>Solution to Cubic</t>
  </si>
  <si>
    <t>p</t>
  </si>
  <si>
    <t>q</t>
  </si>
  <si>
    <t>Method 1 - For region with one real root</t>
  </si>
  <si>
    <t>P</t>
  </si>
  <si>
    <t>Q</t>
  </si>
  <si>
    <t>m</t>
  </si>
  <si>
    <t>3q/pm</t>
  </si>
  <si>
    <t>ω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</si>
  <si>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/gmol</t>
    </r>
  </si>
  <si>
    <t>comp fugacity coeff</t>
  </si>
  <si>
    <t>comp fugacity (MPa)</t>
  </si>
  <si>
    <t>answers for 3 root</t>
  </si>
  <si>
    <t>1 root</t>
  </si>
  <si>
    <t>κ</t>
  </si>
  <si>
    <t>α</t>
  </si>
  <si>
    <r>
      <t>Z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Z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Z + 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0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</si>
  <si>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</si>
  <si>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</si>
  <si>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</si>
  <si>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R = q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/4 + 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/27 =</t>
    </r>
  </si>
  <si>
    <t>R &lt; 0, three roots</t>
  </si>
  <si>
    <t>R &gt; 0, one root</t>
  </si>
  <si>
    <t>x</t>
  </si>
  <si>
    <t>Method 2 - For region with three unequal roots</t>
  </si>
  <si>
    <r>
      <t>3*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1</t>
    </r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</si>
  <si>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1</t>
    </r>
  </si>
  <si>
    <t>x1</t>
  </si>
  <si>
    <t>x2</t>
  </si>
  <si>
    <t>x3</t>
  </si>
  <si>
    <t>Mixture</t>
  </si>
  <si>
    <r>
      <t>R (cm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Pa/molK)</t>
    </r>
  </si>
  <si>
    <r>
      <t>y</t>
    </r>
    <r>
      <rPr>
        <vertAlign val="subscript"/>
        <sz val="11"/>
        <color theme="1"/>
        <rFont val="Calibri"/>
        <family val="2"/>
        <scheme val="minor"/>
      </rPr>
      <t>i</t>
    </r>
  </si>
  <si>
    <t>xi</t>
  </si>
  <si>
    <t>fug coef L</t>
  </si>
  <si>
    <t>yi guess</t>
  </si>
  <si>
    <t>fug coef V</t>
  </si>
  <si>
    <t>Ki</t>
  </si>
  <si>
    <t>yi=Ki*xi</t>
  </si>
  <si>
    <t>yi norm</t>
  </si>
  <si>
    <t>sum yi</t>
  </si>
  <si>
    <t xml:space="preserve">Only change blue cells. </t>
  </si>
  <si>
    <t>Grey cells should not be changed.</t>
  </si>
  <si>
    <t>Change pressure and temperature on "LIQ" sheet only.</t>
  </si>
  <si>
    <t>Lowest fugacity automatically used for yi calculations in "VAP".</t>
  </si>
  <si>
    <t>kij is calculated (for alkane/alkane).</t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</si>
  <si>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2</t>
    </r>
  </si>
  <si>
    <r>
      <t>θ</t>
    </r>
    <r>
      <rPr>
        <vertAlign val="subscript"/>
        <sz val="11"/>
        <color theme="1"/>
        <rFont val="Calibri"/>
        <family val="2"/>
      </rPr>
      <t>1</t>
    </r>
  </si>
  <si>
    <t>source</t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</si>
  <si>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</si>
  <si>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t>C</t>
  </si>
  <si>
    <t>Psat</t>
  </si>
  <si>
    <t>Px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</si>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</sst>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70C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18" xfId="0" applyBorder="1"/>
    <xf numFmtId="0" fontId="0" fillId="0" borderId="12" xfId="0" applyBorder="1"/>
    <xf numFmtId="0" fontId="0" fillId="0" borderId="19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5" fillId="0" borderId="3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26" xfId="0" applyBorder="1"/>
    <xf numFmtId="0" fontId="4" fillId="0" borderId="18" xfId="0" applyFont="1" applyBorder="1"/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/>
    <xf numFmtId="0" fontId="0" fillId="0" borderId="20" xfId="0" applyBorder="1"/>
    <xf numFmtId="0" fontId="0" fillId="0" borderId="28" xfId="0" applyBorder="1"/>
    <xf numFmtId="0" fontId="0" fillId="0" borderId="21" xfId="0" applyBorder="1"/>
    <xf numFmtId="0" fontId="0" fillId="0" borderId="18" xfId="0" applyBorder="1" applyAlignment="1">
      <alignment horizontal="center" vertical="center"/>
    </xf>
    <xf numFmtId="0" fontId="0" fillId="0" borderId="29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7" xfId="0" applyFont="1" applyBorder="1"/>
    <xf numFmtId="0" fontId="9" fillId="0" borderId="15" xfId="0" applyFont="1" applyBorder="1"/>
    <xf numFmtId="0" fontId="10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11" fillId="0" borderId="1" xfId="0" applyFont="1" applyBorder="1"/>
    <xf numFmtId="0" fontId="11" fillId="0" borderId="3" xfId="0" applyFont="1" applyBorder="1"/>
    <xf numFmtId="0" fontId="11" fillId="0" borderId="7" xfId="0" applyFont="1" applyBorder="1"/>
    <xf numFmtId="0" fontId="11" fillId="0" borderId="8" xfId="0" applyFont="1" applyBorder="1"/>
    <xf numFmtId="0" fontId="11" fillId="0" borderId="0" xfId="0" applyFont="1"/>
    <xf numFmtId="0" fontId="10" fillId="0" borderId="18" xfId="0" applyFont="1" applyBorder="1" applyAlignment="1">
      <alignment horizontal="right" vertical="center"/>
    </xf>
    <xf numFmtId="0" fontId="10" fillId="0" borderId="18" xfId="0" applyFont="1" applyBorder="1" applyAlignment="1">
      <alignment horizontal="right"/>
    </xf>
    <xf numFmtId="0" fontId="4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12" fillId="0" borderId="26" xfId="2" applyBorder="1" applyAlignment="1">
      <alignment horizontal="center"/>
    </xf>
    <xf numFmtId="0" fontId="12" fillId="0" borderId="30" xfId="2" applyBorder="1" applyAlignment="1">
      <alignment horizontal="center"/>
    </xf>
    <xf numFmtId="0" fontId="0" fillId="2" borderId="18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cademia.edu/2066140/Semi-empirical_correlation_for_binary_interaction_parameters_of_the_Peng_Robinson_equation_of_state_with_the_van_der_Waals_mixing_rules_for_the_prediction_of_high-pressure_vapor_liquid_equilibr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showGridLines="0" workbookViewId="0">
      <selection activeCell="D11" sqref="D11"/>
    </sheetView>
  </sheetViews>
  <sheetFormatPr defaultRowHeight="15" x14ac:dyDescent="0.25"/>
  <sheetData>
    <row r="3" spans="2:2" x14ac:dyDescent="0.25">
      <c r="B3" t="s">
        <v>170</v>
      </c>
    </row>
    <row r="4" spans="2:2" x14ac:dyDescent="0.25">
      <c r="B4" t="s">
        <v>174</v>
      </c>
    </row>
    <row r="5" spans="2:2" x14ac:dyDescent="0.25">
      <c r="B5" t="s">
        <v>171</v>
      </c>
    </row>
    <row r="6" spans="2:2" x14ac:dyDescent="0.25">
      <c r="B6" t="s">
        <v>172</v>
      </c>
    </row>
    <row r="7" spans="2:2" x14ac:dyDescent="0.25">
      <c r="B7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B8" sqref="B8"/>
    </sheetView>
  </sheetViews>
  <sheetFormatPr defaultRowHeight="15" x14ac:dyDescent="0.25"/>
  <cols>
    <col min="1" max="1" width="4.140625" customWidth="1"/>
    <col min="3" max="3" width="23.5703125" bestFit="1" customWidth="1"/>
  </cols>
  <sheetData>
    <row r="1" spans="1:8" x14ac:dyDescent="0.25">
      <c r="A1" s="1"/>
      <c r="B1" s="1" t="s">
        <v>0</v>
      </c>
      <c r="C1" s="1"/>
    </row>
    <row r="2" spans="1:8" x14ac:dyDescent="0.25">
      <c r="B2" t="s">
        <v>1</v>
      </c>
    </row>
    <row r="3" spans="1:8" x14ac:dyDescent="0.25">
      <c r="B3" t="s">
        <v>2</v>
      </c>
    </row>
    <row r="4" spans="1:8" x14ac:dyDescent="0.25">
      <c r="B4" t="s">
        <v>3</v>
      </c>
    </row>
    <row r="5" spans="1:8" x14ac:dyDescent="0.25">
      <c r="B5" t="s">
        <v>4</v>
      </c>
    </row>
    <row r="7" spans="1:8" x14ac:dyDescent="0.25">
      <c r="B7" s="2" t="s">
        <v>5</v>
      </c>
    </row>
    <row r="8" spans="1:8" x14ac:dyDescent="0.25">
      <c r="B8" s="2" t="s">
        <v>6</v>
      </c>
    </row>
    <row r="10" spans="1:8" x14ac:dyDescent="0.25"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25">
      <c r="B11" t="s">
        <v>13</v>
      </c>
    </row>
    <row r="12" spans="1:8" x14ac:dyDescent="0.25">
      <c r="B12">
        <v>1</v>
      </c>
      <c r="C12" t="s">
        <v>14</v>
      </c>
      <c r="D12">
        <v>190.6</v>
      </c>
      <c r="E12">
        <v>4.6040000000000001</v>
      </c>
      <c r="F12">
        <v>1.0999999999999999E-2</v>
      </c>
      <c r="G12">
        <v>0.28799999999999998</v>
      </c>
      <c r="H12">
        <v>4.298</v>
      </c>
    </row>
    <row r="13" spans="1:8" x14ac:dyDescent="0.25">
      <c r="B13">
        <v>2</v>
      </c>
      <c r="C13" t="s">
        <v>15</v>
      </c>
      <c r="D13">
        <v>305.39999999999998</v>
      </c>
      <c r="E13">
        <v>4.88</v>
      </c>
      <c r="F13">
        <v>9.9000000000000005E-2</v>
      </c>
      <c r="G13">
        <v>0.28399999999999997</v>
      </c>
      <c r="H13">
        <v>6.3120000000000003</v>
      </c>
    </row>
    <row r="14" spans="1:8" x14ac:dyDescent="0.25">
      <c r="B14">
        <v>3</v>
      </c>
      <c r="C14" t="s">
        <v>16</v>
      </c>
      <c r="D14">
        <v>369.8</v>
      </c>
      <c r="E14">
        <v>4.2489999999999997</v>
      </c>
      <c r="F14">
        <v>0.152</v>
      </c>
      <c r="G14">
        <v>0.28100000000000003</v>
      </c>
      <c r="H14">
        <v>8.8510000000000009</v>
      </c>
    </row>
    <row r="15" spans="1:8" x14ac:dyDescent="0.25">
      <c r="B15">
        <v>4</v>
      </c>
      <c r="C15" t="s">
        <v>17</v>
      </c>
      <c r="D15">
        <v>425.2</v>
      </c>
      <c r="E15">
        <v>3.7970000000000002</v>
      </c>
      <c r="F15">
        <v>0.193</v>
      </c>
      <c r="G15">
        <v>0.27400000000000002</v>
      </c>
      <c r="H15">
        <v>11.89</v>
      </c>
    </row>
    <row r="16" spans="1:8" x14ac:dyDescent="0.25">
      <c r="B16">
        <v>5</v>
      </c>
      <c r="C16" t="s">
        <v>18</v>
      </c>
      <c r="D16">
        <v>408.1</v>
      </c>
      <c r="E16">
        <v>3.6480000000000001</v>
      </c>
      <c r="F16">
        <v>0.17699999999999999</v>
      </c>
      <c r="G16">
        <v>0.28199999999999997</v>
      </c>
      <c r="H16">
        <v>11.695</v>
      </c>
    </row>
    <row r="17" spans="2:8" x14ac:dyDescent="0.25">
      <c r="B17">
        <v>7</v>
      </c>
      <c r="C17" t="s">
        <v>19</v>
      </c>
      <c r="D17">
        <v>469.7</v>
      </c>
      <c r="E17">
        <v>3.3690000000000002</v>
      </c>
      <c r="F17">
        <v>0.249</v>
      </c>
      <c r="G17">
        <v>0.26900000000000002</v>
      </c>
      <c r="H17">
        <v>14.446</v>
      </c>
    </row>
    <row r="18" spans="2:8" x14ac:dyDescent="0.25">
      <c r="B18">
        <v>8</v>
      </c>
      <c r="C18" t="s">
        <v>20</v>
      </c>
      <c r="D18">
        <v>460.4</v>
      </c>
      <c r="E18">
        <v>3.3809999999999998</v>
      </c>
      <c r="F18">
        <v>0.22800000000000001</v>
      </c>
      <c r="G18">
        <v>0.27</v>
      </c>
    </row>
    <row r="19" spans="2:8" x14ac:dyDescent="0.25">
      <c r="B19">
        <v>9</v>
      </c>
      <c r="C19" t="s">
        <v>21</v>
      </c>
      <c r="D19">
        <v>433.8</v>
      </c>
      <c r="E19">
        <v>3.1989999999999998</v>
      </c>
      <c r="F19">
        <v>0.19600000000000001</v>
      </c>
      <c r="G19">
        <v>0.26900000000000002</v>
      </c>
    </row>
    <row r="20" spans="2:8" x14ac:dyDescent="0.25">
      <c r="B20">
        <v>11</v>
      </c>
      <c r="C20" t="s">
        <v>22</v>
      </c>
      <c r="D20">
        <v>507.4</v>
      </c>
      <c r="E20">
        <v>3.012</v>
      </c>
      <c r="F20">
        <v>0.30499999999999999</v>
      </c>
      <c r="G20">
        <v>0.26400000000000001</v>
      </c>
      <c r="H20">
        <v>17.212</v>
      </c>
    </row>
    <row r="21" spans="2:8" x14ac:dyDescent="0.25">
      <c r="B21">
        <v>17</v>
      </c>
      <c r="C21" t="s">
        <v>23</v>
      </c>
      <c r="D21">
        <v>540.29999999999995</v>
      </c>
      <c r="E21">
        <v>2.7360000000000002</v>
      </c>
      <c r="F21">
        <v>0.34899999999999998</v>
      </c>
      <c r="G21">
        <v>0.26300000000000001</v>
      </c>
      <c r="H21">
        <v>19.954000000000001</v>
      </c>
    </row>
    <row r="22" spans="2:8" x14ac:dyDescent="0.25">
      <c r="B22">
        <v>27</v>
      </c>
      <c r="C22" t="s">
        <v>24</v>
      </c>
      <c r="D22">
        <v>568.79999999999995</v>
      </c>
      <c r="E22">
        <v>2.4860000000000002</v>
      </c>
      <c r="F22">
        <v>0.39600000000000002</v>
      </c>
      <c r="G22">
        <v>0.25900000000000001</v>
      </c>
      <c r="H22">
        <v>22.696999999999999</v>
      </c>
    </row>
    <row r="23" spans="2:8" x14ac:dyDescent="0.25">
      <c r="B23">
        <v>46</v>
      </c>
      <c r="C23" t="s">
        <v>25</v>
      </c>
      <c r="D23">
        <v>595.70000000000005</v>
      </c>
      <c r="E23">
        <v>2.306</v>
      </c>
      <c r="F23">
        <v>0.437</v>
      </c>
      <c r="G23">
        <v>0.255</v>
      </c>
      <c r="H23">
        <v>25.451000000000001</v>
      </c>
    </row>
    <row r="24" spans="2:8" x14ac:dyDescent="0.25">
      <c r="B24">
        <v>56</v>
      </c>
      <c r="C24" t="s">
        <v>26</v>
      </c>
      <c r="D24">
        <v>618.5</v>
      </c>
      <c r="E24">
        <v>2.1230000000000002</v>
      </c>
      <c r="F24">
        <v>0.48399999999999999</v>
      </c>
      <c r="G24">
        <v>0.249</v>
      </c>
      <c r="H24">
        <v>28.216999999999999</v>
      </c>
    </row>
    <row r="25" spans="2:8" x14ac:dyDescent="0.25">
      <c r="B25">
        <v>64</v>
      </c>
      <c r="C25" t="s">
        <v>27</v>
      </c>
      <c r="D25">
        <v>658.2</v>
      </c>
      <c r="E25">
        <v>1.8240000000000001</v>
      </c>
      <c r="F25">
        <v>0.57499999999999996</v>
      </c>
      <c r="G25">
        <v>0.23799999999999999</v>
      </c>
    </row>
    <row r="26" spans="2:8" x14ac:dyDescent="0.25">
      <c r="B26">
        <v>66</v>
      </c>
      <c r="C26" t="s">
        <v>28</v>
      </c>
      <c r="D26">
        <v>696.9</v>
      </c>
      <c r="E26">
        <v>1.4379999999999999</v>
      </c>
      <c r="F26">
        <v>0.56999999999999995</v>
      </c>
      <c r="G26">
        <v>0.20300000000000001</v>
      </c>
    </row>
    <row r="27" spans="2:8" x14ac:dyDescent="0.25">
      <c r="B27">
        <v>68</v>
      </c>
      <c r="C27" t="s">
        <v>29</v>
      </c>
      <c r="D27">
        <v>720.6</v>
      </c>
      <c r="E27">
        <v>1.419</v>
      </c>
      <c r="F27">
        <v>0.747</v>
      </c>
      <c r="G27">
        <v>0.22</v>
      </c>
      <c r="H27">
        <v>44.539000000000001</v>
      </c>
    </row>
    <row r="28" spans="2:8" x14ac:dyDescent="0.25">
      <c r="B28" t="s">
        <v>30</v>
      </c>
    </row>
    <row r="29" spans="2:8" x14ac:dyDescent="0.25">
      <c r="B29">
        <v>104</v>
      </c>
      <c r="C29" t="s">
        <v>31</v>
      </c>
      <c r="D29">
        <v>511.8</v>
      </c>
      <c r="E29">
        <v>4.5019999999999998</v>
      </c>
      <c r="F29">
        <v>0.19400000000000001</v>
      </c>
      <c r="G29">
        <v>0.27300000000000002</v>
      </c>
      <c r="H29">
        <v>9.9740000000000002</v>
      </c>
    </row>
    <row r="30" spans="2:8" x14ac:dyDescent="0.25">
      <c r="B30">
        <v>105</v>
      </c>
      <c r="C30" t="s">
        <v>32</v>
      </c>
      <c r="D30">
        <v>532.79999999999995</v>
      </c>
      <c r="E30">
        <v>3.7850000000000001</v>
      </c>
      <c r="F30">
        <v>0.23</v>
      </c>
      <c r="G30">
        <v>0.27200000000000002</v>
      </c>
    </row>
    <row r="31" spans="2:8" x14ac:dyDescent="0.25">
      <c r="B31">
        <v>137</v>
      </c>
      <c r="C31" t="s">
        <v>33</v>
      </c>
      <c r="D31">
        <v>553.5</v>
      </c>
      <c r="E31">
        <v>4.0750000000000002</v>
      </c>
      <c r="F31">
        <v>0.215</v>
      </c>
      <c r="G31">
        <v>0.27300000000000002</v>
      </c>
      <c r="H31">
        <v>12.738</v>
      </c>
    </row>
    <row r="32" spans="2:8" x14ac:dyDescent="0.25">
      <c r="B32">
        <v>138</v>
      </c>
      <c r="C32" t="s">
        <v>34</v>
      </c>
      <c r="D32">
        <v>572.20000000000005</v>
      </c>
      <c r="E32">
        <v>3.4710000000000001</v>
      </c>
      <c r="F32">
        <v>0.23499999999999999</v>
      </c>
      <c r="G32">
        <v>0.26900000000000002</v>
      </c>
      <c r="H32">
        <v>16.25</v>
      </c>
    </row>
    <row r="33" spans="2:8" x14ac:dyDescent="0.25">
      <c r="B33" t="s">
        <v>35</v>
      </c>
    </row>
    <row r="34" spans="2:8" x14ac:dyDescent="0.25">
      <c r="B34">
        <v>201</v>
      </c>
      <c r="C34" t="s">
        <v>36</v>
      </c>
      <c r="D34">
        <v>282.39999999999998</v>
      </c>
      <c r="E34">
        <v>5.032</v>
      </c>
      <c r="F34">
        <v>8.5000000000000006E-2</v>
      </c>
      <c r="G34">
        <v>0.27700000000000002</v>
      </c>
      <c r="H34">
        <v>5.26</v>
      </c>
    </row>
    <row r="35" spans="2:8" x14ac:dyDescent="0.25">
      <c r="B35">
        <v>202</v>
      </c>
      <c r="C35" t="s">
        <v>37</v>
      </c>
      <c r="D35">
        <v>364.8</v>
      </c>
      <c r="E35">
        <v>4.6130000000000004</v>
      </c>
      <c r="F35">
        <v>0.14199999999999999</v>
      </c>
      <c r="G35">
        <v>0.27500000000000002</v>
      </c>
      <c r="H35">
        <v>7.6879999999999997</v>
      </c>
    </row>
    <row r="36" spans="2:8" x14ac:dyDescent="0.25">
      <c r="B36">
        <v>204</v>
      </c>
      <c r="C36" t="s">
        <v>38</v>
      </c>
      <c r="D36">
        <v>419.6</v>
      </c>
      <c r="E36">
        <v>4.0199999999999996</v>
      </c>
      <c r="F36">
        <v>0.187</v>
      </c>
      <c r="G36">
        <v>0.27600000000000002</v>
      </c>
      <c r="H36">
        <v>10.305999999999999</v>
      </c>
    </row>
    <row r="37" spans="2:8" x14ac:dyDescent="0.25">
      <c r="B37">
        <v>207</v>
      </c>
      <c r="C37" t="s">
        <v>39</v>
      </c>
      <c r="D37">
        <v>417.9</v>
      </c>
      <c r="E37">
        <v>3.9990000000000001</v>
      </c>
      <c r="F37">
        <v>0.189</v>
      </c>
      <c r="G37">
        <v>0.27500000000000002</v>
      </c>
      <c r="H37">
        <v>10.724</v>
      </c>
    </row>
    <row r="38" spans="2:8" x14ac:dyDescent="0.25">
      <c r="B38">
        <v>209</v>
      </c>
      <c r="C38" t="s">
        <v>40</v>
      </c>
      <c r="D38">
        <v>464.8</v>
      </c>
      <c r="E38">
        <v>3.5289999999999999</v>
      </c>
      <c r="F38">
        <v>0.23300000000000001</v>
      </c>
      <c r="G38">
        <v>0.27</v>
      </c>
    </row>
    <row r="39" spans="2:8" x14ac:dyDescent="0.25">
      <c r="B39">
        <v>401</v>
      </c>
      <c r="C39" t="s">
        <v>41</v>
      </c>
      <c r="D39">
        <v>308.3</v>
      </c>
      <c r="E39">
        <v>6.1390000000000002</v>
      </c>
      <c r="F39">
        <v>0.187</v>
      </c>
      <c r="G39">
        <v>0.27100000000000002</v>
      </c>
      <c r="H39">
        <v>5.32</v>
      </c>
    </row>
    <row r="40" spans="2:8" x14ac:dyDescent="0.25">
      <c r="B40">
        <v>303</v>
      </c>
      <c r="C40" t="s">
        <v>42</v>
      </c>
      <c r="D40">
        <v>425.4</v>
      </c>
      <c r="E40">
        <v>4.33</v>
      </c>
      <c r="F40">
        <v>0.193</v>
      </c>
      <c r="G40">
        <v>0.27</v>
      </c>
      <c r="H40">
        <v>9.56</v>
      </c>
    </row>
    <row r="41" spans="2:8" x14ac:dyDescent="0.25">
      <c r="B41">
        <v>309</v>
      </c>
      <c r="C41" t="s">
        <v>43</v>
      </c>
      <c r="D41">
        <v>484</v>
      </c>
      <c r="E41">
        <v>3.85</v>
      </c>
      <c r="F41">
        <v>0.158</v>
      </c>
      <c r="G41">
        <v>0.26400000000000001</v>
      </c>
    </row>
    <row r="42" spans="2:8" x14ac:dyDescent="0.25">
      <c r="B42" t="s">
        <v>44</v>
      </c>
    </row>
    <row r="43" spans="2:8" x14ac:dyDescent="0.25">
      <c r="B43">
        <v>501</v>
      </c>
      <c r="C43" t="s">
        <v>45</v>
      </c>
      <c r="D43">
        <v>562.20000000000005</v>
      </c>
      <c r="E43">
        <v>4.8979999999999997</v>
      </c>
      <c r="F43">
        <v>0.21099999999999999</v>
      </c>
      <c r="G43">
        <v>0.27100000000000002</v>
      </c>
      <c r="H43">
        <v>9.8219999999999992</v>
      </c>
    </row>
    <row r="44" spans="2:8" x14ac:dyDescent="0.25">
      <c r="B44">
        <v>502</v>
      </c>
      <c r="C44" t="s">
        <v>46</v>
      </c>
      <c r="D44">
        <v>591.79999999999995</v>
      </c>
      <c r="E44">
        <v>4.109</v>
      </c>
      <c r="F44">
        <v>0.26400000000000001</v>
      </c>
      <c r="G44">
        <v>0.26400000000000001</v>
      </c>
      <c r="H44">
        <v>12.484999999999999</v>
      </c>
    </row>
    <row r="45" spans="2:8" x14ac:dyDescent="0.25">
      <c r="B45">
        <v>504</v>
      </c>
      <c r="C45" t="s">
        <v>47</v>
      </c>
      <c r="D45">
        <v>617.20000000000005</v>
      </c>
      <c r="E45">
        <v>3.609</v>
      </c>
      <c r="F45">
        <v>0.30399999999999999</v>
      </c>
      <c r="G45">
        <v>0.26300000000000001</v>
      </c>
      <c r="H45">
        <v>15.444000000000001</v>
      </c>
    </row>
    <row r="46" spans="2:8" x14ac:dyDescent="0.25">
      <c r="B46">
        <v>505</v>
      </c>
      <c r="C46" t="s">
        <v>48</v>
      </c>
      <c r="D46">
        <v>630.4</v>
      </c>
      <c r="E46">
        <v>3.734</v>
      </c>
      <c r="F46">
        <v>0.313</v>
      </c>
      <c r="G46">
        <v>0.26300000000000001</v>
      </c>
      <c r="H46">
        <v>16.033000000000001</v>
      </c>
    </row>
    <row r="47" spans="2:8" x14ac:dyDescent="0.25">
      <c r="B47">
        <v>506</v>
      </c>
      <c r="C47" t="s">
        <v>49</v>
      </c>
      <c r="D47">
        <v>617.1</v>
      </c>
      <c r="E47">
        <v>3.5409999999999999</v>
      </c>
      <c r="F47">
        <v>0.32600000000000001</v>
      </c>
      <c r="G47">
        <v>0.25900000000000001</v>
      </c>
      <c r="H47">
        <v>15.348000000000001</v>
      </c>
    </row>
    <row r="48" spans="2:8" x14ac:dyDescent="0.25">
      <c r="B48">
        <v>507</v>
      </c>
      <c r="C48" t="s">
        <v>50</v>
      </c>
      <c r="D48">
        <v>616.29999999999995</v>
      </c>
      <c r="E48">
        <v>3.5110000000000001</v>
      </c>
      <c r="F48">
        <v>0.32600000000000001</v>
      </c>
      <c r="G48">
        <v>0.26</v>
      </c>
      <c r="H48">
        <v>15.263</v>
      </c>
    </row>
    <row r="49" spans="2:8" x14ac:dyDescent="0.25">
      <c r="B49">
        <v>510</v>
      </c>
      <c r="C49" t="s">
        <v>51</v>
      </c>
      <c r="D49">
        <v>631.20000000000005</v>
      </c>
      <c r="E49">
        <v>3.2090000000000001</v>
      </c>
      <c r="F49">
        <v>0.33800000000000002</v>
      </c>
      <c r="G49">
        <v>0.26200000000000001</v>
      </c>
      <c r="H49">
        <v>18.245999999999999</v>
      </c>
    </row>
    <row r="50" spans="2:8" x14ac:dyDescent="0.25">
      <c r="B50">
        <v>558</v>
      </c>
      <c r="C50" t="s">
        <v>52</v>
      </c>
      <c r="D50">
        <v>789.3</v>
      </c>
      <c r="E50">
        <v>3.847</v>
      </c>
      <c r="F50">
        <v>0.36599999999999999</v>
      </c>
      <c r="G50">
        <v>0.29399999999999998</v>
      </c>
      <c r="H50">
        <v>19.521000000000001</v>
      </c>
    </row>
    <row r="51" spans="2:8" x14ac:dyDescent="0.25">
      <c r="B51">
        <v>563</v>
      </c>
      <c r="C51" t="s">
        <v>53</v>
      </c>
      <c r="D51">
        <v>768</v>
      </c>
      <c r="E51">
        <v>2.92</v>
      </c>
      <c r="F51">
        <v>0.46100000000000002</v>
      </c>
      <c r="G51">
        <v>0.25</v>
      </c>
    </row>
    <row r="52" spans="2:8" x14ac:dyDescent="0.25">
      <c r="B52">
        <v>701</v>
      </c>
      <c r="C52" t="s">
        <v>54</v>
      </c>
      <c r="D52">
        <v>748.4</v>
      </c>
      <c r="E52">
        <v>4.0510000000000002</v>
      </c>
      <c r="F52">
        <v>0.30199999999999999</v>
      </c>
      <c r="G52">
        <v>0.26900000000000002</v>
      </c>
      <c r="H52">
        <v>16.033000000000001</v>
      </c>
    </row>
    <row r="53" spans="2:8" x14ac:dyDescent="0.25">
      <c r="B53">
        <v>702</v>
      </c>
      <c r="C53" t="s">
        <v>55</v>
      </c>
      <c r="D53">
        <v>772</v>
      </c>
      <c r="E53">
        <v>3.65</v>
      </c>
      <c r="F53">
        <v>0.29199999999999998</v>
      </c>
      <c r="G53">
        <v>0.29699999999999999</v>
      </c>
    </row>
    <row r="54" spans="2:8" x14ac:dyDescent="0.25">
      <c r="B54">
        <v>706</v>
      </c>
      <c r="C54" t="s">
        <v>56</v>
      </c>
      <c r="D54">
        <v>720.2</v>
      </c>
      <c r="E54">
        <v>3.3</v>
      </c>
      <c r="F54">
        <v>0.28599999999999998</v>
      </c>
      <c r="G54">
        <v>0.24299999999999999</v>
      </c>
      <c r="H54">
        <v>18.631</v>
      </c>
    </row>
    <row r="55" spans="2:8" x14ac:dyDescent="0.25">
      <c r="B55" t="s">
        <v>57</v>
      </c>
      <c r="C55" t="s">
        <v>58</v>
      </c>
    </row>
    <row r="56" spans="2:8" x14ac:dyDescent="0.25">
      <c r="B56">
        <v>1101</v>
      </c>
      <c r="C56" t="s">
        <v>59</v>
      </c>
      <c r="D56">
        <v>512.6</v>
      </c>
      <c r="E56">
        <v>8.0960000000000001</v>
      </c>
      <c r="F56">
        <v>0.56599999999999995</v>
      </c>
      <c r="G56">
        <v>0.224</v>
      </c>
      <c r="H56">
        <v>5.2830000000000004</v>
      </c>
    </row>
    <row r="57" spans="2:8" x14ac:dyDescent="0.25">
      <c r="B57">
        <v>1102</v>
      </c>
      <c r="C57" t="s">
        <v>60</v>
      </c>
      <c r="D57">
        <v>516.4</v>
      </c>
      <c r="E57">
        <v>6.3840000000000003</v>
      </c>
      <c r="F57">
        <v>0.63700000000000001</v>
      </c>
      <c r="G57">
        <v>0.248</v>
      </c>
      <c r="H57">
        <v>7.8789999999999996</v>
      </c>
    </row>
    <row r="58" spans="2:8" x14ac:dyDescent="0.25">
      <c r="B58">
        <v>1103</v>
      </c>
      <c r="C58" t="s">
        <v>61</v>
      </c>
      <c r="D58">
        <v>536.70000000000005</v>
      </c>
      <c r="E58">
        <v>5.17</v>
      </c>
      <c r="F58">
        <v>0.628</v>
      </c>
      <c r="G58">
        <v>0.253</v>
      </c>
      <c r="H58">
        <v>10.496</v>
      </c>
    </row>
    <row r="59" spans="2:8" x14ac:dyDescent="0.25">
      <c r="B59">
        <v>1104</v>
      </c>
      <c r="C59" t="s">
        <v>62</v>
      </c>
      <c r="D59">
        <v>508.3</v>
      </c>
      <c r="E59">
        <v>4.7640000000000002</v>
      </c>
      <c r="F59">
        <v>0.66900000000000004</v>
      </c>
      <c r="G59">
        <v>0.248</v>
      </c>
      <c r="H59">
        <v>10.69</v>
      </c>
    </row>
    <row r="60" spans="2:8" x14ac:dyDescent="0.25">
      <c r="B60">
        <v>1105</v>
      </c>
      <c r="C60" t="s">
        <v>63</v>
      </c>
      <c r="D60">
        <v>562.9</v>
      </c>
      <c r="E60">
        <v>4.4119999999999999</v>
      </c>
      <c r="F60">
        <v>0.59399999999999997</v>
      </c>
      <c r="G60">
        <v>0.25900000000000001</v>
      </c>
    </row>
    <row r="61" spans="2:8" x14ac:dyDescent="0.25">
      <c r="B61">
        <v>1107</v>
      </c>
      <c r="C61" t="s">
        <v>64</v>
      </c>
      <c r="D61">
        <v>547.70000000000005</v>
      </c>
      <c r="E61">
        <v>4.2949999999999999</v>
      </c>
      <c r="F61">
        <v>0.58899999999999997</v>
      </c>
      <c r="G61">
        <v>0.25700000000000001</v>
      </c>
    </row>
    <row r="62" spans="2:8" x14ac:dyDescent="0.25">
      <c r="B62">
        <v>1479</v>
      </c>
      <c r="C62" t="s">
        <v>65</v>
      </c>
      <c r="D62">
        <v>501.1</v>
      </c>
      <c r="E62">
        <v>5.19</v>
      </c>
      <c r="F62">
        <v>0.217</v>
      </c>
      <c r="G62">
        <v>0.25900000000000001</v>
      </c>
    </row>
    <row r="63" spans="2:8" x14ac:dyDescent="0.25">
      <c r="B63" t="s">
        <v>66</v>
      </c>
      <c r="C63" t="s">
        <v>67</v>
      </c>
      <c r="D63">
        <v>466.7</v>
      </c>
      <c r="E63">
        <v>3.59</v>
      </c>
      <c r="F63">
        <v>0.28100000000000003</v>
      </c>
      <c r="G63">
        <v>0.26200000000000001</v>
      </c>
      <c r="H63">
        <v>13.531000000000001</v>
      </c>
    </row>
    <row r="64" spans="2:8" x14ac:dyDescent="0.25">
      <c r="B64" t="s">
        <v>68</v>
      </c>
      <c r="C64" t="s">
        <v>69</v>
      </c>
      <c r="D64">
        <v>469</v>
      </c>
      <c r="E64">
        <v>7.1</v>
      </c>
      <c r="F64">
        <v>0.2</v>
      </c>
      <c r="G64">
        <v>0.25800000000000001</v>
      </c>
    </row>
    <row r="65" spans="2:8" x14ac:dyDescent="0.25">
      <c r="B65" t="s">
        <v>66</v>
      </c>
      <c r="C65" t="s">
        <v>70</v>
      </c>
      <c r="D65">
        <v>535.6</v>
      </c>
      <c r="E65">
        <v>4.0999999999999996</v>
      </c>
      <c r="F65">
        <v>0.32900000000000001</v>
      </c>
      <c r="G65">
        <v>0.249</v>
      </c>
      <c r="H65">
        <v>12.557</v>
      </c>
    </row>
    <row r="66" spans="2:8" x14ac:dyDescent="0.25">
      <c r="B66" t="s">
        <v>71</v>
      </c>
    </row>
    <row r="67" spans="2:8" x14ac:dyDescent="0.25">
      <c r="C67" t="s">
        <v>72</v>
      </c>
      <c r="D67">
        <v>385</v>
      </c>
      <c r="E67">
        <v>4.07</v>
      </c>
      <c r="F67">
        <v>0.17599999999999999</v>
      </c>
      <c r="G67">
        <v>0.28000000000000003</v>
      </c>
    </row>
    <row r="68" spans="2:8" x14ac:dyDescent="0.25">
      <c r="C68" t="s">
        <v>73</v>
      </c>
      <c r="D68">
        <v>369.8</v>
      </c>
      <c r="E68">
        <v>4.97</v>
      </c>
      <c r="F68">
        <v>0.221</v>
      </c>
      <c r="G68">
        <v>0.26800000000000002</v>
      </c>
    </row>
    <row r="69" spans="2:8" x14ac:dyDescent="0.25">
      <c r="C69" t="s">
        <v>74</v>
      </c>
      <c r="D69">
        <v>471.2</v>
      </c>
      <c r="E69">
        <v>4.3499999999999996</v>
      </c>
      <c r="F69">
        <v>0.188</v>
      </c>
      <c r="G69">
        <v>0.27900000000000003</v>
      </c>
    </row>
    <row r="70" spans="2:8" x14ac:dyDescent="0.25">
      <c r="C70" t="s">
        <v>75</v>
      </c>
      <c r="D70">
        <v>487.2</v>
      </c>
      <c r="E70">
        <v>3.37</v>
      </c>
      <c r="F70">
        <v>0.252</v>
      </c>
      <c r="G70">
        <v>0.25600000000000001</v>
      </c>
    </row>
    <row r="71" spans="2:8" x14ac:dyDescent="0.25">
      <c r="C71" t="s">
        <v>76</v>
      </c>
      <c r="D71">
        <v>416.3</v>
      </c>
      <c r="E71">
        <v>6.59</v>
      </c>
      <c r="F71">
        <v>0.156</v>
      </c>
      <c r="G71">
        <v>0.26800000000000002</v>
      </c>
    </row>
    <row r="72" spans="2:8" x14ac:dyDescent="0.25">
      <c r="C72" t="s">
        <v>77</v>
      </c>
      <c r="D72">
        <v>536.4</v>
      </c>
      <c r="E72">
        <v>5.4</v>
      </c>
      <c r="F72">
        <v>0.216</v>
      </c>
      <c r="G72">
        <v>0.29299999999999998</v>
      </c>
    </row>
    <row r="73" spans="2:8" x14ac:dyDescent="0.25">
      <c r="C73" t="s">
        <v>78</v>
      </c>
      <c r="D73">
        <v>556.4</v>
      </c>
      <c r="E73">
        <v>4.5</v>
      </c>
      <c r="F73">
        <v>0.19400000000000001</v>
      </c>
      <c r="G73">
        <v>0.27200000000000002</v>
      </c>
    </row>
    <row r="74" spans="2:8" x14ac:dyDescent="0.25">
      <c r="C74" t="s">
        <v>79</v>
      </c>
      <c r="D74">
        <v>632.4</v>
      </c>
      <c r="E74">
        <v>4.46</v>
      </c>
      <c r="F74">
        <v>0.249</v>
      </c>
      <c r="G74">
        <v>0.26500000000000001</v>
      </c>
    </row>
    <row r="75" spans="2:8" x14ac:dyDescent="0.25">
      <c r="B75" t="s">
        <v>80</v>
      </c>
    </row>
    <row r="76" spans="2:8" x14ac:dyDescent="0.25">
      <c r="B76">
        <v>914</v>
      </c>
      <c r="C76" t="s">
        <v>81</v>
      </c>
      <c r="D76">
        <v>150.9</v>
      </c>
      <c r="E76">
        <v>4.8979999999999997</v>
      </c>
      <c r="F76">
        <v>-4.0000000000000001E-3</v>
      </c>
      <c r="G76">
        <v>0.29099999999999998</v>
      </c>
      <c r="H76">
        <v>2.4990000000000001</v>
      </c>
    </row>
    <row r="77" spans="2:8" x14ac:dyDescent="0.25">
      <c r="B77">
        <v>922</v>
      </c>
      <c r="C77" t="s">
        <v>82</v>
      </c>
      <c r="D77">
        <v>584.20000000000005</v>
      </c>
      <c r="E77">
        <v>10.335000000000001</v>
      </c>
      <c r="F77">
        <v>0.11899999999999999</v>
      </c>
      <c r="G77">
        <v>0.28699999999999998</v>
      </c>
    </row>
    <row r="78" spans="2:8" x14ac:dyDescent="0.25">
      <c r="B78">
        <v>918</v>
      </c>
      <c r="C78" t="s">
        <v>83</v>
      </c>
      <c r="D78">
        <v>417.2</v>
      </c>
      <c r="E78">
        <v>7.7110000000000003</v>
      </c>
      <c r="F78">
        <v>6.9000000000000006E-2</v>
      </c>
      <c r="G78">
        <v>0.27500000000000002</v>
      </c>
    </row>
    <row r="79" spans="2:8" x14ac:dyDescent="0.25">
      <c r="B79">
        <v>913</v>
      </c>
      <c r="C79" t="s">
        <v>84</v>
      </c>
      <c r="D79">
        <v>5.2</v>
      </c>
      <c r="E79">
        <v>0.22800000000000001</v>
      </c>
      <c r="F79">
        <v>0</v>
      </c>
      <c r="G79">
        <v>0.30199999999999999</v>
      </c>
      <c r="H79">
        <v>2.5009999999999999</v>
      </c>
    </row>
    <row r="80" spans="2:8" x14ac:dyDescent="0.25">
      <c r="B80">
        <v>920</v>
      </c>
      <c r="C80" t="s">
        <v>85</v>
      </c>
      <c r="D80">
        <v>209.4</v>
      </c>
      <c r="E80">
        <v>5.5019999999999998</v>
      </c>
      <c r="F80">
        <v>1E-3</v>
      </c>
      <c r="G80">
        <v>0.28799999999999998</v>
      </c>
    </row>
    <row r="81" spans="2:8" x14ac:dyDescent="0.25">
      <c r="B81">
        <v>919</v>
      </c>
      <c r="C81" t="s">
        <v>86</v>
      </c>
      <c r="D81">
        <v>44.4</v>
      </c>
      <c r="E81">
        <v>2.653</v>
      </c>
      <c r="F81">
        <v>-4.1000000000000002E-2</v>
      </c>
      <c r="G81">
        <v>0.3</v>
      </c>
    </row>
    <row r="82" spans="2:8" x14ac:dyDescent="0.25">
      <c r="B82">
        <v>959</v>
      </c>
      <c r="C82" t="s">
        <v>87</v>
      </c>
      <c r="D82">
        <v>289.7</v>
      </c>
      <c r="E82">
        <v>5.84</v>
      </c>
      <c r="F82">
        <v>1.2E-2</v>
      </c>
      <c r="G82">
        <v>0.28599999999999998</v>
      </c>
    </row>
    <row r="83" spans="2:8" x14ac:dyDescent="0.25">
      <c r="B83">
        <v>912</v>
      </c>
      <c r="C83" t="s">
        <v>88</v>
      </c>
      <c r="D83">
        <v>180.2</v>
      </c>
      <c r="E83">
        <v>6.4850000000000003</v>
      </c>
      <c r="F83">
        <v>0.58499999999999996</v>
      </c>
      <c r="G83">
        <v>0.25</v>
      </c>
      <c r="H83">
        <v>3.5880000000000001</v>
      </c>
    </row>
    <row r="84" spans="2:8" x14ac:dyDescent="0.25">
      <c r="B84">
        <v>899</v>
      </c>
      <c r="C84" t="s">
        <v>89</v>
      </c>
      <c r="D84">
        <v>309.60000000000002</v>
      </c>
      <c r="E84">
        <v>7.2450000000000001</v>
      </c>
      <c r="F84">
        <v>0.14199999999999999</v>
      </c>
      <c r="G84">
        <v>0.27400000000000002</v>
      </c>
      <c r="H84">
        <v>4.633</v>
      </c>
    </row>
    <row r="85" spans="2:8" x14ac:dyDescent="0.25">
      <c r="B85">
        <v>910</v>
      </c>
      <c r="C85" t="s">
        <v>90</v>
      </c>
      <c r="D85">
        <v>430.8</v>
      </c>
      <c r="E85">
        <v>7.8840000000000003</v>
      </c>
      <c r="F85">
        <v>0.245</v>
      </c>
      <c r="G85">
        <v>0.26900000000000002</v>
      </c>
      <c r="H85">
        <v>4.7960000000000003</v>
      </c>
    </row>
    <row r="86" spans="2:8" x14ac:dyDescent="0.25">
      <c r="B86">
        <v>911</v>
      </c>
      <c r="C86" t="s">
        <v>91</v>
      </c>
      <c r="D86">
        <v>490.9</v>
      </c>
      <c r="E86">
        <v>8.2070000000000007</v>
      </c>
      <c r="F86">
        <v>0.42199999999999999</v>
      </c>
      <c r="G86">
        <v>0.25600000000000001</v>
      </c>
      <c r="H86">
        <v>6.1109999999999998</v>
      </c>
    </row>
    <row r="87" spans="2:8" x14ac:dyDescent="0.25">
      <c r="B87">
        <v>901</v>
      </c>
      <c r="C87" t="s">
        <v>92</v>
      </c>
      <c r="D87">
        <v>154.6</v>
      </c>
      <c r="E87">
        <v>5.0430000000000001</v>
      </c>
      <c r="F87">
        <v>2.1999999999999999E-2</v>
      </c>
      <c r="G87">
        <v>0.28799999999999998</v>
      </c>
      <c r="H87">
        <v>3.5289999999999999</v>
      </c>
    </row>
    <row r="88" spans="2:8" x14ac:dyDescent="0.25">
      <c r="B88">
        <v>902</v>
      </c>
      <c r="C88" t="s">
        <v>93</v>
      </c>
      <c r="D88">
        <v>33.299999999999997</v>
      </c>
      <c r="E88">
        <v>1.2969999999999999</v>
      </c>
      <c r="F88">
        <v>-0.215</v>
      </c>
      <c r="G88">
        <v>0.3</v>
      </c>
      <c r="H88">
        <v>3.5070000000000001</v>
      </c>
    </row>
    <row r="89" spans="2:8" x14ac:dyDescent="0.25">
      <c r="B89">
        <v>905</v>
      </c>
      <c r="C89" t="s">
        <v>94</v>
      </c>
      <c r="D89">
        <v>126.1</v>
      </c>
      <c r="E89">
        <v>3.3940000000000001</v>
      </c>
      <c r="F89">
        <v>0.04</v>
      </c>
      <c r="G89">
        <v>0.29199999999999998</v>
      </c>
      <c r="H89">
        <v>3.5</v>
      </c>
    </row>
    <row r="90" spans="2:8" x14ac:dyDescent="0.25">
      <c r="B90">
        <v>908</v>
      </c>
      <c r="C90" t="s">
        <v>95</v>
      </c>
      <c r="D90">
        <v>132.9</v>
      </c>
      <c r="E90">
        <v>3.4990000000000001</v>
      </c>
      <c r="F90">
        <v>6.6000000000000003E-2</v>
      </c>
      <c r="G90">
        <v>0.29499999999999998</v>
      </c>
      <c r="H90">
        <v>3.5049999999999999</v>
      </c>
    </row>
    <row r="91" spans="2:8" x14ac:dyDescent="0.25">
      <c r="B91">
        <v>909</v>
      </c>
      <c r="C91" t="s">
        <v>96</v>
      </c>
      <c r="D91">
        <v>304.2</v>
      </c>
      <c r="E91">
        <v>7.3819999999999997</v>
      </c>
      <c r="F91">
        <v>0.22800000000000001</v>
      </c>
      <c r="G91">
        <v>0.27400000000000002</v>
      </c>
      <c r="H91">
        <v>4.4560000000000004</v>
      </c>
    </row>
    <row r="92" spans="2:8" x14ac:dyDescent="0.25">
      <c r="B92" t="s">
        <v>97</v>
      </c>
    </row>
    <row r="93" spans="2:8" x14ac:dyDescent="0.25">
      <c r="B93">
        <v>1922</v>
      </c>
      <c r="C93" t="s">
        <v>98</v>
      </c>
      <c r="D93">
        <v>373.5</v>
      </c>
      <c r="E93">
        <v>8.9369999999999994</v>
      </c>
      <c r="F93">
        <v>8.1000000000000003E-2</v>
      </c>
      <c r="G93">
        <v>0.28299999999999997</v>
      </c>
    </row>
    <row r="94" spans="2:8" x14ac:dyDescent="0.25">
      <c r="B94" t="s">
        <v>66</v>
      </c>
      <c r="C94" t="s">
        <v>99</v>
      </c>
      <c r="D94">
        <v>552</v>
      </c>
      <c r="E94">
        <v>7.8</v>
      </c>
      <c r="F94">
        <v>0.115</v>
      </c>
      <c r="G94">
        <v>0.29299999999999998</v>
      </c>
      <c r="H94">
        <v>4.109</v>
      </c>
    </row>
    <row r="95" spans="2:8" x14ac:dyDescent="0.25">
      <c r="B95" t="s">
        <v>66</v>
      </c>
      <c r="C95" t="s">
        <v>100</v>
      </c>
      <c r="D95">
        <v>653</v>
      </c>
      <c r="E95">
        <v>14.5</v>
      </c>
      <c r="F95">
        <v>0.32800000000000001</v>
      </c>
      <c r="G95">
        <v>0.26</v>
      </c>
      <c r="H95">
        <v>5.47</v>
      </c>
    </row>
    <row r="96" spans="2:8" x14ac:dyDescent="0.25">
      <c r="B96" t="s">
        <v>66</v>
      </c>
      <c r="C96" t="s">
        <v>101</v>
      </c>
      <c r="D96">
        <v>324.60000000000002</v>
      </c>
      <c r="E96">
        <v>8.1999999999999993</v>
      </c>
      <c r="F96">
        <v>0.12</v>
      </c>
      <c r="G96">
        <v>0.249</v>
      </c>
    </row>
    <row r="97" spans="2:8" x14ac:dyDescent="0.25">
      <c r="B97" t="s">
        <v>66</v>
      </c>
      <c r="C97" t="s">
        <v>102</v>
      </c>
      <c r="D97">
        <v>456.8</v>
      </c>
      <c r="E97">
        <v>5.32</v>
      </c>
      <c r="F97">
        <v>0.40699999999999997</v>
      </c>
      <c r="G97">
        <v>0.19700000000000001</v>
      </c>
    </row>
    <row r="98" spans="2:8" x14ac:dyDescent="0.25">
      <c r="B98" t="s">
        <v>103</v>
      </c>
    </row>
    <row r="99" spans="2:8" x14ac:dyDescent="0.25">
      <c r="B99">
        <v>1051</v>
      </c>
      <c r="C99" t="s">
        <v>104</v>
      </c>
      <c r="D99">
        <v>508.2</v>
      </c>
      <c r="E99">
        <v>4.7009999999999996</v>
      </c>
      <c r="F99">
        <v>0.30599999999999999</v>
      </c>
      <c r="G99">
        <v>0.23300000000000001</v>
      </c>
      <c r="H99">
        <v>8.9600000000000009</v>
      </c>
    </row>
    <row r="100" spans="2:8" x14ac:dyDescent="0.25">
      <c r="B100">
        <v>1772</v>
      </c>
      <c r="C100" t="s">
        <v>105</v>
      </c>
      <c r="D100">
        <v>545.5</v>
      </c>
      <c r="E100">
        <v>4.8330000000000002</v>
      </c>
      <c r="F100">
        <v>0.35299999999999998</v>
      </c>
      <c r="G100">
        <v>0.184</v>
      </c>
    </row>
    <row r="101" spans="2:8" x14ac:dyDescent="0.25">
      <c r="B101">
        <v>1251</v>
      </c>
      <c r="C101" t="s">
        <v>106</v>
      </c>
      <c r="D101">
        <v>592.70000000000005</v>
      </c>
      <c r="E101">
        <v>5.7859999999999996</v>
      </c>
      <c r="F101">
        <v>0.46200000000000002</v>
      </c>
      <c r="G101">
        <v>0.2</v>
      </c>
      <c r="H101">
        <v>15.010999999999999</v>
      </c>
    </row>
    <row r="102" spans="2:8" x14ac:dyDescent="0.25">
      <c r="B102">
        <v>1911</v>
      </c>
      <c r="C102" t="s">
        <v>107</v>
      </c>
      <c r="D102">
        <v>406.6</v>
      </c>
      <c r="E102">
        <v>11.27</v>
      </c>
      <c r="F102">
        <v>0.252</v>
      </c>
      <c r="G102">
        <v>0.24199999999999999</v>
      </c>
      <c r="H102">
        <v>4.2889999999999997</v>
      </c>
    </row>
    <row r="103" spans="2:8" x14ac:dyDescent="0.25">
      <c r="B103">
        <v>1921</v>
      </c>
      <c r="C103" t="s">
        <v>108</v>
      </c>
      <c r="D103">
        <v>647.29999999999995</v>
      </c>
      <c r="E103">
        <v>22.12</v>
      </c>
      <c r="F103">
        <v>0.34399999999999997</v>
      </c>
      <c r="G103">
        <v>0.23300000000000001</v>
      </c>
      <c r="H103">
        <v>4.0410000000000004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workbookViewId="0">
      <selection activeCell="C8" sqref="C8"/>
    </sheetView>
  </sheetViews>
  <sheetFormatPr defaultRowHeight="15" x14ac:dyDescent="0.25"/>
  <cols>
    <col min="2" max="2" width="10.140625" customWidth="1"/>
  </cols>
  <sheetData>
    <row r="3" spans="2:6" x14ac:dyDescent="0.25">
      <c r="C3" t="s">
        <v>122</v>
      </c>
      <c r="D3" t="s">
        <v>123</v>
      </c>
      <c r="E3" t="s">
        <v>179</v>
      </c>
      <c r="F3" t="s">
        <v>180</v>
      </c>
    </row>
    <row r="4" spans="2:6" x14ac:dyDescent="0.25">
      <c r="B4" t="str">
        <f>LIQ!A7</f>
        <v>n-HEXANE</v>
      </c>
      <c r="C4">
        <v>4.0026599999999997</v>
      </c>
      <c r="D4">
        <v>1171.53</v>
      </c>
      <c r="E4">
        <v>-48.78</v>
      </c>
      <c r="F4">
        <f>0.1*10^(C4-D4/(T+E4))</f>
        <v>1.6648756752883953</v>
      </c>
    </row>
    <row r="5" spans="2:6" x14ac:dyDescent="0.25">
      <c r="B5" t="str">
        <f>LIQ!A8</f>
        <v>n-OCTANE</v>
      </c>
      <c r="C5">
        <v>4.0486700000000004</v>
      </c>
      <c r="D5">
        <v>1355.126</v>
      </c>
      <c r="E5">
        <v>-63.63</v>
      </c>
      <c r="F5">
        <f>0.1*10^(C5-D5/(T+E5))</f>
        <v>0.51755946197388192</v>
      </c>
    </row>
    <row r="7" spans="2:6" x14ac:dyDescent="0.25">
      <c r="B7" t="s">
        <v>181</v>
      </c>
      <c r="C7">
        <f>LIQ!B7*Psat1+LIQ!B8*Psat2</f>
        <v>1.4927782432912182</v>
      </c>
    </row>
    <row r="8" spans="2:6" x14ac:dyDescent="0.25">
      <c r="B8" t="s">
        <v>182</v>
      </c>
      <c r="C8">
        <f>LIQ!B7*Psat1/Px</f>
        <v>0.9479936690898455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showGridLines="0" workbookViewId="0">
      <selection activeCell="B12" sqref="B12"/>
    </sheetView>
  </sheetViews>
  <sheetFormatPr defaultRowHeight="15" x14ac:dyDescent="0.25"/>
  <cols>
    <col min="1" max="1" width="16.28515625" customWidth="1"/>
    <col min="4" max="4" width="9.7109375" customWidth="1"/>
    <col min="5" max="5" width="9.5703125" customWidth="1"/>
    <col min="6" max="6" width="10" bestFit="1" customWidth="1"/>
    <col min="7" max="7" width="10.140625" bestFit="1" customWidth="1"/>
    <col min="8" max="8" width="9.85546875" customWidth="1"/>
    <col min="9" max="9" width="10.140625" bestFit="1" customWidth="1"/>
    <col min="11" max="11" width="11" customWidth="1"/>
    <col min="12" max="12" width="10.5703125" customWidth="1"/>
    <col min="14" max="14" width="10.42578125" customWidth="1"/>
  </cols>
  <sheetData>
    <row r="1" spans="1:10" x14ac:dyDescent="0.25">
      <c r="A1" t="s">
        <v>109</v>
      </c>
    </row>
    <row r="4" spans="1:10" ht="15.75" thickBot="1" x14ac:dyDescent="0.3">
      <c r="E4" s="60"/>
    </row>
    <row r="5" spans="1:10" ht="15.75" thickBot="1" x14ac:dyDescent="0.3">
      <c r="A5" s="10"/>
      <c r="B5" s="10"/>
      <c r="C5" s="10"/>
      <c r="D5" s="10"/>
      <c r="E5" s="11"/>
      <c r="F5" s="73" t="s">
        <v>110</v>
      </c>
      <c r="G5" s="74"/>
      <c r="I5" s="79" t="s">
        <v>177</v>
      </c>
      <c r="J5" s="80"/>
    </row>
    <row r="6" spans="1:10" s="27" customFormat="1" ht="18" x14ac:dyDescent="0.25">
      <c r="A6" s="27" t="s">
        <v>111</v>
      </c>
      <c r="B6" s="27" t="s">
        <v>178</v>
      </c>
      <c r="C6" s="27" t="s">
        <v>112</v>
      </c>
      <c r="D6" s="27" t="s">
        <v>113</v>
      </c>
      <c r="E6" s="28" t="s">
        <v>137</v>
      </c>
      <c r="F6" s="29" t="str">
        <f t="array" ref="F6:G6">TRANSPOSE(A7:A8)</f>
        <v>n-HEXANE</v>
      </c>
      <c r="G6" s="30" t="str">
        <v>n-OCTANE</v>
      </c>
      <c r="I6" s="70" t="s">
        <v>176</v>
      </c>
      <c r="J6" s="71">
        <v>0.22806000000000001</v>
      </c>
    </row>
    <row r="7" spans="1:10" ht="18" x14ac:dyDescent="0.35">
      <c r="A7" t="str">
        <f>'critical prop'!C20</f>
        <v>n-HEXANE</v>
      </c>
      <c r="B7" s="31">
        <v>0.85</v>
      </c>
      <c r="C7">
        <f>'critical prop'!D20</f>
        <v>507.4</v>
      </c>
      <c r="D7">
        <f>'critical prop'!E20</f>
        <v>3.012</v>
      </c>
      <c r="E7">
        <f>'critical prop'!F20</f>
        <v>0.30499999999999999</v>
      </c>
      <c r="F7" s="22"/>
      <c r="G7" s="18"/>
      <c r="I7" s="72" t="s">
        <v>175</v>
      </c>
      <c r="J7" s="17">
        <v>0.18772</v>
      </c>
    </row>
    <row r="8" spans="1:10" ht="15.75" thickBot="1" x14ac:dyDescent="0.3">
      <c r="A8" t="str">
        <f>'critical prop'!C22</f>
        <v>n-OCTANE</v>
      </c>
      <c r="B8">
        <f>1-B7</f>
        <v>0.15000000000000002</v>
      </c>
      <c r="C8">
        <f>'critical prop'!D22</f>
        <v>568.79999999999995</v>
      </c>
      <c r="D8">
        <f>'critical prop'!E22</f>
        <v>2.4860000000000002</v>
      </c>
      <c r="E8">
        <f>'critical prop'!F22</f>
        <v>0.39600000000000002</v>
      </c>
      <c r="F8" s="58">
        <f>1-0.5*H22/H21*SQRT(G21/G22)-0.5*H21/H22*SQRT(G22/G21)+0.5*H22*Rgas*T/SQRT(G21*G22)*theta1/(T/C7)^theta2</f>
        <v>1.6963678227642814E-2</v>
      </c>
      <c r="G8" s="11"/>
    </row>
    <row r="9" spans="1:10" ht="15.75" thickBot="1" x14ac:dyDescent="0.3"/>
    <row r="10" spans="1:10" ht="15.75" thickBot="1" x14ac:dyDescent="0.3">
      <c r="A10" s="6" t="s">
        <v>114</v>
      </c>
      <c r="B10" s="8"/>
      <c r="C10" s="6" t="s">
        <v>115</v>
      </c>
      <c r="D10" s="8"/>
    </row>
    <row r="11" spans="1:10" x14ac:dyDescent="0.25">
      <c r="A11" s="6" t="s">
        <v>116</v>
      </c>
      <c r="B11" s="33">
        <v>470</v>
      </c>
      <c r="C11" s="34" t="s">
        <v>117</v>
      </c>
      <c r="D11" s="35" t="s">
        <v>118</v>
      </c>
      <c r="E11" s="36" t="s">
        <v>119</v>
      </c>
      <c r="F11" s="73" t="s">
        <v>139</v>
      </c>
      <c r="G11" s="74"/>
      <c r="H11" s="73" t="s">
        <v>140</v>
      </c>
      <c r="I11" s="74"/>
    </row>
    <row r="12" spans="1:10" ht="18" thickBot="1" x14ac:dyDescent="0.3">
      <c r="A12" s="9" t="s">
        <v>120</v>
      </c>
      <c r="B12" s="32">
        <f>Px</f>
        <v>1.4927782432912182</v>
      </c>
      <c r="C12" s="37"/>
      <c r="D12" s="38" t="s">
        <v>138</v>
      </c>
      <c r="E12" s="39" t="s">
        <v>121</v>
      </c>
      <c r="F12" s="37" t="str">
        <f>F6</f>
        <v>n-HEXANE</v>
      </c>
      <c r="G12" s="40" t="str">
        <f>G6</f>
        <v>n-OCTANE</v>
      </c>
      <c r="H12" s="37" t="str">
        <f>F6</f>
        <v>n-HEXANE</v>
      </c>
      <c r="I12" s="40" t="str">
        <f>G6</f>
        <v>n-OCTANE</v>
      </c>
    </row>
    <row r="13" spans="1:10" x14ac:dyDescent="0.25">
      <c r="B13" s="7"/>
      <c r="C13" s="7">
        <f>E36-A28/3</f>
        <v>0.663329437202274</v>
      </c>
      <c r="D13" s="7">
        <f t="array" ref="D13:D16">Z*Rgas*T/P</f>
        <v>1736.3683144980025</v>
      </c>
      <c r="E13" s="15">
        <f t="array" ref="E13:E16">P*EXP(Z-1-LN(Z-Bm)-Am/2.8284/Bm*LN((Z+2.4142*Bm)/(Z-0.4142*Bm)))</f>
        <v>1.1170303527087617</v>
      </c>
      <c r="F13" s="15">
        <f t="array" ref="F13:G13">EXP(TRANSPOSE(J21:J22)/Bm*(INDEX(Z,1)-1)-LN(INDEX(Z,1)-Bm)-Am/Bm/2.8284*LN((INDEX(Z,1)+2.4142*Bm)/(INDEX(Z,1)-0.4142*Bm))*(2*MMULT(TRANSPOSE(xi),K21:L22)/Am-TRANSPOSE(J21:J22)/Bm))</f>
        <v>0.77159861087737447</v>
      </c>
      <c r="G13" s="15">
        <v>0.62889726514300071</v>
      </c>
      <c r="H13" s="15">
        <f t="array" ref="H13:I13">F13:G13*E13</f>
        <v>0.86189906845794417</v>
      </c>
      <c r="I13" s="15">
        <v>0.7024973339002617</v>
      </c>
    </row>
    <row r="14" spans="1:10" x14ac:dyDescent="0.25">
      <c r="A14" s="75" t="s">
        <v>141</v>
      </c>
      <c r="B14" s="76"/>
      <c r="C14" s="3">
        <f>F36-A28/3</f>
        <v>0.21199879617578918</v>
      </c>
      <c r="D14" s="3">
        <v>554.93993142220631</v>
      </c>
      <c r="E14" s="59">
        <v>1.1971306557690906</v>
      </c>
      <c r="F14" s="14"/>
      <c r="G14" s="14"/>
      <c r="H14" s="14"/>
      <c r="I14" s="14"/>
    </row>
    <row r="15" spans="1:10" ht="15.75" thickBot="1" x14ac:dyDescent="0.3">
      <c r="A15" s="9"/>
      <c r="B15" s="10"/>
      <c r="C15" s="10">
        <f>G36-A28/3</f>
        <v>8.0808423479614588E-2</v>
      </c>
      <c r="D15" s="10">
        <v>211.52865861997384</v>
      </c>
      <c r="E15" s="20">
        <v>1.1009171613098572</v>
      </c>
      <c r="F15" s="20">
        <f t="array" ref="F15:G15">EXP(TRANSPOSE(J21:J22)/Bm*(INDEX(Z,3)-1)-LN(INDEX(Z,3)-Bm)-Am/Bm/2.8284*LN((INDEX(Z,3)+2.4142*Bm)/(INDEX(Z,3)-0.4142*Bm))*(2*MMULT(TRANSPOSE(xi),K21:L22)/Am-TRANSPOSE(J21:J22)/Bm))</f>
        <v>0.8405051828341511</v>
      </c>
      <c r="G15" s="20">
        <v>0.35156048618945984</v>
      </c>
      <c r="H15" s="20">
        <f t="array" ref="H15:I15">F15:G15*E15</f>
        <v>0.92532657995199608</v>
      </c>
      <c r="I15" s="20">
        <v>0.38703897248441338</v>
      </c>
    </row>
    <row r="16" spans="1:10" ht="15.75" thickBot="1" x14ac:dyDescent="0.3">
      <c r="A16" s="77" t="s">
        <v>142</v>
      </c>
      <c r="B16" s="78"/>
      <c r="C16" s="21" t="e">
        <f>C32-A28/3</f>
        <v>#NUM!</v>
      </c>
      <c r="D16" s="21" t="e">
        <v>#NUM!</v>
      </c>
      <c r="E16" s="4" t="e">
        <v>#NUM!</v>
      </c>
      <c r="F16" s="21" t="e">
        <f t="array" ref="F16:G16">EXP(TRANSPOSE(J21:J22)/Bm*(INDEX(Z,4)-1)-LN(INDEX(Z,4)-Bm)-Am/Bm/2.8284*LN((INDEX(Z,4)+2.4142*Bm)/(INDEX(Z,4)-0.4142*Bm))*(2*MMULT(TRANSPOSE(xi),K21:L22)/Am-TRANSPOSE(J21:J22)/Bm))</f>
        <v>#NUM!</v>
      </c>
      <c r="G16" s="21" t="e">
        <v>#NUM!</v>
      </c>
      <c r="H16" s="21" t="e">
        <f t="array" ref="H16:I16">F16:G16*E16</f>
        <v>#NUM!</v>
      </c>
      <c r="I16" s="5" t="e">
        <v>#NUM!</v>
      </c>
    </row>
    <row r="18" spans="1:15" ht="15.75" thickBot="1" x14ac:dyDescent="0.3"/>
    <row r="19" spans="1:15" x14ac:dyDescent="0.25">
      <c r="A19" s="6"/>
      <c r="B19" s="7"/>
      <c r="C19" s="7"/>
      <c r="D19" s="7"/>
      <c r="E19" s="7"/>
      <c r="F19" s="7"/>
      <c r="G19" s="7"/>
      <c r="H19" s="8"/>
      <c r="I19" s="15"/>
      <c r="J19" s="15"/>
      <c r="K19" s="73" t="s">
        <v>122</v>
      </c>
      <c r="L19" s="74"/>
      <c r="N19" t="s">
        <v>159</v>
      </c>
    </row>
    <row r="20" spans="1:15" s="27" customFormat="1" x14ac:dyDescent="0.25">
      <c r="A20" s="29"/>
      <c r="B20" s="41" t="s">
        <v>124</v>
      </c>
      <c r="C20" s="41" t="s">
        <v>125</v>
      </c>
      <c r="D20" s="42" t="s">
        <v>143</v>
      </c>
      <c r="E20" s="42" t="s">
        <v>144</v>
      </c>
      <c r="F20" s="42" t="s">
        <v>127</v>
      </c>
      <c r="G20" s="42" t="s">
        <v>126</v>
      </c>
      <c r="H20" s="43" t="s">
        <v>128</v>
      </c>
      <c r="I20" s="44" t="s">
        <v>122</v>
      </c>
      <c r="J20" s="44" t="s">
        <v>123</v>
      </c>
      <c r="K20" s="47" t="str">
        <f>F6</f>
        <v>n-HEXANE</v>
      </c>
      <c r="L20" s="48" t="str">
        <f>G6</f>
        <v>n-OCTANE</v>
      </c>
      <c r="N20" s="55" t="s">
        <v>122</v>
      </c>
      <c r="O20" s="56">
        <f t="array" ref="O20">MMULT(MMULT(TRANSPOSE(xi),K21:L22),xi)</f>
        <v>0.30485760162083081</v>
      </c>
    </row>
    <row r="21" spans="1:15" x14ac:dyDescent="0.25">
      <c r="A21" s="22" t="str">
        <f>A7</f>
        <v>n-HEXANE</v>
      </c>
      <c r="B21" s="3">
        <f t="array" ref="B21:B22">T/Tc</f>
        <v>0.92629089475758775</v>
      </c>
      <c r="C21" s="3">
        <f t="array" ref="C21:C22">P/Pc</f>
        <v>0.49561030653758903</v>
      </c>
      <c r="D21" s="3">
        <f t="array" ref="D21:D22">0.37464+1.54226*w-0.26992*w^2</f>
        <v>0.81991999199999999</v>
      </c>
      <c r="E21" s="3">
        <f t="array" ref="E21:E22">(1+kappa*(1-Tr^0.5))^2</f>
        <v>1.062540671461256</v>
      </c>
      <c r="F21" s="3">
        <f t="array" ref="F21:F22">0.45724*Rgas^2*Tc^2/Pc</f>
        <v>2701532.6126043266</v>
      </c>
      <c r="G21" s="3">
        <f>E21*F21</f>
        <v>2870488.2761710822</v>
      </c>
      <c r="H21" s="18">
        <f t="array" ref="H21:H22">0.0778*Rgas*Tc/Pc</f>
        <v>108.96452061088976</v>
      </c>
      <c r="I21" s="14">
        <f t="array" ref="I21:I22">G21:G22*P/(Rgas*T)^2</f>
        <v>0.2806307894451453</v>
      </c>
      <c r="J21" s="14">
        <f t="array" ref="J21:J22">H21:H22*P/Rgas/T</f>
        <v>4.1626752531897938E-2</v>
      </c>
      <c r="K21" s="49">
        <f>I21</f>
        <v>0.2806307894451453</v>
      </c>
      <c r="L21" s="50">
        <f>K22</f>
        <v>0.35856736178822968</v>
      </c>
      <c r="N21" s="57" t="s">
        <v>123</v>
      </c>
      <c r="O21" s="17">
        <f t="array" ref="O21">SUM(xi*J21:J22)</f>
        <v>4.3863343142322084E-2</v>
      </c>
    </row>
    <row r="22" spans="1:15" ht="18" thickBot="1" x14ac:dyDescent="0.3">
      <c r="A22" s="9" t="str">
        <f>A8</f>
        <v>n-OCTANE</v>
      </c>
      <c r="B22" s="10">
        <v>0.82630098452883272</v>
      </c>
      <c r="C22" s="10">
        <v>0.60047395144457683</v>
      </c>
      <c r="D22" s="10">
        <v>0.94304718527999998</v>
      </c>
      <c r="E22" s="10">
        <v>1.1789766835724385</v>
      </c>
      <c r="F22" s="10">
        <v>4113223.4921510951</v>
      </c>
      <c r="G22" s="10">
        <f>E22*F22</f>
        <v>4849394.5915685417</v>
      </c>
      <c r="H22" s="11">
        <v>147.99535356395813</v>
      </c>
      <c r="I22" s="20">
        <v>0.47409684403176722</v>
      </c>
      <c r="J22" s="20">
        <v>5.6537356601392204E-2</v>
      </c>
      <c r="K22" s="51">
        <f>SQRT(I21*I22)*(1-F8)</f>
        <v>0.35856736178822968</v>
      </c>
      <c r="L22" s="52">
        <f>I22</f>
        <v>0.47409684403176722</v>
      </c>
      <c r="N22" s="54" t="s">
        <v>160</v>
      </c>
      <c r="O22" s="54"/>
    </row>
    <row r="23" spans="1:15" x14ac:dyDescent="0.25">
      <c r="N23" s="19">
        <v>8.3140000000000001</v>
      </c>
      <c r="O23" s="19"/>
    </row>
    <row r="25" spans="1:15" ht="18.75" x14ac:dyDescent="0.35">
      <c r="A25" t="s">
        <v>129</v>
      </c>
      <c r="C25" t="s">
        <v>145</v>
      </c>
    </row>
    <row r="26" spans="1:15" ht="17.25" x14ac:dyDescent="0.25">
      <c r="F26" s="12" t="s">
        <v>149</v>
      </c>
      <c r="G26" s="23"/>
      <c r="H26" s="13">
        <f>E28^2/4+D28^3/27</f>
        <v>-1.1015215735964502E-5</v>
      </c>
    </row>
    <row r="27" spans="1:15" ht="18" x14ac:dyDescent="0.35">
      <c r="A27" s="19" t="s">
        <v>146</v>
      </c>
      <c r="B27" s="19" t="s">
        <v>147</v>
      </c>
      <c r="C27" s="19" t="s">
        <v>148</v>
      </c>
      <c r="D27" s="19" t="s">
        <v>130</v>
      </c>
      <c r="E27" s="45" t="s">
        <v>131</v>
      </c>
      <c r="F27" s="24" t="s">
        <v>150</v>
      </c>
      <c r="G27" s="3"/>
      <c r="H27" s="25"/>
    </row>
    <row r="28" spans="1:15" x14ac:dyDescent="0.25">
      <c r="A28" s="19">
        <f>-(1-Bm)</f>
        <v>-0.9561366568576779</v>
      </c>
      <c r="B28" s="19">
        <f>Am-3*Bm^2-2*Bm</f>
        <v>0.21135893672132336</v>
      </c>
      <c r="C28" s="19">
        <f>-(Am*Bm-Bm^2-Bm^3)</f>
        <v>-1.1363687958287435E-2</v>
      </c>
      <c r="D28" s="19">
        <f>(3*B28-A28^2)/3</f>
        <v>-9.3373498807668945E-2</v>
      </c>
      <c r="E28" s="45">
        <f>(2*A28^3-9*A28*B28+27*C28)/27</f>
        <v>-8.7489793832228012E-3</v>
      </c>
      <c r="F28" s="16" t="s">
        <v>151</v>
      </c>
      <c r="G28" s="26"/>
      <c r="H28" s="17"/>
    </row>
    <row r="30" spans="1:15" x14ac:dyDescent="0.25">
      <c r="A30" t="s">
        <v>132</v>
      </c>
    </row>
    <row r="31" spans="1:15" x14ac:dyDescent="0.25">
      <c r="A31" s="19" t="s">
        <v>133</v>
      </c>
      <c r="B31" s="19" t="s">
        <v>134</v>
      </c>
      <c r="C31" s="19" t="s">
        <v>152</v>
      </c>
    </row>
    <row r="32" spans="1:15" x14ac:dyDescent="0.25">
      <c r="A32" s="19" t="e">
        <f>(-D28/2+SQRT(H26))^(1/3)</f>
        <v>#NUM!</v>
      </c>
      <c r="B32" s="19" t="e">
        <f>(-D28/2-SQRT(H26))^(1/3)</f>
        <v>#NUM!</v>
      </c>
      <c r="C32" s="19" t="e">
        <f>A32+B32</f>
        <v>#NUM!</v>
      </c>
    </row>
    <row r="34" spans="1:7" x14ac:dyDescent="0.25">
      <c r="A34" t="s">
        <v>153</v>
      </c>
    </row>
    <row r="35" spans="1:7" ht="18" x14ac:dyDescent="0.35">
      <c r="A35" s="19" t="s">
        <v>135</v>
      </c>
      <c r="B35" s="19" t="s">
        <v>136</v>
      </c>
      <c r="C35" s="19" t="s">
        <v>154</v>
      </c>
      <c r="D35" s="46" t="s">
        <v>155</v>
      </c>
      <c r="E35" s="46" t="s">
        <v>156</v>
      </c>
      <c r="F35" s="46" t="s">
        <v>157</v>
      </c>
      <c r="G35" s="46" t="s">
        <v>158</v>
      </c>
    </row>
    <row r="36" spans="1:7" x14ac:dyDescent="0.25">
      <c r="A36" s="19">
        <f>2*SQRT(-D28/3)</f>
        <v>0.35284273892234946</v>
      </c>
      <c r="B36" s="19">
        <f>3*E28/(D28*A36)</f>
        <v>0.79666150178247108</v>
      </c>
      <c r="C36" s="19">
        <f>ACOS(B36)</f>
        <v>0.64904481250316393</v>
      </c>
      <c r="D36" s="19">
        <f>C36/3</f>
        <v>0.21634827083438798</v>
      </c>
      <c r="E36" s="19">
        <f>A36*COS(D36)</f>
        <v>0.3446172182497147</v>
      </c>
      <c r="F36" s="19">
        <f>A36*COS(D36+4*PI()/3)</f>
        <v>-0.10671342277677012</v>
      </c>
      <c r="G36" s="19">
        <f>A36*COS(D36+2*PI()/3)</f>
        <v>-0.23790379547294471</v>
      </c>
    </row>
  </sheetData>
  <mergeCells count="7">
    <mergeCell ref="K19:L19"/>
    <mergeCell ref="F5:G5"/>
    <mergeCell ref="A14:B14"/>
    <mergeCell ref="A16:B16"/>
    <mergeCell ref="F11:G11"/>
    <mergeCell ref="H11:I11"/>
    <mergeCell ref="I5:J5"/>
  </mergeCells>
  <hyperlinks>
    <hyperlink ref="I5" r:id="rId1"/>
  </hyperlinks>
  <pageMargins left="0.7" right="0.7" top="0.75" bottom="0.75" header="0.3" footer="0.3"/>
  <pageSetup orientation="portrait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P11" sqref="P11"/>
    </sheetView>
  </sheetViews>
  <sheetFormatPr defaultRowHeight="15" x14ac:dyDescent="0.25"/>
  <cols>
    <col min="1" max="1" width="16.28515625" customWidth="1"/>
    <col min="4" max="4" width="9.7109375" customWidth="1"/>
    <col min="5" max="5" width="9.5703125" customWidth="1"/>
    <col min="6" max="6" width="10" bestFit="1" customWidth="1"/>
    <col min="7" max="7" width="10.140625" bestFit="1" customWidth="1"/>
    <col min="8" max="8" width="9.85546875" customWidth="1"/>
    <col min="9" max="9" width="10.140625" bestFit="1" customWidth="1"/>
    <col min="11" max="11" width="11" customWidth="1"/>
    <col min="12" max="12" width="10.5703125" customWidth="1"/>
    <col min="13" max="13" width="9.7109375" customWidth="1"/>
    <col min="14" max="14" width="10.42578125" customWidth="1"/>
  </cols>
  <sheetData>
    <row r="1" spans="1:16" x14ac:dyDescent="0.25">
      <c r="A1" t="s">
        <v>109</v>
      </c>
    </row>
    <row r="4" spans="1:16" ht="15.75" thickBot="1" x14ac:dyDescent="0.3">
      <c r="E4" s="60"/>
    </row>
    <row r="5" spans="1:16" ht="15.75" thickBot="1" x14ac:dyDescent="0.3">
      <c r="A5" s="10"/>
      <c r="B5" s="10"/>
      <c r="C5" s="10"/>
      <c r="D5" s="10"/>
      <c r="E5" s="11"/>
      <c r="F5" s="73" t="s">
        <v>110</v>
      </c>
      <c r="G5" s="74"/>
      <c r="I5" s="27"/>
      <c r="J5" s="61" t="s">
        <v>162</v>
      </c>
      <c r="K5" s="61" t="s">
        <v>163</v>
      </c>
      <c r="L5" s="61" t="s">
        <v>164</v>
      </c>
      <c r="M5" s="61" t="s">
        <v>165</v>
      </c>
      <c r="N5" s="61" t="s">
        <v>166</v>
      </c>
      <c r="O5" s="61" t="s">
        <v>167</v>
      </c>
      <c r="P5" s="61" t="s">
        <v>168</v>
      </c>
    </row>
    <row r="6" spans="1:16" s="27" customFormat="1" ht="18" x14ac:dyDescent="0.25">
      <c r="A6" s="27" t="s">
        <v>111</v>
      </c>
      <c r="B6" s="27" t="s">
        <v>161</v>
      </c>
      <c r="C6" s="27" t="s">
        <v>112</v>
      </c>
      <c r="D6" s="27" t="s">
        <v>113</v>
      </c>
      <c r="E6" s="28" t="s">
        <v>137</v>
      </c>
      <c r="F6" s="29" t="str">
        <f t="array" ref="F6:G6">TRANSPOSE(A7:A8)</f>
        <v>n-HEXANE</v>
      </c>
      <c r="G6" s="30" t="str">
        <v>n-OCTANE</v>
      </c>
      <c r="I6" s="27" t="str">
        <f>A7</f>
        <v>n-HEXANE</v>
      </c>
      <c r="J6" s="53">
        <f>LIQ!B7</f>
        <v>0.85</v>
      </c>
      <c r="K6" s="53">
        <f t="array" ref="K6:K7">TRANSPOSE(IF(LIQ!H26&lt;0,IF(LIQ!E13&lt;LIQ!E15,LIQ!F13:G13,LIQ!F15:G15),LIQ!F16:G16))</f>
        <v>0.8405051828341511</v>
      </c>
      <c r="L6" s="68">
        <f>B7</f>
        <v>0.9479936690898455</v>
      </c>
      <c r="M6" s="53">
        <f t="array" ref="M6:M7">TRANSPOSE(IF(H26&lt;0,IF(E13&lt;E15,F13:G13,F15:G15),F16:G16))</f>
        <v>0.77026779892892416</v>
      </c>
      <c r="N6" s="53">
        <f>K6/M6</f>
        <v>1.0911856681570926</v>
      </c>
      <c r="O6" s="53">
        <f>N6*J6</f>
        <v>0.92750781793352866</v>
      </c>
      <c r="P6" s="81">
        <f>O6/$O$8</f>
        <v>0.91823605813184106</v>
      </c>
    </row>
    <row r="7" spans="1:16" x14ac:dyDescent="0.25">
      <c r="A7" s="67" t="str">
        <f>LIQ!A7</f>
        <v>n-HEXANE</v>
      </c>
      <c r="B7" s="31">
        <f>y1calc</f>
        <v>0.9479936690898455</v>
      </c>
      <c r="C7" s="67">
        <f>LIQ!C7</f>
        <v>507.4</v>
      </c>
      <c r="D7" s="67">
        <f>LIQ!D7</f>
        <v>3.012</v>
      </c>
      <c r="E7" s="67">
        <f>LIQ!E7</f>
        <v>0.30499999999999999</v>
      </c>
      <c r="F7" s="22"/>
      <c r="G7" s="18"/>
      <c r="I7" s="27" t="str">
        <f>A8</f>
        <v>n-OCTANE</v>
      </c>
      <c r="J7" s="53">
        <f>LIQ!B8</f>
        <v>0.15000000000000002</v>
      </c>
      <c r="K7" s="19">
        <v>0.35156048618945984</v>
      </c>
      <c r="L7" s="69">
        <f>1-L6</f>
        <v>5.2006330910154497E-2</v>
      </c>
      <c r="M7" s="19">
        <v>0.63850787614766857</v>
      </c>
      <c r="N7" s="53">
        <f>K7/M7</f>
        <v>0.55059694535099823</v>
      </c>
      <c r="O7" s="53">
        <f>N7*J7</f>
        <v>8.2589541802649741E-2</v>
      </c>
      <c r="P7" s="81">
        <f>O7/$O$8</f>
        <v>8.1763941868158954E-2</v>
      </c>
    </row>
    <row r="8" spans="1:16" ht="15.75" thickBot="1" x14ac:dyDescent="0.3">
      <c r="A8" s="67" t="str">
        <f>LIQ!A8</f>
        <v>n-OCTANE</v>
      </c>
      <c r="B8">
        <f>1-B7</f>
        <v>5.2006330910154497E-2</v>
      </c>
      <c r="C8" s="67">
        <f>LIQ!C8</f>
        <v>568.79999999999995</v>
      </c>
      <c r="D8" s="67">
        <f>LIQ!D8</f>
        <v>2.4860000000000002</v>
      </c>
      <c r="E8" s="67">
        <f>LIQ!E8</f>
        <v>0.39600000000000002</v>
      </c>
      <c r="F8" s="65">
        <f>1-0.5*H22/H21*SQRT(G21/G22)-0.5*H21/H22*SQRT(G22/G21)+0.5*H22*Rgas*T/SQRT(G21*G22)*0.22806/(T/C7)^0.18772</f>
        <v>1.6963678227642814E-2</v>
      </c>
      <c r="G8" s="11"/>
      <c r="N8" t="s">
        <v>169</v>
      </c>
      <c r="O8" s="62">
        <f>SUM(O6:O7)</f>
        <v>1.0100973597361784</v>
      </c>
      <c r="P8">
        <f>SUM(P6:P7)</f>
        <v>1</v>
      </c>
    </row>
    <row r="9" spans="1:16" ht="15.75" thickBot="1" x14ac:dyDescent="0.3"/>
    <row r="10" spans="1:16" ht="15.75" thickBot="1" x14ac:dyDescent="0.3">
      <c r="A10" s="6" t="s">
        <v>114</v>
      </c>
      <c r="B10" s="8"/>
      <c r="C10" s="6" t="s">
        <v>115</v>
      </c>
      <c r="D10" s="8"/>
    </row>
    <row r="11" spans="1:16" x14ac:dyDescent="0.25">
      <c r="A11" s="63" t="s">
        <v>116</v>
      </c>
      <c r="B11" s="64">
        <f>T</f>
        <v>470</v>
      </c>
      <c r="C11" s="34" t="s">
        <v>117</v>
      </c>
      <c r="D11" s="35" t="s">
        <v>118</v>
      </c>
      <c r="E11" s="36" t="s">
        <v>119</v>
      </c>
      <c r="F11" s="73" t="s">
        <v>139</v>
      </c>
      <c r="G11" s="74"/>
      <c r="H11" s="73" t="s">
        <v>140</v>
      </c>
      <c r="I11" s="74"/>
    </row>
    <row r="12" spans="1:16" ht="18" thickBot="1" x14ac:dyDescent="0.3">
      <c r="A12" s="65" t="s">
        <v>120</v>
      </c>
      <c r="B12" s="66">
        <f>P</f>
        <v>1.4927782432912182</v>
      </c>
      <c r="C12" s="37"/>
      <c r="D12" s="38" t="s">
        <v>138</v>
      </c>
      <c r="E12" s="39" t="s">
        <v>121</v>
      </c>
      <c r="F12" s="37" t="str">
        <f>F6</f>
        <v>n-HEXANE</v>
      </c>
      <c r="G12" s="40" t="str">
        <f>G6</f>
        <v>n-OCTANE</v>
      </c>
      <c r="H12" s="37" t="str">
        <f>F6</f>
        <v>n-HEXANE</v>
      </c>
      <c r="I12" s="40" t="str">
        <f>G6</f>
        <v>n-OCTANE</v>
      </c>
    </row>
    <row r="13" spans="1:16" x14ac:dyDescent="0.25">
      <c r="B13" s="7"/>
      <c r="C13" s="7">
        <f>E36-A28/3</f>
        <v>0.69231951018311777</v>
      </c>
      <c r="D13" s="7">
        <f t="array" ref="D13:D16">Zv*Rgas*T/P</f>
        <v>1812.2543544289758</v>
      </c>
      <c r="E13" s="15">
        <f t="array" ref="E13:E16">P*EXP(Zv-1-LN(Zv-Bmv)-Amv/2.8284/Bmv*LN((Zv+2.4142*Bmv)/(Zv-0.4142*Bmv)))</f>
        <v>1.1386750332089919</v>
      </c>
      <c r="F13" s="15">
        <f t="array" ref="F13:G13">EXP(TRANSPOSE(J21:J22)/Bmv*(INDEX(Zv,1)-1)-LN(INDEX(Zv,1)-Bmv)-Amv/Bmv/2.8284*LN((INDEX(Zv,1)+2.4142*Bmv)/(INDEX(Zv,1)-0.4142*Bmv))*(2*MMULT(TRANSPOSE(yi),K21:L22)/Amv-TRANSPOSE(J21:J22)/Bmv))</f>
        <v>0.77026779892892416</v>
      </c>
      <c r="G13" s="15">
        <v>0.63850787614766857</v>
      </c>
      <c r="H13" s="15">
        <f t="array" ref="H13:I13">F13:G13*E13</f>
        <v>0.87708471152520984</v>
      </c>
      <c r="I13" s="15">
        <v>0.7270529770766494</v>
      </c>
    </row>
    <row r="14" spans="1:16" x14ac:dyDescent="0.25">
      <c r="A14" s="75" t="s">
        <v>141</v>
      </c>
      <c r="B14" s="76"/>
      <c r="C14" s="3">
        <f>F36-A28/3</f>
        <v>0.18372593448336713</v>
      </c>
      <c r="D14" s="3">
        <v>480.93130395956592</v>
      </c>
      <c r="E14" s="59">
        <v>1.2617144296970992</v>
      </c>
      <c r="F14" s="14"/>
      <c r="G14" s="14"/>
      <c r="H14" s="14"/>
      <c r="I14" s="14"/>
    </row>
    <row r="15" spans="1:16" ht="15.75" thickBot="1" x14ac:dyDescent="0.3">
      <c r="A15" s="9"/>
      <c r="B15" s="10"/>
      <c r="C15" s="10">
        <f>G36-A28/3</f>
        <v>8.15523569923087E-2</v>
      </c>
      <c r="D15" s="10">
        <v>213.4760206803453</v>
      </c>
      <c r="E15" s="20">
        <v>1.1969878828038265</v>
      </c>
      <c r="F15" s="20">
        <f t="array" ref="F15:G15">EXP(TRANSPOSE(J21:J22)/Bmv*(INDEX(Zv,3)-1)-LN(INDEX(Zv,3)-Bmv)-Amv/Bmv/2.8284*LN((INDEX(Zv,3)+2.4142*Bmv)/(INDEX(Zv,3)-0.4142*Bmv))*(2*MMULT(TRANSPOSE(yi),K21:L22)/Amv-TRANSPOSE(J21:J22)/Bmv))</f>
        <v>0.83745957379161029</v>
      </c>
      <c r="G15" s="20">
        <v>0.36319098035498687</v>
      </c>
      <c r="H15" s="20">
        <f t="array" ref="H15:I15">F15:G15*E15</f>
        <v>1.0024289621666145</v>
      </c>
      <c r="I15" s="20">
        <v>0.43473520262856186</v>
      </c>
    </row>
    <row r="16" spans="1:16" ht="15.75" thickBot="1" x14ac:dyDescent="0.3">
      <c r="A16" s="77" t="s">
        <v>142</v>
      </c>
      <c r="B16" s="78"/>
      <c r="C16" s="21" t="e">
        <f>C32-A28/3</f>
        <v>#NUM!</v>
      </c>
      <c r="D16" s="21" t="e">
        <v>#NUM!</v>
      </c>
      <c r="E16" s="4" t="e">
        <v>#NUM!</v>
      </c>
      <c r="F16" s="21" t="e">
        <f t="array" ref="F16:G16">EXP(TRANSPOSE(J21:J22)/Bmv*(INDEX(Zv,4)-1)-LN(INDEX(Zv,4)-Bmv)-Amv/Bmv/2.8284*LN((INDEX(Zv,4)+2.4142*Bmv)/(INDEX(Zv,4)-0.4142*Bmv))*(2*MMULT(TRANSPOSE(yi),K21:L22)/Amv-TRANSPOSE(J21:J22)/Bmv))</f>
        <v>#NUM!</v>
      </c>
      <c r="G16" s="21" t="e">
        <v>#NUM!</v>
      </c>
      <c r="H16" s="21" t="e">
        <f t="array" ref="H16:I16">F16:G16*E16</f>
        <v>#NUM!</v>
      </c>
      <c r="I16" s="5" t="e">
        <v>#NUM!</v>
      </c>
    </row>
    <row r="18" spans="1:15" ht="15.75" thickBot="1" x14ac:dyDescent="0.3"/>
    <row r="19" spans="1:15" x14ac:dyDescent="0.25">
      <c r="A19" s="6"/>
      <c r="B19" s="7"/>
      <c r="C19" s="7"/>
      <c r="D19" s="7"/>
      <c r="E19" s="7"/>
      <c r="F19" s="7"/>
      <c r="G19" s="7"/>
      <c r="H19" s="8"/>
      <c r="I19" s="15"/>
      <c r="J19" s="15"/>
      <c r="K19" s="73" t="s">
        <v>122</v>
      </c>
      <c r="L19" s="74"/>
      <c r="N19" t="s">
        <v>159</v>
      </c>
    </row>
    <row r="20" spans="1:15" s="27" customFormat="1" x14ac:dyDescent="0.25">
      <c r="A20" s="29"/>
      <c r="B20" s="41" t="s">
        <v>124</v>
      </c>
      <c r="C20" s="41" t="s">
        <v>125</v>
      </c>
      <c r="D20" s="42" t="s">
        <v>143</v>
      </c>
      <c r="E20" s="42" t="s">
        <v>144</v>
      </c>
      <c r="F20" s="42" t="s">
        <v>127</v>
      </c>
      <c r="G20" s="42" t="s">
        <v>126</v>
      </c>
      <c r="H20" s="43" t="s">
        <v>128</v>
      </c>
      <c r="I20" s="44" t="s">
        <v>122</v>
      </c>
      <c r="J20" s="44" t="s">
        <v>123</v>
      </c>
      <c r="K20" s="47" t="str">
        <f>F6</f>
        <v>n-HEXANE</v>
      </c>
      <c r="L20" s="48" t="str">
        <f>G6</f>
        <v>n-OCTANE</v>
      </c>
      <c r="N20" s="55" t="s">
        <v>122</v>
      </c>
      <c r="O20" s="56">
        <f t="array" ref="O20">MMULT(MMULT(TRANSPOSE(yi),K21:L22),yi)</f>
        <v>0.28883885576930102</v>
      </c>
    </row>
    <row r="21" spans="1:15" x14ac:dyDescent="0.25">
      <c r="A21" s="22" t="str">
        <f>A7</f>
        <v>n-HEXANE</v>
      </c>
      <c r="B21" s="3">
        <f t="array" ref="B21:B22">T/Tc</f>
        <v>0.92629089475758775</v>
      </c>
      <c r="C21" s="3">
        <f t="array" ref="C21:C22">P/Pc</f>
        <v>0.49561030653758903</v>
      </c>
      <c r="D21" s="3">
        <f t="array" ref="D21:D22">0.37464+1.54226*w-0.26992*w^2</f>
        <v>0.81991999199999999</v>
      </c>
      <c r="E21" s="3">
        <f t="array" ref="E21:E22">(1+kappa*(1-Tr^0.5))^2</f>
        <v>1.062540671461256</v>
      </c>
      <c r="F21" s="3">
        <f t="array" ref="F21:F22">0.45724*Rgas^2*Tc^2/Pc</f>
        <v>2701532.6126043266</v>
      </c>
      <c r="G21" s="3">
        <f>E21*F21</f>
        <v>2870488.2761710822</v>
      </c>
      <c r="H21" s="18">
        <f t="array" ref="H21:H22">0.0778*Rgas*Tc/Pc</f>
        <v>108.96452061088976</v>
      </c>
      <c r="I21" s="14">
        <f t="array" ref="I21:I22">G21:G22*P/(Rgas*T)^2</f>
        <v>0.2806307894451453</v>
      </c>
      <c r="J21" s="14">
        <f t="array" ref="J21:J22">H21:H22*P/Rgas/T</f>
        <v>4.1626752531897938E-2</v>
      </c>
      <c r="K21" s="49">
        <f>I21</f>
        <v>0.2806307894451453</v>
      </c>
      <c r="L21" s="50">
        <f>K22</f>
        <v>0.35856736178822968</v>
      </c>
      <c r="N21" s="57" t="s">
        <v>123</v>
      </c>
      <c r="O21" s="17">
        <f t="array" ref="O21">SUM(yi*J21:J22)</f>
        <v>4.240219834120635E-2</v>
      </c>
    </row>
    <row r="22" spans="1:15" ht="18" thickBot="1" x14ac:dyDescent="0.3">
      <c r="A22" s="9" t="str">
        <f>A8</f>
        <v>n-OCTANE</v>
      </c>
      <c r="B22" s="10">
        <v>0.82630098452883272</v>
      </c>
      <c r="C22" s="10">
        <v>0.60047395144457683</v>
      </c>
      <c r="D22" s="10">
        <v>0.94304718527999998</v>
      </c>
      <c r="E22" s="10">
        <v>1.1789766835724385</v>
      </c>
      <c r="F22" s="10">
        <v>4113223.4921510951</v>
      </c>
      <c r="G22" s="10">
        <f>E22*F22</f>
        <v>4849394.5915685417</v>
      </c>
      <c r="H22" s="11">
        <v>147.99535356395813</v>
      </c>
      <c r="I22" s="20">
        <v>0.47409684403176722</v>
      </c>
      <c r="J22" s="20">
        <v>5.6537356601392204E-2</v>
      </c>
      <c r="K22" s="51">
        <f>SQRT(I21*I22)*(1-F8)</f>
        <v>0.35856736178822968</v>
      </c>
      <c r="L22" s="52">
        <f>I22</f>
        <v>0.47409684403176722</v>
      </c>
      <c r="N22" s="54" t="s">
        <v>160</v>
      </c>
      <c r="O22" s="54"/>
    </row>
    <row r="23" spans="1:15" x14ac:dyDescent="0.25">
      <c r="N23" s="19">
        <v>8.3140000000000001</v>
      </c>
      <c r="O23" s="19"/>
    </row>
    <row r="25" spans="1:15" ht="18.75" x14ac:dyDescent="0.35">
      <c r="A25" t="s">
        <v>129</v>
      </c>
      <c r="C25" t="s">
        <v>145</v>
      </c>
    </row>
    <row r="26" spans="1:15" ht="17.25" x14ac:dyDescent="0.25">
      <c r="F26" s="12" t="s">
        <v>149</v>
      </c>
      <c r="G26" s="23"/>
      <c r="H26" s="13">
        <f>E28^2/4+D28^3/27</f>
        <v>-9.327097792965397E-6</v>
      </c>
    </row>
    <row r="27" spans="1:15" ht="18" x14ac:dyDescent="0.35">
      <c r="A27" s="19" t="s">
        <v>146</v>
      </c>
      <c r="B27" s="19" t="s">
        <v>147</v>
      </c>
      <c r="C27" s="19" t="s">
        <v>148</v>
      </c>
      <c r="D27" s="19" t="s">
        <v>130</v>
      </c>
      <c r="E27" s="45" t="s">
        <v>131</v>
      </c>
      <c r="F27" s="24" t="s">
        <v>150</v>
      </c>
      <c r="G27" s="3"/>
      <c r="H27" s="25"/>
    </row>
    <row r="28" spans="1:15" x14ac:dyDescent="0.25">
      <c r="A28" s="19">
        <f>-(1-Bmv)</f>
        <v>-0.9575978016587936</v>
      </c>
      <c r="B28" s="19">
        <f>Amv-3*Bmv^2-2*Bmv</f>
        <v>0.1986406198143873</v>
      </c>
      <c r="C28" s="19">
        <f>-(Amv*Bmv-Bmv^2-Bmv^3)</f>
        <v>-1.0373219145925603E-2</v>
      </c>
      <c r="D28" s="19">
        <f>(3*B28-A28^2)/3</f>
        <v>-0.10702389676619743</v>
      </c>
      <c r="E28" s="45">
        <f>(2*A28^3-9*A28*B28+27*C28)/27</f>
        <v>-1.2012538666163282E-2</v>
      </c>
      <c r="F28" s="16" t="s">
        <v>151</v>
      </c>
      <c r="G28" s="26"/>
      <c r="H28" s="17"/>
    </row>
    <row r="30" spans="1:15" x14ac:dyDescent="0.25">
      <c r="A30" t="s">
        <v>132</v>
      </c>
    </row>
    <row r="31" spans="1:15" x14ac:dyDescent="0.25">
      <c r="A31" s="19" t="s">
        <v>133</v>
      </c>
      <c r="B31" s="19" t="s">
        <v>134</v>
      </c>
      <c r="C31" s="19" t="s">
        <v>152</v>
      </c>
    </row>
    <row r="32" spans="1:15" x14ac:dyDescent="0.25">
      <c r="A32" s="19" t="e">
        <f>(-D28/2+SQRT(H26))^(1/3)</f>
        <v>#NUM!</v>
      </c>
      <c r="B32" s="19" t="e">
        <f>(-D28/2-SQRT(H26))^(1/3)</f>
        <v>#NUM!</v>
      </c>
      <c r="C32" s="19" t="e">
        <f>A32+B32</f>
        <v>#NUM!</v>
      </c>
    </row>
    <row r="34" spans="1:7" x14ac:dyDescent="0.25">
      <c r="A34" t="s">
        <v>153</v>
      </c>
    </row>
    <row r="35" spans="1:7" ht="18" x14ac:dyDescent="0.35">
      <c r="A35" s="19" t="s">
        <v>135</v>
      </c>
      <c r="B35" s="19" t="s">
        <v>136</v>
      </c>
      <c r="C35" s="19" t="s">
        <v>154</v>
      </c>
      <c r="D35" s="46" t="s">
        <v>155</v>
      </c>
      <c r="E35" s="46" t="s">
        <v>156</v>
      </c>
      <c r="F35" s="46" t="s">
        <v>157</v>
      </c>
      <c r="G35" s="46" t="s">
        <v>158</v>
      </c>
    </row>
    <row r="36" spans="1:7" x14ac:dyDescent="0.25">
      <c r="A36" s="19">
        <f>2*SQRT(-D28/3)</f>
        <v>0.37775458835280423</v>
      </c>
      <c r="B36" s="19">
        <f>3*E28/(D28*A36)</f>
        <v>0.89138545945600922</v>
      </c>
      <c r="C36" s="19">
        <f>ACOS(B36)</f>
        <v>0.47040353651220079</v>
      </c>
      <c r="D36" s="19">
        <f>C36/3</f>
        <v>0.15680117883740027</v>
      </c>
      <c r="E36" s="19">
        <f>A36*COS(D36)</f>
        <v>0.37312024296351992</v>
      </c>
      <c r="F36" s="19">
        <f>A36*COS(D36+4*PI()/3)</f>
        <v>-0.13547333273623072</v>
      </c>
      <c r="G36" s="19">
        <f>A36*COS(D36+2*PI()/3)</f>
        <v>-0.23764691022728915</v>
      </c>
    </row>
  </sheetData>
  <mergeCells count="6">
    <mergeCell ref="K19:L19"/>
    <mergeCell ref="F5:G5"/>
    <mergeCell ref="F11:G11"/>
    <mergeCell ref="H11:I11"/>
    <mergeCell ref="A14:B14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Don't mess it up</vt:lpstr>
      <vt:lpstr>critical prop</vt:lpstr>
      <vt:lpstr>Raoults</vt:lpstr>
      <vt:lpstr>LIQ</vt:lpstr>
      <vt:lpstr>VAP</vt:lpstr>
      <vt:lpstr>Am</vt:lpstr>
      <vt:lpstr>Amv</vt:lpstr>
      <vt:lpstr>Bm</vt:lpstr>
      <vt:lpstr>Bmv</vt:lpstr>
      <vt:lpstr>kappa</vt:lpstr>
      <vt:lpstr>P</vt:lpstr>
      <vt:lpstr>Pc</vt:lpstr>
      <vt:lpstr>Pr</vt:lpstr>
      <vt:lpstr>Psat1</vt:lpstr>
      <vt:lpstr>Psat2</vt:lpstr>
      <vt:lpstr>Px</vt:lpstr>
      <vt:lpstr>Rgas</vt:lpstr>
      <vt:lpstr>T</vt:lpstr>
      <vt:lpstr>Tc</vt:lpstr>
      <vt:lpstr>theta1</vt:lpstr>
      <vt:lpstr>theta2</vt:lpstr>
      <vt:lpstr>Tr</vt:lpstr>
      <vt:lpstr>w</vt:lpstr>
      <vt:lpstr>xi</vt:lpstr>
      <vt:lpstr>y1calc</vt:lpstr>
      <vt:lpstr>yi</vt:lpstr>
      <vt:lpstr>Z</vt:lpstr>
      <vt:lpstr>Zv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2015-12-14T23:21:05Z</dcterms:created>
  <dcterms:modified xsi:type="dcterms:W3CDTF">2016-01-06T00:30:06Z</dcterms:modified>
</cp:coreProperties>
</file>