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chael\Dropbox\Spring 15 simulations\29 Hilsch Tube\Maths\"/>
    </mc:Choice>
  </mc:AlternateContent>
  <bookViews>
    <workbookView xWindow="240" yWindow="675" windowWidth="20730" windowHeight="11700" tabRatio="756" activeTab="2"/>
  </bookViews>
  <sheets>
    <sheet name="Calibration" sheetId="1" r:id="rId1"/>
    <sheet name="Linear Regression" sheetId="5" r:id="rId2"/>
    <sheet name="Data" sheetId="2" r:id="rId3"/>
    <sheet name="Error Data" sheetId="6" r:id="rId4"/>
    <sheet name="dTout vs dm" sheetId="9" r:id="rId5"/>
    <sheet name="dTout vs mhotout" sheetId="10" r:id="rId6"/>
    <sheet name="CC vs Tcout" sheetId="11" r:id="rId7"/>
    <sheet name="dS vs dmout" sheetId="12" r:id="rId8"/>
    <sheet name="Qdot" sheetId="13" r:id="rId9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2" l="1"/>
  <c r="B55" i="2"/>
  <c r="B52" i="2"/>
  <c r="B38" i="2"/>
  <c r="C17" i="2"/>
  <c r="D17" i="2"/>
  <c r="E17" i="2"/>
  <c r="F17" i="2"/>
  <c r="G17" i="2"/>
  <c r="H17" i="2"/>
  <c r="I17" i="2"/>
  <c r="J17" i="2"/>
  <c r="C18" i="2"/>
  <c r="D18" i="2"/>
  <c r="E18" i="2"/>
  <c r="F18" i="2"/>
  <c r="G18" i="2"/>
  <c r="H18" i="2"/>
  <c r="I18" i="2"/>
  <c r="J18" i="2"/>
  <c r="C19" i="2"/>
  <c r="D19" i="2"/>
  <c r="E19" i="2"/>
  <c r="F19" i="2"/>
  <c r="G19" i="2"/>
  <c r="H19" i="2"/>
  <c r="I19" i="2"/>
  <c r="J19" i="2"/>
  <c r="B17" i="2"/>
  <c r="B18" i="2"/>
  <c r="B19" i="2"/>
  <c r="D37" i="2"/>
  <c r="D38" i="2"/>
  <c r="D39" i="2"/>
  <c r="D40" i="2"/>
  <c r="D41" i="2"/>
  <c r="E20" i="6"/>
  <c r="F20" i="6"/>
  <c r="G20" i="6"/>
  <c r="I20" i="6"/>
  <c r="J20" i="6"/>
  <c r="M20" i="6"/>
  <c r="N20" i="6"/>
  <c r="O20" i="6"/>
  <c r="Q20" i="6"/>
  <c r="R20" i="6"/>
  <c r="U20" i="6"/>
  <c r="V20" i="6"/>
  <c r="W20" i="6"/>
  <c r="Y20" i="6"/>
  <c r="Z20" i="6"/>
  <c r="C21" i="6"/>
  <c r="D21" i="6"/>
  <c r="E21" i="6"/>
  <c r="G21" i="6"/>
  <c r="H21" i="6"/>
  <c r="K21" i="6"/>
  <c r="L21" i="6"/>
  <c r="M21" i="6"/>
  <c r="O21" i="6"/>
  <c r="P21" i="6"/>
  <c r="S21" i="6"/>
  <c r="T21" i="6"/>
  <c r="U21" i="6"/>
  <c r="W21" i="6"/>
  <c r="X21" i="6"/>
  <c r="AA21" i="6"/>
  <c r="AB21" i="6"/>
  <c r="C22" i="6"/>
  <c r="E22" i="6"/>
  <c r="F22" i="6"/>
  <c r="I22" i="6"/>
  <c r="J22" i="6"/>
  <c r="K22" i="6"/>
  <c r="K29" i="6"/>
  <c r="M22" i="6"/>
  <c r="N22" i="6"/>
  <c r="Q22" i="6"/>
  <c r="R22" i="6"/>
  <c r="S22" i="6"/>
  <c r="U22" i="6"/>
  <c r="V22" i="6"/>
  <c r="Y22" i="6"/>
  <c r="Z22" i="6"/>
  <c r="AA22" i="6"/>
  <c r="B21" i="6"/>
  <c r="B22" i="6"/>
  <c r="D5" i="6"/>
  <c r="E5" i="6"/>
  <c r="F5" i="6"/>
  <c r="H5" i="6"/>
  <c r="I5" i="6"/>
  <c r="L5" i="6"/>
  <c r="M5" i="6"/>
  <c r="N5" i="6"/>
  <c r="P5" i="6"/>
  <c r="Q5" i="6"/>
  <c r="T5" i="6"/>
  <c r="U5" i="6"/>
  <c r="V5" i="6"/>
  <c r="X5" i="6"/>
  <c r="Y5" i="6"/>
  <c r="AB5" i="6"/>
  <c r="C6" i="6"/>
  <c r="D6" i="6"/>
  <c r="F6" i="6"/>
  <c r="G6" i="6"/>
  <c r="J6" i="6"/>
  <c r="K6" i="6"/>
  <c r="L6" i="6"/>
  <c r="N6" i="6"/>
  <c r="O6" i="6"/>
  <c r="R6" i="6"/>
  <c r="S6" i="6"/>
  <c r="T6" i="6"/>
  <c r="V6" i="6"/>
  <c r="W6" i="6"/>
  <c r="Z6" i="6"/>
  <c r="AA6" i="6"/>
  <c r="AB6" i="6"/>
  <c r="D7" i="6"/>
  <c r="E7" i="6"/>
  <c r="H7" i="6"/>
  <c r="I7" i="6"/>
  <c r="J7" i="6"/>
  <c r="L7" i="6"/>
  <c r="M7" i="6"/>
  <c r="P7" i="6"/>
  <c r="Q7" i="6"/>
  <c r="R7" i="6"/>
  <c r="T7" i="6"/>
  <c r="U7" i="6"/>
  <c r="X7" i="6"/>
  <c r="Y7" i="6"/>
  <c r="Z7" i="6"/>
  <c r="AB7" i="6"/>
  <c r="B6" i="6"/>
  <c r="A3" i="1"/>
  <c r="G2" i="1"/>
  <c r="B17" i="6"/>
  <c r="G3" i="1"/>
  <c r="C20" i="6"/>
  <c r="N4" i="1"/>
  <c r="C38" i="2"/>
  <c r="C44" i="2"/>
  <c r="C47" i="2"/>
  <c r="C51" i="2"/>
  <c r="C41" i="2"/>
  <c r="C9" i="6"/>
  <c r="C37" i="2"/>
  <c r="C43" i="2"/>
  <c r="C45" i="2"/>
  <c r="C46" i="2"/>
  <c r="C40" i="2"/>
  <c r="C42" i="2"/>
  <c r="D9" i="6"/>
  <c r="D42" i="2"/>
  <c r="D49" i="2"/>
  <c r="E38" i="2"/>
  <c r="E41" i="2"/>
  <c r="E9" i="6"/>
  <c r="E37" i="2"/>
  <c r="E40" i="2"/>
  <c r="E42" i="2"/>
  <c r="E49" i="2"/>
  <c r="F38" i="2"/>
  <c r="F41" i="2"/>
  <c r="F9" i="6"/>
  <c r="F37" i="2"/>
  <c r="F40" i="2"/>
  <c r="F42" i="2"/>
  <c r="G18" i="6"/>
  <c r="G38" i="2"/>
  <c r="G41" i="2"/>
  <c r="G9" i="6"/>
  <c r="G37" i="2"/>
  <c r="G43" i="2"/>
  <c r="G45" i="2"/>
  <c r="G46" i="2"/>
  <c r="G40" i="2"/>
  <c r="G42" i="2"/>
  <c r="G49" i="2"/>
  <c r="H38" i="2"/>
  <c r="H41" i="2"/>
  <c r="H9" i="6"/>
  <c r="H37" i="2"/>
  <c r="H40" i="2"/>
  <c r="H42" i="2"/>
  <c r="H49" i="2"/>
  <c r="I38" i="2"/>
  <c r="I41" i="2"/>
  <c r="I9" i="6"/>
  <c r="I37" i="2"/>
  <c r="I40" i="2"/>
  <c r="I42" i="2"/>
  <c r="J18" i="6"/>
  <c r="J38" i="2"/>
  <c r="J41" i="2"/>
  <c r="J9" i="6"/>
  <c r="J37" i="2"/>
  <c r="J40" i="2"/>
  <c r="J42" i="2"/>
  <c r="K38" i="2"/>
  <c r="K41" i="2"/>
  <c r="K9" i="6"/>
  <c r="K37" i="2"/>
  <c r="K40" i="2"/>
  <c r="K42" i="2"/>
  <c r="K49" i="2"/>
  <c r="L38" i="2"/>
  <c r="L41" i="2"/>
  <c r="L9" i="6"/>
  <c r="L37" i="2"/>
  <c r="L40" i="2"/>
  <c r="L42" i="2"/>
  <c r="M38" i="2"/>
  <c r="M41" i="2"/>
  <c r="M49" i="2"/>
  <c r="M9" i="6"/>
  <c r="M37" i="2"/>
  <c r="M40" i="2"/>
  <c r="M42" i="2"/>
  <c r="N38" i="2"/>
  <c r="N41" i="2"/>
  <c r="N9" i="6"/>
  <c r="N37" i="2"/>
  <c r="N40" i="2"/>
  <c r="N42" i="2"/>
  <c r="O18" i="6"/>
  <c r="O38" i="2"/>
  <c r="O41" i="2"/>
  <c r="O9" i="6"/>
  <c r="O37" i="2"/>
  <c r="O40" i="2"/>
  <c r="O42" i="2"/>
  <c r="P38" i="2"/>
  <c r="P41" i="2"/>
  <c r="P9" i="6"/>
  <c r="P37" i="2"/>
  <c r="P40" i="2"/>
  <c r="P42" i="2"/>
  <c r="Q38" i="2"/>
  <c r="Q41" i="2"/>
  <c r="Q9" i="6"/>
  <c r="Q37" i="2"/>
  <c r="Q40" i="2"/>
  <c r="Q42" i="2"/>
  <c r="Q49" i="2"/>
  <c r="R18" i="6"/>
  <c r="R38" i="2"/>
  <c r="R41" i="2"/>
  <c r="R9" i="6"/>
  <c r="R37" i="2"/>
  <c r="R40" i="2"/>
  <c r="R42" i="2"/>
  <c r="S38" i="2"/>
  <c r="S9" i="6"/>
  <c r="S41" i="2"/>
  <c r="S49" i="2"/>
  <c r="S37" i="2"/>
  <c r="S40" i="2"/>
  <c r="S42" i="2"/>
  <c r="T38" i="2"/>
  <c r="T41" i="2"/>
  <c r="T9" i="6"/>
  <c r="T37" i="2"/>
  <c r="T40" i="2"/>
  <c r="T42" i="2"/>
  <c r="T49" i="2"/>
  <c r="U38" i="2"/>
  <c r="U41" i="2"/>
  <c r="U9" i="6"/>
  <c r="U37" i="2"/>
  <c r="U40" i="2"/>
  <c r="U42" i="2"/>
  <c r="V38" i="2"/>
  <c r="V41" i="2"/>
  <c r="V49" i="2"/>
  <c r="V9" i="6"/>
  <c r="V37" i="2"/>
  <c r="V40" i="2"/>
  <c r="V42" i="2"/>
  <c r="W18" i="6"/>
  <c r="W38" i="2"/>
  <c r="W41" i="2"/>
  <c r="W9" i="6"/>
  <c r="W37" i="2"/>
  <c r="W40" i="2"/>
  <c r="W42" i="2"/>
  <c r="X38" i="2"/>
  <c r="X41" i="2"/>
  <c r="X49" i="2"/>
  <c r="X9" i="6"/>
  <c r="X37" i="2"/>
  <c r="X40" i="2"/>
  <c r="X42" i="2"/>
  <c r="Y38" i="2"/>
  <c r="Y41" i="2"/>
  <c r="Y9" i="6"/>
  <c r="Y37" i="2"/>
  <c r="Y40" i="2"/>
  <c r="Y42" i="2"/>
  <c r="Y49" i="2"/>
  <c r="Z18" i="6"/>
  <c r="Z38" i="2"/>
  <c r="Z41" i="2"/>
  <c r="Z9" i="6"/>
  <c r="Z37" i="2"/>
  <c r="Z40" i="2"/>
  <c r="Z42" i="2"/>
  <c r="AA38" i="2"/>
  <c r="AA41" i="2"/>
  <c r="AA9" i="6"/>
  <c r="AA37" i="2"/>
  <c r="AA40" i="2"/>
  <c r="AA42" i="2"/>
  <c r="AB38" i="2"/>
  <c r="AB44" i="2"/>
  <c r="AB47" i="2"/>
  <c r="AB41" i="2"/>
  <c r="AB9" i="6"/>
  <c r="AB37" i="2"/>
  <c r="AB40" i="2"/>
  <c r="AB42" i="2"/>
  <c r="B41" i="2"/>
  <c r="B9" i="6"/>
  <c r="B37" i="2"/>
  <c r="B40" i="2"/>
  <c r="B42" i="2"/>
  <c r="C19" i="6"/>
  <c r="C39" i="2"/>
  <c r="N3" i="1"/>
  <c r="E39" i="2"/>
  <c r="F39" i="2"/>
  <c r="G39" i="2"/>
  <c r="H39" i="2"/>
  <c r="I39" i="2"/>
  <c r="J39" i="2"/>
  <c r="K39" i="2"/>
  <c r="L19" i="6"/>
  <c r="L39" i="2"/>
  <c r="M39" i="2"/>
  <c r="N39" i="2"/>
  <c r="O19" i="6"/>
  <c r="O39" i="2"/>
  <c r="P39" i="2"/>
  <c r="Q39" i="2"/>
  <c r="R19" i="6"/>
  <c r="R39" i="2"/>
  <c r="S39" i="2"/>
  <c r="T39" i="2"/>
  <c r="U39" i="2"/>
  <c r="V19" i="6"/>
  <c r="V39" i="2"/>
  <c r="W19" i="6"/>
  <c r="W39" i="2"/>
  <c r="X39" i="2"/>
  <c r="Y39" i="2"/>
  <c r="Z19" i="6"/>
  <c r="Z39" i="2"/>
  <c r="AA39" i="2"/>
  <c r="AB39" i="2"/>
  <c r="B39" i="2"/>
  <c r="C29" i="6"/>
  <c r="E29" i="6"/>
  <c r="S29" i="6"/>
  <c r="U29" i="6"/>
  <c r="AA29" i="6"/>
  <c r="B29" i="6"/>
  <c r="C49" i="2"/>
  <c r="I7" i="1"/>
  <c r="M7" i="1"/>
  <c r="E7" i="1"/>
  <c r="I8" i="1"/>
  <c r="M8" i="1"/>
  <c r="E8" i="1"/>
  <c r="I9" i="1"/>
  <c r="E9" i="1"/>
  <c r="M9" i="1"/>
  <c r="I10" i="1"/>
  <c r="E10" i="1"/>
  <c r="M10" i="1"/>
  <c r="I11" i="1"/>
  <c r="E11" i="1"/>
  <c r="M11" i="1"/>
  <c r="I12" i="1"/>
  <c r="E12" i="1"/>
  <c r="I13" i="1"/>
  <c r="E13" i="1"/>
  <c r="M13" i="1"/>
  <c r="I14" i="1"/>
  <c r="E14" i="1"/>
  <c r="M14" i="1"/>
  <c r="I15" i="1"/>
  <c r="M15" i="1"/>
  <c r="E15" i="1"/>
  <c r="I16" i="1"/>
  <c r="M16" i="1"/>
  <c r="E16" i="1"/>
  <c r="I17" i="1"/>
  <c r="E17" i="1"/>
  <c r="M17" i="1"/>
  <c r="I18" i="1"/>
  <c r="E18" i="1"/>
  <c r="M18" i="1"/>
  <c r="I19" i="1"/>
  <c r="E19" i="1"/>
  <c r="M19" i="1"/>
  <c r="I20" i="1"/>
  <c r="M20" i="1"/>
  <c r="E20" i="1"/>
  <c r="I6" i="1"/>
  <c r="E6" i="1"/>
  <c r="M6" i="1"/>
  <c r="H7" i="1"/>
  <c r="D7" i="1"/>
  <c r="L7" i="1"/>
  <c r="H8" i="1"/>
  <c r="L8" i="1"/>
  <c r="D8" i="1"/>
  <c r="H9" i="1"/>
  <c r="L9" i="1"/>
  <c r="D9" i="1"/>
  <c r="H10" i="1"/>
  <c r="D10" i="1"/>
  <c r="L10" i="1"/>
  <c r="H11" i="1"/>
  <c r="D11" i="1"/>
  <c r="L11" i="1"/>
  <c r="H12" i="1"/>
  <c r="D12" i="1"/>
  <c r="L12" i="1"/>
  <c r="H13" i="1"/>
  <c r="D13" i="1"/>
  <c r="H14" i="1"/>
  <c r="D14" i="1"/>
  <c r="L14" i="1"/>
  <c r="H15" i="1"/>
  <c r="D15" i="1"/>
  <c r="L15" i="1"/>
  <c r="H16" i="1"/>
  <c r="L16" i="1"/>
  <c r="D16" i="1"/>
  <c r="H17" i="1"/>
  <c r="L17" i="1"/>
  <c r="D17" i="1"/>
  <c r="H18" i="1"/>
  <c r="D18" i="1"/>
  <c r="L18" i="1"/>
  <c r="H19" i="1"/>
  <c r="D19" i="1"/>
  <c r="L19" i="1"/>
  <c r="H20" i="1"/>
  <c r="D20" i="1"/>
  <c r="L20" i="1"/>
  <c r="H6" i="1"/>
  <c r="L6" i="1"/>
  <c r="D6" i="1"/>
  <c r="I49" i="2"/>
  <c r="P49" i="2"/>
  <c r="U49" i="2"/>
  <c r="F54" i="2"/>
  <c r="AA49" i="2"/>
  <c r="R49" i="2"/>
  <c r="O44" i="2"/>
  <c r="O47" i="2"/>
  <c r="AB49" i="2"/>
  <c r="Z49" i="2"/>
  <c r="N49" i="2"/>
  <c r="L49" i="2"/>
  <c r="J49" i="2"/>
  <c r="F49" i="2"/>
  <c r="R54" i="2"/>
  <c r="T44" i="2"/>
  <c r="T47" i="2"/>
  <c r="T51" i="2"/>
  <c r="C54" i="2"/>
  <c r="O49" i="2"/>
  <c r="AA44" i="2"/>
  <c r="AA47" i="2"/>
  <c r="AA51" i="2"/>
  <c r="M44" i="2"/>
  <c r="M47" i="2"/>
  <c r="M51" i="2"/>
  <c r="W44" i="2"/>
  <c r="W47" i="2"/>
  <c r="W51" i="2"/>
  <c r="R53" i="2"/>
  <c r="X44" i="2"/>
  <c r="X47" i="2"/>
  <c r="X51" i="2"/>
  <c r="AB53" i="2"/>
  <c r="B54" i="2"/>
  <c r="G44" i="2"/>
  <c r="G47" i="2"/>
  <c r="G51" i="2"/>
  <c r="Y53" i="2"/>
  <c r="J54" i="2"/>
  <c r="V44" i="2"/>
  <c r="V47" i="2"/>
  <c r="V51" i="2"/>
  <c r="S43" i="2"/>
  <c r="S45" i="2"/>
  <c r="S46" i="2"/>
  <c r="Q44" i="2"/>
  <c r="Q47" i="2"/>
  <c r="Q51" i="2"/>
  <c r="W49" i="2"/>
  <c r="R44" i="2"/>
  <c r="R47" i="2"/>
  <c r="R51" i="2"/>
  <c r="Y44" i="2"/>
  <c r="Y47" i="2"/>
  <c r="Y51" i="2"/>
  <c r="O52" i="2"/>
  <c r="C52" i="2"/>
  <c r="B44" i="2"/>
  <c r="B47" i="2"/>
  <c r="B51" i="2"/>
  <c r="S53" i="2"/>
  <c r="E53" i="2"/>
  <c r="Z52" i="2"/>
  <c r="L44" i="2"/>
  <c r="L47" i="2"/>
  <c r="L51" i="2"/>
  <c r="B49" i="2"/>
  <c r="AA53" i="2"/>
  <c r="T53" i="2"/>
  <c r="P43" i="2"/>
  <c r="P45" i="2"/>
  <c r="P46" i="2"/>
  <c r="K43" i="2"/>
  <c r="K45" i="2"/>
  <c r="K46" i="2"/>
  <c r="I44" i="2"/>
  <c r="I47" i="2"/>
  <c r="I51" i="2"/>
  <c r="D44" i="2"/>
  <c r="D47" i="2"/>
  <c r="D51" i="2"/>
  <c r="Q52" i="2"/>
  <c r="F52" i="2"/>
  <c r="K54" i="2"/>
  <c r="X43" i="2"/>
  <c r="X45" i="2"/>
  <c r="X46" i="2"/>
  <c r="W43" i="2"/>
  <c r="W45" i="2"/>
  <c r="W46" i="2"/>
  <c r="U44" i="2"/>
  <c r="U47" i="2"/>
  <c r="U51" i="2"/>
  <c r="R43" i="2"/>
  <c r="R45" i="2"/>
  <c r="R46" i="2"/>
  <c r="K44" i="2"/>
  <c r="K47" i="2"/>
  <c r="K51" i="2"/>
  <c r="H43" i="2"/>
  <c r="H45" i="2"/>
  <c r="H46" i="2"/>
  <c r="G52" i="2"/>
  <c r="E44" i="2"/>
  <c r="E47" i="2"/>
  <c r="E51" i="2"/>
  <c r="J43" i="2"/>
  <c r="J45" i="2"/>
  <c r="J46" i="2"/>
  <c r="H44" i="2"/>
  <c r="H47" i="2"/>
  <c r="H51" i="2"/>
  <c r="J53" i="2"/>
  <c r="Y52" i="2"/>
  <c r="AA54" i="2"/>
  <c r="X52" i="2"/>
  <c r="W52" i="2"/>
  <c r="Z43" i="2"/>
  <c r="Z45" i="2"/>
  <c r="Z46" i="2"/>
  <c r="T54" i="2"/>
  <c r="O43" i="2"/>
  <c r="O45" i="2"/>
  <c r="O46" i="2"/>
  <c r="F53" i="2"/>
  <c r="Z54" i="2"/>
  <c r="K52" i="2"/>
  <c r="AA43" i="2"/>
  <c r="AA45" i="2"/>
  <c r="AA46" i="2"/>
  <c r="V52" i="2"/>
  <c r="J52" i="2"/>
  <c r="H52" i="2"/>
  <c r="Q53" i="2"/>
  <c r="C53" i="2"/>
  <c r="Z53" i="2"/>
  <c r="S52" i="2"/>
  <c r="H54" i="2"/>
  <c r="AA52" i="2"/>
  <c r="P52" i="2"/>
  <c r="W54" i="2"/>
  <c r="S54" i="2"/>
  <c r="G24" i="6"/>
  <c r="G27" i="6"/>
  <c r="U54" i="2"/>
  <c r="R52" i="2"/>
  <c r="AA24" i="6"/>
  <c r="AA27" i="6"/>
  <c r="U34" i="6"/>
  <c r="O54" i="2"/>
  <c r="O24" i="6"/>
  <c r="O27" i="6"/>
  <c r="O31" i="6"/>
  <c r="C48" i="2"/>
  <c r="AB24" i="6"/>
  <c r="AB27" i="6"/>
  <c r="AB31" i="6"/>
  <c r="T24" i="6"/>
  <c r="T27" i="6"/>
  <c r="Q54" i="2"/>
  <c r="Q43" i="2"/>
  <c r="Q45" i="2"/>
  <c r="Q46" i="2"/>
  <c r="E54" i="2"/>
  <c r="E43" i="2"/>
  <c r="E45" i="2"/>
  <c r="E46" i="2"/>
  <c r="E52" i="2"/>
  <c r="V54" i="2"/>
  <c r="N53" i="2"/>
  <c r="N43" i="2"/>
  <c r="N45" i="2"/>
  <c r="N46" i="2"/>
  <c r="N54" i="2"/>
  <c r="N52" i="2"/>
  <c r="V34" i="6"/>
  <c r="D24" i="6"/>
  <c r="D27" i="6"/>
  <c r="C24" i="6"/>
  <c r="C27" i="6"/>
  <c r="L13" i="1"/>
  <c r="M12" i="1"/>
  <c r="Z44" i="2"/>
  <c r="Z47" i="2"/>
  <c r="Z51" i="2"/>
  <c r="U24" i="6"/>
  <c r="U27" i="6"/>
  <c r="Y54" i="2"/>
  <c r="Y43" i="2"/>
  <c r="Y45" i="2"/>
  <c r="Y46" i="2"/>
  <c r="M24" i="6"/>
  <c r="M27" i="6"/>
  <c r="L24" i="6"/>
  <c r="L27" i="6"/>
  <c r="J44" i="2"/>
  <c r="J47" i="2"/>
  <c r="J51" i="2"/>
  <c r="AB52" i="2"/>
  <c r="AB43" i="2"/>
  <c r="AB45" i="2"/>
  <c r="AB46" i="2"/>
  <c r="AB48" i="2"/>
  <c r="AB54" i="2"/>
  <c r="AB51" i="2"/>
  <c r="W24" i="6"/>
  <c r="W27" i="6"/>
  <c r="R24" i="6"/>
  <c r="R27" i="6"/>
  <c r="V43" i="2"/>
  <c r="V45" i="2"/>
  <c r="V46" i="2"/>
  <c r="V53" i="2"/>
  <c r="Z29" i="6"/>
  <c r="M29" i="6"/>
  <c r="I54" i="2"/>
  <c r="I53" i="2"/>
  <c r="I43" i="2"/>
  <c r="I45" i="2"/>
  <c r="I46" i="2"/>
  <c r="I52" i="2"/>
  <c r="H19" i="6"/>
  <c r="D17" i="6"/>
  <c r="F17" i="6"/>
  <c r="H17" i="6"/>
  <c r="J17" i="6"/>
  <c r="J32" i="6"/>
  <c r="L17" i="6"/>
  <c r="N17" i="6"/>
  <c r="N32" i="6"/>
  <c r="P17" i="6"/>
  <c r="R17" i="6"/>
  <c r="T17" i="6"/>
  <c r="V17" i="6"/>
  <c r="V23" i="6"/>
  <c r="X17" i="6"/>
  <c r="Z17" i="6"/>
  <c r="Z23" i="6"/>
  <c r="AB17" i="6"/>
  <c r="AB23" i="6"/>
  <c r="I19" i="6"/>
  <c r="I34" i="6"/>
  <c r="C17" i="6"/>
  <c r="C32" i="6"/>
  <c r="E17" i="6"/>
  <c r="G17" i="6"/>
  <c r="I17" i="6"/>
  <c r="I32" i="6"/>
  <c r="K17" i="6"/>
  <c r="M17" i="6"/>
  <c r="M32" i="6"/>
  <c r="O17" i="6"/>
  <c r="O32" i="6"/>
  <c r="Q17" i="6"/>
  <c r="Q32" i="6"/>
  <c r="S17" i="6"/>
  <c r="U17" i="6"/>
  <c r="W17" i="6"/>
  <c r="W32" i="6"/>
  <c r="Y17" i="6"/>
  <c r="Y32" i="6"/>
  <c r="AA17" i="6"/>
  <c r="AA32" i="6"/>
  <c r="E19" i="6"/>
  <c r="E34" i="6"/>
  <c r="D18" i="6"/>
  <c r="L18" i="6"/>
  <c r="T18" i="6"/>
  <c r="AB18" i="6"/>
  <c r="G19" i="6"/>
  <c r="K19" i="6"/>
  <c r="K34" i="6"/>
  <c r="T19" i="6"/>
  <c r="T34" i="6"/>
  <c r="AB19" i="6"/>
  <c r="C18" i="6"/>
  <c r="C33" i="6"/>
  <c r="K18" i="6"/>
  <c r="S18" i="6"/>
  <c r="AA18" i="6"/>
  <c r="U19" i="6"/>
  <c r="B19" i="6"/>
  <c r="B34" i="6"/>
  <c r="E18" i="6"/>
  <c r="E33" i="6"/>
  <c r="Y29" i="6"/>
  <c r="U32" i="6"/>
  <c r="X19" i="6"/>
  <c r="X34" i="6"/>
  <c r="U53" i="2"/>
  <c r="P19" i="6"/>
  <c r="B18" i="6"/>
  <c r="X18" i="6"/>
  <c r="X33" i="6"/>
  <c r="W53" i="2"/>
  <c r="U18" i="6"/>
  <c r="U33" i="6"/>
  <c r="S44" i="2"/>
  <c r="S47" i="2"/>
  <c r="S51" i="2"/>
  <c r="P18" i="6"/>
  <c r="P33" i="6"/>
  <c r="O53" i="2"/>
  <c r="O51" i="2"/>
  <c r="M18" i="6"/>
  <c r="H18" i="6"/>
  <c r="G23" i="6"/>
  <c r="T52" i="2"/>
  <c r="T43" i="2"/>
  <c r="T45" i="2"/>
  <c r="T46" i="2"/>
  <c r="P44" i="2"/>
  <c r="P47" i="2"/>
  <c r="P51" i="2"/>
  <c r="L54" i="2"/>
  <c r="L53" i="2"/>
  <c r="L52" i="2"/>
  <c r="L43" i="2"/>
  <c r="L45" i="2"/>
  <c r="L46" i="2"/>
  <c r="H24" i="6"/>
  <c r="H27" i="6"/>
  <c r="H33" i="6"/>
  <c r="E23" i="6"/>
  <c r="Y19" i="6"/>
  <c r="Y34" i="6"/>
  <c r="R34" i="6"/>
  <c r="Q19" i="6"/>
  <c r="Q34" i="6"/>
  <c r="M19" i="6"/>
  <c r="J19" i="6"/>
  <c r="B43" i="2"/>
  <c r="B45" i="2"/>
  <c r="B46" i="2"/>
  <c r="W23" i="6"/>
  <c r="U43" i="2"/>
  <c r="U45" i="2"/>
  <c r="U46" i="2"/>
  <c r="U52" i="2"/>
  <c r="R23" i="6"/>
  <c r="R32" i="6"/>
  <c r="O23" i="6"/>
  <c r="M54" i="2"/>
  <c r="M43" i="2"/>
  <c r="M45" i="2"/>
  <c r="M46" i="2"/>
  <c r="M53" i="2"/>
  <c r="M52" i="2"/>
  <c r="F18" i="6"/>
  <c r="F24" i="6"/>
  <c r="F27" i="6"/>
  <c r="I29" i="6"/>
  <c r="D54" i="2"/>
  <c r="D53" i="2"/>
  <c r="D52" i="2"/>
  <c r="D43" i="2"/>
  <c r="D45" i="2"/>
  <c r="D46" i="2"/>
  <c r="AA19" i="6"/>
  <c r="AA34" i="6"/>
  <c r="S19" i="6"/>
  <c r="G53" i="2"/>
  <c r="Y18" i="6"/>
  <c r="X54" i="2"/>
  <c r="X53" i="2"/>
  <c r="V18" i="6"/>
  <c r="V24" i="6"/>
  <c r="V27" i="6"/>
  <c r="Q18" i="6"/>
  <c r="P54" i="2"/>
  <c r="P53" i="2"/>
  <c r="N18" i="6"/>
  <c r="I18" i="6"/>
  <c r="H53" i="2"/>
  <c r="F43" i="2"/>
  <c r="F45" i="2"/>
  <c r="F46" i="2"/>
  <c r="C34" i="6"/>
  <c r="U23" i="6"/>
  <c r="N44" i="2"/>
  <c r="N47" i="2"/>
  <c r="N51" i="2"/>
  <c r="E32" i="6"/>
  <c r="N19" i="6"/>
  <c r="N34" i="6"/>
  <c r="G54" i="2"/>
  <c r="F19" i="6"/>
  <c r="F34" i="6"/>
  <c r="D19" i="6"/>
  <c r="S23" i="6"/>
  <c r="C23" i="6"/>
  <c r="G34" i="6"/>
  <c r="Y23" i="6"/>
  <c r="Q23" i="6"/>
  <c r="I23" i="6"/>
  <c r="K53" i="2"/>
  <c r="F44" i="2"/>
  <c r="F47" i="2"/>
  <c r="F51" i="2"/>
  <c r="AA7" i="6"/>
  <c r="S7" i="6"/>
  <c r="K7" i="6"/>
  <c r="C7" i="6"/>
  <c r="U6" i="6"/>
  <c r="M6" i="6"/>
  <c r="E6" i="6"/>
  <c r="W5" i="6"/>
  <c r="O5" i="6"/>
  <c r="G5" i="6"/>
  <c r="AB22" i="6"/>
  <c r="AB29" i="6"/>
  <c r="T22" i="6"/>
  <c r="T29" i="6"/>
  <c r="L22" i="6"/>
  <c r="L29" i="6"/>
  <c r="D22" i="6"/>
  <c r="D29" i="6"/>
  <c r="V21" i="6"/>
  <c r="V29" i="6"/>
  <c r="N21" i="6"/>
  <c r="N29" i="6"/>
  <c r="F21" i="6"/>
  <c r="F29" i="6"/>
  <c r="X20" i="6"/>
  <c r="P20" i="6"/>
  <c r="H20" i="6"/>
  <c r="B5" i="6"/>
  <c r="W7" i="6"/>
  <c r="O7" i="6"/>
  <c r="G7" i="6"/>
  <c r="Y6" i="6"/>
  <c r="Q6" i="6"/>
  <c r="I6" i="6"/>
  <c r="AA5" i="6"/>
  <c r="S5" i="6"/>
  <c r="K5" i="6"/>
  <c r="C5" i="6"/>
  <c r="X22" i="6"/>
  <c r="X29" i="6"/>
  <c r="P22" i="6"/>
  <c r="P29" i="6"/>
  <c r="H22" i="6"/>
  <c r="H29" i="6"/>
  <c r="Z21" i="6"/>
  <c r="Z33" i="6"/>
  <c r="R21" i="6"/>
  <c r="R29" i="6"/>
  <c r="J21" i="6"/>
  <c r="J29" i="6"/>
  <c r="AB20" i="6"/>
  <c r="T20" i="6"/>
  <c r="L20" i="6"/>
  <c r="D20" i="6"/>
  <c r="D23" i="6"/>
  <c r="B7" i="6"/>
  <c r="V7" i="6"/>
  <c r="N7" i="6"/>
  <c r="F7" i="6"/>
  <c r="X6" i="6"/>
  <c r="P6" i="6"/>
  <c r="H6" i="6"/>
  <c r="Z5" i="6"/>
  <c r="R5" i="6"/>
  <c r="J5" i="6"/>
  <c r="B20" i="6"/>
  <c r="B32" i="6"/>
  <c r="W22" i="6"/>
  <c r="O22" i="6"/>
  <c r="O29" i="6"/>
  <c r="G22" i="6"/>
  <c r="G29" i="6"/>
  <c r="Y21" i="6"/>
  <c r="Q21" i="6"/>
  <c r="Q29" i="6"/>
  <c r="I21" i="6"/>
  <c r="AA20" i="6"/>
  <c r="S20" i="6"/>
  <c r="K20" i="6"/>
  <c r="M31" i="6"/>
  <c r="M48" i="2"/>
  <c r="M56" i="2"/>
  <c r="W31" i="6"/>
  <c r="W48" i="2"/>
  <c r="W50" i="2"/>
  <c r="T48" i="2"/>
  <c r="T50" i="2"/>
  <c r="O48" i="2"/>
  <c r="O56" i="2"/>
  <c r="T31" i="6"/>
  <c r="D31" i="6"/>
  <c r="AA48" i="2"/>
  <c r="AA50" i="2"/>
  <c r="R55" i="2"/>
  <c r="Q48" i="2"/>
  <c r="Q50" i="2"/>
  <c r="K48" i="2"/>
  <c r="D48" i="2"/>
  <c r="D56" i="2"/>
  <c r="R48" i="2"/>
  <c r="R56" i="2"/>
  <c r="Y55" i="2"/>
  <c r="W55" i="2"/>
  <c r="J55" i="2"/>
  <c r="F55" i="2"/>
  <c r="X48" i="2"/>
  <c r="X50" i="2"/>
  <c r="H48" i="2"/>
  <c r="H50" i="2"/>
  <c r="U31" i="6"/>
  <c r="G48" i="2"/>
  <c r="G50" i="2"/>
  <c r="Q55" i="2"/>
  <c r="G31" i="6"/>
  <c r="V48" i="2"/>
  <c r="V50" i="2"/>
  <c r="L31" i="6"/>
  <c r="U48" i="2"/>
  <c r="U56" i="2"/>
  <c r="V31" i="6"/>
  <c r="B48" i="2"/>
  <c r="B50" i="2"/>
  <c r="K55" i="2"/>
  <c r="I48" i="2"/>
  <c r="I50" i="2"/>
  <c r="H55" i="2"/>
  <c r="X55" i="2"/>
  <c r="L48" i="2"/>
  <c r="L56" i="2"/>
  <c r="Y48" i="2"/>
  <c r="Y56" i="2"/>
  <c r="Z55" i="2"/>
  <c r="C55" i="2"/>
  <c r="G55" i="2"/>
  <c r="E55" i="2"/>
  <c r="AA55" i="2"/>
  <c r="U55" i="2"/>
  <c r="E48" i="2"/>
  <c r="E56" i="2"/>
  <c r="S55" i="2"/>
  <c r="D55" i="2"/>
  <c r="T55" i="2"/>
  <c r="O55" i="2"/>
  <c r="N48" i="2"/>
  <c r="N56" i="2"/>
  <c r="F48" i="2"/>
  <c r="F56" i="2"/>
  <c r="P48" i="2"/>
  <c r="P56" i="2"/>
  <c r="V55" i="2"/>
  <c r="P55" i="2"/>
  <c r="L55" i="2"/>
  <c r="D25" i="6"/>
  <c r="D28" i="6"/>
  <c r="D30" i="6"/>
  <c r="D26" i="6"/>
  <c r="AB25" i="6"/>
  <c r="AB28" i="6"/>
  <c r="AB30" i="6"/>
  <c r="AB26" i="6"/>
  <c r="Z25" i="6"/>
  <c r="Z28" i="6"/>
  <c r="Z26" i="6"/>
  <c r="V25" i="6"/>
  <c r="V28" i="6"/>
  <c r="V30" i="6"/>
  <c r="V26" i="6"/>
  <c r="H31" i="6"/>
  <c r="Y25" i="6"/>
  <c r="Y28" i="6"/>
  <c r="Y26" i="6"/>
  <c r="G25" i="6"/>
  <c r="G28" i="6"/>
  <c r="G26" i="6"/>
  <c r="F32" i="6"/>
  <c r="F23" i="6"/>
  <c r="Y33" i="6"/>
  <c r="Y24" i="6"/>
  <c r="Y27" i="6"/>
  <c r="Z34" i="6"/>
  <c r="G32" i="6"/>
  <c r="G33" i="6"/>
  <c r="T32" i="6"/>
  <c r="T23" i="6"/>
  <c r="D32" i="6"/>
  <c r="S48" i="2"/>
  <c r="W33" i="6"/>
  <c r="J24" i="6"/>
  <c r="J27" i="6"/>
  <c r="Z48" i="2"/>
  <c r="AA31" i="6"/>
  <c r="D34" i="6"/>
  <c r="N33" i="6"/>
  <c r="N24" i="6"/>
  <c r="N27" i="6"/>
  <c r="J23" i="6"/>
  <c r="R25" i="6"/>
  <c r="R28" i="6"/>
  <c r="R26" i="6"/>
  <c r="P34" i="6"/>
  <c r="AA33" i="6"/>
  <c r="AB33" i="6"/>
  <c r="H34" i="6"/>
  <c r="E24" i="6"/>
  <c r="E27" i="6"/>
  <c r="J33" i="6"/>
  <c r="V32" i="6"/>
  <c r="W25" i="6"/>
  <c r="W28" i="6"/>
  <c r="W26" i="6"/>
  <c r="AB34" i="6"/>
  <c r="J48" i="2"/>
  <c r="W29" i="6"/>
  <c r="W34" i="6"/>
  <c r="Q25" i="6"/>
  <c r="Q28" i="6"/>
  <c r="Q26" i="6"/>
  <c r="F31" i="6"/>
  <c r="Z32" i="6"/>
  <c r="X23" i="6"/>
  <c r="X32" i="6"/>
  <c r="H23" i="6"/>
  <c r="H32" i="6"/>
  <c r="O25" i="6"/>
  <c r="O28" i="6"/>
  <c r="O30" i="6"/>
  <c r="O26" i="6"/>
  <c r="B33" i="6"/>
  <c r="C31" i="6"/>
  <c r="C25" i="6"/>
  <c r="C28" i="6"/>
  <c r="C36" i="6"/>
  <c r="C26" i="6"/>
  <c r="U25" i="6"/>
  <c r="U28" i="6"/>
  <c r="U26" i="6"/>
  <c r="J34" i="6"/>
  <c r="E25" i="6"/>
  <c r="E28" i="6"/>
  <c r="E26" i="6"/>
  <c r="M33" i="6"/>
  <c r="S33" i="6"/>
  <c r="S24" i="6"/>
  <c r="S27" i="6"/>
  <c r="T33" i="6"/>
  <c r="S32" i="6"/>
  <c r="P23" i="6"/>
  <c r="P32" i="6"/>
  <c r="P24" i="6"/>
  <c r="P27" i="6"/>
  <c r="AB50" i="2"/>
  <c r="AB56" i="2"/>
  <c r="L34" i="6"/>
  <c r="C56" i="2"/>
  <c r="C50" i="2"/>
  <c r="I25" i="6"/>
  <c r="I28" i="6"/>
  <c r="I26" i="6"/>
  <c r="R31" i="6"/>
  <c r="R33" i="6"/>
  <c r="B24" i="6"/>
  <c r="B27" i="6"/>
  <c r="AA23" i="6"/>
  <c r="F33" i="6"/>
  <c r="S34" i="6"/>
  <c r="M23" i="6"/>
  <c r="M55" i="2"/>
  <c r="K33" i="6"/>
  <c r="K24" i="6"/>
  <c r="K27" i="6"/>
  <c r="L33" i="6"/>
  <c r="I55" i="2"/>
  <c r="AB55" i="2"/>
  <c r="Z24" i="6"/>
  <c r="Z27" i="6"/>
  <c r="N55" i="2"/>
  <c r="O33" i="6"/>
  <c r="S25" i="6"/>
  <c r="S28" i="6"/>
  <c r="S26" i="6"/>
  <c r="X24" i="6"/>
  <c r="X27" i="6"/>
  <c r="K32" i="6"/>
  <c r="O34" i="6"/>
  <c r="I24" i="6"/>
  <c r="I27" i="6"/>
  <c r="I33" i="6"/>
  <c r="K23" i="6"/>
  <c r="Q33" i="6"/>
  <c r="Q24" i="6"/>
  <c r="Q27" i="6"/>
  <c r="V33" i="6"/>
  <c r="M34" i="6"/>
  <c r="D33" i="6"/>
  <c r="AB32" i="6"/>
  <c r="L32" i="6"/>
  <c r="L23" i="6"/>
  <c r="B23" i="6"/>
  <c r="N23" i="6"/>
  <c r="M50" i="2"/>
  <c r="D50" i="2"/>
  <c r="R50" i="2"/>
  <c r="G56" i="2"/>
  <c r="G57" i="2"/>
  <c r="T56" i="2"/>
  <c r="T57" i="2"/>
  <c r="O50" i="2"/>
  <c r="W56" i="2"/>
  <c r="W57" i="2"/>
  <c r="O57" i="2"/>
  <c r="Q56" i="2"/>
  <c r="Q57" i="2"/>
  <c r="V56" i="2"/>
  <c r="V57" i="2"/>
  <c r="AA56" i="2"/>
  <c r="AA57" i="2"/>
  <c r="R57" i="2"/>
  <c r="P50" i="2"/>
  <c r="R36" i="6"/>
  <c r="B56" i="2"/>
  <c r="B57" i="2"/>
  <c r="U36" i="6"/>
  <c r="H56" i="2"/>
  <c r="H57" i="2"/>
  <c r="F57" i="2"/>
  <c r="E57" i="2"/>
  <c r="K56" i="2"/>
  <c r="K57" i="2"/>
  <c r="K50" i="2"/>
  <c r="L50" i="2"/>
  <c r="X56" i="2"/>
  <c r="X57" i="2"/>
  <c r="E50" i="2"/>
  <c r="V35" i="6"/>
  <c r="Y57" i="2"/>
  <c r="U57" i="2"/>
  <c r="F50" i="2"/>
  <c r="Y50" i="2"/>
  <c r="O36" i="6"/>
  <c r="I56" i="2"/>
  <c r="I57" i="2"/>
  <c r="U50" i="2"/>
  <c r="Y35" i="6"/>
  <c r="D57" i="2"/>
  <c r="D35" i="6"/>
  <c r="E35" i="6"/>
  <c r="C57" i="2"/>
  <c r="AB35" i="6"/>
  <c r="AB36" i="6"/>
  <c r="I35" i="6"/>
  <c r="N50" i="2"/>
  <c r="P57" i="2"/>
  <c r="I30" i="6"/>
  <c r="Q30" i="6"/>
  <c r="D36" i="6"/>
  <c r="M57" i="2"/>
  <c r="O35" i="6"/>
  <c r="L57" i="2"/>
  <c r="G35" i="6"/>
  <c r="W30" i="6"/>
  <c r="W35" i="6"/>
  <c r="S36" i="6"/>
  <c r="S31" i="6"/>
  <c r="J31" i="6"/>
  <c r="Q31" i="6"/>
  <c r="Q36" i="6"/>
  <c r="M25" i="6"/>
  <c r="M28" i="6"/>
  <c r="M26" i="6"/>
  <c r="Y30" i="6"/>
  <c r="Z30" i="6"/>
  <c r="Z35" i="6"/>
  <c r="N25" i="6"/>
  <c r="N28" i="6"/>
  <c r="N36" i="6"/>
  <c r="N26" i="6"/>
  <c r="AB57" i="2"/>
  <c r="U30" i="6"/>
  <c r="U35" i="6"/>
  <c r="J56" i="2"/>
  <c r="J57" i="2"/>
  <c r="J50" i="2"/>
  <c r="F25" i="6"/>
  <c r="F28" i="6"/>
  <c r="F26" i="6"/>
  <c r="Y36" i="6"/>
  <c r="Y31" i="6"/>
  <c r="X25" i="6"/>
  <c r="X28" i="6"/>
  <c r="X26" i="6"/>
  <c r="N31" i="6"/>
  <c r="K25" i="6"/>
  <c r="K28" i="6"/>
  <c r="K36" i="6"/>
  <c r="K26" i="6"/>
  <c r="P31" i="6"/>
  <c r="E36" i="6"/>
  <c r="E31" i="6"/>
  <c r="B31" i="6"/>
  <c r="H25" i="6"/>
  <c r="H28" i="6"/>
  <c r="H26" i="6"/>
  <c r="T25" i="6"/>
  <c r="T28" i="6"/>
  <c r="T26" i="6"/>
  <c r="Q35" i="6"/>
  <c r="N57" i="2"/>
  <c r="J25" i="6"/>
  <c r="J28" i="6"/>
  <c r="J36" i="6"/>
  <c r="J26" i="6"/>
  <c r="Z36" i="6"/>
  <c r="Z31" i="6"/>
  <c r="C30" i="6"/>
  <c r="C35" i="6"/>
  <c r="C37" i="6"/>
  <c r="V36" i="6"/>
  <c r="AA25" i="6"/>
  <c r="AA28" i="6"/>
  <c r="AA26" i="6"/>
  <c r="L25" i="6"/>
  <c r="L28" i="6"/>
  <c r="L26" i="6"/>
  <c r="S30" i="6"/>
  <c r="S35" i="6"/>
  <c r="W36" i="6"/>
  <c r="R30" i="6"/>
  <c r="R35" i="6"/>
  <c r="Z56" i="2"/>
  <c r="Z57" i="2"/>
  <c r="Z50" i="2"/>
  <c r="B25" i="6"/>
  <c r="B28" i="6"/>
  <c r="B26" i="6"/>
  <c r="I31" i="6"/>
  <c r="I36" i="6"/>
  <c r="X31" i="6"/>
  <c r="K31" i="6"/>
  <c r="P25" i="6"/>
  <c r="P28" i="6"/>
  <c r="P26" i="6"/>
  <c r="E30" i="6"/>
  <c r="S50" i="2"/>
  <c r="S56" i="2"/>
  <c r="S57" i="2"/>
  <c r="G30" i="6"/>
  <c r="G36" i="6"/>
  <c r="R37" i="6"/>
  <c r="O37" i="6"/>
  <c r="AB37" i="6"/>
  <c r="I37" i="6"/>
  <c r="U37" i="6"/>
  <c r="V37" i="6"/>
  <c r="Q37" i="6"/>
  <c r="Y37" i="6"/>
  <c r="D37" i="6"/>
  <c r="E37" i="6"/>
  <c r="S37" i="6"/>
  <c r="G37" i="6"/>
  <c r="P30" i="6"/>
  <c r="P35" i="6"/>
  <c r="B30" i="6"/>
  <c r="B35" i="6"/>
  <c r="T30" i="6"/>
  <c r="T35" i="6"/>
  <c r="T36" i="6"/>
  <c r="P36" i="6"/>
  <c r="M30" i="6"/>
  <c r="M36" i="6"/>
  <c r="M35" i="6"/>
  <c r="W37" i="6"/>
  <c r="H30" i="6"/>
  <c r="H35" i="6"/>
  <c r="H36" i="6"/>
  <c r="X30" i="6"/>
  <c r="X35" i="6"/>
  <c r="L30" i="6"/>
  <c r="L35" i="6"/>
  <c r="L36" i="6"/>
  <c r="B36" i="6"/>
  <c r="K30" i="6"/>
  <c r="K35" i="6"/>
  <c r="K37" i="6"/>
  <c r="N30" i="6"/>
  <c r="N35" i="6"/>
  <c r="N37" i="6"/>
  <c r="X36" i="6"/>
  <c r="AA30" i="6"/>
  <c r="AA35" i="6"/>
  <c r="AA36" i="6"/>
  <c r="J30" i="6"/>
  <c r="J35" i="6"/>
  <c r="J37" i="6"/>
  <c r="F30" i="6"/>
  <c r="F35" i="6"/>
  <c r="F36" i="6"/>
  <c r="Z37" i="6"/>
  <c r="L37" i="6"/>
  <c r="F37" i="6"/>
  <c r="AA37" i="6"/>
  <c r="B37" i="6"/>
  <c r="T37" i="6"/>
  <c r="M37" i="6"/>
  <c r="H37" i="6"/>
  <c r="P37" i="6"/>
  <c r="X37" i="6"/>
</calcChain>
</file>

<file path=xl/sharedStrings.xml><?xml version="1.0" encoding="utf-8"?>
<sst xmlns="http://schemas.openxmlformats.org/spreadsheetml/2006/main" count="273" uniqueCount="120">
  <si>
    <t>Calibration Data</t>
  </si>
  <si>
    <t>Hilsch Tube Experiment</t>
  </si>
  <si>
    <t>Vin</t>
  </si>
  <si>
    <t>Vout</t>
  </si>
  <si>
    <t>Trial #</t>
  </si>
  <si>
    <t>Std. Vin</t>
  </si>
  <si>
    <t>Ta</t>
  </si>
  <si>
    <t>mmHg</t>
  </si>
  <si>
    <t>C</t>
  </si>
  <si>
    <t>Pin (psig)</t>
  </si>
  <si>
    <t>Pout (psig)</t>
  </si>
  <si>
    <t>Pin (psia)</t>
  </si>
  <si>
    <t>Pout (psia)</t>
  </si>
  <si>
    <t>or</t>
  </si>
  <si>
    <t>Trial #1</t>
  </si>
  <si>
    <t>Run 1</t>
  </si>
  <si>
    <t>Run 2</t>
  </si>
  <si>
    <t>Run 3</t>
  </si>
  <si>
    <t>Trial #2</t>
  </si>
  <si>
    <t>Trial #3</t>
  </si>
  <si>
    <t>Trial #4</t>
  </si>
  <si>
    <t>Trial #5</t>
  </si>
  <si>
    <t>Trial #6</t>
  </si>
  <si>
    <t>Trial #7</t>
  </si>
  <si>
    <t>Trial #8</t>
  </si>
  <si>
    <t>Trial #9</t>
  </si>
  <si>
    <t>Pout,c (psig)</t>
  </si>
  <si>
    <t>Pout,c (psia)</t>
  </si>
  <si>
    <t>Vin (CFM)</t>
  </si>
  <si>
    <t>Vout,c (CFM)</t>
  </si>
  <si>
    <t>Tout,h degC</t>
  </si>
  <si>
    <t>Tout,c degC</t>
  </si>
  <si>
    <t>Tin degC</t>
  </si>
  <si>
    <t>1/4 turn</t>
  </si>
  <si>
    <t>60 psig</t>
  </si>
  <si>
    <t>1 turn</t>
  </si>
  <si>
    <t>40 psig</t>
  </si>
  <si>
    <t>80 psig</t>
  </si>
  <si>
    <t>2/4 turn</t>
  </si>
  <si>
    <t>Calculated Data</t>
  </si>
  <si>
    <t>Measured Data</t>
  </si>
  <si>
    <t>Tin R</t>
  </si>
  <si>
    <t>Tout,c R</t>
  </si>
  <si>
    <t>Tout,h R</t>
  </si>
  <si>
    <t>Vout,c (SCFM)</t>
  </si>
  <si>
    <t>Tout degC</t>
  </si>
  <si>
    <t>Linear Regression</t>
  </si>
  <si>
    <t>Regression Statistics</t>
  </si>
  <si>
    <t>R</t>
  </si>
  <si>
    <t>R Square</t>
  </si>
  <si>
    <t>Adjusted R Square</t>
  </si>
  <si>
    <t>Standard Error</t>
  </si>
  <si>
    <t>Total Number Of Cases</t>
  </si>
  <si>
    <t>ANOVA</t>
  </si>
  <si>
    <t/>
  </si>
  <si>
    <t>d.f.</t>
  </si>
  <si>
    <t>SS</t>
  </si>
  <si>
    <t>MS</t>
  </si>
  <si>
    <t>F</t>
  </si>
  <si>
    <t>p-level</t>
  </si>
  <si>
    <t>Regression</t>
  </si>
  <si>
    <t>Residual</t>
  </si>
  <si>
    <t>Total</t>
  </si>
  <si>
    <t>Coefficients</t>
  </si>
  <si>
    <t>LCL</t>
  </si>
  <si>
    <t>UCL</t>
  </si>
  <si>
    <t>t Stat</t>
  </si>
  <si>
    <t>H0 (5%) rejected?</t>
  </si>
  <si>
    <t>Intercept</t>
  </si>
  <si>
    <t>Yes</t>
  </si>
  <si>
    <t>T (5%)</t>
  </si>
  <si>
    <t>LCL - Lower value of a reliable interval (LCL)</t>
  </si>
  <si>
    <t>UCL - Upper value of a reliable interval (UCL)</t>
  </si>
  <si>
    <t>Residuals</t>
  </si>
  <si>
    <t>Observation</t>
  </si>
  <si>
    <t>Predicted Y</t>
  </si>
  <si>
    <t>Standard Residuals</t>
  </si>
  <si>
    <t>Std. Vout,c</t>
  </si>
  <si>
    <t>Physical Constants</t>
  </si>
  <si>
    <t>Pout,h (psia)</t>
  </si>
  <si>
    <t>Std. Vout,c = 0.4582 + 1.1330 * Std. Vin</t>
  </si>
  <si>
    <t>Vin, corrected (SCFM)</t>
  </si>
  <si>
    <t>Vin,read (SCFM)</t>
  </si>
  <si>
    <t>CC (BTU)</t>
  </si>
  <si>
    <t>deltaMout (lbm/min)</t>
  </si>
  <si>
    <t>deltaTout (degF)</t>
  </si>
  <si>
    <t>mdotin (lbm/min)</t>
  </si>
  <si>
    <t>mdotout,c (lbm/min)</t>
  </si>
  <si>
    <t>mdotout,h (lbm/min)</t>
  </si>
  <si>
    <t>deltaSin (BTU/lbm-degF)</t>
  </si>
  <si>
    <t>deltaSout,c (BTU/lbm-degF)</t>
  </si>
  <si>
    <t>deltaSout,h (BTU/lbm-degF)</t>
  </si>
  <si>
    <t>deltaSoverall (BTU/lbm-degF)</t>
  </si>
  <si>
    <t>Entropy Generation Rate</t>
  </si>
  <si>
    <t>deltaH = qdot (BTU)</t>
  </si>
  <si>
    <t>rho,air,STP (lbm/ft^3)</t>
  </si>
  <si>
    <t>Mwair (lbm/lbmol)</t>
  </si>
  <si>
    <t>Calculated Data Error</t>
  </si>
  <si>
    <t>psi</t>
  </si>
  <si>
    <t>δPa</t>
  </si>
  <si>
    <t>δTa</t>
  </si>
  <si>
    <t>Cp,in (BTU/lbm/R)</t>
  </si>
  <si>
    <t>deltaSin (BTU/min-degF)</t>
  </si>
  <si>
    <t>deltaSout,c (BTU/min-degF)</t>
  </si>
  <si>
    <t>deltaSout,h (BTU/min-degF)</t>
  </si>
  <si>
    <t>deltaSoverall (BTU/min-degF)</t>
  </si>
  <si>
    <t>Entropy Generation Rate (BTU/min-degF)</t>
  </si>
  <si>
    <t>deltaH = qdot (BTU/min)</t>
  </si>
  <si>
    <t>Pa, day 1</t>
  </si>
  <si>
    <t>Pa, day 2</t>
  </si>
  <si>
    <t>Ta day2</t>
  </si>
  <si>
    <t>Turn</t>
  </si>
  <si>
    <t>Pin (bar)</t>
  </si>
  <si>
    <t>Ph (bar)</t>
  </si>
  <si>
    <t>Pc (bar)</t>
  </si>
  <si>
    <t>mdot in (kg/min)</t>
  </si>
  <si>
    <t>mdot c (kg/min)</t>
  </si>
  <si>
    <t>mdot h (kg/min)</t>
  </si>
  <si>
    <t>Vin (SCMM)</t>
  </si>
  <si>
    <t>Vc (SCMM)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</si>
</sst>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"/>
    <numFmt numFmtId="166" formatCode="#,##0.#####"/>
    <numFmt numFmtId="167" formatCode="0.#####E+#0"/>
    <numFmt numFmtId="168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0" xfId="0" applyFont="1" applyFill="1" applyBorder="1"/>
    <xf numFmtId="0" fontId="4" fillId="0" borderId="5" xfId="13" applyFont="1" applyBorder="1"/>
    <xf numFmtId="166" fontId="5" fillId="0" borderId="0" xfId="13" applyNumberFormat="1"/>
    <xf numFmtId="0" fontId="5" fillId="0" borderId="6" xfId="13" applyBorder="1"/>
    <xf numFmtId="0" fontId="6" fillId="0" borderId="7" xfId="13" applyFont="1" applyBorder="1" applyAlignment="1">
      <alignment horizontal="center"/>
    </xf>
    <xf numFmtId="0" fontId="5" fillId="0" borderId="7" xfId="13" applyBorder="1"/>
    <xf numFmtId="0" fontId="6" fillId="0" borderId="5" xfId="13" applyFont="1" applyBorder="1"/>
    <xf numFmtId="166" fontId="5" fillId="0" borderId="5" xfId="13" applyNumberFormat="1" applyBorder="1"/>
    <xf numFmtId="0" fontId="6" fillId="0" borderId="7" xfId="13" applyFont="1" applyBorder="1"/>
    <xf numFmtId="0" fontId="4" fillId="0" borderId="0" xfId="13" applyFont="1" applyAlignment="1">
      <alignment horizontal="center"/>
    </xf>
    <xf numFmtId="0" fontId="6" fillId="0" borderId="8" xfId="13" applyFont="1" applyBorder="1"/>
    <xf numFmtId="166" fontId="5" fillId="0" borderId="8" xfId="13" applyNumberFormat="1" applyBorder="1"/>
    <xf numFmtId="0" fontId="5" fillId="0" borderId="8" xfId="13" applyBorder="1"/>
    <xf numFmtId="2" fontId="7" fillId="0" borderId="0" xfId="0" applyNumberFormat="1" applyFont="1" applyAlignment="1">
      <alignment horizontal="center"/>
    </xf>
    <xf numFmtId="0" fontId="5" fillId="0" borderId="5" xfId="13" applyBorder="1"/>
    <xf numFmtId="0" fontId="6" fillId="0" borderId="0" xfId="13" applyFont="1"/>
    <xf numFmtId="0" fontId="5" fillId="0" borderId="0" xfId="13"/>
    <xf numFmtId="167" fontId="5" fillId="0" borderId="0" xfId="13" applyNumberFormat="1"/>
    <xf numFmtId="165" fontId="0" fillId="0" borderId="9" xfId="0" applyNumberFormat="1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8" fillId="0" borderId="0" xfId="0" applyFont="1"/>
    <xf numFmtId="2" fontId="0" fillId="0" borderId="9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2" fontId="0" fillId="4" borderId="19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7" fillId="4" borderId="0" xfId="0" applyNumberFormat="1" applyFont="1" applyFill="1" applyBorder="1" applyAlignment="1">
      <alignment horizontal="center"/>
    </xf>
    <xf numFmtId="2" fontId="0" fillId="4" borderId="20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2" fontId="7" fillId="4" borderId="16" xfId="0" applyNumberFormat="1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2" fontId="0" fillId="5" borderId="19" xfId="0" applyNumberForma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5" borderId="20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3" borderId="15" xfId="0" applyNumberForma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26" xfId="0" applyNumberForma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5" borderId="26" xfId="0" applyNumberForma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26" xfId="0" applyNumberFormat="1" applyFill="1" applyBorder="1" applyAlignment="1">
      <alignment horizontal="center"/>
    </xf>
    <xf numFmtId="0" fontId="0" fillId="0" borderId="0" xfId="0" applyFill="1"/>
    <xf numFmtId="2" fontId="7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ill="1"/>
    <xf numFmtId="2" fontId="0" fillId="0" borderId="4" xfId="0" applyNumberFormat="1" applyFill="1" applyBorder="1"/>
    <xf numFmtId="2" fontId="0" fillId="0" borderId="3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27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2" fontId="0" fillId="0" borderId="22" xfId="0" applyNumberFormat="1" applyFill="1" applyBorder="1" applyAlignment="1">
      <alignment horizontal="center"/>
    </xf>
    <xf numFmtId="0" fontId="0" fillId="0" borderId="0" xfId="0" applyFill="1" applyBorder="1"/>
    <xf numFmtId="168" fontId="0" fillId="0" borderId="0" xfId="0" applyNumberFormat="1"/>
    <xf numFmtId="168" fontId="0" fillId="0" borderId="0" xfId="0" applyNumberFormat="1" applyFill="1" applyBorder="1" applyAlignment="1">
      <alignment horizontal="center"/>
    </xf>
    <xf numFmtId="0" fontId="4" fillId="2" borderId="5" xfId="13" applyFont="1" applyFill="1" applyBorder="1" applyAlignment="1">
      <alignment horizontal="center"/>
    </xf>
    <xf numFmtId="0" fontId="5" fillId="0" borderId="5" xfId="13" applyBorder="1"/>
    <xf numFmtId="0" fontId="6" fillId="0" borderId="0" xfId="13" applyFont="1"/>
    <xf numFmtId="0" fontId="5" fillId="0" borderId="0" xfId="13"/>
  </cellXfs>
  <cellStyles count="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Normal 2" xfId="1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Calibration!$L$6:$L$20</c:f>
              <c:numCache>
                <c:formatCode>General</c:formatCode>
                <c:ptCount val="15"/>
                <c:pt idx="0">
                  <c:v>1.692160426660797</c:v>
                </c:pt>
                <c:pt idx="1">
                  <c:v>2.0522187003250352</c:v>
                </c:pt>
                <c:pt idx="2">
                  <c:v>2.6525219309512122</c:v>
                </c:pt>
                <c:pt idx="3">
                  <c:v>3.0647080878406747</c:v>
                </c:pt>
                <c:pt idx="4">
                  <c:v>3.4938138229270241</c:v>
                </c:pt>
                <c:pt idx="5">
                  <c:v>2.6507299888916309</c:v>
                </c:pt>
                <c:pt idx="6">
                  <c:v>1.8785893237732556</c:v>
                </c:pt>
                <c:pt idx="7">
                  <c:v>3.0641906191855992</c:v>
                </c:pt>
                <c:pt idx="8">
                  <c:v>2.0504849679041111</c:v>
                </c:pt>
                <c:pt idx="9">
                  <c:v>3.3696033233075617</c:v>
                </c:pt>
                <c:pt idx="10">
                  <c:v>3.0631564677490632</c:v>
                </c:pt>
                <c:pt idx="11">
                  <c:v>1.8782720212925239</c:v>
                </c:pt>
                <c:pt idx="12">
                  <c:v>2.0504849679041111</c:v>
                </c:pt>
                <c:pt idx="13">
                  <c:v>3.4938138229270241</c:v>
                </c:pt>
                <c:pt idx="14">
                  <c:v>2.6502825705427786</c:v>
                </c:pt>
              </c:numCache>
            </c:numRef>
          </c:xVal>
          <c:yVal>
            <c:numRef>
              <c:f>Calibration!$M$6:$M$20</c:f>
              <c:numCache>
                <c:formatCode>General</c:formatCode>
                <c:ptCount val="15"/>
                <c:pt idx="0">
                  <c:v>2.4293852000105032</c:v>
                </c:pt>
                <c:pt idx="1">
                  <c:v>2.9307073204346845</c:v>
                </c:pt>
                <c:pt idx="2">
                  <c:v>3.3469820190827844</c:v>
                </c:pt>
                <c:pt idx="3">
                  <c:v>3.9714624472633053</c:v>
                </c:pt>
                <c:pt idx="4">
                  <c:v>4.413879981419762</c:v>
                </c:pt>
                <c:pt idx="5">
                  <c:v>3.3447109538380233</c:v>
                </c:pt>
                <c:pt idx="6">
                  <c:v>2.4277378798007323</c:v>
                </c:pt>
                <c:pt idx="7">
                  <c:v>3.873282303272239</c:v>
                </c:pt>
                <c:pt idx="8">
                  <c:v>2.9287193891763108</c:v>
                </c:pt>
                <c:pt idx="9">
                  <c:v>4.4131306596281963</c:v>
                </c:pt>
                <c:pt idx="10">
                  <c:v>3.8903027889050801</c:v>
                </c:pt>
                <c:pt idx="11">
                  <c:v>2.4269154753463078</c:v>
                </c:pt>
                <c:pt idx="12">
                  <c:v>2.9282230381195853</c:v>
                </c:pt>
                <c:pt idx="13">
                  <c:v>4.4131306596281963</c:v>
                </c:pt>
                <c:pt idx="14">
                  <c:v>3.4396908783515689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66672"/>
        <c:axId val="321566280"/>
      </c:scatterChart>
      <c:valAx>
        <c:axId val="32156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1566280"/>
        <c:crosses val="autoZero"/>
        <c:crossBetween val="midCat"/>
      </c:valAx>
      <c:valAx>
        <c:axId val="32156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56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Data!$B$14:$J$14</c:f>
              <c:numCache>
                <c:formatCode>0.00</c:formatCode>
                <c:ptCount val="9"/>
                <c:pt idx="0">
                  <c:v>3.5951332885103997</c:v>
                </c:pt>
                <c:pt idx="1">
                  <c:v>3.5951332885103997</c:v>
                </c:pt>
                <c:pt idx="2">
                  <c:v>3.5951332885103997</c:v>
                </c:pt>
                <c:pt idx="3">
                  <c:v>4.9740847445103995</c:v>
                </c:pt>
                <c:pt idx="4">
                  <c:v>4.9740847445103995</c:v>
                </c:pt>
                <c:pt idx="5">
                  <c:v>4.9740847445103995</c:v>
                </c:pt>
                <c:pt idx="6">
                  <c:v>6.3530362005103997</c:v>
                </c:pt>
                <c:pt idx="7">
                  <c:v>6.3530362005103997</c:v>
                </c:pt>
                <c:pt idx="8">
                  <c:v>6.3530362005103997</c:v>
                </c:pt>
              </c:numCache>
            </c:numRef>
          </c:xVal>
          <c:yVal>
            <c:numRef>
              <c:f>Data!$B$22:$J$22</c:f>
              <c:numCache>
                <c:formatCode>0.000</c:formatCode>
                <c:ptCount val="9"/>
                <c:pt idx="0">
                  <c:v>8.8651793450888236E-2</c:v>
                </c:pt>
                <c:pt idx="1">
                  <c:v>9.0313857220751734E-2</c:v>
                </c:pt>
                <c:pt idx="2">
                  <c:v>9.1873046840679817E-2</c:v>
                </c:pt>
                <c:pt idx="3">
                  <c:v>0.15412446293140997</c:v>
                </c:pt>
                <c:pt idx="4">
                  <c:v>0.15654950354202096</c:v>
                </c:pt>
                <c:pt idx="5">
                  <c:v>0.16778030539414357</c:v>
                </c:pt>
                <c:pt idx="6">
                  <c:v>0.24016710311001066</c:v>
                </c:pt>
                <c:pt idx="7">
                  <c:v>0.24306068266555289</c:v>
                </c:pt>
                <c:pt idx="8">
                  <c:v>0.25744173402449982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75296"/>
        <c:axId val="310458008"/>
      </c:scatterChart>
      <c:valAx>
        <c:axId val="3643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58008"/>
        <c:crosses val="autoZero"/>
        <c:crossBetween val="midCat"/>
      </c:valAx>
      <c:valAx>
        <c:axId val="3104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Temp vs Flow Rate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'Error Data'!$B$29:$AB$29</c:f>
                <c:numCache>
                  <c:formatCode>General</c:formatCode>
                  <c:ptCount val="27"/>
                  <c:pt idx="0">
                    <c:v>0.50911688245431419</c:v>
                  </c:pt>
                  <c:pt idx="1">
                    <c:v>0.50911688245431419</c:v>
                  </c:pt>
                  <c:pt idx="2">
                    <c:v>0.50911688245431419</c:v>
                  </c:pt>
                  <c:pt idx="3">
                    <c:v>0.50911688245431419</c:v>
                  </c:pt>
                  <c:pt idx="4">
                    <c:v>0.50911688245431419</c:v>
                  </c:pt>
                  <c:pt idx="5">
                    <c:v>0.50911688245431419</c:v>
                  </c:pt>
                  <c:pt idx="6">
                    <c:v>0.50911688245431419</c:v>
                  </c:pt>
                  <c:pt idx="7">
                    <c:v>0.50911688245431419</c:v>
                  </c:pt>
                  <c:pt idx="8">
                    <c:v>0.50911688245431419</c:v>
                  </c:pt>
                  <c:pt idx="9">
                    <c:v>0.50911688245431419</c:v>
                  </c:pt>
                  <c:pt idx="10">
                    <c:v>0.50911688245431419</c:v>
                  </c:pt>
                  <c:pt idx="11">
                    <c:v>0.50911688245431419</c:v>
                  </c:pt>
                  <c:pt idx="12">
                    <c:v>0.50911688245431419</c:v>
                  </c:pt>
                  <c:pt idx="13">
                    <c:v>0.50911688245431419</c:v>
                  </c:pt>
                  <c:pt idx="14">
                    <c:v>0.50911688245431419</c:v>
                  </c:pt>
                  <c:pt idx="15">
                    <c:v>0.50911688245431419</c:v>
                  </c:pt>
                  <c:pt idx="16">
                    <c:v>0.50911688245431419</c:v>
                  </c:pt>
                  <c:pt idx="17">
                    <c:v>0.50911688245431419</c:v>
                  </c:pt>
                  <c:pt idx="18">
                    <c:v>0.50911688245431419</c:v>
                  </c:pt>
                  <c:pt idx="19">
                    <c:v>0.50911688245431419</c:v>
                  </c:pt>
                  <c:pt idx="20">
                    <c:v>0.50911688245431419</c:v>
                  </c:pt>
                  <c:pt idx="21">
                    <c:v>0.50911688245431419</c:v>
                  </c:pt>
                  <c:pt idx="22">
                    <c:v>0.50911688245431419</c:v>
                  </c:pt>
                  <c:pt idx="23">
                    <c:v>0.50911688245431419</c:v>
                  </c:pt>
                  <c:pt idx="24">
                    <c:v>0.50911688245431419</c:v>
                  </c:pt>
                  <c:pt idx="25">
                    <c:v>0.50911688245431419</c:v>
                  </c:pt>
                  <c:pt idx="26">
                    <c:v>0.50911688245431419</c:v>
                  </c:pt>
                </c:numCache>
              </c:numRef>
            </c:plus>
            <c:minus>
              <c:numRef>
                <c:f>'Error Data'!$B$29:$AB$29</c:f>
                <c:numCache>
                  <c:formatCode>General</c:formatCode>
                  <c:ptCount val="27"/>
                  <c:pt idx="0">
                    <c:v>0.50911688245431419</c:v>
                  </c:pt>
                  <c:pt idx="1">
                    <c:v>0.50911688245431419</c:v>
                  </c:pt>
                  <c:pt idx="2">
                    <c:v>0.50911688245431419</c:v>
                  </c:pt>
                  <c:pt idx="3">
                    <c:v>0.50911688245431419</c:v>
                  </c:pt>
                  <c:pt idx="4">
                    <c:v>0.50911688245431419</c:v>
                  </c:pt>
                  <c:pt idx="5">
                    <c:v>0.50911688245431419</c:v>
                  </c:pt>
                  <c:pt idx="6">
                    <c:v>0.50911688245431419</c:v>
                  </c:pt>
                  <c:pt idx="7">
                    <c:v>0.50911688245431419</c:v>
                  </c:pt>
                  <c:pt idx="8">
                    <c:v>0.50911688245431419</c:v>
                  </c:pt>
                  <c:pt idx="9">
                    <c:v>0.50911688245431419</c:v>
                  </c:pt>
                  <c:pt idx="10">
                    <c:v>0.50911688245431419</c:v>
                  </c:pt>
                  <c:pt idx="11">
                    <c:v>0.50911688245431419</c:v>
                  </c:pt>
                  <c:pt idx="12">
                    <c:v>0.50911688245431419</c:v>
                  </c:pt>
                  <c:pt idx="13">
                    <c:v>0.50911688245431419</c:v>
                  </c:pt>
                  <c:pt idx="14">
                    <c:v>0.50911688245431419</c:v>
                  </c:pt>
                  <c:pt idx="15">
                    <c:v>0.50911688245431419</c:v>
                  </c:pt>
                  <c:pt idx="16">
                    <c:v>0.50911688245431419</c:v>
                  </c:pt>
                  <c:pt idx="17">
                    <c:v>0.50911688245431419</c:v>
                  </c:pt>
                  <c:pt idx="18">
                    <c:v>0.50911688245431419</c:v>
                  </c:pt>
                  <c:pt idx="19">
                    <c:v>0.50911688245431419</c:v>
                  </c:pt>
                  <c:pt idx="20">
                    <c:v>0.50911688245431419</c:v>
                  </c:pt>
                  <c:pt idx="21">
                    <c:v>0.50911688245431419</c:v>
                  </c:pt>
                  <c:pt idx="22">
                    <c:v>0.50911688245431419</c:v>
                  </c:pt>
                  <c:pt idx="23">
                    <c:v>0.50911688245431419</c:v>
                  </c:pt>
                  <c:pt idx="24">
                    <c:v>0.50911688245431419</c:v>
                  </c:pt>
                  <c:pt idx="25">
                    <c:v>0.50911688245431419</c:v>
                  </c:pt>
                  <c:pt idx="26">
                    <c:v>0.50911688245431419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'Error Data'!$B$30:$AB$30</c:f>
                <c:numCache>
                  <c:formatCode>General</c:formatCode>
                  <c:ptCount val="27"/>
                  <c:pt idx="0">
                    <c:v>0.14609784396370909</c:v>
                  </c:pt>
                  <c:pt idx="1">
                    <c:v>0.14604574371733084</c:v>
                  </c:pt>
                  <c:pt idx="2">
                    <c:v>0.14606790331040784</c:v>
                  </c:pt>
                  <c:pt idx="3">
                    <c:v>0.14605407972188744</c:v>
                  </c:pt>
                  <c:pt idx="4">
                    <c:v>0.14600262104513123</c:v>
                  </c:pt>
                  <c:pt idx="5">
                    <c:v>0.14603937369567588</c:v>
                  </c:pt>
                  <c:pt idx="6">
                    <c:v>0.14598735612192917</c:v>
                  </c:pt>
                  <c:pt idx="7">
                    <c:v>0.14598735119950138</c:v>
                  </c:pt>
                  <c:pt idx="8">
                    <c:v>0.14597313359188241</c:v>
                  </c:pt>
                  <c:pt idx="9">
                    <c:v>0.15419969969709216</c:v>
                  </c:pt>
                  <c:pt idx="10">
                    <c:v>0.15419973659684683</c:v>
                  </c:pt>
                  <c:pt idx="11">
                    <c:v>0.15418086978492984</c:v>
                  </c:pt>
                  <c:pt idx="12">
                    <c:v>0.15417723601391606</c:v>
                  </c:pt>
                  <c:pt idx="13">
                    <c:v>0.15412903385008087</c:v>
                  </c:pt>
                  <c:pt idx="14">
                    <c:v>0.1541679428407943</c:v>
                  </c:pt>
                  <c:pt idx="15">
                    <c:v>0.15407290576743285</c:v>
                  </c:pt>
                  <c:pt idx="16">
                    <c:v>0.15406034476281824</c:v>
                  </c:pt>
                  <c:pt idx="17">
                    <c:v>0.15411143015841436</c:v>
                  </c:pt>
                  <c:pt idx="18">
                    <c:v>0.16195926348849268</c:v>
                  </c:pt>
                  <c:pt idx="19">
                    <c:v>0.16191222840777139</c:v>
                  </c:pt>
                  <c:pt idx="20">
                    <c:v>0.16195342003353011</c:v>
                  </c:pt>
                  <c:pt idx="21">
                    <c:v>0.16186832637520823</c:v>
                  </c:pt>
                  <c:pt idx="22">
                    <c:v>0.16182886708309982</c:v>
                  </c:pt>
                  <c:pt idx="23">
                    <c:v>0.16189215324255013</c:v>
                  </c:pt>
                  <c:pt idx="24">
                    <c:v>0.16178559663714828</c:v>
                  </c:pt>
                  <c:pt idx="25">
                    <c:v>0.16175057760983755</c:v>
                  </c:pt>
                  <c:pt idx="26">
                    <c:v>0.16176935044716995</c:v>
                  </c:pt>
                </c:numCache>
              </c:numRef>
            </c:plus>
            <c:minus>
              <c:numRef>
                <c:f>'Error Data'!$B$30:$AB$30</c:f>
                <c:numCache>
                  <c:formatCode>General</c:formatCode>
                  <c:ptCount val="27"/>
                  <c:pt idx="0">
                    <c:v>0.14609784396370909</c:v>
                  </c:pt>
                  <c:pt idx="1">
                    <c:v>0.14604574371733084</c:v>
                  </c:pt>
                  <c:pt idx="2">
                    <c:v>0.14606790331040784</c:v>
                  </c:pt>
                  <c:pt idx="3">
                    <c:v>0.14605407972188744</c:v>
                  </c:pt>
                  <c:pt idx="4">
                    <c:v>0.14600262104513123</c:v>
                  </c:pt>
                  <c:pt idx="5">
                    <c:v>0.14603937369567588</c:v>
                  </c:pt>
                  <c:pt idx="6">
                    <c:v>0.14598735612192917</c:v>
                  </c:pt>
                  <c:pt idx="7">
                    <c:v>0.14598735119950138</c:v>
                  </c:pt>
                  <c:pt idx="8">
                    <c:v>0.14597313359188241</c:v>
                  </c:pt>
                  <c:pt idx="9">
                    <c:v>0.15419969969709216</c:v>
                  </c:pt>
                  <c:pt idx="10">
                    <c:v>0.15419973659684683</c:v>
                  </c:pt>
                  <c:pt idx="11">
                    <c:v>0.15418086978492984</c:v>
                  </c:pt>
                  <c:pt idx="12">
                    <c:v>0.15417723601391606</c:v>
                  </c:pt>
                  <c:pt idx="13">
                    <c:v>0.15412903385008087</c:v>
                  </c:pt>
                  <c:pt idx="14">
                    <c:v>0.1541679428407943</c:v>
                  </c:pt>
                  <c:pt idx="15">
                    <c:v>0.15407290576743285</c:v>
                  </c:pt>
                  <c:pt idx="16">
                    <c:v>0.15406034476281824</c:v>
                  </c:pt>
                  <c:pt idx="17">
                    <c:v>0.15411143015841436</c:v>
                  </c:pt>
                  <c:pt idx="18">
                    <c:v>0.16195926348849268</c:v>
                  </c:pt>
                  <c:pt idx="19">
                    <c:v>0.16191222840777139</c:v>
                  </c:pt>
                  <c:pt idx="20">
                    <c:v>0.16195342003353011</c:v>
                  </c:pt>
                  <c:pt idx="21">
                    <c:v>0.16186832637520823</c:v>
                  </c:pt>
                  <c:pt idx="22">
                    <c:v>0.16182886708309982</c:v>
                  </c:pt>
                  <c:pt idx="23">
                    <c:v>0.16189215324255013</c:v>
                  </c:pt>
                  <c:pt idx="24">
                    <c:v>0.16178559663714828</c:v>
                  </c:pt>
                  <c:pt idx="25">
                    <c:v>0.16175057760983755</c:v>
                  </c:pt>
                  <c:pt idx="26">
                    <c:v>0.16176935044716995</c:v>
                  </c:pt>
                </c:numCache>
              </c:numRef>
            </c:minus>
          </c:errBars>
          <c:xVal>
            <c:numRef>
              <c:f>Data!$B$50:$AB$50</c:f>
              <c:numCache>
                <c:formatCode>0.000</c:formatCode>
                <c:ptCount val="27"/>
                <c:pt idx="0">
                  <c:v>-0.13105415892366076</c:v>
                </c:pt>
                <c:pt idx="1">
                  <c:v>-0.12990341980007239</c:v>
                </c:pt>
                <c:pt idx="2">
                  <c:v>-0.13009576107922582</c:v>
                </c:pt>
                <c:pt idx="3">
                  <c:v>-1.9244708110077058E-2</c:v>
                </c:pt>
                <c:pt idx="4">
                  <c:v>-1.9519861437994945E-2</c:v>
                </c:pt>
                <c:pt idx="5">
                  <c:v>-1.1408398640956385E-2</c:v>
                </c:pt>
                <c:pt idx="6">
                  <c:v>0.1793614079850675</c:v>
                </c:pt>
                <c:pt idx="7">
                  <c:v>0.16345689510304059</c:v>
                </c:pt>
                <c:pt idx="8">
                  <c:v>0.14913597960826988</c:v>
                </c:pt>
                <c:pt idx="9">
                  <c:v>-0.16663137593114891</c:v>
                </c:pt>
                <c:pt idx="10">
                  <c:v>-0.20058859909981144</c:v>
                </c:pt>
                <c:pt idx="11">
                  <c:v>-0.18602332890185283</c:v>
                </c:pt>
                <c:pt idx="12">
                  <c:v>-6.3302182666974904E-2</c:v>
                </c:pt>
                <c:pt idx="13">
                  <c:v>-6.3205043370024194E-2</c:v>
                </c:pt>
                <c:pt idx="14">
                  <c:v>-6.4069396818999452E-2</c:v>
                </c:pt>
                <c:pt idx="15">
                  <c:v>0.13160508534491105</c:v>
                </c:pt>
                <c:pt idx="16">
                  <c:v>0.12733076014493494</c:v>
                </c:pt>
                <c:pt idx="17">
                  <c:v>0.11271307492423605</c:v>
                </c:pt>
                <c:pt idx="18">
                  <c:v>-0.20614622364249885</c:v>
                </c:pt>
                <c:pt idx="19">
                  <c:v>-0.20578966039152702</c:v>
                </c:pt>
                <c:pt idx="20">
                  <c:v>-0.20886446843053202</c:v>
                </c:pt>
                <c:pt idx="21">
                  <c:v>-8.7089773983285323E-2</c:v>
                </c:pt>
                <c:pt idx="22">
                  <c:v>-7.9465039623854039E-2</c:v>
                </c:pt>
                <c:pt idx="23">
                  <c:v>-8.7808825182842443E-2</c:v>
                </c:pt>
                <c:pt idx="24">
                  <c:v>0.11520661450186302</c:v>
                </c:pt>
                <c:pt idx="25">
                  <c:v>0.11513863534589734</c:v>
                </c:pt>
                <c:pt idx="26">
                  <c:v>0.11883719837442845</c:v>
                </c:pt>
              </c:numCache>
            </c:numRef>
          </c:xVal>
          <c:yVal>
            <c:numRef>
              <c:f>Data!$B$49:$AB$49</c:f>
              <c:numCache>
                <c:formatCode>0.000</c:formatCode>
                <c:ptCount val="27"/>
                <c:pt idx="0">
                  <c:v>43.920000000000073</c:v>
                </c:pt>
                <c:pt idx="1">
                  <c:v>45.539999999999964</c:v>
                </c:pt>
                <c:pt idx="2">
                  <c:v>47.340000000000032</c:v>
                </c:pt>
                <c:pt idx="3">
                  <c:v>54.180000000000007</c:v>
                </c:pt>
                <c:pt idx="4">
                  <c:v>57.599999999999966</c:v>
                </c:pt>
                <c:pt idx="5">
                  <c:v>56.159999999999968</c:v>
                </c:pt>
                <c:pt idx="6">
                  <c:v>69.660000000000082</c:v>
                </c:pt>
                <c:pt idx="7">
                  <c:v>68.579999999999984</c:v>
                </c:pt>
                <c:pt idx="8">
                  <c:v>69.660000000000082</c:v>
                </c:pt>
                <c:pt idx="9">
                  <c:v>47.879999999999995</c:v>
                </c:pt>
                <c:pt idx="10">
                  <c:v>48.239999999999895</c:v>
                </c:pt>
                <c:pt idx="11">
                  <c:v>50.759999999999991</c:v>
                </c:pt>
                <c:pt idx="12">
                  <c:v>62.099999999999966</c:v>
                </c:pt>
                <c:pt idx="13">
                  <c:v>62.279999999999859</c:v>
                </c:pt>
                <c:pt idx="14">
                  <c:v>64.800000000000011</c:v>
                </c:pt>
                <c:pt idx="15">
                  <c:v>93.779999999999973</c:v>
                </c:pt>
                <c:pt idx="16">
                  <c:v>95.580000000000041</c:v>
                </c:pt>
                <c:pt idx="17">
                  <c:v>95.939999999999941</c:v>
                </c:pt>
                <c:pt idx="18">
                  <c:v>51.120000000000005</c:v>
                </c:pt>
                <c:pt idx="19">
                  <c:v>51.299999999999955</c:v>
                </c:pt>
                <c:pt idx="20">
                  <c:v>54.180000000000064</c:v>
                </c:pt>
                <c:pt idx="21">
                  <c:v>64.980000000000018</c:v>
                </c:pt>
                <c:pt idx="22">
                  <c:v>64.080000000000041</c:v>
                </c:pt>
                <c:pt idx="23">
                  <c:v>65.879999999999939</c:v>
                </c:pt>
                <c:pt idx="24">
                  <c:v>106.38</c:v>
                </c:pt>
                <c:pt idx="25">
                  <c:v>108.36000000000007</c:v>
                </c:pt>
                <c:pt idx="26">
                  <c:v>109.44000000000011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65496"/>
        <c:axId val="321565104"/>
      </c:scatterChart>
      <c:valAx>
        <c:axId val="321565496"/>
        <c:scaling>
          <c:orientation val="minMax"/>
          <c:min val="-0.4"/>
        </c:scaling>
        <c:delete val="0"/>
        <c:axPos val="b"/>
        <c:title>
          <c:tx>
            <c:rich>
              <a:bodyPr/>
              <a:lstStyle/>
              <a:p>
                <a:pPr algn="ctr">
                  <a:defRPr sz="1100"/>
                </a:pPr>
                <a:r>
                  <a:rPr lang="en-US" sz="1100"/>
                  <a:t>Difference in Mass Flow Rates (Hot Outlet - Cold</a:t>
                </a:r>
                <a:r>
                  <a:rPr lang="en-US" sz="1100" baseline="0"/>
                  <a:t> Outlet) (lbm/min)</a:t>
                </a:r>
                <a:endParaRPr lang="en-US" sz="1100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321565104"/>
        <c:crosses val="autoZero"/>
        <c:crossBetween val="midCat"/>
      </c:valAx>
      <c:valAx>
        <c:axId val="321565104"/>
        <c:scaling>
          <c:orientation val="minMax"/>
          <c:max val="110"/>
          <c:min val="4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Temperature Difference of Outlets (F)</a:t>
                </a:r>
              </a:p>
            </c:rich>
          </c:tx>
          <c:layout>
            <c:manualLayout>
              <c:xMode val="edge"/>
              <c:yMode val="edge"/>
              <c:x val="1.157659785017257E-2"/>
              <c:y val="0.37326919613771758"/>
            </c:manualLayout>
          </c:layout>
          <c:overlay val="0"/>
        </c:title>
        <c:numFmt formatCode="0" sourceLinked="0"/>
        <c:majorTickMark val="in"/>
        <c:minorTickMark val="none"/>
        <c:tickLblPos val="low"/>
        <c:spPr>
          <a:ln>
            <a:solidFill>
              <a:sysClr val="windowText" lastClr="000000"/>
            </a:solidFill>
          </a:ln>
        </c:spPr>
        <c:crossAx val="321565496"/>
        <c:crossesAt val="-0.4"/>
        <c:crossBetween val="midCat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'Error Data'!$B$29:$AB$29</c:f>
                <c:numCache>
                  <c:formatCode>General</c:formatCode>
                  <c:ptCount val="27"/>
                  <c:pt idx="0">
                    <c:v>0.50911688245431419</c:v>
                  </c:pt>
                  <c:pt idx="1">
                    <c:v>0.50911688245431419</c:v>
                  </c:pt>
                  <c:pt idx="2">
                    <c:v>0.50911688245431419</c:v>
                  </c:pt>
                  <c:pt idx="3">
                    <c:v>0.50911688245431419</c:v>
                  </c:pt>
                  <c:pt idx="4">
                    <c:v>0.50911688245431419</c:v>
                  </c:pt>
                  <c:pt idx="5">
                    <c:v>0.50911688245431419</c:v>
                  </c:pt>
                  <c:pt idx="6">
                    <c:v>0.50911688245431419</c:v>
                  </c:pt>
                  <c:pt idx="7">
                    <c:v>0.50911688245431419</c:v>
                  </c:pt>
                  <c:pt idx="8">
                    <c:v>0.50911688245431419</c:v>
                  </c:pt>
                  <c:pt idx="9">
                    <c:v>0.50911688245431419</c:v>
                  </c:pt>
                  <c:pt idx="10">
                    <c:v>0.50911688245431419</c:v>
                  </c:pt>
                  <c:pt idx="11">
                    <c:v>0.50911688245431419</c:v>
                  </c:pt>
                  <c:pt idx="12">
                    <c:v>0.50911688245431419</c:v>
                  </c:pt>
                  <c:pt idx="13">
                    <c:v>0.50911688245431419</c:v>
                  </c:pt>
                  <c:pt idx="14">
                    <c:v>0.50911688245431419</c:v>
                  </c:pt>
                  <c:pt idx="15">
                    <c:v>0.50911688245431419</c:v>
                  </c:pt>
                  <c:pt idx="16">
                    <c:v>0.50911688245431419</c:v>
                  </c:pt>
                  <c:pt idx="17">
                    <c:v>0.50911688245431419</c:v>
                  </c:pt>
                  <c:pt idx="18">
                    <c:v>0.50911688245431419</c:v>
                  </c:pt>
                  <c:pt idx="19">
                    <c:v>0.50911688245431419</c:v>
                  </c:pt>
                  <c:pt idx="20">
                    <c:v>0.50911688245431419</c:v>
                  </c:pt>
                  <c:pt idx="21">
                    <c:v>0.50911688245431419</c:v>
                  </c:pt>
                  <c:pt idx="22">
                    <c:v>0.50911688245431419</c:v>
                  </c:pt>
                  <c:pt idx="23">
                    <c:v>0.50911688245431419</c:v>
                  </c:pt>
                  <c:pt idx="24">
                    <c:v>0.50911688245431419</c:v>
                  </c:pt>
                  <c:pt idx="25">
                    <c:v>0.50911688245431419</c:v>
                  </c:pt>
                  <c:pt idx="26">
                    <c:v>0.50911688245431419</c:v>
                  </c:pt>
                </c:numCache>
              </c:numRef>
            </c:plus>
            <c:minus>
              <c:numRef>
                <c:f>'Error Data'!$B$29:$AB$29</c:f>
                <c:numCache>
                  <c:formatCode>General</c:formatCode>
                  <c:ptCount val="27"/>
                  <c:pt idx="0">
                    <c:v>0.50911688245431419</c:v>
                  </c:pt>
                  <c:pt idx="1">
                    <c:v>0.50911688245431419</c:v>
                  </c:pt>
                  <c:pt idx="2">
                    <c:v>0.50911688245431419</c:v>
                  </c:pt>
                  <c:pt idx="3">
                    <c:v>0.50911688245431419</c:v>
                  </c:pt>
                  <c:pt idx="4">
                    <c:v>0.50911688245431419</c:v>
                  </c:pt>
                  <c:pt idx="5">
                    <c:v>0.50911688245431419</c:v>
                  </c:pt>
                  <c:pt idx="6">
                    <c:v>0.50911688245431419</c:v>
                  </c:pt>
                  <c:pt idx="7">
                    <c:v>0.50911688245431419</c:v>
                  </c:pt>
                  <c:pt idx="8">
                    <c:v>0.50911688245431419</c:v>
                  </c:pt>
                  <c:pt idx="9">
                    <c:v>0.50911688245431419</c:v>
                  </c:pt>
                  <c:pt idx="10">
                    <c:v>0.50911688245431419</c:v>
                  </c:pt>
                  <c:pt idx="11">
                    <c:v>0.50911688245431419</c:v>
                  </c:pt>
                  <c:pt idx="12">
                    <c:v>0.50911688245431419</c:v>
                  </c:pt>
                  <c:pt idx="13">
                    <c:v>0.50911688245431419</c:v>
                  </c:pt>
                  <c:pt idx="14">
                    <c:v>0.50911688245431419</c:v>
                  </c:pt>
                  <c:pt idx="15">
                    <c:v>0.50911688245431419</c:v>
                  </c:pt>
                  <c:pt idx="16">
                    <c:v>0.50911688245431419</c:v>
                  </c:pt>
                  <c:pt idx="17">
                    <c:v>0.50911688245431419</c:v>
                  </c:pt>
                  <c:pt idx="18">
                    <c:v>0.50911688245431419</c:v>
                  </c:pt>
                  <c:pt idx="19">
                    <c:v>0.50911688245431419</c:v>
                  </c:pt>
                  <c:pt idx="20">
                    <c:v>0.50911688245431419</c:v>
                  </c:pt>
                  <c:pt idx="21">
                    <c:v>0.50911688245431419</c:v>
                  </c:pt>
                  <c:pt idx="22">
                    <c:v>0.50911688245431419</c:v>
                  </c:pt>
                  <c:pt idx="23">
                    <c:v>0.50911688245431419</c:v>
                  </c:pt>
                  <c:pt idx="24">
                    <c:v>0.50911688245431419</c:v>
                  </c:pt>
                  <c:pt idx="25">
                    <c:v>0.50911688245431419</c:v>
                  </c:pt>
                  <c:pt idx="26">
                    <c:v>0.50911688245431419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'Error Data'!$B$28:$AB$28</c:f>
                <c:numCache>
                  <c:formatCode>General</c:formatCode>
                  <c:ptCount val="27"/>
                  <c:pt idx="0">
                    <c:v>0.12153959457588961</c:v>
                  </c:pt>
                  <c:pt idx="1">
                    <c:v>0.12147771319897588</c:v>
                  </c:pt>
                  <c:pt idx="2">
                    <c:v>0.12150420179004201</c:v>
                  </c:pt>
                  <c:pt idx="3">
                    <c:v>0.12153959457588961</c:v>
                  </c:pt>
                  <c:pt idx="4">
                    <c:v>0.12147771319897588</c:v>
                  </c:pt>
                  <c:pt idx="5">
                    <c:v>0.12152188993097734</c:v>
                  </c:pt>
                  <c:pt idx="6">
                    <c:v>0.12149537192295504</c:v>
                  </c:pt>
                  <c:pt idx="7">
                    <c:v>0.12149536693467132</c:v>
                  </c:pt>
                  <c:pt idx="8">
                    <c:v>0.12147771319897588</c:v>
                  </c:pt>
                  <c:pt idx="9">
                    <c:v>0.13109328313407947</c:v>
                  </c:pt>
                  <c:pt idx="10">
                    <c:v>0.13108198758469666</c:v>
                  </c:pt>
                  <c:pt idx="11">
                    <c:v>0.13107070290337897</c:v>
                  </c:pt>
                  <c:pt idx="12">
                    <c:v>0.13113851283124203</c:v>
                  </c:pt>
                  <c:pt idx="13">
                    <c:v>0.13108198965046292</c:v>
                  </c:pt>
                  <c:pt idx="14">
                    <c:v>0.13112719487227523</c:v>
                  </c:pt>
                  <c:pt idx="15">
                    <c:v>0.13108199639863247</c:v>
                  </c:pt>
                  <c:pt idx="16">
                    <c:v>0.13107070712540059</c:v>
                  </c:pt>
                  <c:pt idx="17">
                    <c:v>0.13112719703256107</c:v>
                  </c:pt>
                  <c:pt idx="18">
                    <c:v>0.14005200705729398</c:v>
                  </c:pt>
                  <c:pt idx="19">
                    <c:v>0.13999809362903043</c:v>
                  </c:pt>
                  <c:pt idx="20">
                    <c:v>0.14005200509961424</c:v>
                  </c:pt>
                  <c:pt idx="21">
                    <c:v>0.14003851701226158</c:v>
                  </c:pt>
                  <c:pt idx="22">
                    <c:v>0.13999809362903043</c:v>
                  </c:pt>
                  <c:pt idx="23">
                    <c:v>0.14006550490588521</c:v>
                  </c:pt>
                  <c:pt idx="24">
                    <c:v>0.14003852113979642</c:v>
                  </c:pt>
                  <c:pt idx="25">
                    <c:v>0.13999809775240304</c:v>
                  </c:pt>
                  <c:pt idx="26">
                    <c:v>0.14002503679133801</c:v>
                  </c:pt>
                </c:numCache>
              </c:numRef>
            </c:plus>
            <c:minus>
              <c:numRef>
                <c:f>'Error Data'!$B$28:$AB$28</c:f>
                <c:numCache>
                  <c:formatCode>General</c:formatCode>
                  <c:ptCount val="27"/>
                  <c:pt idx="0">
                    <c:v>0.12153959457588961</c:v>
                  </c:pt>
                  <c:pt idx="1">
                    <c:v>0.12147771319897588</c:v>
                  </c:pt>
                  <c:pt idx="2">
                    <c:v>0.12150420179004201</c:v>
                  </c:pt>
                  <c:pt idx="3">
                    <c:v>0.12153959457588961</c:v>
                  </c:pt>
                  <c:pt idx="4">
                    <c:v>0.12147771319897588</c:v>
                  </c:pt>
                  <c:pt idx="5">
                    <c:v>0.12152188993097734</c:v>
                  </c:pt>
                  <c:pt idx="6">
                    <c:v>0.12149537192295504</c:v>
                  </c:pt>
                  <c:pt idx="7">
                    <c:v>0.12149536693467132</c:v>
                  </c:pt>
                  <c:pt idx="8">
                    <c:v>0.12147771319897588</c:v>
                  </c:pt>
                  <c:pt idx="9">
                    <c:v>0.13109328313407947</c:v>
                  </c:pt>
                  <c:pt idx="10">
                    <c:v>0.13108198758469666</c:v>
                  </c:pt>
                  <c:pt idx="11">
                    <c:v>0.13107070290337897</c:v>
                  </c:pt>
                  <c:pt idx="12">
                    <c:v>0.13113851283124203</c:v>
                  </c:pt>
                  <c:pt idx="13">
                    <c:v>0.13108198965046292</c:v>
                  </c:pt>
                  <c:pt idx="14">
                    <c:v>0.13112719487227523</c:v>
                  </c:pt>
                  <c:pt idx="15">
                    <c:v>0.13108199639863247</c:v>
                  </c:pt>
                  <c:pt idx="16">
                    <c:v>0.13107070712540059</c:v>
                  </c:pt>
                  <c:pt idx="17">
                    <c:v>0.13112719703256107</c:v>
                  </c:pt>
                  <c:pt idx="18">
                    <c:v>0.14005200705729398</c:v>
                  </c:pt>
                  <c:pt idx="19">
                    <c:v>0.13999809362903043</c:v>
                  </c:pt>
                  <c:pt idx="20">
                    <c:v>0.14005200509961424</c:v>
                  </c:pt>
                  <c:pt idx="21">
                    <c:v>0.14003851701226158</c:v>
                  </c:pt>
                  <c:pt idx="22">
                    <c:v>0.13999809362903043</c:v>
                  </c:pt>
                  <c:pt idx="23">
                    <c:v>0.14006550490588521</c:v>
                  </c:pt>
                  <c:pt idx="24">
                    <c:v>0.14003852113979642</c:v>
                  </c:pt>
                  <c:pt idx="25">
                    <c:v>0.13999809775240304</c:v>
                  </c:pt>
                  <c:pt idx="26">
                    <c:v>0.14002503679133801</c:v>
                  </c:pt>
                </c:numCache>
              </c:numRef>
            </c:minus>
          </c:errBars>
          <c:xVal>
            <c:numRef>
              <c:f>Data!$B$48:$AB$48</c:f>
              <c:numCache>
                <c:formatCode>0.000</c:formatCode>
                <c:ptCount val="27"/>
                <c:pt idx="0">
                  <c:v>2.3416875562287748E-2</c:v>
                </c:pt>
                <c:pt idx="1">
                  <c:v>2.3907354241566758E-2</c:v>
                </c:pt>
                <c:pt idx="2">
                  <c:v>2.3847528515589467E-2</c:v>
                </c:pt>
                <c:pt idx="3">
                  <c:v>7.93216009690796E-2</c:v>
                </c:pt>
                <c:pt idx="4">
                  <c:v>7.909913342260548E-2</c:v>
                </c:pt>
                <c:pt idx="5">
                  <c:v>8.7202306961043044E-2</c:v>
                </c:pt>
                <c:pt idx="6">
                  <c:v>0.18653362263008327</c:v>
                </c:pt>
                <c:pt idx="7">
                  <c:v>0.17061173549531486</c:v>
                </c:pt>
                <c:pt idx="8">
                  <c:v>0.16342705394573789</c:v>
                </c:pt>
                <c:pt idx="9">
                  <c:v>4.6256176499138685E-2</c:v>
                </c:pt>
                <c:pt idx="10">
                  <c:v>1.9892245500048061E-2</c:v>
                </c:pt>
                <c:pt idx="11">
                  <c:v>2.715750770735173E-2</c:v>
                </c:pt>
                <c:pt idx="12">
                  <c:v>9.3309583388601208E-2</c:v>
                </c:pt>
                <c:pt idx="13">
                  <c:v>9.3267202153575923E-2</c:v>
                </c:pt>
                <c:pt idx="14">
                  <c:v>9.2907767704567462E-2</c:v>
                </c:pt>
                <c:pt idx="15">
                  <c:v>0.20472180287694636</c:v>
                </c:pt>
                <c:pt idx="16">
                  <c:v>0.19319933045422544</c:v>
                </c:pt>
                <c:pt idx="17">
                  <c:v>0.18598534507244902</c:v>
                </c:pt>
                <c:pt idx="18">
                  <c:v>6.2278258710614265E-2</c:v>
                </c:pt>
                <c:pt idx="19">
                  <c:v>6.2356661801531488E-2</c:v>
                </c:pt>
                <c:pt idx="20">
                  <c:v>5.5626466358316862E-2</c:v>
                </c:pt>
                <c:pt idx="21">
                  <c:v>0.12178149496254878</c:v>
                </c:pt>
                <c:pt idx="22">
                  <c:v>0.12551897218536798</c:v>
                </c:pt>
                <c:pt idx="23">
                  <c:v>0.12147195916522294</c:v>
                </c:pt>
                <c:pt idx="24">
                  <c:v>0.23351324422327946</c:v>
                </c:pt>
                <c:pt idx="25">
                  <c:v>0.23339901540576474</c:v>
                </c:pt>
                <c:pt idx="26">
                  <c:v>0.23001089071135983</c:v>
                </c:pt>
              </c:numCache>
            </c:numRef>
          </c:xVal>
          <c:yVal>
            <c:numRef>
              <c:f>Data!$B$49:$AB$49</c:f>
              <c:numCache>
                <c:formatCode>0.000</c:formatCode>
                <c:ptCount val="27"/>
                <c:pt idx="0">
                  <c:v>43.920000000000073</c:v>
                </c:pt>
                <c:pt idx="1">
                  <c:v>45.539999999999964</c:v>
                </c:pt>
                <c:pt idx="2">
                  <c:v>47.340000000000032</c:v>
                </c:pt>
                <c:pt idx="3">
                  <c:v>54.180000000000007</c:v>
                </c:pt>
                <c:pt idx="4">
                  <c:v>57.599999999999966</c:v>
                </c:pt>
                <c:pt idx="5">
                  <c:v>56.159999999999968</c:v>
                </c:pt>
                <c:pt idx="6">
                  <c:v>69.660000000000082</c:v>
                </c:pt>
                <c:pt idx="7">
                  <c:v>68.579999999999984</c:v>
                </c:pt>
                <c:pt idx="8">
                  <c:v>69.660000000000082</c:v>
                </c:pt>
                <c:pt idx="9">
                  <c:v>47.879999999999995</c:v>
                </c:pt>
                <c:pt idx="10">
                  <c:v>48.239999999999895</c:v>
                </c:pt>
                <c:pt idx="11">
                  <c:v>50.759999999999991</c:v>
                </c:pt>
                <c:pt idx="12">
                  <c:v>62.099999999999966</c:v>
                </c:pt>
                <c:pt idx="13">
                  <c:v>62.279999999999859</c:v>
                </c:pt>
                <c:pt idx="14">
                  <c:v>64.800000000000011</c:v>
                </c:pt>
                <c:pt idx="15">
                  <c:v>93.779999999999973</c:v>
                </c:pt>
                <c:pt idx="16">
                  <c:v>95.580000000000041</c:v>
                </c:pt>
                <c:pt idx="17">
                  <c:v>95.939999999999941</c:v>
                </c:pt>
                <c:pt idx="18">
                  <c:v>51.120000000000005</c:v>
                </c:pt>
                <c:pt idx="19">
                  <c:v>51.299999999999955</c:v>
                </c:pt>
                <c:pt idx="20">
                  <c:v>54.180000000000064</c:v>
                </c:pt>
                <c:pt idx="21">
                  <c:v>64.980000000000018</c:v>
                </c:pt>
                <c:pt idx="22">
                  <c:v>64.080000000000041</c:v>
                </c:pt>
                <c:pt idx="23">
                  <c:v>65.879999999999939</c:v>
                </c:pt>
                <c:pt idx="24">
                  <c:v>106.38</c:v>
                </c:pt>
                <c:pt idx="25">
                  <c:v>108.36000000000007</c:v>
                </c:pt>
                <c:pt idx="26">
                  <c:v>109.44000000000011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63536"/>
        <c:axId val="321763144"/>
      </c:scatterChart>
      <c:valAx>
        <c:axId val="32176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Hot</a:t>
                </a:r>
                <a:r>
                  <a:rPr lang="en-US" sz="1100" baseline="0"/>
                  <a:t> Outlet Mass Flow Rate (lbm/min)</a:t>
                </a:r>
                <a:endParaRPr lang="en-US" sz="11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321763144"/>
        <c:crosses val="autoZero"/>
        <c:crossBetween val="midCat"/>
      </c:valAx>
      <c:valAx>
        <c:axId val="321763144"/>
        <c:scaling>
          <c:orientation val="minMax"/>
          <c:min val="4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Temperature Difference</a:t>
                </a:r>
                <a:r>
                  <a:rPr lang="en-US" sz="1100" baseline="0"/>
                  <a:t> of Outlets (F)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1.3888892096399289E-2"/>
              <c:y val="0.3236165927019463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21763536"/>
        <c:crossesAt val="-0.1"/>
        <c:crossBetween val="midCat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'Error Data'!$B$31:$AB$31</c:f>
                <c:numCache>
                  <c:formatCode>General</c:formatCode>
                  <c:ptCount val="27"/>
                  <c:pt idx="0">
                    <c:v>0.17961280582992253</c:v>
                  </c:pt>
                  <c:pt idx="1">
                    <c:v>0.19702562265166995</c:v>
                  </c:pt>
                  <c:pt idx="2">
                    <c:v>0.20400138079374222</c:v>
                  </c:pt>
                  <c:pt idx="3">
                    <c:v>0.5109831461163884</c:v>
                  </c:pt>
                  <c:pt idx="4">
                    <c:v>0.54596370473152467</c:v>
                  </c:pt>
                  <c:pt idx="5">
                    <c:v>0.51098357697339714</c:v>
                  </c:pt>
                  <c:pt idx="6">
                    <c:v>1.000022574675727</c:v>
                  </c:pt>
                  <c:pt idx="7">
                    <c:v>0.95456702049177145</c:v>
                  </c:pt>
                  <c:pt idx="8">
                    <c:v>0.93709524052878457</c:v>
                  </c:pt>
                  <c:pt idx="9">
                    <c:v>0.19118198005284623</c:v>
                  </c:pt>
                  <c:pt idx="10">
                    <c:v>0.20177813652652671</c:v>
                  </c:pt>
                  <c:pt idx="11">
                    <c:v>0.22598706870459676</c:v>
                  </c:pt>
                  <c:pt idx="12">
                    <c:v>0.55022242639948282</c:v>
                  </c:pt>
                  <c:pt idx="13">
                    <c:v>0.55022018288908447</c:v>
                  </c:pt>
                  <c:pt idx="14">
                    <c:v>0.56072953789765179</c:v>
                  </c:pt>
                  <c:pt idx="15">
                    <c:v>1.2977362730076616</c:v>
                  </c:pt>
                  <c:pt idx="16">
                    <c:v>1.3186256148890012</c:v>
                  </c:pt>
                  <c:pt idx="17">
                    <c:v>1.3222229183433727</c:v>
                  </c:pt>
                  <c:pt idx="18">
                    <c:v>0.26208886668418629</c:v>
                  </c:pt>
                  <c:pt idx="19">
                    <c:v>0.25511090588257562</c:v>
                  </c:pt>
                  <c:pt idx="20">
                    <c:v>0.27594395384619486</c:v>
                  </c:pt>
                  <c:pt idx="21">
                    <c:v>0.53368616304633754</c:v>
                  </c:pt>
                  <c:pt idx="22">
                    <c:v>0.55462279146254578</c:v>
                  </c:pt>
                  <c:pt idx="23">
                    <c:v>0.56522463722855409</c:v>
                  </c:pt>
                  <c:pt idx="24">
                    <c:v>1.4315502560210078</c:v>
                  </c:pt>
                  <c:pt idx="25">
                    <c:v>1.4350488841246378</c:v>
                  </c:pt>
                  <c:pt idx="26">
                    <c:v>1.4768724893855567</c:v>
                  </c:pt>
                </c:numCache>
              </c:numRef>
            </c:plus>
            <c:minus>
              <c:numRef>
                <c:f>'Error Data'!$B$31:$AB$31</c:f>
                <c:numCache>
                  <c:formatCode>General</c:formatCode>
                  <c:ptCount val="27"/>
                  <c:pt idx="0">
                    <c:v>0.17961280582992253</c:v>
                  </c:pt>
                  <c:pt idx="1">
                    <c:v>0.19702562265166995</c:v>
                  </c:pt>
                  <c:pt idx="2">
                    <c:v>0.20400138079374222</c:v>
                  </c:pt>
                  <c:pt idx="3">
                    <c:v>0.5109831461163884</c:v>
                  </c:pt>
                  <c:pt idx="4">
                    <c:v>0.54596370473152467</c:v>
                  </c:pt>
                  <c:pt idx="5">
                    <c:v>0.51098357697339714</c:v>
                  </c:pt>
                  <c:pt idx="6">
                    <c:v>1.000022574675727</c:v>
                  </c:pt>
                  <c:pt idx="7">
                    <c:v>0.95456702049177145</c:v>
                  </c:pt>
                  <c:pt idx="8">
                    <c:v>0.93709524052878457</c:v>
                  </c:pt>
                  <c:pt idx="9">
                    <c:v>0.19118198005284623</c:v>
                  </c:pt>
                  <c:pt idx="10">
                    <c:v>0.20177813652652671</c:v>
                  </c:pt>
                  <c:pt idx="11">
                    <c:v>0.22598706870459676</c:v>
                  </c:pt>
                  <c:pt idx="12">
                    <c:v>0.55022242639948282</c:v>
                  </c:pt>
                  <c:pt idx="13">
                    <c:v>0.55022018288908447</c:v>
                  </c:pt>
                  <c:pt idx="14">
                    <c:v>0.56072953789765179</c:v>
                  </c:pt>
                  <c:pt idx="15">
                    <c:v>1.2977362730076616</c:v>
                  </c:pt>
                  <c:pt idx="16">
                    <c:v>1.3186256148890012</c:v>
                  </c:pt>
                  <c:pt idx="17">
                    <c:v>1.3222229183433727</c:v>
                  </c:pt>
                  <c:pt idx="18">
                    <c:v>0.26208886668418629</c:v>
                  </c:pt>
                  <c:pt idx="19">
                    <c:v>0.25511090588257562</c:v>
                  </c:pt>
                  <c:pt idx="20">
                    <c:v>0.27594395384619486</c:v>
                  </c:pt>
                  <c:pt idx="21">
                    <c:v>0.53368616304633754</c:v>
                  </c:pt>
                  <c:pt idx="22">
                    <c:v>0.55462279146254578</c:v>
                  </c:pt>
                  <c:pt idx="23">
                    <c:v>0.56522463722855409</c:v>
                  </c:pt>
                  <c:pt idx="24">
                    <c:v>1.4315502560210078</c:v>
                  </c:pt>
                  <c:pt idx="25">
                    <c:v>1.4350488841246378</c:v>
                  </c:pt>
                  <c:pt idx="26">
                    <c:v>1.4768724893855567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'Error Data'!$B$21:$AB$21</c:f>
                <c:numCache>
                  <c:formatCode>General</c:formatCode>
                  <c:ptCount val="27"/>
                  <c:pt idx="0">
                    <c:v>0.36</c:v>
                  </c:pt>
                  <c:pt idx="1">
                    <c:v>0.36</c:v>
                  </c:pt>
                  <c:pt idx="2">
                    <c:v>0.36</c:v>
                  </c:pt>
                  <c:pt idx="3">
                    <c:v>0.36</c:v>
                  </c:pt>
                  <c:pt idx="4">
                    <c:v>0.36</c:v>
                  </c:pt>
                  <c:pt idx="5">
                    <c:v>0.36</c:v>
                  </c:pt>
                  <c:pt idx="6">
                    <c:v>0.36</c:v>
                  </c:pt>
                  <c:pt idx="7">
                    <c:v>0.36</c:v>
                  </c:pt>
                  <c:pt idx="8">
                    <c:v>0.36</c:v>
                  </c:pt>
                  <c:pt idx="9">
                    <c:v>0.36</c:v>
                  </c:pt>
                  <c:pt idx="10">
                    <c:v>0.36</c:v>
                  </c:pt>
                  <c:pt idx="11">
                    <c:v>0.36</c:v>
                  </c:pt>
                  <c:pt idx="12">
                    <c:v>0.36</c:v>
                  </c:pt>
                  <c:pt idx="13">
                    <c:v>0.36</c:v>
                  </c:pt>
                  <c:pt idx="14">
                    <c:v>0.36</c:v>
                  </c:pt>
                  <c:pt idx="15">
                    <c:v>0.36</c:v>
                  </c:pt>
                  <c:pt idx="16">
                    <c:v>0.36</c:v>
                  </c:pt>
                  <c:pt idx="17">
                    <c:v>0.36</c:v>
                  </c:pt>
                  <c:pt idx="18">
                    <c:v>0.36</c:v>
                  </c:pt>
                  <c:pt idx="19">
                    <c:v>0.36</c:v>
                  </c:pt>
                  <c:pt idx="20">
                    <c:v>0.36</c:v>
                  </c:pt>
                  <c:pt idx="21">
                    <c:v>0.36</c:v>
                  </c:pt>
                  <c:pt idx="22">
                    <c:v>0.36</c:v>
                  </c:pt>
                  <c:pt idx="23">
                    <c:v>0.36</c:v>
                  </c:pt>
                  <c:pt idx="24">
                    <c:v>0.36</c:v>
                  </c:pt>
                  <c:pt idx="25">
                    <c:v>0.36</c:v>
                  </c:pt>
                  <c:pt idx="26">
                    <c:v>0.36</c:v>
                  </c:pt>
                </c:numCache>
              </c:numRef>
            </c:plus>
            <c:minus>
              <c:numRef>
                <c:f>'Error Data'!$B$21:$AB$21</c:f>
                <c:numCache>
                  <c:formatCode>General</c:formatCode>
                  <c:ptCount val="27"/>
                  <c:pt idx="0">
                    <c:v>0.36</c:v>
                  </c:pt>
                  <c:pt idx="1">
                    <c:v>0.36</c:v>
                  </c:pt>
                  <c:pt idx="2">
                    <c:v>0.36</c:v>
                  </c:pt>
                  <c:pt idx="3">
                    <c:v>0.36</c:v>
                  </c:pt>
                  <c:pt idx="4">
                    <c:v>0.36</c:v>
                  </c:pt>
                  <c:pt idx="5">
                    <c:v>0.36</c:v>
                  </c:pt>
                  <c:pt idx="6">
                    <c:v>0.36</c:v>
                  </c:pt>
                  <c:pt idx="7">
                    <c:v>0.36</c:v>
                  </c:pt>
                  <c:pt idx="8">
                    <c:v>0.36</c:v>
                  </c:pt>
                  <c:pt idx="9">
                    <c:v>0.36</c:v>
                  </c:pt>
                  <c:pt idx="10">
                    <c:v>0.36</c:v>
                  </c:pt>
                  <c:pt idx="11">
                    <c:v>0.36</c:v>
                  </c:pt>
                  <c:pt idx="12">
                    <c:v>0.36</c:v>
                  </c:pt>
                  <c:pt idx="13">
                    <c:v>0.36</c:v>
                  </c:pt>
                  <c:pt idx="14">
                    <c:v>0.36</c:v>
                  </c:pt>
                  <c:pt idx="15">
                    <c:v>0.36</c:v>
                  </c:pt>
                  <c:pt idx="16">
                    <c:v>0.36</c:v>
                  </c:pt>
                  <c:pt idx="17">
                    <c:v>0.36</c:v>
                  </c:pt>
                  <c:pt idx="18">
                    <c:v>0.36</c:v>
                  </c:pt>
                  <c:pt idx="19">
                    <c:v>0.36</c:v>
                  </c:pt>
                  <c:pt idx="20">
                    <c:v>0.36</c:v>
                  </c:pt>
                  <c:pt idx="21">
                    <c:v>0.36</c:v>
                  </c:pt>
                  <c:pt idx="22">
                    <c:v>0.36</c:v>
                  </c:pt>
                  <c:pt idx="23">
                    <c:v>0.36</c:v>
                  </c:pt>
                  <c:pt idx="24">
                    <c:v>0.36</c:v>
                  </c:pt>
                  <c:pt idx="25">
                    <c:v>0.36</c:v>
                  </c:pt>
                  <c:pt idx="26">
                    <c:v>0.36</c:v>
                  </c:pt>
                </c:numCache>
              </c:numRef>
            </c:minus>
          </c:errBars>
          <c:xVal>
            <c:numRef>
              <c:f>Data!$B$41:$AB$41</c:f>
              <c:numCache>
                <c:formatCode>0.000</c:formatCode>
                <c:ptCount val="27"/>
                <c:pt idx="0">
                  <c:v>522.62999999999988</c:v>
                </c:pt>
                <c:pt idx="1">
                  <c:v>522.99</c:v>
                </c:pt>
                <c:pt idx="2">
                  <c:v>522.08999999999992</c:v>
                </c:pt>
                <c:pt idx="3">
                  <c:v>505.52999999999992</c:v>
                </c:pt>
                <c:pt idx="4">
                  <c:v>504.98999999999995</c:v>
                </c:pt>
                <c:pt idx="5">
                  <c:v>505.89</c:v>
                </c:pt>
                <c:pt idx="6">
                  <c:v>481.2299999999999</c:v>
                </c:pt>
                <c:pt idx="7">
                  <c:v>483.57</c:v>
                </c:pt>
                <c:pt idx="8">
                  <c:v>484.82999999999993</c:v>
                </c:pt>
                <c:pt idx="9">
                  <c:v>523.70999999999992</c:v>
                </c:pt>
                <c:pt idx="10">
                  <c:v>523.35</c:v>
                </c:pt>
                <c:pt idx="11">
                  <c:v>522.27</c:v>
                </c:pt>
                <c:pt idx="12">
                  <c:v>504.45</c:v>
                </c:pt>
                <c:pt idx="13">
                  <c:v>505.35</c:v>
                </c:pt>
                <c:pt idx="14">
                  <c:v>504.09</c:v>
                </c:pt>
                <c:pt idx="15">
                  <c:v>466.82999999999993</c:v>
                </c:pt>
                <c:pt idx="16">
                  <c:v>465.92999999999995</c:v>
                </c:pt>
                <c:pt idx="17">
                  <c:v>464.85</c:v>
                </c:pt>
                <c:pt idx="18">
                  <c:v>520.29</c:v>
                </c:pt>
                <c:pt idx="19">
                  <c:v>521.37</c:v>
                </c:pt>
                <c:pt idx="20">
                  <c:v>519.56999999999994</c:v>
                </c:pt>
                <c:pt idx="21">
                  <c:v>506.42999999999995</c:v>
                </c:pt>
                <c:pt idx="22">
                  <c:v>505.89</c:v>
                </c:pt>
                <c:pt idx="23">
                  <c:v>504.45</c:v>
                </c:pt>
                <c:pt idx="24">
                  <c:v>460.16999999999996</c:v>
                </c:pt>
                <c:pt idx="25">
                  <c:v>460.52999999999992</c:v>
                </c:pt>
                <c:pt idx="26">
                  <c:v>458.00999999999993</c:v>
                </c:pt>
              </c:numCache>
            </c:numRef>
          </c:xVal>
          <c:yVal>
            <c:numRef>
              <c:f>Data!$B$51:$AB$51</c:f>
              <c:numCache>
                <c:formatCode>0.000</c:formatCode>
                <c:ptCount val="27"/>
                <c:pt idx="0">
                  <c:v>-0.34033058317944415</c:v>
                </c:pt>
                <c:pt idx="1">
                  <c:v>-0.37209902456153071</c:v>
                </c:pt>
                <c:pt idx="2">
                  <c:v>-0.3857203064087712</c:v>
                </c:pt>
                <c:pt idx="3">
                  <c:v>-0.62167742462405762</c:v>
                </c:pt>
                <c:pt idx="4">
                  <c:v>-0.66461313016455803</c:v>
                </c:pt>
                <c:pt idx="5">
                  <c:v>-0.62195744237293016</c:v>
                </c:pt>
                <c:pt idx="6">
                  <c:v>-8.8614146382098774E-2</c:v>
                </c:pt>
                <c:pt idx="7">
                  <c:v>-8.4381325650325495E-2</c:v>
                </c:pt>
                <c:pt idx="8">
                  <c:v>-0.16545634224946973</c:v>
                </c:pt>
                <c:pt idx="9">
                  <c:v>-0.49662408230937621</c:v>
                </c:pt>
                <c:pt idx="10">
                  <c:v>-0.54291203174268754</c:v>
                </c:pt>
                <c:pt idx="11">
                  <c:v>-0.58940237705712784</c:v>
                </c:pt>
                <c:pt idx="12">
                  <c:v>-1.0622036420953369</c:v>
                </c:pt>
                <c:pt idx="13">
                  <c:v>-1.0612573580392608</c:v>
                </c:pt>
                <c:pt idx="14">
                  <c:v>-1.085026161186895</c:v>
                </c:pt>
                <c:pt idx="15">
                  <c:v>-1.1718562552294354</c:v>
                </c:pt>
                <c:pt idx="16">
                  <c:v>-1.0727618834852288</c:v>
                </c:pt>
                <c:pt idx="17">
                  <c:v>-1.1965068626122579</c:v>
                </c:pt>
                <c:pt idx="18">
                  <c:v>-0.85809938518642792</c:v>
                </c:pt>
                <c:pt idx="19">
                  <c:v>-0.83404232054928418</c:v>
                </c:pt>
                <c:pt idx="20">
                  <c:v>-0.8912286538645029</c:v>
                </c:pt>
                <c:pt idx="21">
                  <c:v>-1.3715323004059257</c:v>
                </c:pt>
                <c:pt idx="22">
                  <c:v>-1.3991388710050228</c:v>
                </c:pt>
                <c:pt idx="23">
                  <c:v>-1.4555897112976623</c:v>
                </c:pt>
                <c:pt idx="24">
                  <c:v>-2.0903361792217625</c:v>
                </c:pt>
                <c:pt idx="25">
                  <c:v>-2.094627851620372</c:v>
                </c:pt>
                <c:pt idx="26">
                  <c:v>-2.0267408807791965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62360"/>
        <c:axId val="321764320"/>
      </c:scatterChart>
      <c:valAx>
        <c:axId val="321762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Cold Outlet Temperature</a:t>
                </a:r>
                <a:r>
                  <a:rPr lang="en-US" sz="1100" baseline="0"/>
                  <a:t> (R)</a:t>
                </a:r>
                <a:endParaRPr lang="en-US" sz="1100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low"/>
        <c:crossAx val="321764320"/>
        <c:crossesAt val="-2.5"/>
        <c:crossBetween val="midCat"/>
      </c:valAx>
      <c:valAx>
        <c:axId val="321764320"/>
        <c:scaling>
          <c:orientation val="minMax"/>
          <c:max val="1"/>
          <c:min val="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Cooling Capacity (BTU/min)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321762360"/>
        <c:crosses val="autoZero"/>
        <c:crossBetween val="midCat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'Error Data'!$B$35:$AB$35</c:f>
                <c:numCache>
                  <c:formatCode>General</c:formatCode>
                  <c:ptCount val="27"/>
                  <c:pt idx="0">
                    <c:v>1.5867768770857757E-2</c:v>
                  </c:pt>
                  <c:pt idx="1">
                    <c:v>1.5895544109215537E-2</c:v>
                  </c:pt>
                  <c:pt idx="2">
                    <c:v>1.5958532608737256E-2</c:v>
                  </c:pt>
                  <c:pt idx="3">
                    <c:v>1.5322073927054607E-2</c:v>
                  </c:pt>
                  <c:pt idx="4">
                    <c:v>1.5357455496958458E-2</c:v>
                  </c:pt>
                  <c:pt idx="5">
                    <c:v>1.540733314046118E-2</c:v>
                  </c:pt>
                  <c:pt idx="6">
                    <c:v>1.4450675207803857E-2</c:v>
                  </c:pt>
                  <c:pt idx="7">
                    <c:v>1.4550793972923326E-2</c:v>
                  </c:pt>
                  <c:pt idx="8">
                    <c:v>1.4658786915190547E-2</c:v>
                  </c:pt>
                  <c:pt idx="9">
                    <c:v>2.0365007331894933E-2</c:v>
                  </c:pt>
                  <c:pt idx="10">
                    <c:v>2.033651618952852E-2</c:v>
                  </c:pt>
                  <c:pt idx="11">
                    <c:v>2.0384099713292785E-2</c:v>
                  </c:pt>
                  <c:pt idx="12">
                    <c:v>1.9919058953108464E-2</c:v>
                  </c:pt>
                  <c:pt idx="13">
                    <c:v>1.9919002922665446E-2</c:v>
                  </c:pt>
                  <c:pt idx="14">
                    <c:v>2.0006897395125171E-2</c:v>
                  </c:pt>
                  <c:pt idx="15">
                    <c:v>1.8984473610232856E-2</c:v>
                  </c:pt>
                  <c:pt idx="16">
                    <c:v>1.9003115857041467E-2</c:v>
                  </c:pt>
                  <c:pt idx="17">
                    <c:v>1.9017499931824292E-2</c:v>
                  </c:pt>
                  <c:pt idx="18">
                    <c:v>2.4029768366989734E-2</c:v>
                  </c:pt>
                  <c:pt idx="19">
                    <c:v>2.4054137620758469E-2</c:v>
                  </c:pt>
                  <c:pt idx="20">
                    <c:v>2.4150892381138017E-2</c:v>
                  </c:pt>
                  <c:pt idx="21">
                    <c:v>2.3882723001878586E-2</c:v>
                  </c:pt>
                  <c:pt idx="22">
                    <c:v>2.3760588197657903E-2</c:v>
                  </c:pt>
                  <c:pt idx="23">
                    <c:v>2.3823241316811201E-2</c:v>
                  </c:pt>
                  <c:pt idx="24">
                    <c:v>2.2983342021560802E-2</c:v>
                  </c:pt>
                  <c:pt idx="25">
                    <c:v>2.3073571106004519E-2</c:v>
                  </c:pt>
                  <c:pt idx="26">
                    <c:v>2.2985422229020828E-2</c:v>
                  </c:pt>
                </c:numCache>
              </c:numRef>
            </c:plus>
            <c:minus>
              <c:numRef>
                <c:f>'Error Data'!$B$35:$AB$35</c:f>
                <c:numCache>
                  <c:formatCode>General</c:formatCode>
                  <c:ptCount val="27"/>
                  <c:pt idx="0">
                    <c:v>1.5867768770857757E-2</c:v>
                  </c:pt>
                  <c:pt idx="1">
                    <c:v>1.5895544109215537E-2</c:v>
                  </c:pt>
                  <c:pt idx="2">
                    <c:v>1.5958532608737256E-2</c:v>
                  </c:pt>
                  <c:pt idx="3">
                    <c:v>1.5322073927054607E-2</c:v>
                  </c:pt>
                  <c:pt idx="4">
                    <c:v>1.5357455496958458E-2</c:v>
                  </c:pt>
                  <c:pt idx="5">
                    <c:v>1.540733314046118E-2</c:v>
                  </c:pt>
                  <c:pt idx="6">
                    <c:v>1.4450675207803857E-2</c:v>
                  </c:pt>
                  <c:pt idx="7">
                    <c:v>1.4550793972923326E-2</c:v>
                  </c:pt>
                  <c:pt idx="8">
                    <c:v>1.4658786915190547E-2</c:v>
                  </c:pt>
                  <c:pt idx="9">
                    <c:v>2.0365007331894933E-2</c:v>
                  </c:pt>
                  <c:pt idx="10">
                    <c:v>2.033651618952852E-2</c:v>
                  </c:pt>
                  <c:pt idx="11">
                    <c:v>2.0384099713292785E-2</c:v>
                  </c:pt>
                  <c:pt idx="12">
                    <c:v>1.9919058953108464E-2</c:v>
                  </c:pt>
                  <c:pt idx="13">
                    <c:v>1.9919002922665446E-2</c:v>
                  </c:pt>
                  <c:pt idx="14">
                    <c:v>2.0006897395125171E-2</c:v>
                  </c:pt>
                  <c:pt idx="15">
                    <c:v>1.8984473610232856E-2</c:v>
                  </c:pt>
                  <c:pt idx="16">
                    <c:v>1.9003115857041467E-2</c:v>
                  </c:pt>
                  <c:pt idx="17">
                    <c:v>1.9017499931824292E-2</c:v>
                  </c:pt>
                  <c:pt idx="18">
                    <c:v>2.4029768366989734E-2</c:v>
                  </c:pt>
                  <c:pt idx="19">
                    <c:v>2.4054137620758469E-2</c:v>
                  </c:pt>
                  <c:pt idx="20">
                    <c:v>2.4150892381138017E-2</c:v>
                  </c:pt>
                  <c:pt idx="21">
                    <c:v>2.3882723001878586E-2</c:v>
                  </c:pt>
                  <c:pt idx="22">
                    <c:v>2.3760588197657903E-2</c:v>
                  </c:pt>
                  <c:pt idx="23">
                    <c:v>2.3823241316811201E-2</c:v>
                  </c:pt>
                  <c:pt idx="24">
                    <c:v>2.2983342021560802E-2</c:v>
                  </c:pt>
                  <c:pt idx="25">
                    <c:v>2.3073571106004519E-2</c:v>
                  </c:pt>
                  <c:pt idx="26">
                    <c:v>2.2985422229020828E-2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'Error Data'!$B$30:$AB$30</c:f>
                <c:numCache>
                  <c:formatCode>General</c:formatCode>
                  <c:ptCount val="27"/>
                  <c:pt idx="0">
                    <c:v>0.14609784396370909</c:v>
                  </c:pt>
                  <c:pt idx="1">
                    <c:v>0.14604574371733084</c:v>
                  </c:pt>
                  <c:pt idx="2">
                    <c:v>0.14606790331040784</c:v>
                  </c:pt>
                  <c:pt idx="3">
                    <c:v>0.14605407972188744</c:v>
                  </c:pt>
                  <c:pt idx="4">
                    <c:v>0.14600262104513123</c:v>
                  </c:pt>
                  <c:pt idx="5">
                    <c:v>0.14603937369567588</c:v>
                  </c:pt>
                  <c:pt idx="6">
                    <c:v>0.14598735612192917</c:v>
                  </c:pt>
                  <c:pt idx="7">
                    <c:v>0.14598735119950138</c:v>
                  </c:pt>
                  <c:pt idx="8">
                    <c:v>0.14597313359188241</c:v>
                  </c:pt>
                  <c:pt idx="9">
                    <c:v>0.15419969969709216</c:v>
                  </c:pt>
                  <c:pt idx="10">
                    <c:v>0.15419973659684683</c:v>
                  </c:pt>
                  <c:pt idx="11">
                    <c:v>0.15418086978492984</c:v>
                  </c:pt>
                  <c:pt idx="12">
                    <c:v>0.15417723601391606</c:v>
                  </c:pt>
                  <c:pt idx="13">
                    <c:v>0.15412903385008087</c:v>
                  </c:pt>
                  <c:pt idx="14">
                    <c:v>0.1541679428407943</c:v>
                  </c:pt>
                  <c:pt idx="15">
                    <c:v>0.15407290576743285</c:v>
                  </c:pt>
                  <c:pt idx="16">
                    <c:v>0.15406034476281824</c:v>
                  </c:pt>
                  <c:pt idx="17">
                    <c:v>0.15411143015841436</c:v>
                  </c:pt>
                  <c:pt idx="18">
                    <c:v>0.16195926348849268</c:v>
                  </c:pt>
                  <c:pt idx="19">
                    <c:v>0.16191222840777139</c:v>
                  </c:pt>
                  <c:pt idx="20">
                    <c:v>0.16195342003353011</c:v>
                  </c:pt>
                  <c:pt idx="21">
                    <c:v>0.16186832637520823</c:v>
                  </c:pt>
                  <c:pt idx="22">
                    <c:v>0.16182886708309982</c:v>
                  </c:pt>
                  <c:pt idx="23">
                    <c:v>0.16189215324255013</c:v>
                  </c:pt>
                  <c:pt idx="24">
                    <c:v>0.16178559663714828</c:v>
                  </c:pt>
                  <c:pt idx="25">
                    <c:v>0.16175057760983755</c:v>
                  </c:pt>
                  <c:pt idx="26">
                    <c:v>0.16176935044716995</c:v>
                  </c:pt>
                </c:numCache>
              </c:numRef>
            </c:plus>
            <c:minus>
              <c:numRef>
                <c:f>'Error Data'!$B$30:$AB$30</c:f>
                <c:numCache>
                  <c:formatCode>General</c:formatCode>
                  <c:ptCount val="27"/>
                  <c:pt idx="0">
                    <c:v>0.14609784396370909</c:v>
                  </c:pt>
                  <c:pt idx="1">
                    <c:v>0.14604574371733084</c:v>
                  </c:pt>
                  <c:pt idx="2">
                    <c:v>0.14606790331040784</c:v>
                  </c:pt>
                  <c:pt idx="3">
                    <c:v>0.14605407972188744</c:v>
                  </c:pt>
                  <c:pt idx="4">
                    <c:v>0.14600262104513123</c:v>
                  </c:pt>
                  <c:pt idx="5">
                    <c:v>0.14603937369567588</c:v>
                  </c:pt>
                  <c:pt idx="6">
                    <c:v>0.14598735612192917</c:v>
                  </c:pt>
                  <c:pt idx="7">
                    <c:v>0.14598735119950138</c:v>
                  </c:pt>
                  <c:pt idx="8">
                    <c:v>0.14597313359188241</c:v>
                  </c:pt>
                  <c:pt idx="9">
                    <c:v>0.15419969969709216</c:v>
                  </c:pt>
                  <c:pt idx="10">
                    <c:v>0.15419973659684683</c:v>
                  </c:pt>
                  <c:pt idx="11">
                    <c:v>0.15418086978492984</c:v>
                  </c:pt>
                  <c:pt idx="12">
                    <c:v>0.15417723601391606</c:v>
                  </c:pt>
                  <c:pt idx="13">
                    <c:v>0.15412903385008087</c:v>
                  </c:pt>
                  <c:pt idx="14">
                    <c:v>0.1541679428407943</c:v>
                  </c:pt>
                  <c:pt idx="15">
                    <c:v>0.15407290576743285</c:v>
                  </c:pt>
                  <c:pt idx="16">
                    <c:v>0.15406034476281824</c:v>
                  </c:pt>
                  <c:pt idx="17">
                    <c:v>0.15411143015841436</c:v>
                  </c:pt>
                  <c:pt idx="18">
                    <c:v>0.16195926348849268</c:v>
                  </c:pt>
                  <c:pt idx="19">
                    <c:v>0.16191222840777139</c:v>
                  </c:pt>
                  <c:pt idx="20">
                    <c:v>0.16195342003353011</c:v>
                  </c:pt>
                  <c:pt idx="21">
                    <c:v>0.16186832637520823</c:v>
                  </c:pt>
                  <c:pt idx="22">
                    <c:v>0.16182886708309982</c:v>
                  </c:pt>
                  <c:pt idx="23">
                    <c:v>0.16189215324255013</c:v>
                  </c:pt>
                  <c:pt idx="24">
                    <c:v>0.16178559663714828</c:v>
                  </c:pt>
                  <c:pt idx="25">
                    <c:v>0.16175057760983755</c:v>
                  </c:pt>
                  <c:pt idx="26">
                    <c:v>0.16176935044716995</c:v>
                  </c:pt>
                </c:numCache>
              </c:numRef>
            </c:minus>
          </c:errBars>
          <c:xVal>
            <c:numRef>
              <c:f>Data!$B$50:$AB$50</c:f>
              <c:numCache>
                <c:formatCode>0.000</c:formatCode>
                <c:ptCount val="27"/>
                <c:pt idx="0">
                  <c:v>-0.13105415892366076</c:v>
                </c:pt>
                <c:pt idx="1">
                  <c:v>-0.12990341980007239</c:v>
                </c:pt>
                <c:pt idx="2">
                  <c:v>-0.13009576107922582</c:v>
                </c:pt>
                <c:pt idx="3">
                  <c:v>-1.9244708110077058E-2</c:v>
                </c:pt>
                <c:pt idx="4">
                  <c:v>-1.9519861437994945E-2</c:v>
                </c:pt>
                <c:pt idx="5">
                  <c:v>-1.1408398640956385E-2</c:v>
                </c:pt>
                <c:pt idx="6">
                  <c:v>0.1793614079850675</c:v>
                </c:pt>
                <c:pt idx="7">
                  <c:v>0.16345689510304059</c:v>
                </c:pt>
                <c:pt idx="8">
                  <c:v>0.14913597960826988</c:v>
                </c:pt>
                <c:pt idx="9">
                  <c:v>-0.16663137593114891</c:v>
                </c:pt>
                <c:pt idx="10">
                  <c:v>-0.20058859909981144</c:v>
                </c:pt>
                <c:pt idx="11">
                  <c:v>-0.18602332890185283</c:v>
                </c:pt>
                <c:pt idx="12">
                  <c:v>-6.3302182666974904E-2</c:v>
                </c:pt>
                <c:pt idx="13">
                  <c:v>-6.3205043370024194E-2</c:v>
                </c:pt>
                <c:pt idx="14">
                  <c:v>-6.4069396818999452E-2</c:v>
                </c:pt>
                <c:pt idx="15">
                  <c:v>0.13160508534491105</c:v>
                </c:pt>
                <c:pt idx="16">
                  <c:v>0.12733076014493494</c:v>
                </c:pt>
                <c:pt idx="17">
                  <c:v>0.11271307492423605</c:v>
                </c:pt>
                <c:pt idx="18">
                  <c:v>-0.20614622364249885</c:v>
                </c:pt>
                <c:pt idx="19">
                  <c:v>-0.20578966039152702</c:v>
                </c:pt>
                <c:pt idx="20">
                  <c:v>-0.20886446843053202</c:v>
                </c:pt>
                <c:pt idx="21">
                  <c:v>-8.7089773983285323E-2</c:v>
                </c:pt>
                <c:pt idx="22">
                  <c:v>-7.9465039623854039E-2</c:v>
                </c:pt>
                <c:pt idx="23">
                  <c:v>-8.7808825182842443E-2</c:v>
                </c:pt>
                <c:pt idx="24">
                  <c:v>0.11520661450186302</c:v>
                </c:pt>
                <c:pt idx="25">
                  <c:v>0.11513863534589734</c:v>
                </c:pt>
                <c:pt idx="26">
                  <c:v>0.11883719837442845</c:v>
                </c:pt>
              </c:numCache>
            </c:numRef>
          </c:xVal>
          <c:yVal>
            <c:numRef>
              <c:f>Data!$B$55:$AB$55</c:f>
              <c:numCache>
                <c:formatCode>0.000</c:formatCode>
                <c:ptCount val="27"/>
                <c:pt idx="0">
                  <c:v>0.20749959287259676</c:v>
                </c:pt>
                <c:pt idx="1">
                  <c:v>0.20790634238249478</c:v>
                </c:pt>
                <c:pt idx="2">
                  <c:v>0.20835909010401904</c:v>
                </c:pt>
                <c:pt idx="3">
                  <c:v>0.19850973323425458</c:v>
                </c:pt>
                <c:pt idx="4">
                  <c:v>0.19834908735838613</c:v>
                </c:pt>
                <c:pt idx="5">
                  <c:v>0.19924650542326344</c:v>
                </c:pt>
                <c:pt idx="6">
                  <c:v>0.18289794124879899</c:v>
                </c:pt>
                <c:pt idx="7">
                  <c:v>0.18461042574656669</c:v>
                </c:pt>
                <c:pt idx="8">
                  <c:v>0.18592565758227647</c:v>
                </c:pt>
                <c:pt idx="9">
                  <c:v>0.25157877498238213</c:v>
                </c:pt>
                <c:pt idx="10">
                  <c:v>0.25098950183635327</c:v>
                </c:pt>
                <c:pt idx="11">
                  <c:v>0.25119799569747298</c:v>
                </c:pt>
                <c:pt idx="12">
                  <c:v>0.24324416169635618</c:v>
                </c:pt>
                <c:pt idx="13">
                  <c:v>0.24331877621272463</c:v>
                </c:pt>
                <c:pt idx="14">
                  <c:v>0.24362930569403074</c:v>
                </c:pt>
                <c:pt idx="15">
                  <c:v>0.2229497660177342</c:v>
                </c:pt>
                <c:pt idx="16">
                  <c:v>0.22270972117239604</c:v>
                </c:pt>
                <c:pt idx="17">
                  <c:v>0.22265481966019782</c:v>
                </c:pt>
                <c:pt idx="18">
                  <c:v>0.28073895253360837</c:v>
                </c:pt>
                <c:pt idx="19">
                  <c:v>0.2811180270015784</c:v>
                </c:pt>
                <c:pt idx="20">
                  <c:v>0.28164098976161911</c:v>
                </c:pt>
                <c:pt idx="21">
                  <c:v>0.27693917761754661</c:v>
                </c:pt>
                <c:pt idx="22">
                  <c:v>0.27585652921309312</c:v>
                </c:pt>
                <c:pt idx="23">
                  <c:v>0.27586879353622468</c:v>
                </c:pt>
                <c:pt idx="24">
                  <c:v>0.25486467141396607</c:v>
                </c:pt>
                <c:pt idx="25">
                  <c:v>0.25555623737917715</c:v>
                </c:pt>
                <c:pt idx="26">
                  <c:v>0.25395459731546344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67456"/>
        <c:axId val="321764712"/>
      </c:scatterChart>
      <c:valAx>
        <c:axId val="321567456"/>
        <c:scaling>
          <c:orientation val="minMax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Outlet</a:t>
                </a:r>
                <a:r>
                  <a:rPr lang="en-US" sz="1100" baseline="0"/>
                  <a:t> Mass Flow Rate Difference (lbm/min)</a:t>
                </a:r>
                <a:endParaRPr lang="en-US" sz="1100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321764712"/>
        <c:crosses val="autoZero"/>
        <c:crossBetween val="midCat"/>
      </c:valAx>
      <c:valAx>
        <c:axId val="321764712"/>
        <c:scaling>
          <c:orientation val="minMax"/>
          <c:min val="0.1500000000000000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Overall Entropy Change of System</a:t>
                </a:r>
                <a:r>
                  <a:rPr lang="en-US" sz="1100" baseline="0"/>
                  <a:t> (BTU/lbm-degF)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9.0240097549372268E-3"/>
              <c:y val="0.23205626373179236"/>
            </c:manualLayout>
          </c:layout>
          <c:overlay val="0"/>
        </c:title>
        <c:numFmt formatCode="0.00" sourceLinked="0"/>
        <c:majorTickMark val="out"/>
        <c:minorTickMark val="out"/>
        <c:tickLblPos val="low"/>
        <c:spPr>
          <a:ln>
            <a:solidFill>
              <a:schemeClr val="tx1"/>
            </a:solidFill>
          </a:ln>
        </c:spPr>
        <c:crossAx val="321567456"/>
        <c:crossesAt val="-0.4"/>
        <c:crossBetween val="midCat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'Error Data'!$B$36:$AB$36</c:f>
                <c:numCache>
                  <c:formatCode>General</c:formatCode>
                  <c:ptCount val="27"/>
                  <c:pt idx="0">
                    <c:v>1.0290583626790941</c:v>
                  </c:pt>
                  <c:pt idx="1">
                    <c:v>1.052348377414815</c:v>
                  </c:pt>
                  <c:pt idx="2">
                    <c:v>1.0951287992813104</c:v>
                  </c:pt>
                  <c:pt idx="3">
                    <c:v>0.96092417756350179</c:v>
                  </c:pt>
                  <c:pt idx="4">
                    <c:v>1.0191859591385655</c:v>
                  </c:pt>
                  <c:pt idx="5">
                    <c:v>1.0102001782319214</c:v>
                  </c:pt>
                  <c:pt idx="6">
                    <c:v>1.1320814080656347</c:v>
                  </c:pt>
                  <c:pt idx="7">
                    <c:v>1.1103966062948893</c:v>
                  </c:pt>
                  <c:pt idx="8">
                    <c:v>1.1262991599774195</c:v>
                  </c:pt>
                  <c:pt idx="9">
                    <c:v>1.2155649168522105</c:v>
                  </c:pt>
                  <c:pt idx="10">
                    <c:v>1.2116023732732202</c:v>
                  </c:pt>
                  <c:pt idx="11">
                    <c:v>1.254742032649822</c:v>
                  </c:pt>
                  <c:pt idx="12">
                    <c:v>1.1986924927172367</c:v>
                  </c:pt>
                  <c:pt idx="13">
                    <c:v>1.2033175872347495</c:v>
                  </c:pt>
                  <c:pt idx="14">
                    <c:v>1.2640192083621566</c:v>
                  </c:pt>
                  <c:pt idx="15">
                    <c:v>1.551138399188402</c:v>
                  </c:pt>
                  <c:pt idx="16">
                    <c:v>1.5809867217629845</c:v>
                  </c:pt>
                  <c:pt idx="17">
                    <c:v>1.5873020964565874</c:v>
                  </c:pt>
                  <c:pt idx="18">
                    <c:v>1.2970398301854189</c:v>
                  </c:pt>
                  <c:pt idx="19">
                    <c:v>1.3129655393736528</c:v>
                  </c:pt>
                  <c:pt idx="20">
                    <c:v>1.3768997375520133</c:v>
                  </c:pt>
                  <c:pt idx="21">
                    <c:v>1.3722398775695968</c:v>
                  </c:pt>
                  <c:pt idx="22">
                    <c:v>1.3195339412903895</c:v>
                  </c:pt>
                  <c:pt idx="23">
                    <c:v>1.3629687971818212</c:v>
                  </c:pt>
                  <c:pt idx="24">
                    <c:v>1.8060921598540436</c:v>
                  </c:pt>
                  <c:pt idx="25">
                    <c:v>1.8461032115839866</c:v>
                  </c:pt>
                  <c:pt idx="26">
                    <c:v>1.856726373887909</c:v>
                  </c:pt>
                </c:numCache>
              </c:numRef>
            </c:plus>
            <c:minus>
              <c:numRef>
                <c:f>'Error Data'!$B$36:$AB$36</c:f>
                <c:numCache>
                  <c:formatCode>General</c:formatCode>
                  <c:ptCount val="27"/>
                  <c:pt idx="0">
                    <c:v>1.0290583626790941</c:v>
                  </c:pt>
                  <c:pt idx="1">
                    <c:v>1.052348377414815</c:v>
                  </c:pt>
                  <c:pt idx="2">
                    <c:v>1.0951287992813104</c:v>
                  </c:pt>
                  <c:pt idx="3">
                    <c:v>0.96092417756350179</c:v>
                  </c:pt>
                  <c:pt idx="4">
                    <c:v>1.0191859591385655</c:v>
                  </c:pt>
                  <c:pt idx="5">
                    <c:v>1.0102001782319214</c:v>
                  </c:pt>
                  <c:pt idx="6">
                    <c:v>1.1320814080656347</c:v>
                  </c:pt>
                  <c:pt idx="7">
                    <c:v>1.1103966062948893</c:v>
                  </c:pt>
                  <c:pt idx="8">
                    <c:v>1.1262991599774195</c:v>
                  </c:pt>
                  <c:pt idx="9">
                    <c:v>1.2155649168522105</c:v>
                  </c:pt>
                  <c:pt idx="10">
                    <c:v>1.2116023732732202</c:v>
                  </c:pt>
                  <c:pt idx="11">
                    <c:v>1.254742032649822</c:v>
                  </c:pt>
                  <c:pt idx="12">
                    <c:v>1.1986924927172367</c:v>
                  </c:pt>
                  <c:pt idx="13">
                    <c:v>1.2033175872347495</c:v>
                  </c:pt>
                  <c:pt idx="14">
                    <c:v>1.2640192083621566</c:v>
                  </c:pt>
                  <c:pt idx="15">
                    <c:v>1.551138399188402</c:v>
                  </c:pt>
                  <c:pt idx="16">
                    <c:v>1.5809867217629845</c:v>
                  </c:pt>
                  <c:pt idx="17">
                    <c:v>1.5873020964565874</c:v>
                  </c:pt>
                  <c:pt idx="18">
                    <c:v>1.2970398301854189</c:v>
                  </c:pt>
                  <c:pt idx="19">
                    <c:v>1.3129655393736528</c:v>
                  </c:pt>
                  <c:pt idx="20">
                    <c:v>1.3768997375520133</c:v>
                  </c:pt>
                  <c:pt idx="21">
                    <c:v>1.3722398775695968</c:v>
                  </c:pt>
                  <c:pt idx="22">
                    <c:v>1.3195339412903895</c:v>
                  </c:pt>
                  <c:pt idx="23">
                    <c:v>1.3629687971818212</c:v>
                  </c:pt>
                  <c:pt idx="24">
                    <c:v>1.8060921598540436</c:v>
                  </c:pt>
                  <c:pt idx="25">
                    <c:v>1.8461032115839866</c:v>
                  </c:pt>
                  <c:pt idx="26">
                    <c:v>1.856726373887909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yVal>
            <c:numRef>
              <c:f>Data!$B$56:$AB$56</c:f>
              <c:numCache>
                <c:formatCode>0.000</c:formatCode>
                <c:ptCount val="27"/>
                <c:pt idx="0">
                  <c:v>-0.14509004149131371</c:v>
                </c:pt>
                <c:pt idx="1">
                  <c:v>-0.1686378770241008</c:v>
                </c:pt>
                <c:pt idx="2">
                  <c:v>-0.17452659387471101</c:v>
                </c:pt>
                <c:pt idx="3">
                  <c:v>-9.0539984535101037E-2</c:v>
                </c:pt>
                <c:pt idx="4">
                  <c:v>-0.10421158969208311</c:v>
                </c:pt>
                <c:pt idx="5">
                  <c:v>3.3877413061016437E-3</c:v>
                </c:pt>
                <c:pt idx="6">
                  <c:v>0.72526935587748342</c:v>
                </c:pt>
                <c:pt idx="7">
                  <c:v>0.71162478747661773</c:v>
                </c:pt>
                <c:pt idx="8">
                  <c:v>0.67468945667478242</c:v>
                </c:pt>
                <c:pt idx="9">
                  <c:v>-7.2991515459664813E-2</c:v>
                </c:pt>
                <c:pt idx="10">
                  <c:v>-0.3615902355606494</c:v>
                </c:pt>
                <c:pt idx="11">
                  <c:v>-0.33364383247237211</c:v>
                </c:pt>
                <c:pt idx="12">
                  <c:v>-0.30438052964647266</c:v>
                </c:pt>
                <c:pt idx="13">
                  <c:v>-0.29974930589574456</c:v>
                </c:pt>
                <c:pt idx="14">
                  <c:v>-0.2823030482194322</c:v>
                </c:pt>
                <c:pt idx="15">
                  <c:v>0.15474102741317708</c:v>
                </c:pt>
                <c:pt idx="16">
                  <c:v>0.21255462216064358</c:v>
                </c:pt>
                <c:pt idx="17">
                  <c:v>4.8851007992859685E-2</c:v>
                </c:pt>
                <c:pt idx="18">
                  <c:v>-0.29311102216373419</c:v>
                </c:pt>
                <c:pt idx="19">
                  <c:v>-0.26026126131631144</c:v>
                </c:pt>
                <c:pt idx="20">
                  <c:v>-0.35534552755502014</c:v>
                </c:pt>
                <c:pt idx="21">
                  <c:v>-0.27199153868806514</c:v>
                </c:pt>
                <c:pt idx="22">
                  <c:v>-0.32549979052025635</c:v>
                </c:pt>
                <c:pt idx="23">
                  <c:v>-0.37983404093044881</c:v>
                </c:pt>
                <c:pt idx="24">
                  <c:v>-0.25436164784065074</c:v>
                </c:pt>
                <c:pt idx="25">
                  <c:v>-0.15872305823879329</c:v>
                </c:pt>
                <c:pt idx="26">
                  <c:v>-0.17855737173527708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65104"/>
        <c:axId val="364374512"/>
      </c:scatterChart>
      <c:valAx>
        <c:axId val="321765104"/>
        <c:scaling>
          <c:orientation val="minMax"/>
          <c:max val="2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Trial Number</a:t>
                </a:r>
              </a:p>
            </c:rich>
          </c:tx>
          <c:layout>
            <c:manualLayout>
              <c:xMode val="edge"/>
              <c:yMode val="edge"/>
              <c:x val="0.48239377014236345"/>
              <c:y val="0.94306552334867633"/>
            </c:manualLayout>
          </c:layout>
          <c:overlay val="0"/>
        </c:title>
        <c:majorTickMark val="none"/>
        <c:minorTickMark val="out"/>
        <c:tickLblPos val="low"/>
        <c:crossAx val="364374512"/>
        <c:crossesAt val="-1.5"/>
        <c:crossBetween val="midCat"/>
      </c:valAx>
      <c:valAx>
        <c:axId val="364374512"/>
        <c:scaling>
          <c:orientation val="minMax"/>
          <c:max val="2"/>
          <c:min val="-2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Q dot (BTU/min)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321765104"/>
        <c:crosses val="autoZero"/>
        <c:crossBetween val="midCat"/>
      </c:valAx>
    </c:plotArea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22</xdr:row>
      <xdr:rowOff>50800</xdr:rowOff>
    </xdr:from>
    <xdr:to>
      <xdr:col>9</xdr:col>
      <xdr:colOff>165100</xdr:colOff>
      <xdr:row>36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10</xdr:row>
      <xdr:rowOff>96370</xdr:rowOff>
    </xdr:from>
    <xdr:to>
      <xdr:col>16</xdr:col>
      <xdr:colOff>543485</xdr:colOff>
      <xdr:row>24</xdr:row>
      <xdr:rowOff>15688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workbookViewId="0">
      <selection activeCell="N2" sqref="N2"/>
    </sheetView>
  </sheetViews>
  <sheetFormatPr defaultColWidth="11" defaultRowHeight="15.75" x14ac:dyDescent="0.25"/>
  <sheetData>
    <row r="1" spans="1:28" x14ac:dyDescent="0.25">
      <c r="A1" t="s">
        <v>0</v>
      </c>
      <c r="J1" t="s">
        <v>109</v>
      </c>
      <c r="K1">
        <v>627</v>
      </c>
      <c r="L1" t="s">
        <v>7</v>
      </c>
      <c r="M1" t="s">
        <v>13</v>
      </c>
      <c r="N1">
        <v>12.124000000000001</v>
      </c>
      <c r="O1" t="s">
        <v>98</v>
      </c>
    </row>
    <row r="2" spans="1:28" x14ac:dyDescent="0.25">
      <c r="A2" t="s">
        <v>1</v>
      </c>
      <c r="D2" s="42" t="s">
        <v>99</v>
      </c>
      <c r="E2">
        <v>0.5</v>
      </c>
      <c r="F2" t="s">
        <v>7</v>
      </c>
      <c r="G2">
        <f>E2*1.93*10^-2</f>
        <v>9.6500000000000006E-3</v>
      </c>
      <c r="H2" t="s">
        <v>98</v>
      </c>
      <c r="J2" t="s">
        <v>108</v>
      </c>
      <c r="K2">
        <v>628</v>
      </c>
      <c r="L2" t="s">
        <v>7</v>
      </c>
      <c r="M2" t="s">
        <v>13</v>
      </c>
      <c r="N2">
        <v>12.143000000000001</v>
      </c>
      <c r="O2" t="s">
        <v>98</v>
      </c>
    </row>
    <row r="3" spans="1:28" x14ac:dyDescent="0.25">
      <c r="A3" s="1">
        <f ca="1">NOW()</f>
        <v>42639.679488773145</v>
      </c>
      <c r="C3" s="1"/>
      <c r="D3" s="42" t="s">
        <v>100</v>
      </c>
      <c r="E3" s="4">
        <v>0.2</v>
      </c>
      <c r="F3" t="s">
        <v>8</v>
      </c>
      <c r="G3">
        <f>(E3)*9/5</f>
        <v>0.36</v>
      </c>
      <c r="H3" t="s">
        <v>48</v>
      </c>
      <c r="J3" t="s">
        <v>6</v>
      </c>
      <c r="K3">
        <v>23</v>
      </c>
      <c r="L3" t="s">
        <v>8</v>
      </c>
      <c r="M3" t="s">
        <v>13</v>
      </c>
      <c r="N3">
        <f>(K3+273.15)*9/5</f>
        <v>533.06999999999994</v>
      </c>
      <c r="O3" t="s">
        <v>48</v>
      </c>
    </row>
    <row r="4" spans="1:28" x14ac:dyDescent="0.25">
      <c r="J4" t="s">
        <v>110</v>
      </c>
      <c r="K4">
        <v>22.8</v>
      </c>
      <c r="L4" t="s">
        <v>8</v>
      </c>
      <c r="M4" t="s">
        <v>13</v>
      </c>
      <c r="N4">
        <f>(K4+273.15)*9/5</f>
        <v>532.70999999999992</v>
      </c>
      <c r="O4" t="s">
        <v>48</v>
      </c>
    </row>
    <row r="5" spans="1:28" x14ac:dyDescent="0.25">
      <c r="A5" s="2" t="s">
        <v>4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32</v>
      </c>
      <c r="G5" s="2" t="s">
        <v>45</v>
      </c>
      <c r="H5" s="2" t="s">
        <v>41</v>
      </c>
      <c r="I5" s="2" t="s">
        <v>42</v>
      </c>
      <c r="J5" s="2" t="s">
        <v>2</v>
      </c>
      <c r="K5" s="2" t="s">
        <v>3</v>
      </c>
      <c r="L5" s="2" t="s">
        <v>5</v>
      </c>
      <c r="M5" s="2" t="s">
        <v>77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2">
        <v>1</v>
      </c>
      <c r="B6" s="2">
        <v>40</v>
      </c>
      <c r="C6" s="2">
        <v>0.7</v>
      </c>
      <c r="D6" s="2">
        <f t="shared" ref="D6:D20" si="0">B6+$N$2</f>
        <v>52.143000000000001</v>
      </c>
      <c r="E6" s="2">
        <f t="shared" ref="E6:E20" si="1">C6+$N$2</f>
        <v>12.843</v>
      </c>
      <c r="F6" s="2">
        <v>22.3</v>
      </c>
      <c r="G6" s="2">
        <v>21.5</v>
      </c>
      <c r="H6" s="2">
        <f>(F6+273.15)*9/5</f>
        <v>531.80999999999995</v>
      </c>
      <c r="I6" s="2">
        <f>(G6+273.15)*9/5</f>
        <v>530.37</v>
      </c>
      <c r="J6" s="2">
        <v>0.9</v>
      </c>
      <c r="K6" s="3">
        <v>2.6</v>
      </c>
      <c r="L6" s="2">
        <f>J6/SQRT(1*H6*14.7/530/D6)</f>
        <v>1.692160426660797</v>
      </c>
      <c r="M6" s="2">
        <f>K6/SQRT(1*I6*14.7/530/E6)</f>
        <v>2.4293852000105032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5">
      <c r="A7" s="2">
        <v>2</v>
      </c>
      <c r="B7" s="2">
        <v>50</v>
      </c>
      <c r="C7" s="2">
        <v>1</v>
      </c>
      <c r="D7" s="2">
        <f t="shared" si="0"/>
        <v>62.143000000000001</v>
      </c>
      <c r="E7" s="2">
        <f t="shared" si="1"/>
        <v>13.143000000000001</v>
      </c>
      <c r="F7" s="2">
        <v>22.4</v>
      </c>
      <c r="G7" s="2">
        <v>21.4</v>
      </c>
      <c r="H7" s="2">
        <f t="shared" ref="H7:I20" si="2">(F7+273.15)*9/5</f>
        <v>531.99</v>
      </c>
      <c r="I7" s="2">
        <f t="shared" si="2"/>
        <v>530.18999999999994</v>
      </c>
      <c r="J7" s="2">
        <v>1</v>
      </c>
      <c r="K7" s="3">
        <v>3.1</v>
      </c>
      <c r="L7" s="2">
        <f t="shared" ref="L7:L20" si="3">J7/SQRT(1*H7*14.7/530/D7)</f>
        <v>2.0522187003250352</v>
      </c>
      <c r="M7" s="2">
        <f t="shared" ref="M7:M20" si="4">K7/SQRT(1*I7*14.7/530/E7)</f>
        <v>2.9307073204346845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5">
      <c r="A8" s="2">
        <v>3</v>
      </c>
      <c r="B8" s="2">
        <v>60</v>
      </c>
      <c r="C8" s="2">
        <v>1.3</v>
      </c>
      <c r="D8" s="2">
        <f t="shared" si="0"/>
        <v>72.143000000000001</v>
      </c>
      <c r="E8" s="2">
        <f t="shared" si="1"/>
        <v>13.443000000000001</v>
      </c>
      <c r="F8" s="2">
        <v>22.6</v>
      </c>
      <c r="G8" s="2">
        <v>21.3</v>
      </c>
      <c r="H8" s="2">
        <f t="shared" si="2"/>
        <v>532.35</v>
      </c>
      <c r="I8" s="2">
        <f t="shared" si="2"/>
        <v>530.01</v>
      </c>
      <c r="J8" s="2">
        <v>1.2</v>
      </c>
      <c r="K8" s="3">
        <v>3.5</v>
      </c>
      <c r="L8" s="2">
        <f t="shared" si="3"/>
        <v>2.6525219309512122</v>
      </c>
      <c r="M8" s="2">
        <f t="shared" si="4"/>
        <v>3.3469820190827844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5">
      <c r="A9" s="2">
        <v>4</v>
      </c>
      <c r="B9" s="2">
        <v>70</v>
      </c>
      <c r="C9" s="2">
        <v>1.65</v>
      </c>
      <c r="D9" s="2">
        <f t="shared" si="0"/>
        <v>82.143000000000001</v>
      </c>
      <c r="E9" s="2">
        <f t="shared" si="1"/>
        <v>13.793000000000001</v>
      </c>
      <c r="F9" s="2">
        <v>22.9</v>
      </c>
      <c r="G9" s="2">
        <v>21.3</v>
      </c>
      <c r="H9" s="2">
        <f t="shared" si="2"/>
        <v>532.89</v>
      </c>
      <c r="I9" s="2">
        <f t="shared" si="2"/>
        <v>530.01</v>
      </c>
      <c r="J9" s="2">
        <v>1.3</v>
      </c>
      <c r="K9" s="3">
        <v>4.0999999999999996</v>
      </c>
      <c r="L9" s="2">
        <f t="shared" si="3"/>
        <v>3.0647080878406747</v>
      </c>
      <c r="M9" s="2">
        <f t="shared" si="4"/>
        <v>3.9714624472633053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5">
      <c r="A10" s="2">
        <v>5</v>
      </c>
      <c r="B10" s="2">
        <v>80</v>
      </c>
      <c r="C10" s="2">
        <v>2</v>
      </c>
      <c r="D10" s="2">
        <f t="shared" si="0"/>
        <v>92.143000000000001</v>
      </c>
      <c r="E10" s="2">
        <f t="shared" si="1"/>
        <v>14.143000000000001</v>
      </c>
      <c r="F10" s="2">
        <v>23.2</v>
      </c>
      <c r="G10" s="2">
        <v>21.3</v>
      </c>
      <c r="H10" s="2">
        <f t="shared" si="2"/>
        <v>533.42999999999995</v>
      </c>
      <c r="I10" s="2">
        <f t="shared" si="2"/>
        <v>530.01</v>
      </c>
      <c r="J10" s="2">
        <v>1.4</v>
      </c>
      <c r="K10" s="3">
        <v>4.5</v>
      </c>
      <c r="L10" s="2">
        <f t="shared" si="3"/>
        <v>3.4938138229270241</v>
      </c>
      <c r="M10" s="2">
        <f t="shared" si="4"/>
        <v>4.413879981419762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5">
      <c r="A11" s="2">
        <v>6</v>
      </c>
      <c r="B11" s="2">
        <v>60</v>
      </c>
      <c r="C11" s="2">
        <v>1.3</v>
      </c>
      <c r="D11" s="2">
        <f t="shared" si="0"/>
        <v>72.143000000000001</v>
      </c>
      <c r="E11" s="2">
        <f t="shared" si="1"/>
        <v>13.443000000000001</v>
      </c>
      <c r="F11" s="2">
        <v>23</v>
      </c>
      <c r="G11" s="2">
        <v>21.7</v>
      </c>
      <c r="H11" s="2">
        <f t="shared" si="2"/>
        <v>533.06999999999994</v>
      </c>
      <c r="I11" s="2">
        <f t="shared" si="2"/>
        <v>530.7299999999999</v>
      </c>
      <c r="J11" s="2">
        <v>1.2</v>
      </c>
      <c r="K11" s="3">
        <v>3.5</v>
      </c>
      <c r="L11" s="2">
        <f t="shared" si="3"/>
        <v>2.6507299888916309</v>
      </c>
      <c r="M11" s="2">
        <f t="shared" si="4"/>
        <v>3.3447109538380233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A12" s="2">
        <v>7</v>
      </c>
      <c r="B12" s="2">
        <v>40</v>
      </c>
      <c r="C12" s="2">
        <v>0.7</v>
      </c>
      <c r="D12" s="2">
        <f t="shared" si="0"/>
        <v>52.143000000000001</v>
      </c>
      <c r="E12" s="2">
        <f t="shared" si="1"/>
        <v>12.843</v>
      </c>
      <c r="F12" s="2">
        <v>22.8</v>
      </c>
      <c r="G12" s="2">
        <v>21.9</v>
      </c>
      <c r="H12" s="2">
        <f t="shared" si="2"/>
        <v>532.70999999999992</v>
      </c>
      <c r="I12" s="2">
        <f t="shared" si="2"/>
        <v>531.08999999999992</v>
      </c>
      <c r="J12" s="2">
        <v>1</v>
      </c>
      <c r="K12" s="3">
        <v>2.6</v>
      </c>
      <c r="L12" s="2">
        <f t="shared" si="3"/>
        <v>1.8785893237732556</v>
      </c>
      <c r="M12" s="2">
        <f t="shared" si="4"/>
        <v>2.4277378798007323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A13" s="2">
        <v>8</v>
      </c>
      <c r="B13" s="2">
        <v>70</v>
      </c>
      <c r="C13" s="2">
        <v>1.65</v>
      </c>
      <c r="D13" s="2">
        <f t="shared" si="0"/>
        <v>82.143000000000001</v>
      </c>
      <c r="E13" s="2">
        <f t="shared" si="1"/>
        <v>13.793000000000001</v>
      </c>
      <c r="F13" s="2">
        <v>23</v>
      </c>
      <c r="G13" s="2">
        <v>21.5</v>
      </c>
      <c r="H13" s="2">
        <f t="shared" si="2"/>
        <v>533.06999999999994</v>
      </c>
      <c r="I13" s="2">
        <f t="shared" si="2"/>
        <v>530.37</v>
      </c>
      <c r="J13" s="2">
        <v>1.3</v>
      </c>
      <c r="K13" s="3">
        <v>4</v>
      </c>
      <c r="L13" s="2">
        <f t="shared" si="3"/>
        <v>3.0641906191855992</v>
      </c>
      <c r="M13" s="2">
        <f t="shared" si="4"/>
        <v>3.873282303272239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A14" s="2">
        <v>9</v>
      </c>
      <c r="B14" s="2">
        <v>50</v>
      </c>
      <c r="C14" s="2">
        <v>1</v>
      </c>
      <c r="D14" s="2">
        <f t="shared" si="0"/>
        <v>62.143000000000001</v>
      </c>
      <c r="E14" s="2">
        <f t="shared" si="1"/>
        <v>13.143000000000001</v>
      </c>
      <c r="F14" s="2">
        <v>22.9</v>
      </c>
      <c r="G14" s="2">
        <v>21.8</v>
      </c>
      <c r="H14" s="2">
        <f t="shared" si="2"/>
        <v>532.89</v>
      </c>
      <c r="I14" s="2">
        <f t="shared" si="2"/>
        <v>530.91</v>
      </c>
      <c r="J14" s="2">
        <v>1</v>
      </c>
      <c r="K14" s="3">
        <v>3.1</v>
      </c>
      <c r="L14" s="2">
        <f t="shared" si="3"/>
        <v>2.0504849679041111</v>
      </c>
      <c r="M14" s="2">
        <f t="shared" si="4"/>
        <v>2.9287193891763108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A15" s="2">
        <v>10</v>
      </c>
      <c r="B15" s="2">
        <v>80</v>
      </c>
      <c r="C15" s="2">
        <v>2</v>
      </c>
      <c r="D15" s="2">
        <f t="shared" si="0"/>
        <v>92.143000000000001</v>
      </c>
      <c r="E15" s="2">
        <f t="shared" si="1"/>
        <v>14.143000000000001</v>
      </c>
      <c r="F15" s="2">
        <v>23.1</v>
      </c>
      <c r="G15" s="2">
        <v>21.4</v>
      </c>
      <c r="H15" s="2">
        <f t="shared" si="2"/>
        <v>533.25</v>
      </c>
      <c r="I15" s="2">
        <f t="shared" si="2"/>
        <v>530.18999999999994</v>
      </c>
      <c r="J15" s="2">
        <v>1.35</v>
      </c>
      <c r="K15" s="3">
        <v>4.5</v>
      </c>
      <c r="L15" s="2">
        <f t="shared" si="3"/>
        <v>3.3696033233075617</v>
      </c>
      <c r="M15" s="2">
        <f t="shared" si="4"/>
        <v>4.4131306596281963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A16" s="2">
        <v>11</v>
      </c>
      <c r="B16" s="2">
        <v>70</v>
      </c>
      <c r="C16" s="2">
        <v>1.1100000000000001</v>
      </c>
      <c r="D16" s="2">
        <f t="shared" si="0"/>
        <v>82.143000000000001</v>
      </c>
      <c r="E16" s="2">
        <f t="shared" si="1"/>
        <v>13.253</v>
      </c>
      <c r="F16" s="2">
        <v>23.2</v>
      </c>
      <c r="G16" s="2">
        <v>21.7</v>
      </c>
      <c r="H16" s="2">
        <f t="shared" si="2"/>
        <v>533.42999999999995</v>
      </c>
      <c r="I16" s="2">
        <f t="shared" si="2"/>
        <v>530.7299999999999</v>
      </c>
      <c r="J16" s="2">
        <v>1.3</v>
      </c>
      <c r="K16" s="3">
        <v>4.0999999999999996</v>
      </c>
      <c r="L16" s="2">
        <f t="shared" si="3"/>
        <v>3.0631564677490632</v>
      </c>
      <c r="M16" s="2">
        <f t="shared" si="4"/>
        <v>3.8903027889050801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5">
      <c r="A17" s="2">
        <v>12</v>
      </c>
      <c r="B17" s="2">
        <v>40</v>
      </c>
      <c r="C17" s="2">
        <v>0.7</v>
      </c>
      <c r="D17" s="2">
        <f t="shared" si="0"/>
        <v>52.143000000000001</v>
      </c>
      <c r="E17" s="2">
        <f t="shared" si="1"/>
        <v>12.843</v>
      </c>
      <c r="F17" s="2">
        <v>22.9</v>
      </c>
      <c r="G17" s="2">
        <v>22.1</v>
      </c>
      <c r="H17" s="2">
        <f t="shared" si="2"/>
        <v>532.89</v>
      </c>
      <c r="I17" s="2">
        <f t="shared" si="2"/>
        <v>531.45000000000005</v>
      </c>
      <c r="J17" s="2">
        <v>1</v>
      </c>
      <c r="K17" s="3">
        <v>2.6</v>
      </c>
      <c r="L17" s="2">
        <f t="shared" si="3"/>
        <v>1.8782720212925239</v>
      </c>
      <c r="M17" s="2">
        <f t="shared" si="4"/>
        <v>2.4269154753463078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5">
      <c r="A18" s="2">
        <v>13</v>
      </c>
      <c r="B18" s="2">
        <v>50</v>
      </c>
      <c r="C18" s="2">
        <v>1</v>
      </c>
      <c r="D18" s="2">
        <f t="shared" si="0"/>
        <v>62.143000000000001</v>
      </c>
      <c r="E18" s="2">
        <f t="shared" si="1"/>
        <v>13.143000000000001</v>
      </c>
      <c r="F18" s="2">
        <v>22.9</v>
      </c>
      <c r="G18" s="2">
        <v>21.9</v>
      </c>
      <c r="H18" s="2">
        <f t="shared" si="2"/>
        <v>532.89</v>
      </c>
      <c r="I18" s="2">
        <f t="shared" si="2"/>
        <v>531.08999999999992</v>
      </c>
      <c r="J18" s="2">
        <v>1</v>
      </c>
      <c r="K18" s="3">
        <v>3.1</v>
      </c>
      <c r="L18" s="2">
        <f t="shared" si="3"/>
        <v>2.0504849679041111</v>
      </c>
      <c r="M18" s="2">
        <f t="shared" si="4"/>
        <v>2.9282230381195853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5">
      <c r="A19" s="2">
        <v>14</v>
      </c>
      <c r="B19" s="2">
        <v>80</v>
      </c>
      <c r="C19" s="2">
        <v>2</v>
      </c>
      <c r="D19" s="2">
        <f t="shared" si="0"/>
        <v>92.143000000000001</v>
      </c>
      <c r="E19" s="2">
        <f t="shared" si="1"/>
        <v>14.143000000000001</v>
      </c>
      <c r="F19" s="2">
        <v>23.2</v>
      </c>
      <c r="G19" s="2">
        <v>21.4</v>
      </c>
      <c r="H19" s="2">
        <f t="shared" si="2"/>
        <v>533.42999999999995</v>
      </c>
      <c r="I19" s="2">
        <f t="shared" si="2"/>
        <v>530.18999999999994</v>
      </c>
      <c r="J19" s="2">
        <v>1.4</v>
      </c>
      <c r="K19" s="3">
        <v>4.5</v>
      </c>
      <c r="L19" s="2">
        <f t="shared" si="3"/>
        <v>3.4938138229270241</v>
      </c>
      <c r="M19" s="2">
        <f t="shared" si="4"/>
        <v>4.4131306596281963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5">
      <c r="A20" s="2">
        <v>15</v>
      </c>
      <c r="B20" s="2">
        <v>60</v>
      </c>
      <c r="C20" s="2">
        <v>1.3</v>
      </c>
      <c r="D20" s="2">
        <f t="shared" si="0"/>
        <v>72.143000000000001</v>
      </c>
      <c r="E20" s="2">
        <f t="shared" si="1"/>
        <v>13.443000000000001</v>
      </c>
      <c r="F20" s="2">
        <v>23.1</v>
      </c>
      <c r="G20" s="2">
        <v>21.8</v>
      </c>
      <c r="H20" s="2">
        <f t="shared" si="2"/>
        <v>533.25</v>
      </c>
      <c r="I20" s="2">
        <f t="shared" si="2"/>
        <v>530.91</v>
      </c>
      <c r="J20" s="2">
        <v>1.2</v>
      </c>
      <c r="K20" s="3">
        <v>3.6</v>
      </c>
      <c r="L20" s="2">
        <f t="shared" si="3"/>
        <v>2.6502825705427786</v>
      </c>
      <c r="M20" s="2">
        <f t="shared" si="4"/>
        <v>3.4396908783515689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6.5" thickBot="1" x14ac:dyDescent="0.3">
      <c r="A22" s="2"/>
      <c r="B22" s="2"/>
      <c r="C22" s="2"/>
      <c r="D22" s="2"/>
      <c r="E22" s="2"/>
      <c r="F22" s="115" t="s">
        <v>80</v>
      </c>
      <c r="G22" s="116"/>
      <c r="H22" s="116"/>
      <c r="I22" s="116"/>
      <c r="J22" s="116"/>
      <c r="K22" s="116"/>
      <c r="L22" s="116"/>
      <c r="M22" s="11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2"/>
      <c r="B24" s="2"/>
      <c r="C24" s="2"/>
      <c r="D24" s="2"/>
      <c r="E24" s="2"/>
      <c r="F24" s="2"/>
      <c r="G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</sheetData>
  <mergeCells count="1">
    <mergeCell ref="F22:M2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="70" zoomScaleNormal="70" zoomScalePageLayoutView="70" workbookViewId="0">
      <selection activeCell="D39" sqref="D39"/>
    </sheetView>
  </sheetViews>
  <sheetFormatPr defaultColWidth="8.875" defaultRowHeight="12.75" x14ac:dyDescent="0.2"/>
  <cols>
    <col min="1" max="1" width="18.625" style="27" bestFit="1" customWidth="1"/>
    <col min="2" max="2" width="10" style="27" bestFit="1" customWidth="1"/>
    <col min="3" max="3" width="12.125" style="27" bestFit="1" customWidth="1"/>
    <col min="4" max="4" width="16" style="27" bestFit="1" customWidth="1"/>
    <col min="5" max="5" width="9.125" style="27" bestFit="1" customWidth="1"/>
    <col min="6" max="7" width="10.875" style="27" bestFit="1" customWidth="1"/>
    <col min="8" max="8" width="14.875" style="27" bestFit="1" customWidth="1"/>
    <col min="9" max="16384" width="8.875" style="27"/>
  </cols>
  <sheetData>
    <row r="1" spans="1:8" ht="13.5" thickBot="1" x14ac:dyDescent="0.25">
      <c r="A1" s="115" t="s">
        <v>46</v>
      </c>
      <c r="B1" s="116"/>
      <c r="C1" s="116"/>
      <c r="D1" s="116"/>
      <c r="E1" s="116"/>
      <c r="F1" s="116"/>
      <c r="G1" s="116"/>
      <c r="H1" s="116"/>
    </row>
    <row r="3" spans="1:8" ht="13.5" thickBot="1" x14ac:dyDescent="0.25">
      <c r="A3" s="12" t="s">
        <v>47</v>
      </c>
      <c r="B3" s="25"/>
      <c r="C3" s="25"/>
      <c r="D3" s="25"/>
      <c r="E3" s="25"/>
      <c r="F3" s="25"/>
      <c r="G3" s="25"/>
      <c r="H3" s="25"/>
    </row>
    <row r="4" spans="1:8" x14ac:dyDescent="0.2">
      <c r="A4" s="26" t="s">
        <v>48</v>
      </c>
      <c r="B4" s="13">
        <v>0.98831364881053885</v>
      </c>
    </row>
    <row r="5" spans="1:8" x14ac:dyDescent="0.2">
      <c r="A5" s="26" t="s">
        <v>49</v>
      </c>
      <c r="B5" s="13">
        <v>0.97676386842520113</v>
      </c>
    </row>
    <row r="6" spans="1:8" x14ac:dyDescent="0.2">
      <c r="A6" s="26" t="s">
        <v>50</v>
      </c>
      <c r="B6" s="13">
        <v>0.97497647368867812</v>
      </c>
    </row>
    <row r="7" spans="1:8" x14ac:dyDescent="0.2">
      <c r="A7" s="26" t="s">
        <v>51</v>
      </c>
      <c r="B7" s="13">
        <v>0.11482318157674037</v>
      </c>
    </row>
    <row r="8" spans="1:8" x14ac:dyDescent="0.2">
      <c r="A8" s="26" t="s">
        <v>52</v>
      </c>
      <c r="B8" s="27">
        <v>15</v>
      </c>
    </row>
    <row r="9" spans="1:8" ht="13.5" thickBot="1" x14ac:dyDescent="0.25">
      <c r="A9" s="115" t="s">
        <v>80</v>
      </c>
      <c r="B9" s="116"/>
      <c r="C9" s="116"/>
      <c r="D9" s="116"/>
      <c r="E9" s="116"/>
      <c r="F9" s="116"/>
      <c r="G9" s="116"/>
      <c r="H9" s="116"/>
    </row>
    <row r="10" spans="1:8" x14ac:dyDescent="0.2">
      <c r="A10" s="14"/>
      <c r="B10" s="14"/>
      <c r="C10" s="14"/>
      <c r="D10" s="14"/>
      <c r="E10" s="14"/>
      <c r="F10" s="14"/>
      <c r="G10" s="14"/>
      <c r="H10" s="14"/>
    </row>
    <row r="11" spans="1:8" ht="13.5" thickBot="1" x14ac:dyDescent="0.25">
      <c r="A11" s="12" t="s">
        <v>53</v>
      </c>
      <c r="B11" s="25"/>
      <c r="C11" s="25"/>
      <c r="D11" s="25"/>
      <c r="E11" s="25"/>
      <c r="F11" s="25"/>
      <c r="G11" s="25"/>
      <c r="H11" s="25"/>
    </row>
    <row r="12" spans="1:8" x14ac:dyDescent="0.2">
      <c r="A12" s="15" t="s">
        <v>54</v>
      </c>
      <c r="B12" s="15" t="s">
        <v>55</v>
      </c>
      <c r="C12" s="15" t="s">
        <v>56</v>
      </c>
      <c r="D12" s="15" t="s">
        <v>57</v>
      </c>
      <c r="E12" s="15" t="s">
        <v>58</v>
      </c>
      <c r="F12" s="15" t="s">
        <v>59</v>
      </c>
      <c r="G12" s="16"/>
      <c r="H12" s="16"/>
    </row>
    <row r="13" spans="1:8" x14ac:dyDescent="0.2">
      <c r="A13" s="26" t="s">
        <v>60</v>
      </c>
      <c r="B13" s="13">
        <v>1</v>
      </c>
      <c r="C13" s="13">
        <v>7.2049050890805972</v>
      </c>
      <c r="D13" s="13">
        <v>7.2049050890805972</v>
      </c>
      <c r="E13" s="13">
        <v>546.47350608477939</v>
      </c>
      <c r="F13" s="28">
        <v>5.2614579360010794E-12</v>
      </c>
    </row>
    <row r="14" spans="1:8" x14ac:dyDescent="0.2">
      <c r="A14" s="26" t="s">
        <v>61</v>
      </c>
      <c r="B14" s="13">
        <v>13</v>
      </c>
      <c r="C14" s="13">
        <v>0.17139671935626619</v>
      </c>
      <c r="D14" s="13">
        <v>1.3184363027405091E-2</v>
      </c>
    </row>
    <row r="15" spans="1:8" ht="13.5" thickBot="1" x14ac:dyDescent="0.25">
      <c r="A15" s="17" t="s">
        <v>62</v>
      </c>
      <c r="B15" s="18">
        <v>14</v>
      </c>
      <c r="C15" s="18">
        <v>7.376301808436863</v>
      </c>
      <c r="D15" s="25"/>
      <c r="E15" s="25"/>
      <c r="F15" s="25"/>
      <c r="G15" s="25"/>
      <c r="H15" s="25"/>
    </row>
    <row r="16" spans="1:8" ht="13.5" thickBot="1" x14ac:dyDescent="0.25">
      <c r="A16" s="25"/>
      <c r="B16" s="25"/>
      <c r="C16" s="25"/>
      <c r="D16" s="25"/>
      <c r="E16" s="25"/>
      <c r="F16" s="25"/>
      <c r="G16" s="25"/>
      <c r="H16" s="25"/>
    </row>
    <row r="17" spans="1:8" x14ac:dyDescent="0.2">
      <c r="A17" s="15" t="s">
        <v>54</v>
      </c>
      <c r="B17" s="15" t="s">
        <v>63</v>
      </c>
      <c r="C17" s="15" t="s">
        <v>51</v>
      </c>
      <c r="D17" s="15" t="s">
        <v>64</v>
      </c>
      <c r="E17" s="15" t="s">
        <v>65</v>
      </c>
      <c r="F17" s="15" t="s">
        <v>66</v>
      </c>
      <c r="G17" s="19" t="s">
        <v>59</v>
      </c>
      <c r="H17" s="19" t="s">
        <v>67</v>
      </c>
    </row>
    <row r="18" spans="1:8" x14ac:dyDescent="0.2">
      <c r="A18" s="20" t="s">
        <v>68</v>
      </c>
      <c r="B18" s="13">
        <v>0.45815071818408215</v>
      </c>
      <c r="C18" s="13">
        <v>0.12978491577639081</v>
      </c>
      <c r="D18" s="13">
        <v>0.17776745405910391</v>
      </c>
      <c r="E18" s="13">
        <v>0.73853398230906042</v>
      </c>
      <c r="F18" s="13">
        <v>3.5300767846815093</v>
      </c>
      <c r="G18" s="13">
        <v>3.6947715943207449E-3</v>
      </c>
      <c r="H18" s="26" t="s">
        <v>69</v>
      </c>
    </row>
    <row r="19" spans="1:8" x14ac:dyDescent="0.2">
      <c r="A19" s="20" t="s">
        <v>5</v>
      </c>
      <c r="B19" s="13">
        <v>1.1330000012971071</v>
      </c>
      <c r="C19" s="13">
        <v>4.846691249751682E-2</v>
      </c>
      <c r="D19" s="13">
        <v>1.0282936026619469</v>
      </c>
      <c r="E19" s="13">
        <v>1.2377063999322673</v>
      </c>
      <c r="F19" s="13">
        <v>23.376772790203127</v>
      </c>
      <c r="G19" s="28">
        <v>5.2614579360010794E-12</v>
      </c>
      <c r="H19" s="26" t="s">
        <v>69</v>
      </c>
    </row>
    <row r="20" spans="1:8" x14ac:dyDescent="0.2">
      <c r="A20" s="21" t="s">
        <v>70</v>
      </c>
      <c r="B20" s="22">
        <v>2.1603686564627935</v>
      </c>
      <c r="C20" s="23"/>
      <c r="D20" s="23"/>
      <c r="E20" s="23"/>
      <c r="F20" s="23"/>
      <c r="G20" s="23"/>
      <c r="H20" s="23"/>
    </row>
    <row r="21" spans="1:8" x14ac:dyDescent="0.2">
      <c r="A21" s="117" t="s">
        <v>71</v>
      </c>
      <c r="B21" s="118"/>
      <c r="C21" s="118"/>
      <c r="D21" s="118"/>
    </row>
    <row r="22" spans="1:8" ht="13.5" thickBot="1" x14ac:dyDescent="0.25">
      <c r="A22" s="117" t="s">
        <v>72</v>
      </c>
      <c r="B22" s="118"/>
      <c r="C22" s="118"/>
      <c r="D22" s="118"/>
    </row>
    <row r="23" spans="1:8" x14ac:dyDescent="0.2">
      <c r="A23" s="14"/>
      <c r="B23" s="14"/>
      <c r="C23" s="14"/>
      <c r="D23" s="14"/>
      <c r="E23" s="14"/>
      <c r="F23" s="14"/>
      <c r="G23" s="14"/>
      <c r="H23" s="14"/>
    </row>
    <row r="24" spans="1:8" ht="13.5" thickBot="1" x14ac:dyDescent="0.25">
      <c r="A24" s="12" t="s">
        <v>73</v>
      </c>
      <c r="B24" s="25"/>
      <c r="C24" s="25"/>
      <c r="D24" s="25"/>
      <c r="E24" s="25"/>
      <c r="F24" s="25"/>
      <c r="G24" s="25"/>
      <c r="H24" s="25"/>
    </row>
    <row r="25" spans="1:8" x14ac:dyDescent="0.2">
      <c r="A25" s="15" t="s">
        <v>74</v>
      </c>
      <c r="B25" s="15" t="s">
        <v>75</v>
      </c>
      <c r="C25" s="15" t="s">
        <v>61</v>
      </c>
      <c r="D25" s="15" t="s">
        <v>76</v>
      </c>
      <c r="E25" s="16"/>
      <c r="F25" s="16"/>
      <c r="G25" s="16"/>
      <c r="H25" s="16"/>
    </row>
    <row r="26" spans="1:8" x14ac:dyDescent="0.2">
      <c r="A26" s="27">
        <v>1</v>
      </c>
      <c r="B26" s="13">
        <v>2.3753684837856817</v>
      </c>
      <c r="C26" s="13">
        <v>5.4016716224818406E-2</v>
      </c>
      <c r="D26" s="13">
        <v>0.48819232158646808</v>
      </c>
    </row>
    <row r="27" spans="1:8" x14ac:dyDescent="0.2">
      <c r="A27" s="27">
        <v>2</v>
      </c>
      <c r="B27" s="13">
        <v>2.7833145083142998</v>
      </c>
      <c r="C27" s="13">
        <v>0.14739281212038025</v>
      </c>
      <c r="D27" s="13">
        <v>1.3321068765958239</v>
      </c>
    </row>
    <row r="28" spans="1:8" x14ac:dyDescent="0.2">
      <c r="A28" s="27">
        <v>3</v>
      </c>
      <c r="B28" s="13">
        <v>3.463458069392408</v>
      </c>
      <c r="C28" s="13">
        <v>-0.11647605030962804</v>
      </c>
      <c r="D28" s="13">
        <v>-1.0526873416964992</v>
      </c>
    </row>
    <row r="29" spans="1:8" x14ac:dyDescent="0.2">
      <c r="A29" s="27">
        <v>4</v>
      </c>
      <c r="B29" s="13">
        <v>3.9304649856828155</v>
      </c>
      <c r="C29" s="13">
        <v>4.0997461580494665E-2</v>
      </c>
      <c r="D29" s="13">
        <v>0.37052689143176637</v>
      </c>
    </row>
    <row r="30" spans="1:8" x14ac:dyDescent="0.2">
      <c r="A30" s="27">
        <v>5</v>
      </c>
      <c r="B30" s="13">
        <v>4.4166417840922465</v>
      </c>
      <c r="C30" s="13">
        <v>-2.7618026724862688E-3</v>
      </c>
      <c r="D30" s="13">
        <v>-2.4960622427189678E-2</v>
      </c>
    </row>
    <row r="31" spans="1:8" x14ac:dyDescent="0.2">
      <c r="A31" s="27">
        <v>6</v>
      </c>
      <c r="B31" s="13">
        <v>3.4614277990365796</v>
      </c>
      <c r="C31" s="13">
        <v>-0.1167168451985594</v>
      </c>
      <c r="D31" s="13">
        <v>-1.0548635979384426</v>
      </c>
    </row>
    <row r="32" spans="1:8" x14ac:dyDescent="0.2">
      <c r="A32" s="27">
        <v>7</v>
      </c>
      <c r="B32" s="13">
        <v>2.5865924244559175</v>
      </c>
      <c r="C32" s="13">
        <v>-0.15885454465518745</v>
      </c>
      <c r="D32" s="13">
        <v>-1.4356957321693666</v>
      </c>
    </row>
    <row r="33" spans="1:8" x14ac:dyDescent="0.2">
      <c r="A33" s="27">
        <v>8</v>
      </c>
      <c r="B33" s="13">
        <v>3.9298786936959504</v>
      </c>
      <c r="C33" s="13">
        <v>-5.6596390423710563E-2</v>
      </c>
      <c r="D33" s="13">
        <v>-0.51150690314769198</v>
      </c>
    </row>
    <row r="34" spans="1:8" x14ac:dyDescent="0.2">
      <c r="A34" s="27">
        <v>9</v>
      </c>
      <c r="B34" s="13">
        <v>2.7813501894791375</v>
      </c>
      <c r="C34" s="13">
        <v>0.14736919969717244</v>
      </c>
      <c r="D34" s="13">
        <v>1.3318934722182583</v>
      </c>
    </row>
    <row r="35" spans="1:8" x14ac:dyDescent="0.2">
      <c r="A35" s="27">
        <v>10</v>
      </c>
      <c r="B35" s="13">
        <v>4.275911287862284</v>
      </c>
      <c r="C35" s="13">
        <v>0.13721937176591581</v>
      </c>
      <c r="D35" s="13">
        <v>1.240161349131764</v>
      </c>
    </row>
    <row r="36" spans="1:8" x14ac:dyDescent="0.2">
      <c r="A36" s="27">
        <v>11</v>
      </c>
      <c r="B36" s="13">
        <v>3.9287070001170092</v>
      </c>
      <c r="C36" s="13">
        <v>-3.8404211211929162E-2</v>
      </c>
      <c r="D36" s="13">
        <v>-0.34708961115325693</v>
      </c>
    </row>
    <row r="37" spans="1:8" x14ac:dyDescent="0.2">
      <c r="A37" s="27">
        <v>12</v>
      </c>
      <c r="B37" s="13">
        <v>2.5862329207448274</v>
      </c>
      <c r="C37" s="13">
        <v>-0.15931744539851733</v>
      </c>
      <c r="D37" s="13">
        <v>-1.4398793368818368</v>
      </c>
    </row>
    <row r="38" spans="1:8" x14ac:dyDescent="0.2">
      <c r="A38" s="27">
        <v>13</v>
      </c>
      <c r="B38" s="13">
        <v>2.7813501894791375</v>
      </c>
      <c r="C38" s="13">
        <v>0.14687284864045269</v>
      </c>
      <c r="D38" s="13">
        <v>1.327407550236378</v>
      </c>
    </row>
    <row r="39" spans="1:8" x14ac:dyDescent="0.2">
      <c r="A39" s="27">
        <v>14</v>
      </c>
      <c r="B39" s="13">
        <v>4.4166417840922465</v>
      </c>
      <c r="C39" s="13">
        <v>-3.5111244640466666E-3</v>
      </c>
      <c r="D39" s="13">
        <v>-3.173284352102064E-2</v>
      </c>
    </row>
    <row r="40" spans="1:8" ht="13.5" thickBot="1" x14ac:dyDescent="0.25">
      <c r="A40" s="27">
        <v>15</v>
      </c>
      <c r="B40" s="13">
        <v>3.4609208740467521</v>
      </c>
      <c r="C40" s="13">
        <v>-2.1229995695182247E-2</v>
      </c>
      <c r="D40" s="13">
        <v>-0.19187247226515394</v>
      </c>
    </row>
    <row r="41" spans="1:8" x14ac:dyDescent="0.2">
      <c r="A41" s="14"/>
      <c r="B41" s="14"/>
      <c r="C41" s="14"/>
      <c r="D41" s="14"/>
      <c r="E41" s="14"/>
      <c r="F41" s="14"/>
      <c r="G41" s="14"/>
      <c r="H41" s="14"/>
    </row>
  </sheetData>
  <mergeCells count="4">
    <mergeCell ref="A1:H1"/>
    <mergeCell ref="A9:H9"/>
    <mergeCell ref="A21:D21"/>
    <mergeCell ref="A22:D22"/>
  </mergeCell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"/>
  <sheetViews>
    <sheetView tabSelected="1" zoomScale="85" zoomScaleNormal="85" workbookViewId="0">
      <pane xSplit="1" ySplit="3" topLeftCell="B40" activePane="bottomRight" state="frozen"/>
      <selection pane="topRight" activeCell="B1" sqref="B1"/>
      <selection pane="bottomLeft" activeCell="A4" sqref="A4"/>
      <selection pane="bottomRight" activeCell="B46" sqref="B46"/>
    </sheetView>
  </sheetViews>
  <sheetFormatPr defaultColWidth="11" defaultRowHeight="15.75" x14ac:dyDescent="0.25"/>
  <cols>
    <col min="1" max="1" width="30.375" customWidth="1"/>
    <col min="2" max="2" width="9.875" bestFit="1" customWidth="1"/>
    <col min="3" max="3" width="9.5" bestFit="1" customWidth="1"/>
    <col min="4" max="4" width="9.5" style="2" bestFit="1" customWidth="1"/>
    <col min="5" max="5" width="10.375" bestFit="1" customWidth="1"/>
    <col min="6" max="6" width="9.5" bestFit="1" customWidth="1"/>
    <col min="7" max="7" width="9.5" style="2" bestFit="1" customWidth="1"/>
    <col min="8" max="8" width="10.375" bestFit="1" customWidth="1"/>
    <col min="9" max="10" width="9.5" bestFit="1" customWidth="1"/>
    <col min="11" max="11" width="10.375" bestFit="1" customWidth="1"/>
    <col min="12" max="13" width="9.5" bestFit="1" customWidth="1"/>
    <col min="14" max="14" width="10.375" customWidth="1"/>
    <col min="15" max="15" width="9.5" bestFit="1" customWidth="1"/>
    <col min="16" max="16" width="9.5" style="2" bestFit="1" customWidth="1"/>
    <col min="17" max="17" width="10.375" bestFit="1" customWidth="1"/>
    <col min="18" max="18" width="9.5" bestFit="1" customWidth="1"/>
    <col min="19" max="19" width="9.5" style="2" bestFit="1" customWidth="1"/>
    <col min="20" max="20" width="10.375" bestFit="1" customWidth="1"/>
    <col min="21" max="21" width="9.5" bestFit="1" customWidth="1"/>
    <col min="22" max="22" width="9.5" style="2" bestFit="1" customWidth="1"/>
    <col min="23" max="23" width="10.375" bestFit="1" customWidth="1"/>
    <col min="24" max="24" width="9.5" bestFit="1" customWidth="1"/>
    <col min="25" max="25" width="9.5" style="2" bestFit="1" customWidth="1"/>
    <col min="26" max="26" width="10.375" bestFit="1" customWidth="1"/>
    <col min="27" max="27" width="9.5" bestFit="1" customWidth="1"/>
    <col min="28" max="28" width="9.5" style="2" bestFit="1" customWidth="1"/>
  </cols>
  <sheetData>
    <row r="1" spans="1:33" ht="6.75" customHeight="1" thickBot="1" x14ac:dyDescent="0.3"/>
    <row r="2" spans="1:33" x14ac:dyDescent="0.25">
      <c r="B2" s="88" t="s">
        <v>14</v>
      </c>
      <c r="C2" s="48" t="s">
        <v>33</v>
      </c>
      <c r="D2" s="89" t="s">
        <v>36</v>
      </c>
      <c r="E2" s="90" t="s">
        <v>18</v>
      </c>
      <c r="F2" s="48" t="s">
        <v>38</v>
      </c>
      <c r="G2" s="48" t="s">
        <v>36</v>
      </c>
      <c r="H2" s="90" t="s">
        <v>19</v>
      </c>
      <c r="I2" s="48" t="s">
        <v>35</v>
      </c>
      <c r="J2" s="49" t="s">
        <v>36</v>
      </c>
      <c r="K2" s="72" t="s">
        <v>20</v>
      </c>
      <c r="L2" s="73" t="s">
        <v>33</v>
      </c>
      <c r="M2" s="73" t="s">
        <v>34</v>
      </c>
      <c r="N2" s="94" t="s">
        <v>21</v>
      </c>
      <c r="O2" s="73" t="s">
        <v>38</v>
      </c>
      <c r="P2" s="73" t="s">
        <v>34</v>
      </c>
      <c r="Q2" s="94" t="s">
        <v>22</v>
      </c>
      <c r="R2" s="73" t="s">
        <v>35</v>
      </c>
      <c r="S2" s="74" t="s">
        <v>34</v>
      </c>
      <c r="T2" s="58" t="s">
        <v>23</v>
      </c>
      <c r="U2" s="59" t="s">
        <v>33</v>
      </c>
      <c r="V2" s="59" t="s">
        <v>37</v>
      </c>
      <c r="W2" s="98" t="s">
        <v>24</v>
      </c>
      <c r="X2" s="59" t="s">
        <v>38</v>
      </c>
      <c r="Y2" s="59" t="s">
        <v>37</v>
      </c>
      <c r="Z2" s="98" t="s">
        <v>25</v>
      </c>
      <c r="AA2" s="59" t="s">
        <v>35</v>
      </c>
      <c r="AB2" s="60" t="s">
        <v>37</v>
      </c>
    </row>
    <row r="3" spans="1:33" x14ac:dyDescent="0.25">
      <c r="A3" s="5" t="s">
        <v>40</v>
      </c>
      <c r="B3" s="50" t="s">
        <v>15</v>
      </c>
      <c r="C3" s="51" t="s">
        <v>16</v>
      </c>
      <c r="D3" s="51" t="s">
        <v>17</v>
      </c>
      <c r="E3" s="91" t="s">
        <v>15</v>
      </c>
      <c r="F3" s="51" t="s">
        <v>16</v>
      </c>
      <c r="G3" s="51" t="s">
        <v>17</v>
      </c>
      <c r="H3" s="91" t="s">
        <v>15</v>
      </c>
      <c r="I3" s="51" t="s">
        <v>16</v>
      </c>
      <c r="J3" s="52" t="s">
        <v>17</v>
      </c>
      <c r="K3" s="75" t="s">
        <v>15</v>
      </c>
      <c r="L3" s="76" t="s">
        <v>16</v>
      </c>
      <c r="M3" s="76" t="s">
        <v>17</v>
      </c>
      <c r="N3" s="95" t="s">
        <v>15</v>
      </c>
      <c r="O3" s="76" t="s">
        <v>16</v>
      </c>
      <c r="P3" s="76" t="s">
        <v>17</v>
      </c>
      <c r="Q3" s="95" t="s">
        <v>15</v>
      </c>
      <c r="R3" s="76" t="s">
        <v>16</v>
      </c>
      <c r="S3" s="77" t="s">
        <v>17</v>
      </c>
      <c r="T3" s="61" t="s">
        <v>15</v>
      </c>
      <c r="U3" s="62" t="s">
        <v>16</v>
      </c>
      <c r="V3" s="62" t="s">
        <v>17</v>
      </c>
      <c r="W3" s="99" t="s">
        <v>15</v>
      </c>
      <c r="X3" s="62" t="s">
        <v>16</v>
      </c>
      <c r="Y3" s="62" t="s">
        <v>17</v>
      </c>
      <c r="Z3" s="99" t="s">
        <v>15</v>
      </c>
      <c r="AA3" s="62" t="s">
        <v>16</v>
      </c>
      <c r="AB3" s="63" t="s">
        <v>17</v>
      </c>
      <c r="AC3" s="36"/>
    </row>
    <row r="4" spans="1:33" x14ac:dyDescent="0.25">
      <c r="A4" t="s">
        <v>9</v>
      </c>
      <c r="B4" s="53">
        <v>40</v>
      </c>
      <c r="C4" s="54">
        <v>40</v>
      </c>
      <c r="D4" s="51">
        <v>40</v>
      </c>
      <c r="E4" s="92">
        <v>40</v>
      </c>
      <c r="F4" s="54">
        <v>40</v>
      </c>
      <c r="G4" s="51">
        <v>40</v>
      </c>
      <c r="H4" s="92">
        <v>40</v>
      </c>
      <c r="I4" s="54">
        <v>40</v>
      </c>
      <c r="J4" s="85">
        <v>40</v>
      </c>
      <c r="K4" s="78">
        <v>60</v>
      </c>
      <c r="L4" s="79">
        <v>60</v>
      </c>
      <c r="M4" s="79">
        <v>60</v>
      </c>
      <c r="N4" s="96">
        <v>60</v>
      </c>
      <c r="O4" s="79">
        <v>60</v>
      </c>
      <c r="P4" s="76">
        <v>60</v>
      </c>
      <c r="Q4" s="96">
        <v>60</v>
      </c>
      <c r="R4" s="79">
        <v>60</v>
      </c>
      <c r="S4" s="77">
        <v>60</v>
      </c>
      <c r="T4" s="64">
        <v>80</v>
      </c>
      <c r="U4" s="65">
        <v>80</v>
      </c>
      <c r="V4" s="62">
        <v>80</v>
      </c>
      <c r="W4" s="100">
        <v>80</v>
      </c>
      <c r="X4" s="65">
        <v>80</v>
      </c>
      <c r="Y4" s="62">
        <v>80</v>
      </c>
      <c r="Z4" s="100">
        <v>80</v>
      </c>
      <c r="AA4" s="65">
        <v>80</v>
      </c>
      <c r="AB4" s="63">
        <v>80</v>
      </c>
      <c r="AC4" s="33"/>
      <c r="AD4" s="4"/>
      <c r="AE4" s="4"/>
      <c r="AF4" s="4"/>
      <c r="AG4" s="4"/>
    </row>
    <row r="5" spans="1:33" x14ac:dyDescent="0.25">
      <c r="A5" t="s">
        <v>26</v>
      </c>
      <c r="B5" s="53">
        <v>0.6</v>
      </c>
      <c r="C5" s="54">
        <v>0.5</v>
      </c>
      <c r="D5" s="51">
        <v>0.5</v>
      </c>
      <c r="E5" s="92">
        <v>0.25</v>
      </c>
      <c r="F5" s="54">
        <v>0.25</v>
      </c>
      <c r="G5" s="54">
        <v>0.27</v>
      </c>
      <c r="H5" s="92">
        <v>0.1</v>
      </c>
      <c r="I5" s="54">
        <v>0.1</v>
      </c>
      <c r="J5" s="85">
        <v>0.1</v>
      </c>
      <c r="K5" s="78">
        <v>0.9</v>
      </c>
      <c r="L5" s="79">
        <v>0.95</v>
      </c>
      <c r="M5" s="79">
        <v>0.9</v>
      </c>
      <c r="N5" s="96">
        <v>0.5</v>
      </c>
      <c r="O5" s="79">
        <v>0.5</v>
      </c>
      <c r="P5" s="76">
        <v>0.55000000000000004</v>
      </c>
      <c r="Q5" s="96">
        <v>0.2</v>
      </c>
      <c r="R5" s="79">
        <v>0.2</v>
      </c>
      <c r="S5" s="77">
        <v>0.2</v>
      </c>
      <c r="T5" s="64">
        <v>1.4</v>
      </c>
      <c r="U5" s="65">
        <v>1.4</v>
      </c>
      <c r="V5" s="62">
        <v>1.35</v>
      </c>
      <c r="W5" s="100">
        <v>0.85</v>
      </c>
      <c r="X5" s="66">
        <v>0.8</v>
      </c>
      <c r="Y5" s="62">
        <v>0.85</v>
      </c>
      <c r="Z5" s="100">
        <v>0.3</v>
      </c>
      <c r="AA5" s="65">
        <v>0.3</v>
      </c>
      <c r="AB5" s="63">
        <v>0.3</v>
      </c>
      <c r="AC5" s="33"/>
      <c r="AD5" s="4"/>
      <c r="AE5" s="4"/>
      <c r="AF5" s="4"/>
      <c r="AG5" s="4"/>
    </row>
    <row r="6" spans="1:33" x14ac:dyDescent="0.25">
      <c r="A6" t="s">
        <v>32</v>
      </c>
      <c r="B6" s="53">
        <v>22.3</v>
      </c>
      <c r="C6" s="54">
        <v>23</v>
      </c>
      <c r="D6" s="51">
        <v>22.7</v>
      </c>
      <c r="E6" s="92">
        <v>22.3</v>
      </c>
      <c r="F6" s="54">
        <v>23</v>
      </c>
      <c r="G6" s="86">
        <v>22.5</v>
      </c>
      <c r="H6" s="92">
        <v>22.8</v>
      </c>
      <c r="I6" s="54">
        <v>22.8</v>
      </c>
      <c r="J6" s="85">
        <v>23</v>
      </c>
      <c r="K6" s="78">
        <v>23.2</v>
      </c>
      <c r="L6" s="79">
        <v>23.3</v>
      </c>
      <c r="M6" s="79">
        <v>23.4</v>
      </c>
      <c r="N6" s="96">
        <v>22.8</v>
      </c>
      <c r="O6" s="79">
        <v>23.3</v>
      </c>
      <c r="P6" s="76">
        <v>22.9</v>
      </c>
      <c r="Q6" s="96">
        <v>23.3</v>
      </c>
      <c r="R6" s="79">
        <v>23.4</v>
      </c>
      <c r="S6" s="77">
        <v>22.9</v>
      </c>
      <c r="T6" s="64">
        <v>23.3</v>
      </c>
      <c r="U6" s="65">
        <v>23.7</v>
      </c>
      <c r="V6" s="62">
        <v>23.3</v>
      </c>
      <c r="W6" s="100">
        <v>23.4</v>
      </c>
      <c r="X6" s="66">
        <v>23.7</v>
      </c>
      <c r="Y6" s="62">
        <v>23.2</v>
      </c>
      <c r="Z6" s="100">
        <v>23.4</v>
      </c>
      <c r="AA6" s="65">
        <v>23.7</v>
      </c>
      <c r="AB6" s="63">
        <v>23.5</v>
      </c>
      <c r="AC6" s="33"/>
      <c r="AD6" s="4"/>
      <c r="AE6" s="4"/>
      <c r="AF6" s="4"/>
      <c r="AG6" s="4"/>
    </row>
    <row r="7" spans="1:33" x14ac:dyDescent="0.25">
      <c r="A7" t="s">
        <v>31</v>
      </c>
      <c r="B7" s="53">
        <v>17.2</v>
      </c>
      <c r="C7" s="54">
        <v>17.399999999999999</v>
      </c>
      <c r="D7" s="51">
        <v>16.899999999999999</v>
      </c>
      <c r="E7" s="92">
        <v>7.7</v>
      </c>
      <c r="F7" s="54">
        <v>7.4</v>
      </c>
      <c r="G7" s="86">
        <v>7.9</v>
      </c>
      <c r="H7" s="92">
        <v>-5.8</v>
      </c>
      <c r="I7" s="54">
        <v>-4.5</v>
      </c>
      <c r="J7" s="85">
        <v>-3.8</v>
      </c>
      <c r="K7" s="78">
        <v>17.8</v>
      </c>
      <c r="L7" s="79">
        <v>17.600000000000001</v>
      </c>
      <c r="M7" s="79">
        <v>17</v>
      </c>
      <c r="N7" s="96">
        <v>7.1</v>
      </c>
      <c r="O7" s="79">
        <v>7.6</v>
      </c>
      <c r="P7" s="76">
        <v>6.9</v>
      </c>
      <c r="Q7" s="96">
        <v>-13.8</v>
      </c>
      <c r="R7" s="79">
        <v>-14.3</v>
      </c>
      <c r="S7" s="77">
        <v>-14.9</v>
      </c>
      <c r="T7" s="64">
        <v>15.9</v>
      </c>
      <c r="U7" s="65">
        <v>16.5</v>
      </c>
      <c r="V7" s="62">
        <v>15.5</v>
      </c>
      <c r="W7" s="100">
        <v>8.1999999999999993</v>
      </c>
      <c r="X7" s="66">
        <v>7.9</v>
      </c>
      <c r="Y7" s="62">
        <v>7.1</v>
      </c>
      <c r="Z7" s="100">
        <v>-17.5</v>
      </c>
      <c r="AA7" s="65">
        <v>-17.3</v>
      </c>
      <c r="AB7" s="63">
        <v>-18.7</v>
      </c>
      <c r="AC7" s="33"/>
      <c r="AD7" s="4"/>
      <c r="AE7" s="4"/>
      <c r="AF7" s="4"/>
      <c r="AG7" s="4"/>
    </row>
    <row r="8" spans="1:33" x14ac:dyDescent="0.25">
      <c r="A8" t="s">
        <v>30</v>
      </c>
      <c r="B8" s="53">
        <v>41.6</v>
      </c>
      <c r="C8" s="54">
        <v>42.7</v>
      </c>
      <c r="D8" s="51">
        <v>43.2</v>
      </c>
      <c r="E8" s="92">
        <v>37.799999999999997</v>
      </c>
      <c r="F8" s="54">
        <v>39.4</v>
      </c>
      <c r="G8" s="54">
        <v>39.1</v>
      </c>
      <c r="H8" s="92">
        <v>32.9</v>
      </c>
      <c r="I8" s="54">
        <v>33.6</v>
      </c>
      <c r="J8" s="85">
        <v>34.9</v>
      </c>
      <c r="K8" s="78">
        <v>44.4</v>
      </c>
      <c r="L8" s="79">
        <v>44.4</v>
      </c>
      <c r="M8" s="79">
        <v>45.2</v>
      </c>
      <c r="N8" s="96">
        <v>41.6</v>
      </c>
      <c r="O8" s="79">
        <v>42.2</v>
      </c>
      <c r="P8" s="76">
        <v>42.9</v>
      </c>
      <c r="Q8" s="96">
        <v>38.299999999999997</v>
      </c>
      <c r="R8" s="79">
        <v>38.799999999999997</v>
      </c>
      <c r="S8" s="77">
        <v>38.4</v>
      </c>
      <c r="T8" s="64">
        <v>44.3</v>
      </c>
      <c r="U8" s="65">
        <v>45</v>
      </c>
      <c r="V8" s="62">
        <v>45.6</v>
      </c>
      <c r="W8" s="100">
        <v>44.3</v>
      </c>
      <c r="X8" s="66">
        <v>43.5</v>
      </c>
      <c r="Y8" s="62">
        <v>43.7</v>
      </c>
      <c r="Z8" s="100">
        <v>41.6</v>
      </c>
      <c r="AA8" s="65">
        <v>42.9</v>
      </c>
      <c r="AB8" s="63">
        <v>42.1</v>
      </c>
      <c r="AC8" s="33"/>
      <c r="AD8" s="4"/>
      <c r="AE8" s="4"/>
      <c r="AF8" s="4"/>
      <c r="AG8" s="4"/>
    </row>
    <row r="9" spans="1:33" x14ac:dyDescent="0.25">
      <c r="A9" t="s">
        <v>28</v>
      </c>
      <c r="B9" s="53">
        <v>0.9</v>
      </c>
      <c r="C9" s="54">
        <v>0.9</v>
      </c>
      <c r="D9" s="51">
        <v>0.9</v>
      </c>
      <c r="E9" s="92">
        <v>0.9</v>
      </c>
      <c r="F9" s="54">
        <v>0.9</v>
      </c>
      <c r="G9" s="54">
        <v>0.95</v>
      </c>
      <c r="H9" s="92">
        <v>1</v>
      </c>
      <c r="I9" s="54">
        <v>0.9</v>
      </c>
      <c r="J9" s="85">
        <v>0.9</v>
      </c>
      <c r="K9" s="78">
        <v>1.2</v>
      </c>
      <c r="L9" s="79">
        <v>1.1000000000000001</v>
      </c>
      <c r="M9" s="79">
        <v>1.1000000000000001</v>
      </c>
      <c r="N9" s="96">
        <v>1.1499999999999999</v>
      </c>
      <c r="O9" s="79">
        <v>1.1499999999999999</v>
      </c>
      <c r="P9" s="76">
        <v>1.1499999999999999</v>
      </c>
      <c r="Q9" s="96">
        <v>1.3</v>
      </c>
      <c r="R9" s="79">
        <v>1.2</v>
      </c>
      <c r="S9" s="77">
        <v>1.2</v>
      </c>
      <c r="T9" s="64">
        <v>1.4</v>
      </c>
      <c r="U9" s="65">
        <v>1.4</v>
      </c>
      <c r="V9" s="62">
        <v>1.35</v>
      </c>
      <c r="W9" s="100">
        <v>1.4</v>
      </c>
      <c r="X9" s="66">
        <v>1.4</v>
      </c>
      <c r="Y9" s="62">
        <v>1.4</v>
      </c>
      <c r="Z9" s="100">
        <v>1.5</v>
      </c>
      <c r="AA9" s="65">
        <v>1.5</v>
      </c>
      <c r="AB9" s="63">
        <v>1.45</v>
      </c>
      <c r="AC9" s="33"/>
      <c r="AD9" s="4"/>
      <c r="AE9" s="4"/>
      <c r="AF9" s="4"/>
      <c r="AG9" s="4"/>
    </row>
    <row r="10" spans="1:33" ht="16.5" thickBot="1" x14ac:dyDescent="0.3">
      <c r="A10" t="s">
        <v>29</v>
      </c>
      <c r="B10" s="55">
        <v>2.2000000000000002</v>
      </c>
      <c r="C10" s="56">
        <v>2.2000000000000002</v>
      </c>
      <c r="D10" s="57">
        <v>2.2000000000000002</v>
      </c>
      <c r="E10" s="93">
        <v>1.4</v>
      </c>
      <c r="F10" s="56">
        <v>1.4</v>
      </c>
      <c r="G10" s="56">
        <v>1.4</v>
      </c>
      <c r="H10" s="93">
        <v>0.1</v>
      </c>
      <c r="I10" s="56">
        <v>0.1</v>
      </c>
      <c r="J10" s="87">
        <v>0.2</v>
      </c>
      <c r="K10" s="80">
        <v>3</v>
      </c>
      <c r="L10" s="81">
        <v>3.1</v>
      </c>
      <c r="M10" s="81">
        <v>3</v>
      </c>
      <c r="N10" s="97">
        <v>2.2000000000000002</v>
      </c>
      <c r="O10" s="81">
        <v>2.2000000000000002</v>
      </c>
      <c r="P10" s="82">
        <v>2.2000000000000002</v>
      </c>
      <c r="Q10" s="97">
        <v>1</v>
      </c>
      <c r="R10" s="81">
        <v>0.9</v>
      </c>
      <c r="S10" s="83">
        <v>1</v>
      </c>
      <c r="T10" s="67">
        <v>3.7</v>
      </c>
      <c r="U10" s="68">
        <v>3.7</v>
      </c>
      <c r="V10" s="69">
        <v>3.65</v>
      </c>
      <c r="W10" s="101">
        <v>2.9</v>
      </c>
      <c r="X10" s="70">
        <v>2.85</v>
      </c>
      <c r="Y10" s="69">
        <v>2.9</v>
      </c>
      <c r="Z10" s="101">
        <v>1.6</v>
      </c>
      <c r="AA10" s="68">
        <v>1.6</v>
      </c>
      <c r="AB10" s="71">
        <v>1.5</v>
      </c>
      <c r="AC10" s="33"/>
      <c r="AD10" s="4"/>
      <c r="AE10" s="4"/>
      <c r="AF10" s="4"/>
      <c r="AG10" s="4"/>
    </row>
    <row r="11" spans="1:33" s="102" customFormat="1" x14ac:dyDescent="0.25">
      <c r="B11" s="32"/>
      <c r="C11" s="32"/>
      <c r="D11" s="84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84"/>
      <c r="Q11" s="32"/>
      <c r="R11" s="32"/>
      <c r="S11" s="84"/>
      <c r="T11" s="32"/>
      <c r="U11" s="32"/>
      <c r="V11" s="84"/>
      <c r="W11" s="32"/>
      <c r="X11" s="103"/>
      <c r="Y11" s="84"/>
      <c r="Z11" s="32"/>
      <c r="AA11" s="32"/>
      <c r="AB11" s="84"/>
      <c r="AC11" s="104"/>
      <c r="AD11" s="105"/>
      <c r="AE11" s="105"/>
      <c r="AF11" s="105"/>
      <c r="AG11" s="105"/>
    </row>
    <row r="12" spans="1:33" s="102" customFormat="1" x14ac:dyDescent="0.25">
      <c r="B12" s="109" t="s">
        <v>14</v>
      </c>
      <c r="C12" s="110" t="s">
        <v>18</v>
      </c>
      <c r="D12" s="111" t="s">
        <v>19</v>
      </c>
      <c r="E12" s="109" t="s">
        <v>20</v>
      </c>
      <c r="F12" s="110" t="s">
        <v>21</v>
      </c>
      <c r="G12" s="111" t="s">
        <v>22</v>
      </c>
      <c r="H12" s="109" t="s">
        <v>23</v>
      </c>
      <c r="I12" s="110" t="s">
        <v>24</v>
      </c>
      <c r="J12" s="111" t="s">
        <v>25</v>
      </c>
      <c r="K12" s="32"/>
      <c r="L12" s="32"/>
      <c r="M12" s="32"/>
      <c r="N12" s="32"/>
      <c r="O12" s="32"/>
      <c r="P12" s="84"/>
      <c r="Q12" s="32"/>
      <c r="R12" s="32"/>
      <c r="S12" s="84"/>
      <c r="T12" s="32"/>
      <c r="U12" s="32"/>
      <c r="V12" s="84"/>
      <c r="W12" s="32"/>
      <c r="X12" s="103"/>
      <c r="Y12" s="84"/>
      <c r="Z12" s="32"/>
      <c r="AA12" s="32"/>
      <c r="AB12" s="84"/>
      <c r="AC12" s="104"/>
      <c r="AD12" s="105"/>
      <c r="AE12" s="105"/>
      <c r="AF12" s="105"/>
      <c r="AG12" s="105"/>
    </row>
    <row r="13" spans="1:33" s="102" customFormat="1" x14ac:dyDescent="0.25">
      <c r="A13" s="112" t="s">
        <v>111</v>
      </c>
      <c r="B13" s="108">
        <v>0.25</v>
      </c>
      <c r="C13" s="32">
        <v>0.5</v>
      </c>
      <c r="D13" s="107">
        <v>1</v>
      </c>
      <c r="E13" s="108">
        <v>0.25</v>
      </c>
      <c r="F13" s="32">
        <v>0.5</v>
      </c>
      <c r="G13" s="107">
        <v>1</v>
      </c>
      <c r="H13" s="108">
        <v>0.25</v>
      </c>
      <c r="I13" s="32">
        <v>0.5</v>
      </c>
      <c r="J13" s="107">
        <v>1</v>
      </c>
      <c r="K13" s="32"/>
      <c r="L13" s="32"/>
      <c r="M13" s="32"/>
      <c r="N13" s="32"/>
      <c r="O13" s="32"/>
      <c r="P13" s="84"/>
      <c r="Q13" s="32"/>
      <c r="R13" s="32"/>
      <c r="S13" s="84"/>
      <c r="T13" s="32"/>
      <c r="U13" s="32"/>
      <c r="V13" s="84"/>
      <c r="W13" s="32"/>
      <c r="X13" s="103"/>
      <c r="Y13" s="84"/>
      <c r="Z13" s="32"/>
      <c r="AA13" s="32"/>
      <c r="AB13" s="84"/>
      <c r="AC13" s="104"/>
      <c r="AD13" s="105"/>
      <c r="AE13" s="105"/>
      <c r="AF13" s="105"/>
      <c r="AG13" s="105"/>
    </row>
    <row r="14" spans="1:33" s="102" customFormat="1" x14ac:dyDescent="0.25">
      <c r="A14" t="s">
        <v>112</v>
      </c>
      <c r="B14" s="10">
        <v>3.5951332885103997</v>
      </c>
      <c r="C14" s="8">
        <v>3.5951332885103997</v>
      </c>
      <c r="D14" s="8">
        <v>3.5951332885103997</v>
      </c>
      <c r="E14" s="8">
        <v>4.9740847445103995</v>
      </c>
      <c r="F14" s="8">
        <v>4.9740847445103995</v>
      </c>
      <c r="G14" s="8">
        <v>4.9740847445103995</v>
      </c>
      <c r="H14" s="4">
        <v>6.3530362005103997</v>
      </c>
      <c r="I14" s="4">
        <v>6.3530362005103997</v>
      </c>
      <c r="J14" s="4">
        <v>6.3530362005103997</v>
      </c>
      <c r="K14" s="32"/>
      <c r="L14" s="32"/>
      <c r="M14" s="32"/>
      <c r="N14" s="32"/>
      <c r="O14" s="32"/>
      <c r="P14" s="84"/>
      <c r="Q14" s="32"/>
      <c r="R14" s="32"/>
      <c r="S14" s="84"/>
      <c r="T14" s="32"/>
      <c r="U14" s="32"/>
      <c r="V14" s="84"/>
      <c r="W14" s="32"/>
      <c r="X14" s="103"/>
      <c r="Y14" s="84"/>
      <c r="Z14" s="32"/>
      <c r="AA14" s="32"/>
      <c r="AB14" s="84"/>
      <c r="AC14" s="104"/>
      <c r="AD14" s="105"/>
      <c r="AE14" s="105"/>
      <c r="AF14" s="105"/>
      <c r="AG14" s="105"/>
    </row>
    <row r="15" spans="1:33" s="102" customFormat="1" x14ac:dyDescent="0.25">
      <c r="A15" t="s">
        <v>114</v>
      </c>
      <c r="B15" s="113">
        <v>0.87859892019039998</v>
      </c>
      <c r="C15" s="113">
        <v>0.85492692019573324</v>
      </c>
      <c r="D15" s="46">
        <v>0.8441251337904</v>
      </c>
      <c r="E15" s="113">
        <v>0.90043231824373327</v>
      </c>
      <c r="F15" s="113">
        <v>0.87285328912373339</v>
      </c>
      <c r="G15" s="46">
        <v>0.85101989107039999</v>
      </c>
      <c r="H15" s="113">
        <v>0.93260785221706666</v>
      </c>
      <c r="I15" s="113">
        <v>0.89468668717706668</v>
      </c>
      <c r="J15" s="113">
        <v>0.85791464835039999</v>
      </c>
      <c r="K15" s="32"/>
      <c r="L15" s="32"/>
      <c r="M15" s="32"/>
      <c r="N15" s="32"/>
      <c r="O15" s="32"/>
      <c r="P15" s="84"/>
      <c r="Q15" s="32"/>
      <c r="R15" s="32"/>
      <c r="S15" s="84"/>
      <c r="T15" s="32"/>
      <c r="U15" s="32"/>
      <c r="V15" s="84"/>
      <c r="W15" s="32"/>
      <c r="X15" s="103"/>
      <c r="Y15" s="84"/>
      <c r="Z15" s="32"/>
      <c r="AA15" s="32"/>
      <c r="AB15" s="84"/>
      <c r="AC15" s="104"/>
      <c r="AD15" s="105"/>
      <c r="AE15" s="105"/>
      <c r="AF15" s="105"/>
      <c r="AG15" s="105"/>
    </row>
    <row r="16" spans="1:33" s="102" customFormat="1" x14ac:dyDescent="0.25">
      <c r="A16" t="s">
        <v>113</v>
      </c>
      <c r="B16" s="113">
        <v>0.8372303765104</v>
      </c>
      <c r="C16" s="113">
        <v>0.8372303765104</v>
      </c>
      <c r="D16" s="46">
        <v>0.8372303765104</v>
      </c>
      <c r="E16" s="113">
        <v>0.8372303765104</v>
      </c>
      <c r="F16" s="113">
        <v>0.8372303765104</v>
      </c>
      <c r="G16" s="46">
        <v>0.8372303765104</v>
      </c>
      <c r="H16" s="113">
        <v>0.8372303765104</v>
      </c>
      <c r="I16" s="113">
        <v>0.8372303765104</v>
      </c>
      <c r="J16" s="113">
        <v>0.8372303765104</v>
      </c>
      <c r="K16" s="32"/>
      <c r="L16" s="32"/>
      <c r="M16" s="32"/>
      <c r="N16" s="32"/>
      <c r="O16" s="32"/>
      <c r="P16" s="84"/>
      <c r="Q16" s="32"/>
      <c r="R16" s="32"/>
      <c r="S16" s="84"/>
      <c r="T16" s="32"/>
      <c r="U16" s="32"/>
      <c r="V16" s="84"/>
      <c r="W16" s="32"/>
      <c r="X16" s="103"/>
      <c r="Y16" s="84"/>
      <c r="Z16" s="32"/>
      <c r="AA16" s="32"/>
      <c r="AB16" s="84"/>
      <c r="AC16" s="104"/>
      <c r="AD16" s="105"/>
      <c r="AE16" s="105"/>
      <c r="AF16" s="105"/>
      <c r="AG16" s="105"/>
    </row>
    <row r="17" spans="1:33" s="102" customFormat="1" x14ac:dyDescent="0.25">
      <c r="A17" t="s">
        <v>32</v>
      </c>
      <c r="B17" s="106">
        <f>AVERAGE(B6:D6)</f>
        <v>22.666666666666668</v>
      </c>
      <c r="C17" s="32">
        <f>AVERAGE(E6:G6)</f>
        <v>22.599999999999998</v>
      </c>
      <c r="D17" s="107">
        <f>AVERAGE(H6:J6)</f>
        <v>22.866666666666664</v>
      </c>
      <c r="E17" s="108">
        <f>AVERAGE(K6:M6)</f>
        <v>23.3</v>
      </c>
      <c r="F17" s="32">
        <f>AVERAGE(N6:P6)</f>
        <v>23</v>
      </c>
      <c r="G17" s="107">
        <f>AVERAGE(Q6:S6)</f>
        <v>23.2</v>
      </c>
      <c r="H17" s="108">
        <f>AVERAGE(T6:V6)</f>
        <v>23.433333333333334</v>
      </c>
      <c r="I17" s="32">
        <f>AVERAGE(W6:Y6)</f>
        <v>23.433333333333334</v>
      </c>
      <c r="J17" s="107">
        <f>AVERAGE(Z6:AB6)</f>
        <v>23.533333333333331</v>
      </c>
      <c r="K17" s="32"/>
      <c r="L17" s="32"/>
      <c r="M17" s="32"/>
      <c r="N17" s="32"/>
      <c r="O17" s="32"/>
      <c r="P17" s="84"/>
      <c r="Q17" s="32"/>
      <c r="R17" s="32"/>
      <c r="S17" s="84"/>
      <c r="T17" s="32"/>
      <c r="U17" s="32"/>
      <c r="V17" s="84"/>
      <c r="W17" s="32"/>
      <c r="X17" s="103"/>
      <c r="Y17" s="84"/>
      <c r="Z17" s="32"/>
      <c r="AA17" s="32"/>
      <c r="AB17" s="84"/>
      <c r="AC17" s="104"/>
      <c r="AD17" s="105"/>
      <c r="AE17" s="105"/>
      <c r="AF17" s="105"/>
      <c r="AG17" s="105"/>
    </row>
    <row r="18" spans="1:33" s="102" customFormat="1" x14ac:dyDescent="0.25">
      <c r="A18" t="s">
        <v>31</v>
      </c>
      <c r="B18" s="106">
        <f>AVERAGE(B7:D7)</f>
        <v>17.166666666666664</v>
      </c>
      <c r="C18" s="32">
        <f>AVERAGE(E7:G7)</f>
        <v>7.666666666666667</v>
      </c>
      <c r="D18" s="107">
        <f>AVERAGE(H7:J7)</f>
        <v>-4.7</v>
      </c>
      <c r="E18" s="108">
        <f>AVERAGE(K7:M7)</f>
        <v>17.466666666666669</v>
      </c>
      <c r="F18" s="32">
        <f>AVERAGE(N7:P7)</f>
        <v>7.2</v>
      </c>
      <c r="G18" s="107">
        <f>AVERAGE(Q7:S7)</f>
        <v>-14.333333333333334</v>
      </c>
      <c r="H18" s="108">
        <f>AVERAGE(T7:V7)</f>
        <v>15.966666666666667</v>
      </c>
      <c r="I18" s="32">
        <f>AVERAGE(W7:Y7)</f>
        <v>7.7333333333333343</v>
      </c>
      <c r="J18" s="107">
        <f>AVERAGE(Z7:AB7)</f>
        <v>-17.833333333333332</v>
      </c>
      <c r="K18" s="32"/>
      <c r="L18" s="32"/>
      <c r="M18" s="32"/>
      <c r="N18" s="32"/>
      <c r="O18" s="32"/>
      <c r="P18" s="84"/>
      <c r="Q18" s="32"/>
      <c r="R18" s="32"/>
      <c r="S18" s="84"/>
      <c r="T18" s="32"/>
      <c r="U18" s="32"/>
      <c r="V18" s="84"/>
      <c r="W18" s="32"/>
      <c r="X18" s="103"/>
      <c r="Y18" s="84"/>
      <c r="Z18" s="32"/>
      <c r="AA18" s="32"/>
      <c r="AB18" s="84"/>
      <c r="AC18" s="104"/>
      <c r="AD18" s="105"/>
      <c r="AE18" s="105"/>
      <c r="AF18" s="105"/>
      <c r="AG18" s="105"/>
    </row>
    <row r="19" spans="1:33" s="102" customFormat="1" x14ac:dyDescent="0.25">
      <c r="A19" t="s">
        <v>30</v>
      </c>
      <c r="B19" s="106">
        <f>AVERAGE(B8:D8)</f>
        <v>42.500000000000007</v>
      </c>
      <c r="C19" s="32">
        <f>AVERAGE(E8:G8)</f>
        <v>38.766666666666659</v>
      </c>
      <c r="D19" s="107">
        <f>AVERAGE(H8:J8)</f>
        <v>33.800000000000004</v>
      </c>
      <c r="E19" s="108">
        <f>AVERAGE(K8:M8)</f>
        <v>44.666666666666664</v>
      </c>
      <c r="F19" s="32">
        <f>AVERAGE(N8:P8)</f>
        <v>42.233333333333341</v>
      </c>
      <c r="G19" s="107">
        <f>AVERAGE(Q8:S8)</f>
        <v>38.5</v>
      </c>
      <c r="H19" s="108">
        <f>AVERAGE(T8:V8)</f>
        <v>44.966666666666669</v>
      </c>
      <c r="I19" s="32">
        <f>AVERAGE(W8:Y8)</f>
        <v>43.833333333333336</v>
      </c>
      <c r="J19" s="107">
        <f>AVERAGE(Z8:AB8)</f>
        <v>42.199999999999996</v>
      </c>
      <c r="K19" s="32"/>
      <c r="L19" s="32"/>
      <c r="M19" s="32"/>
      <c r="N19" s="32"/>
      <c r="O19" s="32"/>
      <c r="P19" s="84"/>
      <c r="Q19" s="32"/>
      <c r="R19" s="32"/>
      <c r="S19" s="84"/>
      <c r="T19" s="32"/>
      <c r="U19" s="32"/>
      <c r="V19" s="84"/>
      <c r="W19" s="32"/>
      <c r="X19" s="103"/>
      <c r="Y19" s="84"/>
      <c r="Z19" s="32"/>
      <c r="AA19" s="32"/>
      <c r="AB19" s="84"/>
      <c r="AC19" s="104"/>
      <c r="AD19" s="105"/>
      <c r="AE19" s="105"/>
      <c r="AF19" s="105"/>
      <c r="AG19" s="105"/>
    </row>
    <row r="20" spans="1:33" s="102" customFormat="1" x14ac:dyDescent="0.25">
      <c r="A20" t="s">
        <v>118</v>
      </c>
      <c r="B20" s="114">
        <v>9.2345618178008584E-2</v>
      </c>
      <c r="C20" s="114">
        <v>9.407693460494973E-2</v>
      </c>
      <c r="D20" s="114">
        <v>9.5701090459041474E-2</v>
      </c>
      <c r="E20" s="114">
        <v>0.16054631555355206</v>
      </c>
      <c r="F20" s="114">
        <v>0.1630723995229385</v>
      </c>
      <c r="G20" s="114">
        <v>0.1747711514522329</v>
      </c>
      <c r="H20" s="114">
        <v>0.25017406573959444</v>
      </c>
      <c r="I20" s="114">
        <v>0.25318821110995093</v>
      </c>
      <c r="J20" s="114">
        <v>0.26816847294218732</v>
      </c>
      <c r="K20" s="32"/>
      <c r="L20" s="32"/>
      <c r="M20" s="32"/>
      <c r="N20" s="32"/>
      <c r="O20" s="32"/>
      <c r="P20" s="84"/>
      <c r="Q20" s="32"/>
      <c r="R20" s="32"/>
      <c r="S20" s="84"/>
      <c r="T20" s="32"/>
      <c r="U20" s="32"/>
      <c r="V20" s="84"/>
      <c r="W20" s="32"/>
      <c r="X20" s="103"/>
      <c r="Y20" s="84"/>
      <c r="Z20" s="32"/>
      <c r="AA20" s="32"/>
      <c r="AB20" s="84"/>
      <c r="AC20" s="104"/>
      <c r="AD20" s="105"/>
      <c r="AE20" s="105"/>
      <c r="AF20" s="105"/>
      <c r="AG20" s="105"/>
    </row>
    <row r="21" spans="1:33" s="102" customFormat="1" x14ac:dyDescent="0.25">
      <c r="A21" t="s">
        <v>119</v>
      </c>
      <c r="B21" s="114">
        <v>5.1752843875017052E-2</v>
      </c>
      <c r="C21" s="114">
        <v>3.3042287024936424E-2</v>
      </c>
      <c r="D21" s="114">
        <v>3.23813281217169E-3</v>
      </c>
      <c r="E21" s="114">
        <v>7.3059868664983388E-2</v>
      </c>
      <c r="F21" s="114">
        <v>5.3093402310458719E-2</v>
      </c>
      <c r="G21" s="114">
        <v>2.4471990820809031E-2</v>
      </c>
      <c r="H21" s="114">
        <v>9.2324656618049769E-2</v>
      </c>
      <c r="I21" s="114">
        <v>7.1200687767828078E-2</v>
      </c>
      <c r="J21" s="114">
        <v>4.0482318326019805E-2</v>
      </c>
      <c r="K21" s="32"/>
      <c r="L21" s="32"/>
      <c r="M21" s="32"/>
      <c r="N21" s="32"/>
      <c r="O21" s="32"/>
      <c r="P21" s="84"/>
      <c r="Q21" s="32"/>
      <c r="R21" s="32"/>
      <c r="S21" s="84"/>
      <c r="T21" s="32"/>
      <c r="U21" s="32"/>
      <c r="V21" s="84"/>
      <c r="W21" s="32"/>
      <c r="X21" s="103"/>
      <c r="Y21" s="84"/>
      <c r="Z21" s="32"/>
      <c r="AA21" s="32"/>
      <c r="AB21" s="84"/>
      <c r="AC21" s="104"/>
      <c r="AD21" s="105"/>
      <c r="AE21" s="105"/>
      <c r="AF21" s="105"/>
      <c r="AG21" s="105"/>
    </row>
    <row r="22" spans="1:33" s="102" customFormat="1" x14ac:dyDescent="0.25">
      <c r="A22" t="s">
        <v>115</v>
      </c>
      <c r="B22" s="114">
        <v>8.8651793450888236E-2</v>
      </c>
      <c r="C22" s="114">
        <v>9.0313857220751734E-2</v>
      </c>
      <c r="D22" s="114">
        <v>9.1873046840679817E-2</v>
      </c>
      <c r="E22" s="114">
        <v>0.15412446293140997</v>
      </c>
      <c r="F22" s="114">
        <v>0.15654950354202096</v>
      </c>
      <c r="G22" s="114">
        <v>0.16778030539414357</v>
      </c>
      <c r="H22" s="114">
        <v>0.24016710311001066</v>
      </c>
      <c r="I22" s="114">
        <v>0.24306068266555289</v>
      </c>
      <c r="J22" s="114">
        <v>0.25744173402449982</v>
      </c>
      <c r="K22" s="32"/>
      <c r="L22" s="32"/>
      <c r="M22" s="32"/>
      <c r="N22" s="32"/>
      <c r="O22" s="32"/>
      <c r="P22" s="84"/>
      <c r="Q22" s="32"/>
      <c r="R22" s="32"/>
      <c r="S22" s="84"/>
      <c r="T22" s="32"/>
      <c r="U22" s="32"/>
      <c r="V22" s="84"/>
      <c r="W22" s="32"/>
      <c r="X22" s="103"/>
      <c r="Y22" s="84"/>
      <c r="Z22" s="32"/>
      <c r="AA22" s="32"/>
      <c r="AB22" s="84"/>
      <c r="AC22" s="104"/>
      <c r="AD22" s="105"/>
      <c r="AE22" s="105"/>
      <c r="AF22" s="105"/>
      <c r="AG22" s="105"/>
    </row>
    <row r="23" spans="1:33" s="102" customFormat="1" x14ac:dyDescent="0.25">
      <c r="A23" t="s">
        <v>116</v>
      </c>
      <c r="B23" s="114">
        <v>4.9682730120016366E-2</v>
      </c>
      <c r="C23" s="114">
        <v>3.1720595543938968E-2</v>
      </c>
      <c r="D23" s="114">
        <v>3.1086074996848224E-3</v>
      </c>
      <c r="E23" s="114">
        <v>7.0137473918384055E-2</v>
      </c>
      <c r="F23" s="114">
        <v>5.0969666218040367E-2</v>
      </c>
      <c r="G23" s="114">
        <v>2.349311118797667E-2</v>
      </c>
      <c r="H23" s="114">
        <v>8.8631670353327779E-2</v>
      </c>
      <c r="I23" s="114">
        <v>6.835266025711495E-2</v>
      </c>
      <c r="J23" s="114">
        <v>3.8863025592979009E-2</v>
      </c>
      <c r="K23" s="32"/>
      <c r="L23" s="32"/>
      <c r="M23" s="32"/>
      <c r="N23" s="32"/>
      <c r="O23" s="32"/>
      <c r="P23" s="84"/>
      <c r="Q23" s="32"/>
      <c r="R23" s="32"/>
      <c r="S23" s="84"/>
      <c r="T23" s="32"/>
      <c r="U23" s="32"/>
      <c r="V23" s="84"/>
      <c r="W23" s="32"/>
      <c r="X23" s="103"/>
      <c r="Y23" s="84"/>
      <c r="Z23" s="32"/>
      <c r="AA23" s="32"/>
      <c r="AB23" s="84"/>
      <c r="AC23" s="104"/>
      <c r="AD23" s="105"/>
      <c r="AE23" s="105"/>
      <c r="AF23" s="105"/>
      <c r="AG23" s="105"/>
    </row>
    <row r="24" spans="1:33" s="102" customFormat="1" x14ac:dyDescent="0.25">
      <c r="A24" t="s">
        <v>117</v>
      </c>
      <c r="B24" s="114">
        <v>3.896906333087187E-2</v>
      </c>
      <c r="C24" s="114">
        <v>5.8593261676812766E-2</v>
      </c>
      <c r="D24" s="114">
        <v>8.8764439340994997E-2</v>
      </c>
      <c r="E24" s="114">
        <v>8.3986989013025912E-2</v>
      </c>
      <c r="F24" s="114">
        <v>0.1055798373239806</v>
      </c>
      <c r="G24" s="114">
        <v>0.1442871942061669</v>
      </c>
      <c r="H24" s="114">
        <v>0.15153543275668288</v>
      </c>
      <c r="I24" s="114">
        <v>0.17470802240843794</v>
      </c>
      <c r="J24" s="114">
        <v>0.21857870843152083</v>
      </c>
      <c r="K24" s="32"/>
      <c r="L24" s="32"/>
      <c r="M24" s="32"/>
      <c r="N24" s="32"/>
      <c r="O24" s="32"/>
      <c r="P24" s="84"/>
      <c r="Q24" s="32"/>
      <c r="R24" s="32"/>
      <c r="S24" s="84"/>
      <c r="T24" s="32"/>
      <c r="U24" s="32"/>
      <c r="V24" s="84"/>
      <c r="W24" s="32"/>
      <c r="X24" s="103"/>
      <c r="Y24" s="84"/>
      <c r="Z24" s="32"/>
      <c r="AA24" s="32"/>
      <c r="AB24" s="84"/>
      <c r="AC24" s="104"/>
      <c r="AD24" s="105"/>
      <c r="AE24" s="105"/>
      <c r="AF24" s="105"/>
      <c r="AG24" s="105"/>
    </row>
    <row r="25" spans="1:33" s="102" customFormat="1" x14ac:dyDescent="0.25">
      <c r="K25" s="32"/>
      <c r="U25" s="32"/>
      <c r="V25" s="84"/>
      <c r="W25" s="32"/>
      <c r="X25" s="103"/>
      <c r="Y25" s="84"/>
      <c r="Z25" s="32"/>
      <c r="AA25" s="32"/>
      <c r="AB25" s="84"/>
      <c r="AC25" s="104"/>
      <c r="AD25" s="105"/>
      <c r="AE25" s="105"/>
      <c r="AF25" s="105"/>
      <c r="AG25" s="105"/>
    </row>
    <row r="26" spans="1:33" s="102" customFormat="1" x14ac:dyDescent="0.25">
      <c r="K26" s="32"/>
      <c r="U26" s="32"/>
      <c r="V26" s="84"/>
      <c r="W26" s="32"/>
      <c r="X26" s="103"/>
      <c r="Y26" s="84"/>
      <c r="Z26" s="32"/>
      <c r="AA26" s="32"/>
      <c r="AB26" s="84"/>
      <c r="AC26" s="104"/>
      <c r="AD26" s="105"/>
      <c r="AE26" s="105"/>
      <c r="AF26" s="105"/>
      <c r="AG26" s="105"/>
    </row>
    <row r="27" spans="1:33" s="102" customFormat="1" x14ac:dyDescent="0.25">
      <c r="K27" s="32"/>
      <c r="U27" s="32"/>
      <c r="V27" s="84"/>
      <c r="W27" s="32"/>
      <c r="X27" s="103"/>
      <c r="Y27" s="84"/>
      <c r="Z27" s="32"/>
      <c r="AA27" s="32"/>
      <c r="AB27" s="84"/>
      <c r="AC27" s="104"/>
      <c r="AD27" s="105"/>
      <c r="AE27" s="105"/>
      <c r="AF27" s="105"/>
      <c r="AG27" s="105"/>
    </row>
    <row r="28" spans="1:33" s="102" customFormat="1" x14ac:dyDescent="0.25">
      <c r="K28" s="32"/>
      <c r="U28" s="32"/>
      <c r="V28" s="84"/>
      <c r="W28" s="32"/>
      <c r="X28" s="103"/>
      <c r="Y28" s="84"/>
      <c r="Z28" s="32"/>
      <c r="AA28" s="32"/>
      <c r="AB28" s="84"/>
      <c r="AC28" s="104"/>
      <c r="AD28" s="105"/>
      <c r="AE28" s="105"/>
      <c r="AF28" s="105"/>
      <c r="AG28" s="105"/>
    </row>
    <row r="29" spans="1:33" s="102" customFormat="1" x14ac:dyDescent="0.25">
      <c r="K29" s="32"/>
      <c r="U29" s="32"/>
      <c r="V29" s="84"/>
      <c r="W29" s="32"/>
      <c r="X29" s="103"/>
      <c r="Y29" s="84"/>
      <c r="Z29" s="32"/>
      <c r="AA29" s="32"/>
      <c r="AB29" s="84"/>
      <c r="AC29" s="104"/>
      <c r="AD29" s="105"/>
      <c r="AE29" s="105"/>
      <c r="AF29" s="105"/>
      <c r="AG29" s="105"/>
    </row>
    <row r="30" spans="1:33" x14ac:dyDescent="0.25">
      <c r="AC30" s="33"/>
      <c r="AD30" s="4"/>
      <c r="AE30" s="4"/>
      <c r="AF30" s="4"/>
      <c r="AG30" s="4"/>
    </row>
    <row r="31" spans="1:33" x14ac:dyDescent="0.25">
      <c r="A31" s="5" t="s">
        <v>78</v>
      </c>
    </row>
    <row r="32" spans="1:33" x14ac:dyDescent="0.25">
      <c r="A32" t="s">
        <v>96</v>
      </c>
      <c r="B32" s="32">
        <v>28.97</v>
      </c>
    </row>
    <row r="33" spans="1:33" x14ac:dyDescent="0.25">
      <c r="A33" t="s">
        <v>95</v>
      </c>
      <c r="B33" s="32">
        <v>7.4886999999999995E-2</v>
      </c>
    </row>
    <row r="34" spans="1:33" x14ac:dyDescent="0.25">
      <c r="A34" s="37" t="s">
        <v>101</v>
      </c>
      <c r="B34" s="34">
        <v>0.24</v>
      </c>
      <c r="C34" s="34"/>
      <c r="E34" s="34"/>
      <c r="F34" s="34"/>
      <c r="AC34" s="33"/>
      <c r="AD34" s="4"/>
      <c r="AE34" s="4"/>
      <c r="AF34" s="4"/>
      <c r="AG34" s="4"/>
    </row>
    <row r="35" spans="1:33" x14ac:dyDescent="0.25">
      <c r="A35" s="36"/>
      <c r="B35" s="34"/>
      <c r="C35" s="34"/>
      <c r="E35" s="34"/>
      <c r="F35" s="34"/>
      <c r="AC35" s="33"/>
      <c r="AD35" s="4"/>
      <c r="AE35" s="4"/>
      <c r="AF35" s="4"/>
      <c r="AG35" s="4"/>
    </row>
    <row r="36" spans="1:33" x14ac:dyDescent="0.25">
      <c r="A36" s="11" t="s">
        <v>39</v>
      </c>
      <c r="B36" s="34"/>
      <c r="C36" s="34"/>
      <c r="E36" s="34"/>
      <c r="F36" s="34"/>
      <c r="AC36" s="33"/>
      <c r="AD36" s="4"/>
      <c r="AE36" s="4"/>
      <c r="AF36" s="4"/>
      <c r="AG36" s="4"/>
    </row>
    <row r="37" spans="1:33" x14ac:dyDescent="0.25">
      <c r="A37" t="s">
        <v>11</v>
      </c>
      <c r="B37" s="45">
        <f>B4+Calibration!$N$2</f>
        <v>52.143000000000001</v>
      </c>
      <c r="C37" s="45">
        <f>C4+Calibration!$N$2</f>
        <v>52.143000000000001</v>
      </c>
      <c r="D37" s="46">
        <f>D4+Calibration!$N$2</f>
        <v>52.143000000000001</v>
      </c>
      <c r="E37" s="45">
        <f>E4+Calibration!$N$2</f>
        <v>52.143000000000001</v>
      </c>
      <c r="F37" s="45">
        <f>F4+Calibration!$N$2</f>
        <v>52.143000000000001</v>
      </c>
      <c r="G37" s="46">
        <f>G4+Calibration!$N$2</f>
        <v>52.143000000000001</v>
      </c>
      <c r="H37" s="45">
        <f>H4+Calibration!$N$2</f>
        <v>52.143000000000001</v>
      </c>
      <c r="I37" s="45">
        <f>I4+Calibration!$N$2</f>
        <v>52.143000000000001</v>
      </c>
      <c r="J37" s="45">
        <f>J4+Calibration!$N$2</f>
        <v>52.143000000000001</v>
      </c>
      <c r="K37" s="45">
        <f>K4+Calibration!$N$2</f>
        <v>72.143000000000001</v>
      </c>
      <c r="L37" s="45">
        <f>L4+Calibration!$N$2</f>
        <v>72.143000000000001</v>
      </c>
      <c r="M37" s="45">
        <f>M4+Calibration!$N$2</f>
        <v>72.143000000000001</v>
      </c>
      <c r="N37" s="45">
        <f>N4+Calibration!$N$2</f>
        <v>72.143000000000001</v>
      </c>
      <c r="O37" s="45">
        <f>O4+Calibration!$N$2</f>
        <v>72.143000000000001</v>
      </c>
      <c r="P37" s="46">
        <f>P4+Calibration!$N$2</f>
        <v>72.143000000000001</v>
      </c>
      <c r="Q37" s="45">
        <f>Q4+Calibration!$N$2</f>
        <v>72.143000000000001</v>
      </c>
      <c r="R37" s="45">
        <f>R4+Calibration!$N$2</f>
        <v>72.143000000000001</v>
      </c>
      <c r="S37" s="46">
        <f>S4+Calibration!$N$2</f>
        <v>72.143000000000001</v>
      </c>
      <c r="T37" s="45">
        <f>T4+Calibration!$N$2</f>
        <v>92.143000000000001</v>
      </c>
      <c r="U37" s="45">
        <f>U4+Calibration!$N$2</f>
        <v>92.143000000000001</v>
      </c>
      <c r="V37" s="46">
        <f>V4+Calibration!$N$2</f>
        <v>92.143000000000001</v>
      </c>
      <c r="W37" s="45">
        <f>W4+Calibration!$N$2</f>
        <v>92.143000000000001</v>
      </c>
      <c r="X37" s="45">
        <f>X4+Calibration!$N$2</f>
        <v>92.143000000000001</v>
      </c>
      <c r="Y37" s="46">
        <f>Y4+Calibration!$N$2</f>
        <v>92.143000000000001</v>
      </c>
      <c r="Z37" s="45">
        <f>Z4+Calibration!$N$2</f>
        <v>92.143000000000001</v>
      </c>
      <c r="AA37" s="45">
        <f>AA4+Calibration!$N$2</f>
        <v>92.143000000000001</v>
      </c>
      <c r="AB37" s="46">
        <f>AB4+Calibration!$N$2</f>
        <v>92.143000000000001</v>
      </c>
      <c r="AC37" s="33"/>
      <c r="AD37" s="4"/>
      <c r="AE37" s="4"/>
      <c r="AF37" s="4"/>
      <c r="AG37" s="4"/>
    </row>
    <row r="38" spans="1:33" x14ac:dyDescent="0.25">
      <c r="A38" t="s">
        <v>27</v>
      </c>
      <c r="B38" s="45">
        <f>B5+Calibration!$N$2</f>
        <v>12.743</v>
      </c>
      <c r="C38" s="45">
        <f>C5+Calibration!$N$2</f>
        <v>12.643000000000001</v>
      </c>
      <c r="D38" s="46">
        <f>D5+Calibration!$N$2</f>
        <v>12.643000000000001</v>
      </c>
      <c r="E38" s="45">
        <f>E5+Calibration!$N$2</f>
        <v>12.393000000000001</v>
      </c>
      <c r="F38" s="45">
        <f>F5+Calibration!$N$2</f>
        <v>12.393000000000001</v>
      </c>
      <c r="G38" s="46">
        <f>G5+Calibration!$N$2</f>
        <v>12.413</v>
      </c>
      <c r="H38" s="45">
        <f>H5+Calibration!$N$2</f>
        <v>12.243</v>
      </c>
      <c r="I38" s="45">
        <f>I5+Calibration!$N$2</f>
        <v>12.243</v>
      </c>
      <c r="J38" s="45">
        <f>J5+Calibration!$N$2</f>
        <v>12.243</v>
      </c>
      <c r="K38" s="45">
        <f>K5+Calibration!$N$2</f>
        <v>13.043000000000001</v>
      </c>
      <c r="L38" s="45">
        <f>L5+Calibration!$N$2</f>
        <v>13.093</v>
      </c>
      <c r="M38" s="45">
        <f>M5+Calibration!$N$2</f>
        <v>13.043000000000001</v>
      </c>
      <c r="N38" s="45">
        <f>N5+Calibration!$N$2</f>
        <v>12.643000000000001</v>
      </c>
      <c r="O38" s="45">
        <f>O5+Calibration!$N$2</f>
        <v>12.643000000000001</v>
      </c>
      <c r="P38" s="46">
        <f>P5+Calibration!$N$2</f>
        <v>12.693000000000001</v>
      </c>
      <c r="Q38" s="45">
        <f>Q5+Calibration!$N$2</f>
        <v>12.343</v>
      </c>
      <c r="R38" s="45">
        <f>R5+Calibration!$N$2</f>
        <v>12.343</v>
      </c>
      <c r="S38" s="46">
        <f>S5+Calibration!$N$2</f>
        <v>12.343</v>
      </c>
      <c r="T38" s="45">
        <f>T5+Calibration!$N$2</f>
        <v>13.543000000000001</v>
      </c>
      <c r="U38" s="45">
        <f>U5+Calibration!$N$2</f>
        <v>13.543000000000001</v>
      </c>
      <c r="V38" s="46">
        <f>V5+Calibration!$N$2</f>
        <v>13.493</v>
      </c>
      <c r="W38" s="45">
        <f>W5+Calibration!$N$2</f>
        <v>12.993</v>
      </c>
      <c r="X38" s="45">
        <f>X5+Calibration!$N$2</f>
        <v>12.943000000000001</v>
      </c>
      <c r="Y38" s="46">
        <f>Y5+Calibration!$N$2</f>
        <v>12.993</v>
      </c>
      <c r="Z38" s="45">
        <f>Z5+Calibration!$N$2</f>
        <v>12.443000000000001</v>
      </c>
      <c r="AA38" s="45">
        <f>AA5+Calibration!$N$2</f>
        <v>12.443000000000001</v>
      </c>
      <c r="AB38" s="46">
        <f>AB5+Calibration!$N$2</f>
        <v>12.443000000000001</v>
      </c>
      <c r="AC38" s="33"/>
      <c r="AD38" s="4"/>
      <c r="AE38" s="4"/>
      <c r="AF38" s="4"/>
      <c r="AG38" s="4"/>
    </row>
    <row r="39" spans="1:33" s="2" customFormat="1" x14ac:dyDescent="0.25">
      <c r="A39" s="30" t="s">
        <v>79</v>
      </c>
      <c r="B39" s="45">
        <f>Calibration!$N$2</f>
        <v>12.143000000000001</v>
      </c>
      <c r="C39" s="45">
        <f>Calibration!$N$2</f>
        <v>12.143000000000001</v>
      </c>
      <c r="D39" s="46">
        <f>Calibration!$N$2</f>
        <v>12.143000000000001</v>
      </c>
      <c r="E39" s="45">
        <f>Calibration!$N$2</f>
        <v>12.143000000000001</v>
      </c>
      <c r="F39" s="45">
        <f>Calibration!$N$2</f>
        <v>12.143000000000001</v>
      </c>
      <c r="G39" s="46">
        <f>Calibration!$N$2</f>
        <v>12.143000000000001</v>
      </c>
      <c r="H39" s="45">
        <f>Calibration!$N$2</f>
        <v>12.143000000000001</v>
      </c>
      <c r="I39" s="45">
        <f>Calibration!$N$2</f>
        <v>12.143000000000001</v>
      </c>
      <c r="J39" s="45">
        <f>Calibration!$N$2</f>
        <v>12.143000000000001</v>
      </c>
      <c r="K39" s="45">
        <f>Calibration!$N$2</f>
        <v>12.143000000000001</v>
      </c>
      <c r="L39" s="45">
        <f>Calibration!$N$2</f>
        <v>12.143000000000001</v>
      </c>
      <c r="M39" s="45">
        <f>Calibration!$N$2</f>
        <v>12.143000000000001</v>
      </c>
      <c r="N39" s="45">
        <f>Calibration!$N$2</f>
        <v>12.143000000000001</v>
      </c>
      <c r="O39" s="45">
        <f>Calibration!$N$2</f>
        <v>12.143000000000001</v>
      </c>
      <c r="P39" s="46">
        <f>Calibration!$N$2</f>
        <v>12.143000000000001</v>
      </c>
      <c r="Q39" s="45">
        <f>Calibration!$N$2</f>
        <v>12.143000000000001</v>
      </c>
      <c r="R39" s="45">
        <f>Calibration!$N$2</f>
        <v>12.143000000000001</v>
      </c>
      <c r="S39" s="46">
        <f>Calibration!$N$2</f>
        <v>12.143000000000001</v>
      </c>
      <c r="T39" s="45">
        <f>Calibration!$N$2</f>
        <v>12.143000000000001</v>
      </c>
      <c r="U39" s="45">
        <f>Calibration!$N$2</f>
        <v>12.143000000000001</v>
      </c>
      <c r="V39" s="46">
        <f>Calibration!$N$2</f>
        <v>12.143000000000001</v>
      </c>
      <c r="W39" s="45">
        <f>Calibration!$N$2</f>
        <v>12.143000000000001</v>
      </c>
      <c r="X39" s="45">
        <f>Calibration!$N$2</f>
        <v>12.143000000000001</v>
      </c>
      <c r="Y39" s="46">
        <f>Calibration!$N$2</f>
        <v>12.143000000000001</v>
      </c>
      <c r="Z39" s="45">
        <f>Calibration!$N$2</f>
        <v>12.143000000000001</v>
      </c>
      <c r="AA39" s="45">
        <f>Calibration!$N$2</f>
        <v>12.143000000000001</v>
      </c>
      <c r="AB39" s="46">
        <f>Calibration!$N$2</f>
        <v>12.143000000000001</v>
      </c>
    </row>
    <row r="40" spans="1:33" x14ac:dyDescent="0.25">
      <c r="A40" t="s">
        <v>41</v>
      </c>
      <c r="B40" s="45">
        <f t="shared" ref="B40:AB40" si="0">(B6+273.15)*9/5</f>
        <v>531.80999999999995</v>
      </c>
      <c r="C40" s="45">
        <f t="shared" si="0"/>
        <v>533.06999999999994</v>
      </c>
      <c r="D40" s="46">
        <f t="shared" si="0"/>
        <v>532.53</v>
      </c>
      <c r="E40" s="45">
        <f t="shared" si="0"/>
        <v>531.80999999999995</v>
      </c>
      <c r="F40" s="45">
        <f t="shared" si="0"/>
        <v>533.06999999999994</v>
      </c>
      <c r="G40" s="46">
        <f t="shared" si="0"/>
        <v>532.16999999999996</v>
      </c>
      <c r="H40" s="45">
        <f t="shared" si="0"/>
        <v>532.70999999999992</v>
      </c>
      <c r="I40" s="45">
        <f t="shared" si="0"/>
        <v>532.70999999999992</v>
      </c>
      <c r="J40" s="45">
        <f t="shared" si="0"/>
        <v>533.06999999999994</v>
      </c>
      <c r="K40" s="45">
        <f t="shared" si="0"/>
        <v>533.42999999999995</v>
      </c>
      <c r="L40" s="45">
        <f t="shared" si="0"/>
        <v>533.6099999999999</v>
      </c>
      <c r="M40" s="45">
        <f t="shared" si="0"/>
        <v>533.79</v>
      </c>
      <c r="N40" s="45">
        <f t="shared" si="0"/>
        <v>532.70999999999992</v>
      </c>
      <c r="O40" s="45">
        <f t="shared" si="0"/>
        <v>533.6099999999999</v>
      </c>
      <c r="P40" s="46">
        <f t="shared" si="0"/>
        <v>532.89</v>
      </c>
      <c r="Q40" s="45">
        <f t="shared" si="0"/>
        <v>533.6099999999999</v>
      </c>
      <c r="R40" s="45">
        <f t="shared" si="0"/>
        <v>533.79</v>
      </c>
      <c r="S40" s="46">
        <f t="shared" si="0"/>
        <v>532.89</v>
      </c>
      <c r="T40" s="45">
        <f t="shared" si="0"/>
        <v>533.6099999999999</v>
      </c>
      <c r="U40" s="45">
        <f t="shared" si="0"/>
        <v>534.32999999999993</v>
      </c>
      <c r="V40" s="46">
        <f t="shared" si="0"/>
        <v>533.6099999999999</v>
      </c>
      <c r="W40" s="45">
        <f t="shared" si="0"/>
        <v>533.79</v>
      </c>
      <c r="X40" s="45">
        <f t="shared" si="0"/>
        <v>534.32999999999993</v>
      </c>
      <c r="Y40" s="46">
        <f t="shared" si="0"/>
        <v>533.42999999999995</v>
      </c>
      <c r="Z40" s="45">
        <f t="shared" si="0"/>
        <v>533.79</v>
      </c>
      <c r="AA40" s="45">
        <f t="shared" si="0"/>
        <v>534.32999999999993</v>
      </c>
      <c r="AB40" s="46">
        <f t="shared" si="0"/>
        <v>533.97</v>
      </c>
      <c r="AC40" s="33"/>
      <c r="AD40" s="4"/>
      <c r="AE40" s="4"/>
      <c r="AF40" s="4"/>
      <c r="AG40" s="4"/>
    </row>
    <row r="41" spans="1:33" x14ac:dyDescent="0.25">
      <c r="A41" t="s">
        <v>42</v>
      </c>
      <c r="B41" s="45">
        <f t="shared" ref="B41:AB41" si="1">(B7+273.15)*9/5</f>
        <v>522.62999999999988</v>
      </c>
      <c r="C41" s="45">
        <f t="shared" si="1"/>
        <v>522.99</v>
      </c>
      <c r="D41" s="46">
        <f t="shared" si="1"/>
        <v>522.08999999999992</v>
      </c>
      <c r="E41" s="45">
        <f t="shared" si="1"/>
        <v>505.52999999999992</v>
      </c>
      <c r="F41" s="45">
        <f t="shared" si="1"/>
        <v>504.98999999999995</v>
      </c>
      <c r="G41" s="46">
        <f t="shared" si="1"/>
        <v>505.89</v>
      </c>
      <c r="H41" s="45">
        <f t="shared" si="1"/>
        <v>481.2299999999999</v>
      </c>
      <c r="I41" s="45">
        <f t="shared" si="1"/>
        <v>483.57</v>
      </c>
      <c r="J41" s="45">
        <f t="shared" si="1"/>
        <v>484.82999999999993</v>
      </c>
      <c r="K41" s="45">
        <f t="shared" si="1"/>
        <v>523.70999999999992</v>
      </c>
      <c r="L41" s="45">
        <f t="shared" si="1"/>
        <v>523.35</v>
      </c>
      <c r="M41" s="45">
        <f t="shared" si="1"/>
        <v>522.27</v>
      </c>
      <c r="N41" s="45">
        <f t="shared" si="1"/>
        <v>504.45</v>
      </c>
      <c r="O41" s="45">
        <f t="shared" si="1"/>
        <v>505.35</v>
      </c>
      <c r="P41" s="46">
        <f t="shared" si="1"/>
        <v>504.09</v>
      </c>
      <c r="Q41" s="45">
        <f t="shared" si="1"/>
        <v>466.82999999999993</v>
      </c>
      <c r="R41" s="45">
        <f t="shared" si="1"/>
        <v>465.92999999999995</v>
      </c>
      <c r="S41" s="46">
        <f t="shared" si="1"/>
        <v>464.85</v>
      </c>
      <c r="T41" s="45">
        <f t="shared" si="1"/>
        <v>520.29</v>
      </c>
      <c r="U41" s="45">
        <f t="shared" si="1"/>
        <v>521.37</v>
      </c>
      <c r="V41" s="46">
        <f t="shared" si="1"/>
        <v>519.56999999999994</v>
      </c>
      <c r="W41" s="45">
        <f t="shared" si="1"/>
        <v>506.42999999999995</v>
      </c>
      <c r="X41" s="45">
        <f t="shared" si="1"/>
        <v>505.89</v>
      </c>
      <c r="Y41" s="46">
        <f t="shared" si="1"/>
        <v>504.45</v>
      </c>
      <c r="Z41" s="45">
        <f t="shared" si="1"/>
        <v>460.16999999999996</v>
      </c>
      <c r="AA41" s="45">
        <f t="shared" si="1"/>
        <v>460.52999999999992</v>
      </c>
      <c r="AB41" s="46">
        <f t="shared" si="1"/>
        <v>458.00999999999993</v>
      </c>
      <c r="AC41" s="33"/>
      <c r="AD41" s="4"/>
      <c r="AE41" s="4"/>
      <c r="AF41" s="4"/>
      <c r="AG41" s="4"/>
    </row>
    <row r="42" spans="1:33" x14ac:dyDescent="0.25">
      <c r="A42" t="s">
        <v>43</v>
      </c>
      <c r="B42" s="45">
        <f t="shared" ref="B42:AB42" si="2">(B8+273.15)*9/5</f>
        <v>566.54999999999995</v>
      </c>
      <c r="C42" s="45">
        <f t="shared" si="2"/>
        <v>568.53</v>
      </c>
      <c r="D42" s="46">
        <f t="shared" si="2"/>
        <v>569.42999999999995</v>
      </c>
      <c r="E42" s="45">
        <f t="shared" si="2"/>
        <v>559.70999999999992</v>
      </c>
      <c r="F42" s="45">
        <f t="shared" si="2"/>
        <v>562.58999999999992</v>
      </c>
      <c r="G42" s="46">
        <f t="shared" si="2"/>
        <v>562.04999999999995</v>
      </c>
      <c r="H42" s="45">
        <f t="shared" si="2"/>
        <v>550.89</v>
      </c>
      <c r="I42" s="45">
        <f t="shared" si="2"/>
        <v>552.15</v>
      </c>
      <c r="J42" s="45">
        <f t="shared" si="2"/>
        <v>554.49</v>
      </c>
      <c r="K42" s="45">
        <f t="shared" si="2"/>
        <v>571.58999999999992</v>
      </c>
      <c r="L42" s="45">
        <f t="shared" si="2"/>
        <v>571.58999999999992</v>
      </c>
      <c r="M42" s="45">
        <f t="shared" si="2"/>
        <v>573.03</v>
      </c>
      <c r="N42" s="45">
        <f t="shared" si="2"/>
        <v>566.54999999999995</v>
      </c>
      <c r="O42" s="45">
        <f t="shared" si="2"/>
        <v>567.62999999999988</v>
      </c>
      <c r="P42" s="46">
        <f t="shared" si="2"/>
        <v>568.89</v>
      </c>
      <c r="Q42" s="45">
        <f t="shared" si="2"/>
        <v>560.6099999999999</v>
      </c>
      <c r="R42" s="45">
        <f t="shared" si="2"/>
        <v>561.51</v>
      </c>
      <c r="S42" s="46">
        <f t="shared" si="2"/>
        <v>560.79</v>
      </c>
      <c r="T42" s="45">
        <f t="shared" si="2"/>
        <v>571.41</v>
      </c>
      <c r="U42" s="45">
        <f t="shared" si="2"/>
        <v>572.66999999999996</v>
      </c>
      <c r="V42" s="46">
        <f t="shared" si="2"/>
        <v>573.75</v>
      </c>
      <c r="W42" s="45">
        <f t="shared" si="2"/>
        <v>571.41</v>
      </c>
      <c r="X42" s="45">
        <f t="shared" si="2"/>
        <v>569.97</v>
      </c>
      <c r="Y42" s="46">
        <f t="shared" si="2"/>
        <v>570.32999999999993</v>
      </c>
      <c r="Z42" s="45">
        <f t="shared" si="2"/>
        <v>566.54999999999995</v>
      </c>
      <c r="AA42" s="45">
        <f t="shared" si="2"/>
        <v>568.89</v>
      </c>
      <c r="AB42" s="46">
        <f t="shared" si="2"/>
        <v>567.45000000000005</v>
      </c>
      <c r="AC42" s="33"/>
      <c r="AD42" s="4"/>
      <c r="AE42" s="4"/>
      <c r="AF42" s="4"/>
      <c r="AG42" s="4"/>
    </row>
    <row r="43" spans="1:33" x14ac:dyDescent="0.25">
      <c r="A43" t="s">
        <v>82</v>
      </c>
      <c r="B43" s="45">
        <f t="shared" ref="B43:AB43" si="3">B9/SQRT(B40*14.7/530/B37)</f>
        <v>1.692160426660797</v>
      </c>
      <c r="C43" s="45">
        <f t="shared" si="3"/>
        <v>1.6901593915851856</v>
      </c>
      <c r="D43" s="46">
        <f t="shared" si="3"/>
        <v>1.6910161084053876</v>
      </c>
      <c r="E43" s="45">
        <f t="shared" si="3"/>
        <v>1.692160426660797</v>
      </c>
      <c r="F43" s="45">
        <f t="shared" si="3"/>
        <v>1.6901593915851856</v>
      </c>
      <c r="G43" s="46">
        <f t="shared" si="3"/>
        <v>1.7855650870912347</v>
      </c>
      <c r="H43" s="45">
        <f t="shared" si="3"/>
        <v>1.8785893237732556</v>
      </c>
      <c r="I43" s="45">
        <f t="shared" si="3"/>
        <v>1.69073039139593</v>
      </c>
      <c r="J43" s="45">
        <f t="shared" si="3"/>
        <v>1.6901593915851856</v>
      </c>
      <c r="K43" s="45">
        <f t="shared" si="3"/>
        <v>2.6498353786775284</v>
      </c>
      <c r="L43" s="45">
        <f t="shared" si="3"/>
        <v>2.4286060453461276</v>
      </c>
      <c r="M43" s="45">
        <f t="shared" si="3"/>
        <v>2.4281965341645053</v>
      </c>
      <c r="N43" s="45">
        <f t="shared" si="3"/>
        <v>2.5411411097300967</v>
      </c>
      <c r="O43" s="45">
        <f t="shared" si="3"/>
        <v>2.5389972292254965</v>
      </c>
      <c r="P43" s="46">
        <f t="shared" si="3"/>
        <v>2.5407118991688504</v>
      </c>
      <c r="Q43" s="45">
        <f t="shared" si="3"/>
        <v>2.8701707808636052</v>
      </c>
      <c r="R43" s="45">
        <f t="shared" si="3"/>
        <v>2.6489416736340057</v>
      </c>
      <c r="S43" s="46">
        <f t="shared" si="3"/>
        <v>2.6511776339153221</v>
      </c>
      <c r="T43" s="45">
        <f t="shared" si="3"/>
        <v>3.4932244978283009</v>
      </c>
      <c r="U43" s="45">
        <f t="shared" si="3"/>
        <v>3.4908701760795915</v>
      </c>
      <c r="V43" s="46">
        <f t="shared" si="3"/>
        <v>3.3684664800487192</v>
      </c>
      <c r="W43" s="45">
        <f t="shared" si="3"/>
        <v>3.492635470845304</v>
      </c>
      <c r="X43" s="45">
        <f t="shared" si="3"/>
        <v>3.4908701760795915</v>
      </c>
      <c r="Y43" s="46">
        <f t="shared" si="3"/>
        <v>3.4938138229270241</v>
      </c>
      <c r="Z43" s="45">
        <f t="shared" si="3"/>
        <v>3.7421094330485403</v>
      </c>
      <c r="AA43" s="45">
        <f t="shared" si="3"/>
        <v>3.7402180457995624</v>
      </c>
      <c r="AB43" s="46">
        <f t="shared" si="3"/>
        <v>3.6167626967884483</v>
      </c>
      <c r="AC43" s="33"/>
      <c r="AD43" s="4"/>
      <c r="AE43" s="4"/>
      <c r="AF43" s="4"/>
      <c r="AG43" s="4"/>
    </row>
    <row r="44" spans="1:33" x14ac:dyDescent="0.25">
      <c r="A44" t="s">
        <v>44</v>
      </c>
      <c r="B44" s="45">
        <f t="shared" ref="B44:AB44" si="4">B10/SQRT(B41*14.7/530/B38)</f>
        <v>2.0627216270640902</v>
      </c>
      <c r="C44" s="45">
        <f t="shared" si="4"/>
        <v>2.0539048705601659</v>
      </c>
      <c r="D44" s="46">
        <f t="shared" si="4"/>
        <v>2.0556744107096732</v>
      </c>
      <c r="E44" s="45">
        <f t="shared" si="4"/>
        <v>1.3162005298537351</v>
      </c>
      <c r="F44" s="45">
        <f t="shared" si="4"/>
        <v>1.3169040669355219</v>
      </c>
      <c r="G44" s="46">
        <f t="shared" si="4"/>
        <v>1.3167933767142419</v>
      </c>
      <c r="H44" s="45">
        <f t="shared" si="4"/>
        <v>9.5773827834146952E-2</v>
      </c>
      <c r="I44" s="45">
        <f t="shared" si="4"/>
        <v>9.5541821574829447E-2</v>
      </c>
      <c r="J44" s="45">
        <f t="shared" si="4"/>
        <v>0.19083518284172174</v>
      </c>
      <c r="K44" s="45">
        <f t="shared" si="4"/>
        <v>2.8427838267027337</v>
      </c>
      <c r="L44" s="45">
        <f t="shared" si="4"/>
        <v>2.9441804932746609</v>
      </c>
      <c r="M44" s="45">
        <f t="shared" si="4"/>
        <v>2.8467001830652126</v>
      </c>
      <c r="N44" s="45">
        <f t="shared" si="4"/>
        <v>2.091307784469616</v>
      </c>
      <c r="O44" s="45">
        <f t="shared" si="4"/>
        <v>2.0894447036681951</v>
      </c>
      <c r="P44" s="46">
        <f t="shared" si="4"/>
        <v>2.0961871155683487</v>
      </c>
      <c r="Q44" s="45">
        <f t="shared" si="4"/>
        <v>0.97636061709021993</v>
      </c>
      <c r="R44" s="45">
        <f t="shared" si="4"/>
        <v>0.87957282718349639</v>
      </c>
      <c r="S44" s="46">
        <f t="shared" si="4"/>
        <v>0.97843778156706729</v>
      </c>
      <c r="T44" s="45">
        <f t="shared" si="4"/>
        <v>3.5843935843753005</v>
      </c>
      <c r="U44" s="45">
        <f t="shared" si="4"/>
        <v>3.5806791858808404</v>
      </c>
      <c r="V44" s="46">
        <f t="shared" si="4"/>
        <v>3.5318671436811315</v>
      </c>
      <c r="W44" s="45">
        <f t="shared" si="4"/>
        <v>2.7891525758253652</v>
      </c>
      <c r="X44" s="45">
        <f t="shared" si="4"/>
        <v>2.737244272159681</v>
      </c>
      <c r="Y44" s="46">
        <f t="shared" si="4"/>
        <v>2.7946210203114745</v>
      </c>
      <c r="Z44" s="45">
        <f t="shared" si="4"/>
        <v>1.5798019645788515</v>
      </c>
      <c r="AA44" s="45">
        <f t="shared" si="4"/>
        <v>1.5791843719185894</v>
      </c>
      <c r="AB44" s="46">
        <f t="shared" si="4"/>
        <v>1.484552623778912</v>
      </c>
      <c r="AC44" s="33"/>
      <c r="AD44" s="4"/>
      <c r="AE44" s="4"/>
      <c r="AF44" s="4"/>
      <c r="AG44" s="4"/>
    </row>
    <row r="45" spans="1:33" s="2" customFormat="1" x14ac:dyDescent="0.25">
      <c r="A45" s="30" t="s">
        <v>81</v>
      </c>
      <c r="B45" s="45">
        <f>(0.4582+1.133*B43)</f>
        <v>2.3754177634066829</v>
      </c>
      <c r="C45" s="45">
        <f t="shared" ref="C45:AB45" si="5">(0.4582+1.133*C43)</f>
        <v>2.3731505906660155</v>
      </c>
      <c r="D45" s="46">
        <f t="shared" si="5"/>
        <v>2.3741212508233041</v>
      </c>
      <c r="E45" s="45">
        <f t="shared" si="5"/>
        <v>2.3754177634066829</v>
      </c>
      <c r="F45" s="45">
        <f t="shared" si="5"/>
        <v>2.3731505906660155</v>
      </c>
      <c r="G45" s="46">
        <f t="shared" si="5"/>
        <v>2.481245243674369</v>
      </c>
      <c r="H45" s="45">
        <f t="shared" si="5"/>
        <v>2.5866417038350988</v>
      </c>
      <c r="I45" s="45">
        <f t="shared" si="5"/>
        <v>2.3737975334515888</v>
      </c>
      <c r="J45" s="45">
        <f t="shared" si="5"/>
        <v>2.3731505906660155</v>
      </c>
      <c r="K45" s="45">
        <f t="shared" si="5"/>
        <v>3.4604634840416399</v>
      </c>
      <c r="L45" s="45">
        <f t="shared" si="5"/>
        <v>3.2098106493771628</v>
      </c>
      <c r="M45" s="45">
        <f t="shared" si="5"/>
        <v>3.2093466732083846</v>
      </c>
      <c r="N45" s="45">
        <f t="shared" si="5"/>
        <v>3.3373128773241998</v>
      </c>
      <c r="O45" s="45">
        <f t="shared" si="5"/>
        <v>3.3348838607124875</v>
      </c>
      <c r="P45" s="46">
        <f t="shared" si="5"/>
        <v>3.3368265817583076</v>
      </c>
      <c r="Q45" s="45">
        <f t="shared" si="5"/>
        <v>3.710103494718465</v>
      </c>
      <c r="R45" s="45">
        <f t="shared" si="5"/>
        <v>3.4594509162273286</v>
      </c>
      <c r="S45" s="46">
        <f t="shared" si="5"/>
        <v>3.4619842592260603</v>
      </c>
      <c r="T45" s="45">
        <f t="shared" si="5"/>
        <v>4.4160233560394646</v>
      </c>
      <c r="U45" s="45">
        <f t="shared" si="5"/>
        <v>4.4133559094981774</v>
      </c>
      <c r="V45" s="46">
        <f t="shared" si="5"/>
        <v>4.2746725218951989</v>
      </c>
      <c r="W45" s="45">
        <f t="shared" si="5"/>
        <v>4.4153559884677298</v>
      </c>
      <c r="X45" s="45">
        <f t="shared" si="5"/>
        <v>4.4133559094981774</v>
      </c>
      <c r="Y45" s="46">
        <f t="shared" si="5"/>
        <v>4.4166910613763184</v>
      </c>
      <c r="Z45" s="45">
        <f t="shared" si="5"/>
        <v>4.6980099876439958</v>
      </c>
      <c r="AA45" s="45">
        <f t="shared" si="5"/>
        <v>4.6958670458909042</v>
      </c>
      <c r="AB45" s="46">
        <f t="shared" si="5"/>
        <v>4.5559921354613113</v>
      </c>
    </row>
    <row r="46" spans="1:33" x14ac:dyDescent="0.25">
      <c r="A46" t="s">
        <v>86</v>
      </c>
      <c r="B46" s="45">
        <f>B45*0.074887</f>
        <v>0.17788791004823626</v>
      </c>
      <c r="C46" s="45">
        <f t="shared" ref="C46:AB46" si="6">C45*0.074887</f>
        <v>0.17771812828320591</v>
      </c>
      <c r="D46" s="46">
        <f t="shared" si="6"/>
        <v>0.17779081811040476</v>
      </c>
      <c r="E46" s="45">
        <f t="shared" si="6"/>
        <v>0.17788791004823626</v>
      </c>
      <c r="F46" s="45">
        <f t="shared" si="6"/>
        <v>0.17771812828320591</v>
      </c>
      <c r="G46" s="46">
        <f t="shared" si="6"/>
        <v>0.18581301256304247</v>
      </c>
      <c r="H46" s="45">
        <f t="shared" si="6"/>
        <v>0.19370583727509905</v>
      </c>
      <c r="I46" s="45">
        <f t="shared" si="6"/>
        <v>0.17776657588758912</v>
      </c>
      <c r="J46" s="45">
        <f t="shared" si="6"/>
        <v>0.17771812828320591</v>
      </c>
      <c r="K46" s="45">
        <f t="shared" si="6"/>
        <v>0.25914372892942628</v>
      </c>
      <c r="L46" s="45">
        <f t="shared" si="6"/>
        <v>0.24037309009990757</v>
      </c>
      <c r="M46" s="45">
        <f t="shared" si="6"/>
        <v>0.24033834431655629</v>
      </c>
      <c r="N46" s="45">
        <f t="shared" si="6"/>
        <v>0.24992134944417732</v>
      </c>
      <c r="O46" s="45">
        <f t="shared" si="6"/>
        <v>0.24973944767717604</v>
      </c>
      <c r="P46" s="46">
        <f t="shared" si="6"/>
        <v>0.24988493222813438</v>
      </c>
      <c r="Q46" s="45">
        <f t="shared" si="6"/>
        <v>0.27783852040898166</v>
      </c>
      <c r="R46" s="45">
        <f t="shared" si="6"/>
        <v>0.25906790076351593</v>
      </c>
      <c r="S46" s="46">
        <f t="shared" si="6"/>
        <v>0.25925761522066199</v>
      </c>
      <c r="T46" s="45">
        <f t="shared" si="6"/>
        <v>0.33070274106372738</v>
      </c>
      <c r="U46" s="45">
        <f t="shared" si="6"/>
        <v>0.33050298399458999</v>
      </c>
      <c r="V46" s="46">
        <f t="shared" si="6"/>
        <v>0.32011740114716575</v>
      </c>
      <c r="W46" s="45">
        <f t="shared" si="6"/>
        <v>0.33065276390838289</v>
      </c>
      <c r="X46" s="45">
        <f t="shared" si="6"/>
        <v>0.33050298399458999</v>
      </c>
      <c r="Y46" s="46">
        <f t="shared" si="6"/>
        <v>0.33075274351328832</v>
      </c>
      <c r="Z46" s="45">
        <f t="shared" si="6"/>
        <v>0.35181987394469588</v>
      </c>
      <c r="AA46" s="45">
        <f t="shared" si="6"/>
        <v>0.35165939546563213</v>
      </c>
      <c r="AB46" s="46">
        <f t="shared" si="6"/>
        <v>0.34118458304829119</v>
      </c>
      <c r="AC46" s="33"/>
      <c r="AD46" s="4"/>
      <c r="AE46" s="4"/>
      <c r="AF46" s="4"/>
      <c r="AG46" s="4"/>
    </row>
    <row r="47" spans="1:33" x14ac:dyDescent="0.25">
      <c r="A47" t="s">
        <v>87</v>
      </c>
      <c r="B47" s="45">
        <f>B44*0.074887</f>
        <v>0.15447103448594851</v>
      </c>
      <c r="C47" s="45">
        <f t="shared" ref="C47:AB47" si="7">C44*0.074887</f>
        <v>0.15381077404163915</v>
      </c>
      <c r="D47" s="46">
        <f t="shared" si="7"/>
        <v>0.15394328959481529</v>
      </c>
      <c r="E47" s="45">
        <f t="shared" si="7"/>
        <v>9.8566309079156658E-2</v>
      </c>
      <c r="F47" s="45">
        <f t="shared" si="7"/>
        <v>9.8618994860600426E-2</v>
      </c>
      <c r="G47" s="46">
        <f t="shared" si="7"/>
        <v>9.8610705601999429E-2</v>
      </c>
      <c r="H47" s="45">
        <f t="shared" si="7"/>
        <v>7.1722146450157627E-3</v>
      </c>
      <c r="I47" s="45">
        <f t="shared" si="7"/>
        <v>7.1548403922742521E-3</v>
      </c>
      <c r="J47" s="45">
        <f t="shared" si="7"/>
        <v>1.4291074337468014E-2</v>
      </c>
      <c r="K47" s="45">
        <f t="shared" si="7"/>
        <v>0.21288755243028759</v>
      </c>
      <c r="L47" s="45">
        <f t="shared" si="7"/>
        <v>0.2204808445998595</v>
      </c>
      <c r="M47" s="45">
        <f t="shared" si="7"/>
        <v>0.21318083660920456</v>
      </c>
      <c r="N47" s="45">
        <f t="shared" si="7"/>
        <v>0.15661176605557611</v>
      </c>
      <c r="O47" s="45">
        <f t="shared" si="7"/>
        <v>0.15647224552360012</v>
      </c>
      <c r="P47" s="46">
        <f t="shared" si="7"/>
        <v>0.15697716452356691</v>
      </c>
      <c r="Q47" s="45">
        <f t="shared" si="7"/>
        <v>7.3116717532035289E-2</v>
      </c>
      <c r="R47" s="45">
        <f t="shared" si="7"/>
        <v>6.5868570309290483E-2</v>
      </c>
      <c r="S47" s="46">
        <f t="shared" si="7"/>
        <v>7.327227014821297E-2</v>
      </c>
      <c r="T47" s="45">
        <f t="shared" si="7"/>
        <v>0.26842448235311311</v>
      </c>
      <c r="U47" s="45">
        <f t="shared" si="7"/>
        <v>0.26814632219305851</v>
      </c>
      <c r="V47" s="46">
        <f t="shared" si="7"/>
        <v>0.26449093478884889</v>
      </c>
      <c r="W47" s="45">
        <f t="shared" si="7"/>
        <v>0.2088712689458341</v>
      </c>
      <c r="X47" s="45">
        <f t="shared" si="7"/>
        <v>0.20498401180922202</v>
      </c>
      <c r="Y47" s="46">
        <f t="shared" si="7"/>
        <v>0.20928078434806538</v>
      </c>
      <c r="Z47" s="45">
        <f t="shared" si="7"/>
        <v>0.11830662972141644</v>
      </c>
      <c r="AA47" s="45">
        <f t="shared" si="7"/>
        <v>0.1182603800598674</v>
      </c>
      <c r="AB47" s="46">
        <f t="shared" si="7"/>
        <v>0.11117369233693138</v>
      </c>
      <c r="AC47" s="33"/>
      <c r="AD47" s="4"/>
      <c r="AE47" s="4"/>
      <c r="AF47" s="4"/>
      <c r="AG47" s="4"/>
    </row>
    <row r="48" spans="1:33" x14ac:dyDescent="0.25">
      <c r="A48" t="s">
        <v>88</v>
      </c>
      <c r="B48" s="45">
        <f>B46-B47</f>
        <v>2.3416875562287748E-2</v>
      </c>
      <c r="C48" s="45">
        <f t="shared" ref="C48:AB48" si="8">C46-C47</f>
        <v>2.3907354241566758E-2</v>
      </c>
      <c r="D48" s="46">
        <f t="shared" si="8"/>
        <v>2.3847528515589467E-2</v>
      </c>
      <c r="E48" s="45">
        <f t="shared" si="8"/>
        <v>7.93216009690796E-2</v>
      </c>
      <c r="F48" s="45">
        <f t="shared" si="8"/>
        <v>7.909913342260548E-2</v>
      </c>
      <c r="G48" s="46">
        <f t="shared" si="8"/>
        <v>8.7202306961043044E-2</v>
      </c>
      <c r="H48" s="45">
        <f t="shared" si="8"/>
        <v>0.18653362263008327</v>
      </c>
      <c r="I48" s="45">
        <f t="shared" si="8"/>
        <v>0.17061173549531486</v>
      </c>
      <c r="J48" s="45">
        <f t="shared" si="8"/>
        <v>0.16342705394573789</v>
      </c>
      <c r="K48" s="45">
        <f t="shared" si="8"/>
        <v>4.6256176499138685E-2</v>
      </c>
      <c r="L48" s="45">
        <f t="shared" si="8"/>
        <v>1.9892245500048061E-2</v>
      </c>
      <c r="M48" s="45">
        <f t="shared" si="8"/>
        <v>2.715750770735173E-2</v>
      </c>
      <c r="N48" s="45">
        <f t="shared" si="8"/>
        <v>9.3309583388601208E-2</v>
      </c>
      <c r="O48" s="45">
        <f t="shared" si="8"/>
        <v>9.3267202153575923E-2</v>
      </c>
      <c r="P48" s="46">
        <f t="shared" si="8"/>
        <v>9.2907767704567462E-2</v>
      </c>
      <c r="Q48" s="45">
        <f t="shared" si="8"/>
        <v>0.20472180287694636</v>
      </c>
      <c r="R48" s="45">
        <f t="shared" si="8"/>
        <v>0.19319933045422544</v>
      </c>
      <c r="S48" s="46">
        <f t="shared" si="8"/>
        <v>0.18598534507244902</v>
      </c>
      <c r="T48" s="45">
        <f t="shared" si="8"/>
        <v>6.2278258710614265E-2</v>
      </c>
      <c r="U48" s="45">
        <f t="shared" si="8"/>
        <v>6.2356661801531488E-2</v>
      </c>
      <c r="V48" s="46">
        <f t="shared" si="8"/>
        <v>5.5626466358316862E-2</v>
      </c>
      <c r="W48" s="45">
        <f t="shared" si="8"/>
        <v>0.12178149496254878</v>
      </c>
      <c r="X48" s="45">
        <f t="shared" si="8"/>
        <v>0.12551897218536798</v>
      </c>
      <c r="Y48" s="46">
        <f t="shared" si="8"/>
        <v>0.12147195916522294</v>
      </c>
      <c r="Z48" s="45">
        <f t="shared" si="8"/>
        <v>0.23351324422327946</v>
      </c>
      <c r="AA48" s="45">
        <f t="shared" si="8"/>
        <v>0.23339901540576474</v>
      </c>
      <c r="AB48" s="46">
        <f t="shared" si="8"/>
        <v>0.23001089071135983</v>
      </c>
      <c r="AC48" s="33"/>
      <c r="AD48" s="4"/>
      <c r="AE48" s="4"/>
      <c r="AF48" s="4"/>
      <c r="AG48" s="4"/>
    </row>
    <row r="49" spans="1:33" x14ac:dyDescent="0.25">
      <c r="A49" t="s">
        <v>85</v>
      </c>
      <c r="B49" s="45">
        <f>B42-B41</f>
        <v>43.920000000000073</v>
      </c>
      <c r="C49" s="45">
        <f t="shared" ref="C49:AB49" si="9">C42-C41</f>
        <v>45.539999999999964</v>
      </c>
      <c r="D49" s="46">
        <f t="shared" si="9"/>
        <v>47.340000000000032</v>
      </c>
      <c r="E49" s="45">
        <f t="shared" si="9"/>
        <v>54.180000000000007</v>
      </c>
      <c r="F49" s="45">
        <f t="shared" si="9"/>
        <v>57.599999999999966</v>
      </c>
      <c r="G49" s="46">
        <f t="shared" si="9"/>
        <v>56.159999999999968</v>
      </c>
      <c r="H49" s="45">
        <f t="shared" si="9"/>
        <v>69.660000000000082</v>
      </c>
      <c r="I49" s="45">
        <f t="shared" si="9"/>
        <v>68.579999999999984</v>
      </c>
      <c r="J49" s="45">
        <f t="shared" si="9"/>
        <v>69.660000000000082</v>
      </c>
      <c r="K49" s="45">
        <f t="shared" si="9"/>
        <v>47.879999999999995</v>
      </c>
      <c r="L49" s="45">
        <f t="shared" si="9"/>
        <v>48.239999999999895</v>
      </c>
      <c r="M49" s="45">
        <f t="shared" si="9"/>
        <v>50.759999999999991</v>
      </c>
      <c r="N49" s="45">
        <f t="shared" si="9"/>
        <v>62.099999999999966</v>
      </c>
      <c r="O49" s="45">
        <f t="shared" si="9"/>
        <v>62.279999999999859</v>
      </c>
      <c r="P49" s="46">
        <f t="shared" si="9"/>
        <v>64.800000000000011</v>
      </c>
      <c r="Q49" s="45">
        <f t="shared" si="9"/>
        <v>93.779999999999973</v>
      </c>
      <c r="R49" s="45">
        <f t="shared" si="9"/>
        <v>95.580000000000041</v>
      </c>
      <c r="S49" s="46">
        <f t="shared" si="9"/>
        <v>95.939999999999941</v>
      </c>
      <c r="T49" s="45">
        <f t="shared" si="9"/>
        <v>51.120000000000005</v>
      </c>
      <c r="U49" s="45">
        <f t="shared" si="9"/>
        <v>51.299999999999955</v>
      </c>
      <c r="V49" s="46">
        <f t="shared" si="9"/>
        <v>54.180000000000064</v>
      </c>
      <c r="W49" s="45">
        <f t="shared" si="9"/>
        <v>64.980000000000018</v>
      </c>
      <c r="X49" s="45">
        <f t="shared" si="9"/>
        <v>64.080000000000041</v>
      </c>
      <c r="Y49" s="46">
        <f t="shared" si="9"/>
        <v>65.879999999999939</v>
      </c>
      <c r="Z49" s="45">
        <f t="shared" si="9"/>
        <v>106.38</v>
      </c>
      <c r="AA49" s="45">
        <f t="shared" si="9"/>
        <v>108.36000000000007</v>
      </c>
      <c r="AB49" s="46">
        <f t="shared" si="9"/>
        <v>109.44000000000011</v>
      </c>
      <c r="AC49" s="33"/>
      <c r="AD49" s="4"/>
      <c r="AE49" s="4"/>
      <c r="AF49" s="4"/>
      <c r="AG49" s="4"/>
    </row>
    <row r="50" spans="1:33" x14ac:dyDescent="0.25">
      <c r="A50" t="s">
        <v>84</v>
      </c>
      <c r="B50" s="45">
        <f>B48-B47</f>
        <v>-0.13105415892366076</v>
      </c>
      <c r="C50" s="45">
        <f t="shared" ref="C50:AB50" si="10">C48-C47</f>
        <v>-0.12990341980007239</v>
      </c>
      <c r="D50" s="46">
        <f t="shared" si="10"/>
        <v>-0.13009576107922582</v>
      </c>
      <c r="E50" s="45">
        <f t="shared" si="10"/>
        <v>-1.9244708110077058E-2</v>
      </c>
      <c r="F50" s="45">
        <f t="shared" si="10"/>
        <v>-1.9519861437994945E-2</v>
      </c>
      <c r="G50" s="46">
        <f t="shared" si="10"/>
        <v>-1.1408398640956385E-2</v>
      </c>
      <c r="H50" s="45">
        <f t="shared" si="10"/>
        <v>0.1793614079850675</v>
      </c>
      <c r="I50" s="45">
        <f t="shared" si="10"/>
        <v>0.16345689510304059</v>
      </c>
      <c r="J50" s="45">
        <f t="shared" si="10"/>
        <v>0.14913597960826988</v>
      </c>
      <c r="K50" s="45">
        <f t="shared" si="10"/>
        <v>-0.16663137593114891</v>
      </c>
      <c r="L50" s="45">
        <f t="shared" si="10"/>
        <v>-0.20058859909981144</v>
      </c>
      <c r="M50" s="45">
        <f t="shared" si="10"/>
        <v>-0.18602332890185283</v>
      </c>
      <c r="N50" s="45">
        <f t="shared" si="10"/>
        <v>-6.3302182666974904E-2</v>
      </c>
      <c r="O50" s="45">
        <f t="shared" si="10"/>
        <v>-6.3205043370024194E-2</v>
      </c>
      <c r="P50" s="46">
        <f t="shared" si="10"/>
        <v>-6.4069396818999452E-2</v>
      </c>
      <c r="Q50" s="45">
        <f t="shared" si="10"/>
        <v>0.13160508534491105</v>
      </c>
      <c r="R50" s="45">
        <f t="shared" si="10"/>
        <v>0.12733076014493494</v>
      </c>
      <c r="S50" s="46">
        <f t="shared" si="10"/>
        <v>0.11271307492423605</v>
      </c>
      <c r="T50" s="45">
        <f t="shared" si="10"/>
        <v>-0.20614622364249885</v>
      </c>
      <c r="U50" s="45">
        <f t="shared" si="10"/>
        <v>-0.20578966039152702</v>
      </c>
      <c r="V50" s="46">
        <f t="shared" si="10"/>
        <v>-0.20886446843053202</v>
      </c>
      <c r="W50" s="45">
        <f t="shared" si="10"/>
        <v>-8.7089773983285323E-2</v>
      </c>
      <c r="X50" s="45">
        <f t="shared" si="10"/>
        <v>-7.9465039623854039E-2</v>
      </c>
      <c r="Y50" s="46">
        <f t="shared" si="10"/>
        <v>-8.7808825182842443E-2</v>
      </c>
      <c r="Z50" s="45">
        <f t="shared" si="10"/>
        <v>0.11520661450186302</v>
      </c>
      <c r="AA50" s="45">
        <f t="shared" si="10"/>
        <v>0.11513863534589734</v>
      </c>
      <c r="AB50" s="46">
        <f t="shared" si="10"/>
        <v>0.11883719837442845</v>
      </c>
      <c r="AC50" s="33"/>
      <c r="AD50" s="4"/>
      <c r="AE50" s="4"/>
      <c r="AF50" s="4"/>
      <c r="AG50" s="4"/>
    </row>
    <row r="51" spans="1:33" x14ac:dyDescent="0.25">
      <c r="A51" t="s">
        <v>83</v>
      </c>
      <c r="B51" s="45">
        <f>B47*(B41-B40)*$B$34</f>
        <v>-0.34033058317944415</v>
      </c>
      <c r="C51" s="45">
        <f t="shared" ref="C51:AB51" si="11">C47*(C41-C40)*$B$34</f>
        <v>-0.37209902456153071</v>
      </c>
      <c r="D51" s="46">
        <f t="shared" si="11"/>
        <v>-0.3857203064087712</v>
      </c>
      <c r="E51" s="45">
        <f t="shared" si="11"/>
        <v>-0.62167742462405762</v>
      </c>
      <c r="F51" s="45">
        <f t="shared" si="11"/>
        <v>-0.66461313016455803</v>
      </c>
      <c r="G51" s="46">
        <f t="shared" si="11"/>
        <v>-0.62195744237293016</v>
      </c>
      <c r="H51" s="45">
        <f t="shared" si="11"/>
        <v>-8.8614146382098774E-2</v>
      </c>
      <c r="I51" s="45">
        <f t="shared" si="11"/>
        <v>-8.4381325650325495E-2</v>
      </c>
      <c r="J51" s="45">
        <f t="shared" si="11"/>
        <v>-0.16545634224946973</v>
      </c>
      <c r="K51" s="45">
        <f t="shared" si="11"/>
        <v>-0.49662408230937621</v>
      </c>
      <c r="L51" s="45">
        <f t="shared" si="11"/>
        <v>-0.54291203174268754</v>
      </c>
      <c r="M51" s="45">
        <f t="shared" si="11"/>
        <v>-0.58940237705712784</v>
      </c>
      <c r="N51" s="45">
        <f t="shared" si="11"/>
        <v>-1.0622036420953369</v>
      </c>
      <c r="O51" s="45">
        <f t="shared" si="11"/>
        <v>-1.0612573580392608</v>
      </c>
      <c r="P51" s="46">
        <f t="shared" si="11"/>
        <v>-1.085026161186895</v>
      </c>
      <c r="Q51" s="45">
        <f t="shared" si="11"/>
        <v>-1.1718562552294354</v>
      </c>
      <c r="R51" s="45">
        <f t="shared" si="11"/>
        <v>-1.0727618834852288</v>
      </c>
      <c r="S51" s="46">
        <f t="shared" si="11"/>
        <v>-1.1965068626122579</v>
      </c>
      <c r="T51" s="45">
        <f t="shared" si="11"/>
        <v>-0.85809938518642792</v>
      </c>
      <c r="U51" s="45">
        <f t="shared" si="11"/>
        <v>-0.83404232054928418</v>
      </c>
      <c r="V51" s="46">
        <f t="shared" si="11"/>
        <v>-0.8912286538645029</v>
      </c>
      <c r="W51" s="45">
        <f t="shared" si="11"/>
        <v>-1.3715323004059257</v>
      </c>
      <c r="X51" s="45">
        <f t="shared" si="11"/>
        <v>-1.3991388710050228</v>
      </c>
      <c r="Y51" s="46">
        <f t="shared" si="11"/>
        <v>-1.4555897112976623</v>
      </c>
      <c r="Z51" s="45">
        <f t="shared" si="11"/>
        <v>-2.0903361792217625</v>
      </c>
      <c r="AA51" s="45">
        <f t="shared" si="11"/>
        <v>-2.094627851620372</v>
      </c>
      <c r="AB51" s="46">
        <f t="shared" si="11"/>
        <v>-2.0267408807791965</v>
      </c>
      <c r="AC51" s="33"/>
      <c r="AD51" s="4"/>
      <c r="AE51" s="4"/>
      <c r="AF51" s="4"/>
      <c r="AG51" s="4"/>
    </row>
    <row r="52" spans="1:33" x14ac:dyDescent="0.25">
      <c r="A52" t="s">
        <v>89</v>
      </c>
      <c r="B52" s="45">
        <f>$B$34*LN(B40/B$40)-1.986/28.97*LN(B37/B$37)</f>
        <v>0</v>
      </c>
      <c r="C52" s="45">
        <f t="shared" ref="C52:AB52" si="12">$B$34*LN(C40/C$40)-1.986/28.97*LN(C37/C$37)</f>
        <v>0</v>
      </c>
      <c r="D52" s="46">
        <f t="shared" si="12"/>
        <v>0</v>
      </c>
      <c r="E52" s="45">
        <f t="shared" si="12"/>
        <v>0</v>
      </c>
      <c r="F52" s="45">
        <f t="shared" si="12"/>
        <v>0</v>
      </c>
      <c r="G52" s="46">
        <f t="shared" si="12"/>
        <v>0</v>
      </c>
      <c r="H52" s="45">
        <f t="shared" si="12"/>
        <v>0</v>
      </c>
      <c r="I52" s="45">
        <f t="shared" si="12"/>
        <v>0</v>
      </c>
      <c r="J52" s="45">
        <f t="shared" si="12"/>
        <v>0</v>
      </c>
      <c r="K52" s="45">
        <f t="shared" si="12"/>
        <v>0</v>
      </c>
      <c r="L52" s="45">
        <f t="shared" si="12"/>
        <v>0</v>
      </c>
      <c r="M52" s="45">
        <f t="shared" si="12"/>
        <v>0</v>
      </c>
      <c r="N52" s="45">
        <f t="shared" si="12"/>
        <v>0</v>
      </c>
      <c r="O52" s="45">
        <f t="shared" si="12"/>
        <v>0</v>
      </c>
      <c r="P52" s="46">
        <f t="shared" si="12"/>
        <v>0</v>
      </c>
      <c r="Q52" s="45">
        <f t="shared" si="12"/>
        <v>0</v>
      </c>
      <c r="R52" s="45">
        <f t="shared" si="12"/>
        <v>0</v>
      </c>
      <c r="S52" s="46">
        <f t="shared" si="12"/>
        <v>0</v>
      </c>
      <c r="T52" s="45">
        <f t="shared" si="12"/>
        <v>0</v>
      </c>
      <c r="U52" s="45">
        <f t="shared" si="12"/>
        <v>0</v>
      </c>
      <c r="V52" s="46">
        <f t="shared" si="12"/>
        <v>0</v>
      </c>
      <c r="W52" s="45">
        <f t="shared" si="12"/>
        <v>0</v>
      </c>
      <c r="X52" s="45">
        <f t="shared" si="12"/>
        <v>0</v>
      </c>
      <c r="Y52" s="46">
        <f t="shared" si="12"/>
        <v>0</v>
      </c>
      <c r="Z52" s="45">
        <f t="shared" si="12"/>
        <v>0</v>
      </c>
      <c r="AA52" s="45">
        <f t="shared" si="12"/>
        <v>0</v>
      </c>
      <c r="AB52" s="46">
        <f t="shared" si="12"/>
        <v>0</v>
      </c>
      <c r="AC52" s="33"/>
      <c r="AD52" s="4"/>
      <c r="AE52" s="4"/>
      <c r="AF52" s="4"/>
      <c r="AG52" s="4"/>
    </row>
    <row r="53" spans="1:33" x14ac:dyDescent="0.25">
      <c r="A53" t="s">
        <v>90</v>
      </c>
      <c r="B53" s="45">
        <f>$B$34*LN(B41/B$40)-1.986/28.97*LN(B38/B$37)</f>
        <v>9.2413661223573765E-2</v>
      </c>
      <c r="C53" s="45">
        <f t="shared" ref="C53:AB53" si="13">$B$34*LN(C41/C$40)-1.986/28.97*LN(C38/C$37)</f>
        <v>9.2551063656120813E-2</v>
      </c>
      <c r="D53" s="46">
        <f t="shared" si="13"/>
        <v>9.2380941334015906E-2</v>
      </c>
      <c r="E53" s="45">
        <f t="shared" si="13"/>
        <v>8.6338972475125578E-2</v>
      </c>
      <c r="F53" s="45">
        <f t="shared" si="13"/>
        <v>8.5514519264065295E-2</v>
      </c>
      <c r="G53" s="46">
        <f t="shared" si="13"/>
        <v>8.6236868588782392E-2</v>
      </c>
      <c r="H53" s="45">
        <f t="shared" si="13"/>
        <v>7.4945070953158721E-2</v>
      </c>
      <c r="I53" s="45">
        <f t="shared" si="13"/>
        <v>7.6109252340380351E-2</v>
      </c>
      <c r="J53" s="45">
        <f t="shared" si="13"/>
        <v>7.6571653228093617E-2</v>
      </c>
      <c r="K53" s="45">
        <f t="shared" si="13"/>
        <v>0.11284057484666694</v>
      </c>
      <c r="L53" s="45">
        <f t="shared" si="13"/>
        <v>0.11233227336132519</v>
      </c>
      <c r="M53" s="45">
        <f t="shared" si="13"/>
        <v>0.11201784272259895</v>
      </c>
      <c r="N53" s="45">
        <f t="shared" si="13"/>
        <v>0.10630738865522041</v>
      </c>
      <c r="O53" s="45">
        <f t="shared" si="13"/>
        <v>0.1063300644911342</v>
      </c>
      <c r="P53" s="46">
        <f t="shared" si="13"/>
        <v>0.10578439229622295</v>
      </c>
      <c r="Q53" s="45">
        <f t="shared" si="13"/>
        <v>8.8947691434425172E-2</v>
      </c>
      <c r="R53" s="45">
        <f t="shared" si="13"/>
        <v>8.8403605295019311E-2</v>
      </c>
      <c r="S53" s="46">
        <f t="shared" si="13"/>
        <v>8.8251647845128456E-2</v>
      </c>
      <c r="T53" s="45">
        <f t="shared" si="13"/>
        <v>0.12538281564547268</v>
      </c>
      <c r="U53" s="45">
        <f t="shared" si="13"/>
        <v>0.1255568692736744</v>
      </c>
      <c r="V53" s="46">
        <f t="shared" si="13"/>
        <v>0.12530402786800093</v>
      </c>
      <c r="W53" s="45">
        <f t="shared" si="13"/>
        <v>0.12166398508093706</v>
      </c>
      <c r="X53" s="45">
        <f t="shared" si="13"/>
        <v>0.12142958909711599</v>
      </c>
      <c r="Y53" s="46">
        <f t="shared" si="13"/>
        <v>0.12088572895066581</v>
      </c>
      <c r="Z53" s="45">
        <f t="shared" si="13"/>
        <v>0.10163947552343711</v>
      </c>
      <c r="AA53" s="45">
        <f t="shared" si="13"/>
        <v>0.10158448943379159</v>
      </c>
      <c r="AB53" s="46">
        <f t="shared" si="13"/>
        <v>0.10042936602477709</v>
      </c>
      <c r="AC53" s="33"/>
      <c r="AD53" s="4"/>
      <c r="AE53" s="4"/>
      <c r="AF53" s="4"/>
      <c r="AG53" s="4"/>
    </row>
    <row r="54" spans="1:33" x14ac:dyDescent="0.25">
      <c r="A54" t="s">
        <v>91</v>
      </c>
      <c r="B54" s="45">
        <f>$B$34*LN(B42/B$40)-1.986/28.97*LN(B39/B$37)</f>
        <v>0.11508593164902299</v>
      </c>
      <c r="C54" s="45">
        <f t="shared" ref="C54:AB54" si="14">$B$34*LN(C42/C$40)-1.986/28.97*LN(C39/C$37)</f>
        <v>0.11535527872637395</v>
      </c>
      <c r="D54" s="46">
        <f t="shared" si="14"/>
        <v>0.11597814877000312</v>
      </c>
      <c r="E54" s="45">
        <f t="shared" si="14"/>
        <v>0.11217076075912899</v>
      </c>
      <c r="F54" s="45">
        <f t="shared" si="14"/>
        <v>0.11283456809432083</v>
      </c>
      <c r="G54" s="46">
        <f t="shared" si="14"/>
        <v>0.11300963683448104</v>
      </c>
      <c r="H54" s="45">
        <f t="shared" si="14"/>
        <v>0.10795287029564027</v>
      </c>
      <c r="I54" s="45">
        <f t="shared" si="14"/>
        <v>0.10850117340618634</v>
      </c>
      <c r="J54" s="45">
        <f t="shared" si="14"/>
        <v>0.10935400435418287</v>
      </c>
      <c r="K54" s="45">
        <f t="shared" si="14"/>
        <v>0.13873820013571517</v>
      </c>
      <c r="L54" s="45">
        <f t="shared" si="14"/>
        <v>0.13865722847502807</v>
      </c>
      <c r="M54" s="45">
        <f t="shared" si="14"/>
        <v>0.13918015297487404</v>
      </c>
      <c r="N54" s="45">
        <f t="shared" si="14"/>
        <v>0.13693677304113577</v>
      </c>
      <c r="O54" s="45">
        <f t="shared" si="14"/>
        <v>0.13698871172159041</v>
      </c>
      <c r="P54" s="46">
        <f t="shared" si="14"/>
        <v>0.13784491339780777</v>
      </c>
      <c r="Q54" s="45">
        <f t="shared" si="14"/>
        <v>0.13400207458330901</v>
      </c>
      <c r="R54" s="45">
        <f t="shared" si="14"/>
        <v>0.13430611587737673</v>
      </c>
      <c r="S54" s="46">
        <f t="shared" si="14"/>
        <v>0.13440317181506936</v>
      </c>
      <c r="T54" s="45">
        <f t="shared" si="14"/>
        <v>0.15535613688813571</v>
      </c>
      <c r="U54" s="45">
        <f t="shared" si="14"/>
        <v>0.15556115772790396</v>
      </c>
      <c r="V54" s="46">
        <f t="shared" si="14"/>
        <v>0.1563369618936182</v>
      </c>
      <c r="W54" s="45">
        <f t="shared" si="14"/>
        <v>0.15527519253660954</v>
      </c>
      <c r="X54" s="45">
        <f t="shared" si="14"/>
        <v>0.15442694011597716</v>
      </c>
      <c r="Y54" s="46">
        <f t="shared" si="14"/>
        <v>0.15498306458555886</v>
      </c>
      <c r="Z54" s="45">
        <f t="shared" si="14"/>
        <v>0.15322519589052899</v>
      </c>
      <c r="AA54" s="45">
        <f t="shared" si="14"/>
        <v>0.15397174794538557</v>
      </c>
      <c r="AB54" s="46">
        <f t="shared" si="14"/>
        <v>0.15352523129068635</v>
      </c>
    </row>
    <row r="55" spans="1:33" x14ac:dyDescent="0.25">
      <c r="A55" t="s">
        <v>92</v>
      </c>
      <c r="B55" s="45">
        <f>B52+B53+B54</f>
        <v>0.20749959287259676</v>
      </c>
      <c r="C55" s="45">
        <f t="shared" ref="C55:AB55" si="15">C52+C53+C54</f>
        <v>0.20790634238249478</v>
      </c>
      <c r="D55" s="46">
        <f t="shared" si="15"/>
        <v>0.20835909010401904</v>
      </c>
      <c r="E55" s="45">
        <f t="shared" si="15"/>
        <v>0.19850973323425458</v>
      </c>
      <c r="F55" s="45">
        <f t="shared" si="15"/>
        <v>0.19834908735838613</v>
      </c>
      <c r="G55" s="46">
        <f t="shared" si="15"/>
        <v>0.19924650542326344</v>
      </c>
      <c r="H55" s="45">
        <f t="shared" si="15"/>
        <v>0.18289794124879899</v>
      </c>
      <c r="I55" s="45">
        <f t="shared" si="15"/>
        <v>0.18461042574656669</v>
      </c>
      <c r="J55" s="45">
        <f t="shared" si="15"/>
        <v>0.18592565758227647</v>
      </c>
      <c r="K55" s="45">
        <f t="shared" si="15"/>
        <v>0.25157877498238213</v>
      </c>
      <c r="L55" s="45">
        <f t="shared" si="15"/>
        <v>0.25098950183635327</v>
      </c>
      <c r="M55" s="45">
        <f t="shared" si="15"/>
        <v>0.25119799569747298</v>
      </c>
      <c r="N55" s="45">
        <f t="shared" si="15"/>
        <v>0.24324416169635618</v>
      </c>
      <c r="O55" s="45">
        <f t="shared" si="15"/>
        <v>0.24331877621272463</v>
      </c>
      <c r="P55" s="46">
        <f t="shared" si="15"/>
        <v>0.24362930569403074</v>
      </c>
      <c r="Q55" s="45">
        <f t="shared" si="15"/>
        <v>0.2229497660177342</v>
      </c>
      <c r="R55" s="45">
        <f t="shared" si="15"/>
        <v>0.22270972117239604</v>
      </c>
      <c r="S55" s="46">
        <f t="shared" si="15"/>
        <v>0.22265481966019782</v>
      </c>
      <c r="T55" s="45">
        <f t="shared" si="15"/>
        <v>0.28073895253360837</v>
      </c>
      <c r="U55" s="45">
        <f t="shared" si="15"/>
        <v>0.2811180270015784</v>
      </c>
      <c r="V55" s="46">
        <f t="shared" si="15"/>
        <v>0.28164098976161911</v>
      </c>
      <c r="W55" s="45">
        <f t="shared" si="15"/>
        <v>0.27693917761754661</v>
      </c>
      <c r="X55" s="45">
        <f t="shared" si="15"/>
        <v>0.27585652921309312</v>
      </c>
      <c r="Y55" s="46">
        <f t="shared" si="15"/>
        <v>0.27586879353622468</v>
      </c>
      <c r="Z55" s="45">
        <f t="shared" si="15"/>
        <v>0.25486467141396607</v>
      </c>
      <c r="AA55" s="45">
        <f t="shared" si="15"/>
        <v>0.25555623737917715</v>
      </c>
      <c r="AB55" s="46">
        <f t="shared" si="15"/>
        <v>0.25395459731546344</v>
      </c>
      <c r="AC55" s="4"/>
      <c r="AD55" s="4"/>
      <c r="AE55" s="4"/>
      <c r="AF55" s="4"/>
      <c r="AG55" s="4"/>
    </row>
    <row r="56" spans="1:33" x14ac:dyDescent="0.25">
      <c r="A56" t="s">
        <v>94</v>
      </c>
      <c r="B56" s="45">
        <f>B48*$B$34*(B42-B40)+(B47*$B$34*(B41-B40))</f>
        <v>-0.14509004149131371</v>
      </c>
      <c r="C56" s="45">
        <f t="shared" ref="C56:AB56" si="16">C48*$B$34*(C42-C40)+(C47*$B$34*(C41-C40))</f>
        <v>-0.1686378770241008</v>
      </c>
      <c r="D56" s="46">
        <f t="shared" si="16"/>
        <v>-0.17452659387471101</v>
      </c>
      <c r="E56" s="45">
        <f t="shared" si="16"/>
        <v>-9.0539984535101037E-2</v>
      </c>
      <c r="F56" s="45">
        <f t="shared" si="16"/>
        <v>-0.10421158969208311</v>
      </c>
      <c r="G56" s="46">
        <f t="shared" si="16"/>
        <v>3.3877413061016437E-3</v>
      </c>
      <c r="H56" s="45">
        <f t="shared" si="16"/>
        <v>0.72526935587748342</v>
      </c>
      <c r="I56" s="45">
        <f t="shared" si="16"/>
        <v>0.71162478747661773</v>
      </c>
      <c r="J56" s="45">
        <f t="shared" si="16"/>
        <v>0.67468945667478242</v>
      </c>
      <c r="K56" s="45">
        <f t="shared" si="16"/>
        <v>-7.2991515459664813E-2</v>
      </c>
      <c r="L56" s="45">
        <f t="shared" si="16"/>
        <v>-0.3615902355606494</v>
      </c>
      <c r="M56" s="45">
        <f t="shared" si="16"/>
        <v>-0.33364383247237211</v>
      </c>
      <c r="N56" s="45">
        <f t="shared" si="16"/>
        <v>-0.30438052964647266</v>
      </c>
      <c r="O56" s="45">
        <f t="shared" si="16"/>
        <v>-0.29974930589574456</v>
      </c>
      <c r="P56" s="46">
        <f t="shared" si="16"/>
        <v>-0.2823030482194322</v>
      </c>
      <c r="Q56" s="45">
        <f t="shared" si="16"/>
        <v>0.15474102741317708</v>
      </c>
      <c r="R56" s="45">
        <f t="shared" si="16"/>
        <v>0.21255462216064358</v>
      </c>
      <c r="S56" s="46">
        <f t="shared" si="16"/>
        <v>4.8851007992859685E-2</v>
      </c>
      <c r="T56" s="45">
        <f t="shared" si="16"/>
        <v>-0.29311102216373419</v>
      </c>
      <c r="U56" s="45">
        <f t="shared" si="16"/>
        <v>-0.26026126131631144</v>
      </c>
      <c r="V56" s="46">
        <f t="shared" si="16"/>
        <v>-0.35534552755502014</v>
      </c>
      <c r="W56" s="45">
        <f t="shared" si="16"/>
        <v>-0.27199153868806514</v>
      </c>
      <c r="X56" s="45">
        <f t="shared" si="16"/>
        <v>-0.32549979052025635</v>
      </c>
      <c r="Y56" s="46">
        <f t="shared" si="16"/>
        <v>-0.37983404093044881</v>
      </c>
      <c r="Z56" s="45">
        <f t="shared" si="16"/>
        <v>-0.25436164784065074</v>
      </c>
      <c r="AA56" s="45">
        <f t="shared" si="16"/>
        <v>-0.15872305823879329</v>
      </c>
      <c r="AB56" s="46">
        <f t="shared" si="16"/>
        <v>-0.17855737173527708</v>
      </c>
      <c r="AC56" s="4"/>
      <c r="AD56" s="4"/>
      <c r="AE56" s="4"/>
      <c r="AF56" s="4"/>
      <c r="AG56" s="4"/>
    </row>
    <row r="57" spans="1:33" x14ac:dyDescent="0.25">
      <c r="A57" s="31" t="s">
        <v>93</v>
      </c>
      <c r="B57" s="45">
        <f>B55-B56/Calibration!$N$3</f>
        <v>0.20777177108838701</v>
      </c>
      <c r="C57" s="45">
        <f>C55-C56/Calibration!$N$3</f>
        <v>0.20822269460082277</v>
      </c>
      <c r="D57" s="46">
        <f>D55-D56/Calibration!$N$3</f>
        <v>0.20868648912079865</v>
      </c>
      <c r="E57" s="45">
        <f>E55-E56/Calibration!$N$3</f>
        <v>0.19867957956688465</v>
      </c>
      <c r="F57" s="45">
        <f>F55-F56/Calibration!$N$3</f>
        <v>0.19854458061385369</v>
      </c>
      <c r="G57" s="46">
        <f>G55-G56/Calibration!$N$3</f>
        <v>0.1992401502704578</v>
      </c>
      <c r="H57" s="45">
        <f>H55-H56/Calibration!$N$3</f>
        <v>0.18153738943407019</v>
      </c>
      <c r="I57" s="45">
        <f>I55-I56/Calibration!$N$3</f>
        <v>0.18327547013571518</v>
      </c>
      <c r="J57" s="45">
        <f>J55-J56/Calibration!$N$3</f>
        <v>0.18465998992760677</v>
      </c>
      <c r="K57" s="45">
        <f>K55-K56/Calibration!$N$3</f>
        <v>0.25171570168142665</v>
      </c>
      <c r="L57" s="45">
        <f>L55-L56/Calibration!$N$3</f>
        <v>0.25166781844685593</v>
      </c>
      <c r="M57" s="45">
        <f>M55-M56/Calibration!$N$3</f>
        <v>0.25182388691714841</v>
      </c>
      <c r="N57" s="45">
        <f>N55-N56/Calibration!$N$3</f>
        <v>0.24381515711843296</v>
      </c>
      <c r="O57" s="45">
        <f>O55-O56/Calibration!$N$3</f>
        <v>0.24388108380065068</v>
      </c>
      <c r="P57" s="46">
        <f>P55-P56/Calibration!$N$3</f>
        <v>0.24415888538941677</v>
      </c>
      <c r="Q57" s="45">
        <f>Q55-Q56/Calibration!$N$3</f>
        <v>0.22265948326422494</v>
      </c>
      <c r="R57" s="45">
        <f>R55-R56/Calibration!$N$3</f>
        <v>0.22231098437955338</v>
      </c>
      <c r="S57" s="46">
        <f>S55-S56/Calibration!$N$3</f>
        <v>0.22256317877252291</v>
      </c>
      <c r="T57" s="45">
        <f>T55-T56/Calibration!$N$3</f>
        <v>0.28128880719090238</v>
      </c>
      <c r="U57" s="45">
        <f>U55-U56/Calibration!$N$3</f>
        <v>0.28160625793056765</v>
      </c>
      <c r="V57" s="46">
        <f>V55-V56/Calibration!$N$3</f>
        <v>0.28230759176052173</v>
      </c>
      <c r="W57" s="45">
        <f>W55-W56/Calibration!$N$3</f>
        <v>0.27744941368164339</v>
      </c>
      <c r="X57" s="45">
        <f>X55-X56/Calibration!$N$3</f>
        <v>0.27646714281078244</v>
      </c>
      <c r="Y57" s="46">
        <f>Y55-Y56/Calibration!$N$3</f>
        <v>0.2765813341799121</v>
      </c>
      <c r="Z57" s="45">
        <f>Z55-Z56/Calibration!$N$3</f>
        <v>0.25534183510323888</v>
      </c>
      <c r="AA57" s="45">
        <f>AA55-AA56/Calibration!$N$3</f>
        <v>0.25585399012879501</v>
      </c>
      <c r="AB57" s="46">
        <f>AB55-AB56/Calibration!$N$3</f>
        <v>0.2542895577741936</v>
      </c>
      <c r="AC57" s="4"/>
      <c r="AD57" s="4"/>
      <c r="AE57" s="4"/>
      <c r="AF57" s="4"/>
      <c r="AG57" s="4"/>
    </row>
    <row r="58" spans="1:33" x14ac:dyDescent="0.25">
      <c r="B58" s="4"/>
      <c r="C58" s="4"/>
      <c r="E58" s="4"/>
      <c r="F58" s="4"/>
      <c r="H58" s="4"/>
      <c r="I58" s="4"/>
      <c r="J58" s="4"/>
      <c r="K58" s="4"/>
      <c r="L58" s="4"/>
      <c r="M58" s="4"/>
      <c r="N58" s="4"/>
      <c r="O58" s="4"/>
      <c r="Q58" s="4"/>
      <c r="R58" s="4"/>
      <c r="T58" s="4"/>
      <c r="U58" s="4"/>
      <c r="W58" s="4"/>
      <c r="X58" s="4"/>
      <c r="Z58" s="4"/>
      <c r="AA58" s="4"/>
      <c r="AC58" s="4"/>
      <c r="AD58" s="4"/>
      <c r="AE58" s="4"/>
      <c r="AF58" s="4"/>
      <c r="AG58" s="4"/>
    </row>
    <row r="59" spans="1:33" x14ac:dyDescent="0.25">
      <c r="B59" s="4"/>
      <c r="C59" s="4"/>
      <c r="E59" s="4"/>
      <c r="F59" s="4"/>
      <c r="H59" s="4"/>
      <c r="I59" s="4"/>
      <c r="J59" s="4"/>
      <c r="K59" s="4"/>
      <c r="L59" s="4"/>
      <c r="M59" s="4"/>
      <c r="N59" s="4"/>
      <c r="O59" s="4"/>
      <c r="Q59" s="4"/>
      <c r="R59" s="4"/>
      <c r="T59" s="4"/>
      <c r="U59" s="4"/>
      <c r="W59" s="4"/>
      <c r="X59" s="4"/>
      <c r="Z59" s="4"/>
      <c r="AA59" s="4"/>
      <c r="AC59" s="4"/>
      <c r="AD59" s="4"/>
      <c r="AE59" s="4"/>
      <c r="AF59" s="4"/>
      <c r="AG59" s="4"/>
    </row>
    <row r="60" spans="1:33" x14ac:dyDescent="0.25">
      <c r="B60" s="4"/>
      <c r="C60" s="4"/>
      <c r="E60" s="4"/>
      <c r="F60" s="4"/>
      <c r="H60" s="4"/>
      <c r="I60" s="4"/>
      <c r="J60" s="4"/>
      <c r="K60" s="4"/>
      <c r="L60" s="4"/>
      <c r="M60" s="4"/>
      <c r="N60" s="4"/>
      <c r="O60" s="4"/>
      <c r="Q60" s="4"/>
      <c r="R60" s="4"/>
      <c r="T60" s="4"/>
      <c r="U60" s="4"/>
      <c r="W60" s="4"/>
      <c r="X60" s="4"/>
      <c r="Z60" s="4"/>
      <c r="AA60" s="4"/>
      <c r="AC60" s="4"/>
      <c r="AD60" s="4"/>
      <c r="AE60" s="4"/>
      <c r="AF60" s="4"/>
      <c r="AG60" s="4"/>
    </row>
    <row r="61" spans="1:33" x14ac:dyDescent="0.25">
      <c r="B61" s="4"/>
      <c r="C61" s="4"/>
      <c r="E61" s="4"/>
      <c r="F61" s="4"/>
      <c r="H61" s="4"/>
      <c r="I61" s="4"/>
      <c r="J61" s="4"/>
      <c r="K61" s="4"/>
      <c r="L61" s="4"/>
      <c r="M61" s="4"/>
      <c r="N61" s="4"/>
      <c r="O61" s="4"/>
      <c r="Q61" s="4"/>
      <c r="R61" s="4"/>
      <c r="T61" s="4"/>
      <c r="U61" s="4"/>
      <c r="W61" s="4"/>
      <c r="X61" s="4"/>
      <c r="Z61" s="4"/>
      <c r="AA61" s="4"/>
      <c r="AC61" s="4"/>
      <c r="AD61" s="4"/>
      <c r="AE61" s="4"/>
      <c r="AF61" s="4"/>
      <c r="AG61" s="4"/>
    </row>
    <row r="62" spans="1:33" x14ac:dyDescent="0.25">
      <c r="B62" s="4"/>
      <c r="C62" s="4"/>
      <c r="E62" s="4"/>
      <c r="F62" s="4"/>
      <c r="H62" s="4"/>
      <c r="I62" s="4"/>
      <c r="J62" s="4"/>
      <c r="K62" s="4"/>
      <c r="L62" s="4"/>
      <c r="M62" s="4"/>
      <c r="N62" s="4"/>
      <c r="O62" s="4"/>
      <c r="Q62" s="4"/>
      <c r="R62" s="4"/>
      <c r="T62" s="4"/>
      <c r="U62" s="4"/>
      <c r="W62" s="4"/>
      <c r="X62" s="4"/>
      <c r="Z62" s="4"/>
      <c r="AA62" s="4"/>
      <c r="AC62" s="4"/>
      <c r="AD62" s="4"/>
      <c r="AE62" s="4"/>
      <c r="AF62" s="4"/>
      <c r="AG62" s="4"/>
    </row>
    <row r="63" spans="1:33" x14ac:dyDescent="0.25">
      <c r="B63" s="4"/>
      <c r="C63" s="4"/>
      <c r="E63" s="4"/>
      <c r="F63" s="4"/>
      <c r="H63" s="4"/>
      <c r="I63" s="4"/>
      <c r="J63" s="4"/>
      <c r="K63" s="4"/>
      <c r="L63" s="4"/>
      <c r="M63" s="4"/>
      <c r="N63" s="4"/>
      <c r="O63" s="4"/>
      <c r="Q63" s="4"/>
      <c r="R63" s="4"/>
      <c r="T63" s="4"/>
      <c r="U63" s="4"/>
      <c r="W63" s="4"/>
      <c r="X63" s="4"/>
      <c r="Z63" s="4"/>
      <c r="AA63" s="4"/>
      <c r="AC63" s="4"/>
      <c r="AD63" s="4"/>
      <c r="AE63" s="4"/>
      <c r="AF63" s="4"/>
      <c r="AG63" s="4"/>
    </row>
    <row r="64" spans="1:33" x14ac:dyDescent="0.25">
      <c r="B64" s="4"/>
      <c r="C64" s="4"/>
      <c r="E64" s="4"/>
      <c r="F64" s="4"/>
      <c r="H64" s="4"/>
      <c r="I64" s="4"/>
      <c r="J64" s="4"/>
      <c r="K64" s="4"/>
      <c r="L64" s="4"/>
      <c r="M64" s="4"/>
      <c r="N64" s="4"/>
      <c r="O64" s="4"/>
      <c r="Q64" s="4"/>
      <c r="R64" s="4"/>
      <c r="T64" s="4"/>
      <c r="U64" s="4"/>
      <c r="W64" s="4"/>
      <c r="X64" s="4"/>
      <c r="Z64" s="4"/>
      <c r="AA64" s="4"/>
      <c r="AC64" s="4"/>
      <c r="AD64" s="4"/>
      <c r="AE64" s="4"/>
      <c r="AF64" s="4"/>
      <c r="AG64" s="4"/>
    </row>
    <row r="65" spans="2:33" x14ac:dyDescent="0.25">
      <c r="B65" s="4"/>
      <c r="C65" s="4"/>
      <c r="E65" s="4"/>
      <c r="F65" s="4"/>
      <c r="H65" s="4"/>
      <c r="I65" s="4"/>
      <c r="J65" s="4"/>
      <c r="K65" s="4"/>
      <c r="L65" s="4"/>
      <c r="M65" s="4"/>
      <c r="N65" s="4"/>
      <c r="O65" s="4"/>
      <c r="Q65" s="4"/>
      <c r="R65" s="4"/>
      <c r="T65" s="4"/>
      <c r="U65" s="4"/>
      <c r="W65" s="4"/>
      <c r="X65" s="4"/>
      <c r="Z65" s="4"/>
      <c r="AA65" s="4"/>
      <c r="AC65" s="4"/>
      <c r="AD65" s="4"/>
      <c r="AE65" s="4"/>
      <c r="AF65" s="4"/>
      <c r="AG65" s="4"/>
    </row>
    <row r="66" spans="2:33" x14ac:dyDescent="0.25">
      <c r="B66" s="4"/>
      <c r="C66" s="4"/>
      <c r="E66" s="4"/>
      <c r="F66" s="4"/>
      <c r="H66" s="4"/>
      <c r="I66" s="4"/>
      <c r="J66" s="4"/>
      <c r="K66" s="4"/>
      <c r="L66" s="4"/>
      <c r="M66" s="4"/>
      <c r="N66" s="4"/>
      <c r="O66" s="4"/>
      <c r="Q66" s="4"/>
      <c r="R66" s="4"/>
      <c r="T66" s="4"/>
      <c r="U66" s="4"/>
      <c r="W66" s="4"/>
      <c r="X66" s="4"/>
      <c r="Z66" s="4"/>
      <c r="AA66" s="4"/>
      <c r="AC66" s="4"/>
      <c r="AD66" s="4"/>
      <c r="AE66" s="4"/>
      <c r="AF66" s="4"/>
      <c r="AG66" s="4"/>
    </row>
    <row r="67" spans="2:33" x14ac:dyDescent="0.25">
      <c r="B67" s="4"/>
      <c r="C67" s="4"/>
      <c r="E67" s="4"/>
      <c r="F67" s="4"/>
      <c r="H67" s="4"/>
      <c r="I67" s="4"/>
      <c r="J67" s="4"/>
      <c r="K67" s="4"/>
      <c r="L67" s="4"/>
      <c r="M67" s="4"/>
      <c r="N67" s="4"/>
      <c r="O67" s="4"/>
      <c r="Q67" s="4"/>
      <c r="R67" s="4"/>
      <c r="T67" s="4"/>
      <c r="U67" s="4"/>
      <c r="W67" s="4"/>
      <c r="X67" s="4"/>
      <c r="Z67" s="4"/>
      <c r="AA67" s="4"/>
      <c r="AC67" s="4"/>
      <c r="AD67" s="4"/>
      <c r="AE67" s="4"/>
      <c r="AF67" s="4"/>
      <c r="AG67" s="4"/>
    </row>
    <row r="68" spans="2:33" x14ac:dyDescent="0.25">
      <c r="B68" s="4"/>
      <c r="C68" s="4"/>
      <c r="E68" s="4"/>
      <c r="F68" s="4"/>
      <c r="H68" s="4"/>
      <c r="I68" s="4"/>
      <c r="J68" s="4"/>
      <c r="K68" s="4"/>
      <c r="L68" s="4"/>
      <c r="M68" s="4"/>
      <c r="N68" s="4"/>
      <c r="O68" s="4"/>
      <c r="Q68" s="4"/>
      <c r="R68" s="4"/>
      <c r="T68" s="4"/>
      <c r="U68" s="4"/>
      <c r="W68" s="4"/>
      <c r="X68" s="4"/>
      <c r="Z68" s="4"/>
      <c r="AA68" s="4"/>
      <c r="AC68" s="4"/>
      <c r="AD68" s="4"/>
      <c r="AE68" s="4"/>
      <c r="AF68" s="4"/>
      <c r="AG68" s="4"/>
    </row>
    <row r="69" spans="2:33" x14ac:dyDescent="0.25">
      <c r="B69" s="4"/>
      <c r="C69" s="4"/>
      <c r="E69" s="4"/>
      <c r="F69" s="4"/>
      <c r="H69" s="4"/>
      <c r="I69" s="4"/>
      <c r="J69" s="4"/>
      <c r="K69" s="4"/>
      <c r="L69" s="4"/>
      <c r="M69" s="4"/>
      <c r="N69" s="4"/>
      <c r="O69" s="4"/>
      <c r="Q69" s="4"/>
      <c r="R69" s="4"/>
      <c r="T69" s="4"/>
      <c r="U69" s="4"/>
      <c r="W69" s="4"/>
      <c r="X69" s="4"/>
      <c r="Z69" s="4"/>
      <c r="AA69" s="4"/>
      <c r="AC69" s="4"/>
      <c r="AD69" s="4"/>
      <c r="AE69" s="4"/>
      <c r="AF69" s="4"/>
      <c r="AG69" s="4"/>
    </row>
    <row r="70" spans="2:33" x14ac:dyDescent="0.25">
      <c r="B70" s="4"/>
      <c r="C70" s="4"/>
      <c r="E70" s="4"/>
      <c r="F70" s="4"/>
      <c r="H70" s="4"/>
      <c r="I70" s="4"/>
      <c r="J70" s="4"/>
      <c r="K70" s="4"/>
      <c r="L70" s="4"/>
      <c r="M70" s="4"/>
      <c r="N70" s="4"/>
      <c r="O70" s="4"/>
      <c r="Q70" s="4"/>
      <c r="R70" s="4"/>
      <c r="T70" s="4"/>
      <c r="U70" s="4"/>
      <c r="W70" s="4"/>
      <c r="X70" s="4"/>
      <c r="Z70" s="4"/>
      <c r="AA70" s="4"/>
      <c r="AC70" s="4"/>
      <c r="AD70" s="4"/>
      <c r="AE70" s="4"/>
      <c r="AF70" s="4"/>
      <c r="AG70" s="4"/>
    </row>
    <row r="71" spans="2:33" x14ac:dyDescent="0.25">
      <c r="B71" s="4"/>
      <c r="C71" s="4"/>
      <c r="E71" s="4"/>
      <c r="F71" s="4"/>
      <c r="H71" s="4"/>
      <c r="I71" s="4"/>
      <c r="J71" s="4"/>
      <c r="K71" s="4"/>
      <c r="L71" s="4"/>
      <c r="M71" s="4"/>
      <c r="N71" s="4"/>
      <c r="O71" s="4"/>
      <c r="Q71" s="4"/>
      <c r="R71" s="4"/>
      <c r="T71" s="4"/>
      <c r="U71" s="4"/>
      <c r="W71" s="4"/>
      <c r="X71" s="4"/>
      <c r="Z71" s="4"/>
      <c r="AA71" s="4"/>
      <c r="AC71" s="4"/>
      <c r="AD71" s="4"/>
      <c r="AE71" s="4"/>
      <c r="AF71" s="4"/>
      <c r="AG71" s="4"/>
    </row>
    <row r="72" spans="2:33" x14ac:dyDescent="0.25">
      <c r="B72" s="4"/>
      <c r="C72" s="4"/>
      <c r="E72" s="4"/>
      <c r="F72" s="4"/>
      <c r="H72" s="4"/>
      <c r="I72" s="4"/>
      <c r="J72" s="4"/>
      <c r="K72" s="4"/>
      <c r="L72" s="4"/>
      <c r="M72" s="4"/>
      <c r="N72" s="4"/>
      <c r="O72" s="4"/>
      <c r="Q72" s="4"/>
      <c r="R72" s="4"/>
      <c r="T72" s="4"/>
      <c r="U72" s="4"/>
      <c r="W72" s="4"/>
      <c r="X72" s="4"/>
      <c r="Z72" s="4"/>
      <c r="AA72" s="4"/>
      <c r="AC72" s="4"/>
      <c r="AD72" s="4"/>
      <c r="AE72" s="4"/>
      <c r="AF72" s="4"/>
      <c r="AG72" s="4"/>
    </row>
    <row r="73" spans="2:33" x14ac:dyDescent="0.25">
      <c r="B73" s="4"/>
      <c r="C73" s="4"/>
      <c r="E73" s="4"/>
      <c r="F73" s="4"/>
      <c r="H73" s="4"/>
      <c r="I73" s="4"/>
      <c r="J73" s="4"/>
      <c r="K73" s="4"/>
      <c r="L73" s="4"/>
      <c r="M73" s="4"/>
      <c r="N73" s="4"/>
      <c r="O73" s="4"/>
      <c r="Q73" s="4"/>
      <c r="R73" s="4"/>
      <c r="T73" s="4"/>
      <c r="U73" s="4"/>
      <c r="W73" s="4"/>
      <c r="X73" s="4"/>
      <c r="Z73" s="4"/>
      <c r="AA73" s="4"/>
      <c r="AC73" s="4"/>
      <c r="AD73" s="4"/>
      <c r="AE73" s="4"/>
      <c r="AF73" s="4"/>
      <c r="AG73" s="4"/>
    </row>
    <row r="74" spans="2:33" x14ac:dyDescent="0.25">
      <c r="B74" s="4"/>
      <c r="C74" s="4"/>
      <c r="E74" s="4"/>
      <c r="F74" s="4"/>
      <c r="H74" s="4"/>
      <c r="I74" s="4"/>
      <c r="J74" s="4"/>
      <c r="K74" s="4"/>
      <c r="L74" s="4"/>
      <c r="M74" s="4"/>
      <c r="N74" s="4"/>
      <c r="O74" s="4"/>
      <c r="Q74" s="4"/>
      <c r="R74" s="4"/>
      <c r="T74" s="4"/>
      <c r="U74" s="4"/>
      <c r="W74" s="4"/>
      <c r="X74" s="4"/>
      <c r="Z74" s="4"/>
      <c r="AA74" s="4"/>
      <c r="AC74" s="4"/>
      <c r="AD74" s="4"/>
      <c r="AE74" s="4"/>
      <c r="AF74" s="4"/>
      <c r="AG74" s="4"/>
    </row>
    <row r="75" spans="2:33" x14ac:dyDescent="0.25">
      <c r="B75" s="4"/>
      <c r="C75" s="4"/>
      <c r="E75" s="4"/>
      <c r="F75" s="4"/>
      <c r="H75" s="4"/>
      <c r="I75" s="4"/>
      <c r="J75" s="4"/>
      <c r="K75" s="4"/>
      <c r="L75" s="4"/>
      <c r="M75" s="4"/>
      <c r="N75" s="4"/>
      <c r="O75" s="4"/>
      <c r="Q75" s="4"/>
      <c r="R75" s="4"/>
      <c r="T75" s="4"/>
      <c r="U75" s="4"/>
      <c r="W75" s="4"/>
      <c r="X75" s="4"/>
      <c r="Z75" s="4"/>
      <c r="AA75" s="4"/>
      <c r="AC75" s="4"/>
      <c r="AD75" s="4"/>
      <c r="AE75" s="4"/>
      <c r="AF75" s="4"/>
      <c r="AG75" s="4"/>
    </row>
    <row r="76" spans="2:33" x14ac:dyDescent="0.25">
      <c r="B76" s="4"/>
      <c r="C76" s="4"/>
      <c r="E76" s="4"/>
      <c r="F76" s="4"/>
      <c r="H76" s="4"/>
      <c r="I76" s="4"/>
      <c r="J76" s="4"/>
      <c r="K76" s="4"/>
      <c r="L76" s="4"/>
      <c r="M76" s="4"/>
      <c r="N76" s="4"/>
      <c r="O76" s="4"/>
      <c r="Q76" s="4"/>
      <c r="R76" s="4"/>
      <c r="T76" s="4"/>
      <c r="U76" s="4"/>
      <c r="W76" s="4"/>
      <c r="X76" s="4"/>
      <c r="Z76" s="4"/>
      <c r="AA76" s="4"/>
      <c r="AC76" s="4"/>
      <c r="AD76" s="4"/>
      <c r="AE76" s="4"/>
      <c r="AF76" s="4"/>
      <c r="AG76" s="4"/>
    </row>
    <row r="77" spans="2:33" x14ac:dyDescent="0.25">
      <c r="B77" s="4"/>
      <c r="C77" s="4"/>
      <c r="E77" s="4"/>
      <c r="F77" s="4"/>
      <c r="H77" s="4"/>
      <c r="I77" s="4"/>
      <c r="J77" s="4"/>
      <c r="K77" s="4"/>
      <c r="L77" s="4"/>
      <c r="M77" s="4"/>
      <c r="N77" s="4"/>
      <c r="O77" s="4"/>
      <c r="Q77" s="4"/>
      <c r="R77" s="4"/>
      <c r="T77" s="4"/>
      <c r="U77" s="4"/>
      <c r="W77" s="4"/>
      <c r="X77" s="4"/>
      <c r="Z77" s="4"/>
      <c r="AA77" s="4"/>
      <c r="AC77" s="4"/>
      <c r="AD77" s="4"/>
      <c r="AE77" s="4"/>
      <c r="AF77" s="4"/>
      <c r="AG77" s="4"/>
    </row>
    <row r="78" spans="2:33" x14ac:dyDescent="0.25">
      <c r="B78" s="4"/>
      <c r="C78" s="4"/>
      <c r="E78" s="4"/>
      <c r="F78" s="4"/>
      <c r="H78" s="4"/>
      <c r="I78" s="4"/>
      <c r="J78" s="4"/>
      <c r="K78" s="4"/>
      <c r="L78" s="4"/>
      <c r="M78" s="4"/>
      <c r="N78" s="4"/>
      <c r="O78" s="4"/>
      <c r="Q78" s="4"/>
      <c r="R78" s="4"/>
      <c r="T78" s="4"/>
      <c r="U78" s="4"/>
      <c r="W78" s="4"/>
      <c r="X78" s="4"/>
      <c r="Z78" s="4"/>
      <c r="AA78" s="4"/>
      <c r="AC78" s="4"/>
      <c r="AD78" s="4"/>
      <c r="AE78" s="4"/>
      <c r="AF78" s="4"/>
      <c r="AG78" s="4"/>
    </row>
    <row r="79" spans="2:33" x14ac:dyDescent="0.25">
      <c r="B79" s="4"/>
      <c r="C79" s="4"/>
      <c r="E79" s="4"/>
      <c r="F79" s="4"/>
      <c r="H79" s="4"/>
      <c r="I79" s="4"/>
      <c r="J79" s="4"/>
      <c r="K79" s="4"/>
      <c r="L79" s="4"/>
      <c r="M79" s="4"/>
      <c r="N79" s="4"/>
      <c r="O79" s="4"/>
      <c r="Q79" s="4"/>
      <c r="R79" s="4"/>
      <c r="T79" s="4"/>
      <c r="U79" s="4"/>
      <c r="W79" s="4"/>
      <c r="X79" s="4"/>
      <c r="Z79" s="4"/>
      <c r="AA79" s="4"/>
      <c r="AC79" s="4"/>
      <c r="AD79" s="4"/>
      <c r="AE79" s="4"/>
      <c r="AF79" s="4"/>
      <c r="AG79" s="4"/>
    </row>
    <row r="80" spans="2:33" x14ac:dyDescent="0.25">
      <c r="B80" s="4"/>
      <c r="C80" s="4"/>
      <c r="E80" s="4"/>
      <c r="F80" s="4"/>
      <c r="H80" s="4"/>
      <c r="I80" s="4"/>
      <c r="J80" s="4"/>
      <c r="K80" s="4"/>
      <c r="L80" s="4"/>
      <c r="M80" s="4"/>
      <c r="N80" s="4"/>
      <c r="O80" s="4"/>
      <c r="Q80" s="4"/>
      <c r="R80" s="4"/>
      <c r="T80" s="4"/>
      <c r="U80" s="4"/>
      <c r="W80" s="4"/>
      <c r="X80" s="4"/>
      <c r="Z80" s="4"/>
      <c r="AA80" s="4"/>
      <c r="AC80" s="4"/>
      <c r="AD80" s="4"/>
      <c r="AE80" s="4"/>
      <c r="AF80" s="4"/>
      <c r="AG80" s="4"/>
    </row>
    <row r="81" spans="2:33" x14ac:dyDescent="0.25">
      <c r="B81" s="4"/>
      <c r="C81" s="4"/>
      <c r="E81" s="4"/>
      <c r="F81" s="4"/>
      <c r="H81" s="4"/>
      <c r="I81" s="4"/>
      <c r="J81" s="4"/>
      <c r="K81" s="4"/>
      <c r="L81" s="4"/>
      <c r="M81" s="4"/>
      <c r="N81" s="4"/>
      <c r="O81" s="4"/>
      <c r="Q81" s="4"/>
      <c r="R81" s="4"/>
      <c r="T81" s="4"/>
      <c r="U81" s="4"/>
      <c r="W81" s="4"/>
      <c r="X81" s="4"/>
      <c r="Z81" s="4"/>
      <c r="AA81" s="4"/>
      <c r="AC81" s="4"/>
      <c r="AD81" s="4"/>
      <c r="AE81" s="4"/>
      <c r="AF81" s="4"/>
      <c r="AG81" s="4"/>
    </row>
    <row r="82" spans="2:33" x14ac:dyDescent="0.25">
      <c r="B82" s="4"/>
      <c r="C82" s="4"/>
      <c r="E82" s="4"/>
      <c r="F82" s="4"/>
      <c r="H82" s="4"/>
      <c r="I82" s="4"/>
      <c r="J82" s="4"/>
      <c r="K82" s="4"/>
      <c r="L82" s="4"/>
      <c r="M82" s="4"/>
      <c r="N82" s="4"/>
      <c r="O82" s="4"/>
      <c r="Q82" s="4"/>
      <c r="R82" s="4"/>
      <c r="T82" s="4"/>
      <c r="U82" s="4"/>
      <c r="W82" s="4"/>
      <c r="X82" s="4"/>
      <c r="Z82" s="4"/>
      <c r="AA82" s="4"/>
      <c r="AC82" s="4"/>
      <c r="AD82" s="4"/>
      <c r="AE82" s="4"/>
      <c r="AF82" s="4"/>
      <c r="AG82" s="4"/>
    </row>
    <row r="83" spans="2:33" x14ac:dyDescent="0.25">
      <c r="B83" s="4"/>
      <c r="C83" s="4"/>
      <c r="E83" s="4"/>
      <c r="F83" s="4"/>
      <c r="H83" s="4"/>
      <c r="I83" s="4"/>
      <c r="J83" s="4"/>
      <c r="K83" s="4"/>
      <c r="L83" s="4"/>
      <c r="M83" s="4"/>
      <c r="N83" s="4"/>
      <c r="O83" s="4"/>
      <c r="Q83" s="4"/>
      <c r="R83" s="4"/>
      <c r="T83" s="4"/>
      <c r="U83" s="4"/>
      <c r="W83" s="4"/>
      <c r="X83" s="4"/>
      <c r="Z83" s="4"/>
      <c r="AA83" s="4"/>
      <c r="AC83" s="4"/>
      <c r="AD83" s="4"/>
      <c r="AE83" s="4"/>
      <c r="AF83" s="4"/>
      <c r="AG83" s="4"/>
    </row>
    <row r="84" spans="2:33" x14ac:dyDescent="0.25">
      <c r="B84" s="4"/>
      <c r="C84" s="4"/>
      <c r="E84" s="4"/>
      <c r="F84" s="4"/>
      <c r="H84" s="4"/>
      <c r="I84" s="4"/>
      <c r="J84" s="4"/>
      <c r="K84" s="4"/>
      <c r="L84" s="4"/>
      <c r="M84" s="4"/>
      <c r="N84" s="4"/>
      <c r="O84" s="4"/>
      <c r="Q84" s="4"/>
      <c r="R84" s="4"/>
      <c r="T84" s="4"/>
      <c r="U84" s="4"/>
      <c r="W84" s="4"/>
      <c r="X84" s="4"/>
      <c r="Z84" s="4"/>
      <c r="AA84" s="4"/>
      <c r="AC84" s="4"/>
      <c r="AD84" s="4"/>
      <c r="AE84" s="4"/>
      <c r="AF84" s="4"/>
      <c r="AG84" s="4"/>
    </row>
    <row r="85" spans="2:33" x14ac:dyDescent="0.25">
      <c r="B85" s="4"/>
      <c r="C85" s="4"/>
      <c r="E85" s="4"/>
      <c r="F85" s="4"/>
      <c r="H85" s="4"/>
      <c r="I85" s="4"/>
      <c r="J85" s="4"/>
      <c r="K85" s="4"/>
      <c r="L85" s="4"/>
      <c r="M85" s="4"/>
      <c r="N85" s="4"/>
      <c r="O85" s="4"/>
      <c r="Q85" s="4"/>
      <c r="R85" s="4"/>
      <c r="T85" s="4"/>
      <c r="U85" s="4"/>
      <c r="W85" s="4"/>
      <c r="X85" s="4"/>
      <c r="Z85" s="4"/>
      <c r="AA85" s="4"/>
      <c r="AC85" s="4"/>
      <c r="AD85" s="4"/>
      <c r="AE85" s="4"/>
      <c r="AF85" s="4"/>
      <c r="AG85" s="4"/>
    </row>
    <row r="86" spans="2:33" x14ac:dyDescent="0.25">
      <c r="B86" s="4"/>
      <c r="C86" s="4"/>
      <c r="E86" s="4"/>
      <c r="F86" s="4"/>
      <c r="H86" s="4"/>
      <c r="I86" s="4"/>
      <c r="J86" s="4"/>
      <c r="K86" s="4"/>
      <c r="L86" s="4"/>
      <c r="M86" s="4"/>
      <c r="N86" s="4"/>
      <c r="O86" s="4"/>
      <c r="Q86" s="4"/>
      <c r="R86" s="4"/>
      <c r="T86" s="4"/>
      <c r="U86" s="4"/>
      <c r="W86" s="4"/>
      <c r="X86" s="4"/>
      <c r="Z86" s="4"/>
      <c r="AA86" s="4"/>
      <c r="AC86" s="4"/>
      <c r="AD86" s="4"/>
      <c r="AE86" s="4"/>
      <c r="AF86" s="4"/>
      <c r="AG86" s="4"/>
    </row>
    <row r="87" spans="2:33" x14ac:dyDescent="0.25">
      <c r="B87" s="4"/>
      <c r="C87" s="4"/>
      <c r="E87" s="4"/>
      <c r="F87" s="4"/>
      <c r="H87" s="4"/>
      <c r="I87" s="4"/>
      <c r="J87" s="4"/>
      <c r="K87" s="4"/>
      <c r="L87" s="4"/>
      <c r="M87" s="4"/>
      <c r="N87" s="4"/>
      <c r="O87" s="4"/>
      <c r="Q87" s="4"/>
      <c r="R87" s="4"/>
      <c r="T87" s="4"/>
      <c r="U87" s="4"/>
      <c r="W87" s="4"/>
      <c r="X87" s="4"/>
      <c r="Z87" s="4"/>
      <c r="AA87" s="4"/>
      <c r="AC87" s="4"/>
      <c r="AD87" s="4"/>
      <c r="AE87" s="4"/>
      <c r="AF87" s="4"/>
      <c r="AG87" s="4"/>
    </row>
    <row r="88" spans="2:33" x14ac:dyDescent="0.25">
      <c r="B88" s="4"/>
      <c r="C88" s="4"/>
      <c r="E88" s="4"/>
      <c r="F88" s="4"/>
      <c r="H88" s="4"/>
      <c r="I88" s="4"/>
      <c r="J88" s="4"/>
      <c r="K88" s="4"/>
      <c r="L88" s="4"/>
      <c r="M88" s="4"/>
      <c r="N88" s="4"/>
      <c r="O88" s="4"/>
      <c r="Q88" s="4"/>
      <c r="R88" s="4"/>
      <c r="T88" s="4"/>
      <c r="U88" s="4"/>
      <c r="W88" s="4"/>
      <c r="X88" s="4"/>
      <c r="Z88" s="4"/>
      <c r="AA88" s="4"/>
      <c r="AC88" s="4"/>
      <c r="AD88" s="4"/>
      <c r="AE88" s="4"/>
      <c r="AF88" s="4"/>
      <c r="AG88" s="4"/>
    </row>
    <row r="89" spans="2:33" x14ac:dyDescent="0.25">
      <c r="B89" s="4"/>
      <c r="C89" s="4"/>
      <c r="E89" s="4"/>
      <c r="F89" s="4"/>
      <c r="H89" s="4"/>
      <c r="I89" s="4"/>
      <c r="J89" s="4"/>
      <c r="K89" s="4"/>
      <c r="L89" s="4"/>
      <c r="M89" s="4"/>
      <c r="N89" s="4"/>
      <c r="O89" s="4"/>
      <c r="Q89" s="4"/>
      <c r="R89" s="4"/>
      <c r="T89" s="4"/>
      <c r="U89" s="4"/>
      <c r="W89" s="4"/>
      <c r="X89" s="4"/>
      <c r="Z89" s="4"/>
      <c r="AA89" s="4"/>
      <c r="AC89" s="4"/>
      <c r="AD89" s="4"/>
      <c r="AE89" s="4"/>
      <c r="AF89" s="4"/>
      <c r="AG89" s="4"/>
    </row>
    <row r="90" spans="2:33" x14ac:dyDescent="0.25">
      <c r="B90" s="4"/>
      <c r="C90" s="4"/>
      <c r="E90" s="4"/>
      <c r="F90" s="4"/>
      <c r="H90" s="4"/>
      <c r="I90" s="4"/>
      <c r="J90" s="4"/>
      <c r="K90" s="4"/>
      <c r="L90" s="4"/>
      <c r="M90" s="4"/>
      <c r="N90" s="4"/>
      <c r="O90" s="4"/>
      <c r="Q90" s="4"/>
      <c r="R90" s="4"/>
      <c r="T90" s="4"/>
      <c r="U90" s="4"/>
      <c r="W90" s="4"/>
      <c r="X90" s="4"/>
      <c r="Z90" s="4"/>
      <c r="AA90" s="4"/>
      <c r="AC90" s="4"/>
      <c r="AD90" s="4"/>
      <c r="AE90" s="4"/>
      <c r="AF90" s="4"/>
      <c r="AG90" s="4"/>
    </row>
    <row r="91" spans="2:33" x14ac:dyDescent="0.25">
      <c r="B91" s="4"/>
      <c r="C91" s="4"/>
      <c r="E91" s="4"/>
      <c r="F91" s="4"/>
      <c r="H91" s="4"/>
      <c r="I91" s="4"/>
      <c r="J91" s="4"/>
      <c r="K91" s="4"/>
      <c r="L91" s="4"/>
      <c r="M91" s="4"/>
      <c r="N91" s="4"/>
      <c r="O91" s="4"/>
      <c r="Q91" s="4"/>
      <c r="R91" s="4"/>
      <c r="T91" s="4"/>
      <c r="U91" s="4"/>
      <c r="W91" s="4"/>
      <c r="X91" s="4"/>
      <c r="Z91" s="4"/>
      <c r="AA91" s="4"/>
      <c r="AC91" s="4"/>
      <c r="AD91" s="4"/>
      <c r="AE91" s="4"/>
      <c r="AF91" s="4"/>
      <c r="AG91" s="4"/>
    </row>
    <row r="92" spans="2:33" x14ac:dyDescent="0.25">
      <c r="B92" s="4"/>
      <c r="C92" s="4"/>
      <c r="E92" s="4"/>
      <c r="F92" s="4"/>
      <c r="H92" s="4"/>
      <c r="I92" s="4"/>
      <c r="J92" s="4"/>
      <c r="K92" s="4"/>
      <c r="L92" s="4"/>
      <c r="M92" s="4"/>
      <c r="N92" s="4"/>
      <c r="O92" s="4"/>
      <c r="Q92" s="4"/>
      <c r="R92" s="4"/>
      <c r="T92" s="4"/>
      <c r="U92" s="4"/>
      <c r="W92" s="4"/>
      <c r="X92" s="4"/>
      <c r="Z92" s="4"/>
      <c r="AA92" s="4"/>
      <c r="AC92" s="4"/>
      <c r="AD92" s="4"/>
      <c r="AE92" s="4"/>
      <c r="AF92" s="4"/>
      <c r="AG92" s="4"/>
    </row>
    <row r="93" spans="2:33" x14ac:dyDescent="0.25">
      <c r="B93" s="4"/>
      <c r="C93" s="4"/>
      <c r="E93" s="4"/>
      <c r="F93" s="4"/>
      <c r="H93" s="4"/>
      <c r="I93" s="4"/>
      <c r="J93" s="4"/>
      <c r="K93" s="4"/>
      <c r="L93" s="4"/>
      <c r="M93" s="4"/>
      <c r="N93" s="4"/>
      <c r="O93" s="4"/>
      <c r="Q93" s="4"/>
      <c r="R93" s="4"/>
      <c r="T93" s="4"/>
      <c r="U93" s="4"/>
      <c r="W93" s="4"/>
      <c r="X93" s="4"/>
      <c r="Z93" s="4"/>
      <c r="AA93" s="4"/>
      <c r="AC93" s="4"/>
      <c r="AD93" s="4"/>
      <c r="AE93" s="4"/>
      <c r="AF93" s="4"/>
      <c r="AG93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zoomScale="55" zoomScaleNormal="55" zoomScalePageLayoutView="85" workbookViewId="0">
      <pane ySplit="1" topLeftCell="A5" activePane="bottomLeft" state="frozen"/>
      <selection pane="bottomLeft" activeCell="AD33" sqref="AD33"/>
    </sheetView>
  </sheetViews>
  <sheetFormatPr defaultColWidth="8.875" defaultRowHeight="15.75" x14ac:dyDescent="0.25"/>
  <cols>
    <col min="1" max="1" width="35.875" bestFit="1" customWidth="1"/>
    <col min="2" max="2" width="10.375" bestFit="1" customWidth="1"/>
    <col min="3" max="4" width="8.125" bestFit="1" customWidth="1"/>
    <col min="5" max="5" width="10.75" bestFit="1" customWidth="1"/>
    <col min="6" max="6" width="8.5" bestFit="1" customWidth="1"/>
    <col min="7" max="7" width="8.125" bestFit="1" customWidth="1"/>
    <col min="8" max="8" width="10.75" bestFit="1" customWidth="1"/>
    <col min="9" max="9" width="7.625" bestFit="1" customWidth="1"/>
    <col min="10" max="10" width="8.125" bestFit="1" customWidth="1"/>
    <col min="11" max="11" width="10.75" bestFit="1" customWidth="1"/>
    <col min="12" max="13" width="8.125" bestFit="1" customWidth="1"/>
    <col min="14" max="14" width="10.75" bestFit="1" customWidth="1"/>
    <col min="15" max="15" width="8.5" bestFit="1" customWidth="1"/>
    <col min="16" max="16" width="8.125" bestFit="1" customWidth="1"/>
    <col min="17" max="17" width="10.75" bestFit="1" customWidth="1"/>
    <col min="18" max="18" width="7.625" bestFit="1" customWidth="1"/>
    <col min="19" max="19" width="8.125" bestFit="1" customWidth="1"/>
    <col min="20" max="20" width="10.75" bestFit="1" customWidth="1"/>
    <col min="21" max="22" width="8.125" bestFit="1" customWidth="1"/>
    <col min="23" max="23" width="10.75" bestFit="1" customWidth="1"/>
    <col min="24" max="24" width="8.5" bestFit="1" customWidth="1"/>
    <col min="25" max="25" width="8.125" bestFit="1" customWidth="1"/>
    <col min="26" max="26" width="10.75" bestFit="1" customWidth="1"/>
    <col min="27" max="27" width="7.625" bestFit="1" customWidth="1"/>
    <col min="28" max="28" width="8.125" bestFit="1" customWidth="1"/>
  </cols>
  <sheetData>
    <row r="1" spans="1:33" x14ac:dyDescent="0.25">
      <c r="B1" s="6" t="s">
        <v>14</v>
      </c>
      <c r="C1" s="7" t="s">
        <v>33</v>
      </c>
      <c r="D1" s="39" t="s">
        <v>36</v>
      </c>
      <c r="E1" s="38" t="s">
        <v>18</v>
      </c>
      <c r="F1" s="7" t="s">
        <v>38</v>
      </c>
      <c r="G1" s="39" t="s">
        <v>36</v>
      </c>
      <c r="H1" s="38" t="s">
        <v>19</v>
      </c>
      <c r="I1" s="7" t="s">
        <v>35</v>
      </c>
      <c r="J1" s="39" t="s">
        <v>36</v>
      </c>
      <c r="K1" s="38" t="s">
        <v>20</v>
      </c>
      <c r="L1" s="7" t="s">
        <v>33</v>
      </c>
      <c r="M1" s="39" t="s">
        <v>34</v>
      </c>
      <c r="N1" s="38" t="s">
        <v>21</v>
      </c>
      <c r="O1" s="7" t="s">
        <v>38</v>
      </c>
      <c r="P1" s="39" t="s">
        <v>34</v>
      </c>
      <c r="Q1" s="38" t="s">
        <v>22</v>
      </c>
      <c r="R1" s="7" t="s">
        <v>35</v>
      </c>
      <c r="S1" s="39" t="s">
        <v>34</v>
      </c>
      <c r="T1" s="38" t="s">
        <v>23</v>
      </c>
      <c r="U1" s="7" t="s">
        <v>33</v>
      </c>
      <c r="V1" s="39" t="s">
        <v>37</v>
      </c>
      <c r="W1" s="38" t="s">
        <v>24</v>
      </c>
      <c r="X1" s="7" t="s">
        <v>38</v>
      </c>
      <c r="Y1" s="39" t="s">
        <v>37</v>
      </c>
      <c r="Z1" s="38" t="s">
        <v>25</v>
      </c>
      <c r="AA1" s="7" t="s">
        <v>35</v>
      </c>
      <c r="AB1" s="39" t="s">
        <v>37</v>
      </c>
    </row>
    <row r="2" spans="1:33" x14ac:dyDescent="0.25">
      <c r="A2" s="5" t="s">
        <v>40</v>
      </c>
      <c r="B2" s="9" t="s">
        <v>15</v>
      </c>
      <c r="C2" s="2" t="s">
        <v>16</v>
      </c>
      <c r="D2" s="40" t="s">
        <v>17</v>
      </c>
      <c r="E2" s="2" t="s">
        <v>15</v>
      </c>
      <c r="F2" s="2" t="s">
        <v>16</v>
      </c>
      <c r="G2" s="40" t="s">
        <v>17</v>
      </c>
      <c r="H2" s="2" t="s">
        <v>15</v>
      </c>
      <c r="I2" s="2" t="s">
        <v>16</v>
      </c>
      <c r="J2" s="40" t="s">
        <v>17</v>
      </c>
      <c r="K2" s="2" t="s">
        <v>15</v>
      </c>
      <c r="L2" s="2" t="s">
        <v>16</v>
      </c>
      <c r="M2" s="41" t="s">
        <v>17</v>
      </c>
      <c r="N2" s="2" t="s">
        <v>15</v>
      </c>
      <c r="O2" s="2" t="s">
        <v>16</v>
      </c>
      <c r="P2" s="40" t="s">
        <v>17</v>
      </c>
      <c r="Q2" s="2" t="s">
        <v>15</v>
      </c>
      <c r="R2" s="2" t="s">
        <v>16</v>
      </c>
      <c r="S2" s="40" t="s">
        <v>17</v>
      </c>
      <c r="T2" s="2" t="s">
        <v>15</v>
      </c>
      <c r="U2" s="2" t="s">
        <v>16</v>
      </c>
      <c r="V2" s="40" t="s">
        <v>17</v>
      </c>
      <c r="W2" s="2" t="s">
        <v>15</v>
      </c>
      <c r="X2" s="2" t="s">
        <v>16</v>
      </c>
      <c r="Y2" s="40" t="s">
        <v>17</v>
      </c>
      <c r="Z2" s="2" t="s">
        <v>15</v>
      </c>
      <c r="AA2" s="2" t="s">
        <v>16</v>
      </c>
      <c r="AB2" s="41" t="s">
        <v>17</v>
      </c>
      <c r="AC2" s="36"/>
    </row>
    <row r="3" spans="1:33" x14ac:dyDescent="0.25">
      <c r="A3" t="s">
        <v>9</v>
      </c>
      <c r="B3" s="10">
        <v>0.05</v>
      </c>
      <c r="C3" s="10">
        <v>0.05</v>
      </c>
      <c r="D3" s="10">
        <v>0.05</v>
      </c>
      <c r="E3" s="10">
        <v>0.05</v>
      </c>
      <c r="F3" s="10">
        <v>0.05</v>
      </c>
      <c r="G3" s="10">
        <v>0.05</v>
      </c>
      <c r="H3" s="10">
        <v>0.05</v>
      </c>
      <c r="I3" s="10">
        <v>0.05</v>
      </c>
      <c r="J3" s="10">
        <v>0.05</v>
      </c>
      <c r="K3" s="10">
        <v>0.05</v>
      </c>
      <c r="L3" s="10">
        <v>0.05</v>
      </c>
      <c r="M3" s="10">
        <v>0.05</v>
      </c>
      <c r="N3" s="10">
        <v>0.05</v>
      </c>
      <c r="O3" s="10">
        <v>0.05</v>
      </c>
      <c r="P3" s="10">
        <v>0.05</v>
      </c>
      <c r="Q3" s="10">
        <v>0.05</v>
      </c>
      <c r="R3" s="10">
        <v>0.05</v>
      </c>
      <c r="S3" s="10">
        <v>0.05</v>
      </c>
      <c r="T3" s="10">
        <v>0.05</v>
      </c>
      <c r="U3" s="10">
        <v>0.05</v>
      </c>
      <c r="V3" s="10">
        <v>0.05</v>
      </c>
      <c r="W3" s="10">
        <v>0.05</v>
      </c>
      <c r="X3" s="10">
        <v>0.05</v>
      </c>
      <c r="Y3" s="10">
        <v>0.05</v>
      </c>
      <c r="Z3" s="10">
        <v>0.05</v>
      </c>
      <c r="AA3" s="10">
        <v>0.05</v>
      </c>
      <c r="AB3" s="35">
        <v>0.05</v>
      </c>
      <c r="AC3" s="33"/>
      <c r="AD3" s="4"/>
      <c r="AE3" s="4"/>
      <c r="AF3" s="4"/>
      <c r="AG3" s="4"/>
    </row>
    <row r="4" spans="1:33" x14ac:dyDescent="0.25">
      <c r="A4" t="s">
        <v>26</v>
      </c>
      <c r="B4" s="10">
        <v>0.05</v>
      </c>
      <c r="C4" s="10">
        <v>0.05</v>
      </c>
      <c r="D4" s="10">
        <v>0.05</v>
      </c>
      <c r="E4" s="10">
        <v>0.05</v>
      </c>
      <c r="F4" s="10">
        <v>0.05</v>
      </c>
      <c r="G4" s="10">
        <v>0.05</v>
      </c>
      <c r="H4" s="10">
        <v>0.05</v>
      </c>
      <c r="I4" s="10">
        <v>0.05</v>
      </c>
      <c r="J4" s="10">
        <v>0.05</v>
      </c>
      <c r="K4" s="10">
        <v>0.05</v>
      </c>
      <c r="L4" s="10">
        <v>0.05</v>
      </c>
      <c r="M4" s="10">
        <v>0.05</v>
      </c>
      <c r="N4" s="10">
        <v>0.05</v>
      </c>
      <c r="O4" s="10">
        <v>0.05</v>
      </c>
      <c r="P4" s="10">
        <v>0.05</v>
      </c>
      <c r="Q4" s="10">
        <v>0.05</v>
      </c>
      <c r="R4" s="10">
        <v>0.05</v>
      </c>
      <c r="S4" s="10">
        <v>0.05</v>
      </c>
      <c r="T4" s="10">
        <v>0.05</v>
      </c>
      <c r="U4" s="10">
        <v>0.05</v>
      </c>
      <c r="V4" s="10">
        <v>0.05</v>
      </c>
      <c r="W4" s="10">
        <v>0.05</v>
      </c>
      <c r="X4" s="10">
        <v>0.05</v>
      </c>
      <c r="Y4" s="10">
        <v>0.05</v>
      </c>
      <c r="Z4" s="10">
        <v>0.05</v>
      </c>
      <c r="AA4" s="10">
        <v>0.05</v>
      </c>
      <c r="AB4" s="35">
        <v>0.05</v>
      </c>
      <c r="AC4" s="33"/>
      <c r="AD4" s="4"/>
      <c r="AE4" s="4"/>
      <c r="AF4" s="4"/>
      <c r="AG4" s="4"/>
    </row>
    <row r="5" spans="1:33" x14ac:dyDescent="0.25">
      <c r="A5" t="s">
        <v>32</v>
      </c>
      <c r="B5" s="10">
        <f>Calibration!$G$3</f>
        <v>0.36</v>
      </c>
      <c r="C5" s="10">
        <f>Calibration!$G$3</f>
        <v>0.36</v>
      </c>
      <c r="D5" s="10">
        <f>Calibration!$G$3</f>
        <v>0.36</v>
      </c>
      <c r="E5" s="10">
        <f>Calibration!$G$3</f>
        <v>0.36</v>
      </c>
      <c r="F5" s="10">
        <f>Calibration!$G$3</f>
        <v>0.36</v>
      </c>
      <c r="G5" s="10">
        <f>Calibration!$G$3</f>
        <v>0.36</v>
      </c>
      <c r="H5" s="10">
        <f>Calibration!$G$3</f>
        <v>0.36</v>
      </c>
      <c r="I5" s="10">
        <f>Calibration!$G$3</f>
        <v>0.36</v>
      </c>
      <c r="J5" s="10">
        <f>Calibration!$G$3</f>
        <v>0.36</v>
      </c>
      <c r="K5" s="10">
        <f>Calibration!$G$3</f>
        <v>0.36</v>
      </c>
      <c r="L5" s="10">
        <f>Calibration!$G$3</f>
        <v>0.36</v>
      </c>
      <c r="M5" s="10">
        <f>Calibration!$G$3</f>
        <v>0.36</v>
      </c>
      <c r="N5" s="10">
        <f>Calibration!$G$3</f>
        <v>0.36</v>
      </c>
      <c r="O5" s="10">
        <f>Calibration!$G$3</f>
        <v>0.36</v>
      </c>
      <c r="P5" s="10">
        <f>Calibration!$G$3</f>
        <v>0.36</v>
      </c>
      <c r="Q5" s="10">
        <f>Calibration!$G$3</f>
        <v>0.36</v>
      </c>
      <c r="R5" s="10">
        <f>Calibration!$G$3</f>
        <v>0.36</v>
      </c>
      <c r="S5" s="10">
        <f>Calibration!$G$3</f>
        <v>0.36</v>
      </c>
      <c r="T5" s="10">
        <f>Calibration!$G$3</f>
        <v>0.36</v>
      </c>
      <c r="U5" s="10">
        <f>Calibration!$G$3</f>
        <v>0.36</v>
      </c>
      <c r="V5" s="10">
        <f>Calibration!$G$3</f>
        <v>0.36</v>
      </c>
      <c r="W5" s="10">
        <f>Calibration!$G$3</f>
        <v>0.36</v>
      </c>
      <c r="X5" s="10">
        <f>Calibration!$G$3</f>
        <v>0.36</v>
      </c>
      <c r="Y5" s="10">
        <f>Calibration!$G$3</f>
        <v>0.36</v>
      </c>
      <c r="Z5" s="10">
        <f>Calibration!$G$3</f>
        <v>0.36</v>
      </c>
      <c r="AA5" s="10">
        <f>Calibration!$G$3</f>
        <v>0.36</v>
      </c>
      <c r="AB5" s="35">
        <f>Calibration!$G$3</f>
        <v>0.36</v>
      </c>
      <c r="AC5" s="33"/>
      <c r="AD5" s="4"/>
      <c r="AE5" s="4"/>
      <c r="AF5" s="4"/>
      <c r="AG5" s="4"/>
    </row>
    <row r="6" spans="1:33" x14ac:dyDescent="0.25">
      <c r="A6" t="s">
        <v>31</v>
      </c>
      <c r="B6" s="10">
        <f>Calibration!$G$3</f>
        <v>0.36</v>
      </c>
      <c r="C6" s="10">
        <f>Calibration!$G$3</f>
        <v>0.36</v>
      </c>
      <c r="D6" s="10">
        <f>Calibration!$G$3</f>
        <v>0.36</v>
      </c>
      <c r="E6" s="10">
        <f>Calibration!$G$3</f>
        <v>0.36</v>
      </c>
      <c r="F6" s="10">
        <f>Calibration!$G$3</f>
        <v>0.36</v>
      </c>
      <c r="G6" s="10">
        <f>Calibration!$G$3</f>
        <v>0.36</v>
      </c>
      <c r="H6" s="10">
        <f>Calibration!$G$3</f>
        <v>0.36</v>
      </c>
      <c r="I6" s="10">
        <f>Calibration!$G$3</f>
        <v>0.36</v>
      </c>
      <c r="J6" s="10">
        <f>Calibration!$G$3</f>
        <v>0.36</v>
      </c>
      <c r="K6" s="10">
        <f>Calibration!$G$3</f>
        <v>0.36</v>
      </c>
      <c r="L6" s="10">
        <f>Calibration!$G$3</f>
        <v>0.36</v>
      </c>
      <c r="M6" s="10">
        <f>Calibration!$G$3</f>
        <v>0.36</v>
      </c>
      <c r="N6" s="10">
        <f>Calibration!$G$3</f>
        <v>0.36</v>
      </c>
      <c r="O6" s="10">
        <f>Calibration!$G$3</f>
        <v>0.36</v>
      </c>
      <c r="P6" s="10">
        <f>Calibration!$G$3</f>
        <v>0.36</v>
      </c>
      <c r="Q6" s="10">
        <f>Calibration!$G$3</f>
        <v>0.36</v>
      </c>
      <c r="R6" s="10">
        <f>Calibration!$G$3</f>
        <v>0.36</v>
      </c>
      <c r="S6" s="10">
        <f>Calibration!$G$3</f>
        <v>0.36</v>
      </c>
      <c r="T6" s="10">
        <f>Calibration!$G$3</f>
        <v>0.36</v>
      </c>
      <c r="U6" s="10">
        <f>Calibration!$G$3</f>
        <v>0.36</v>
      </c>
      <c r="V6" s="10">
        <f>Calibration!$G$3</f>
        <v>0.36</v>
      </c>
      <c r="W6" s="10">
        <f>Calibration!$G$3</f>
        <v>0.36</v>
      </c>
      <c r="X6" s="10">
        <f>Calibration!$G$3</f>
        <v>0.36</v>
      </c>
      <c r="Y6" s="10">
        <f>Calibration!$G$3</f>
        <v>0.36</v>
      </c>
      <c r="Z6" s="10">
        <f>Calibration!$G$3</f>
        <v>0.36</v>
      </c>
      <c r="AA6" s="10">
        <f>Calibration!$G$3</f>
        <v>0.36</v>
      </c>
      <c r="AB6" s="35">
        <f>Calibration!$G$3</f>
        <v>0.36</v>
      </c>
      <c r="AC6" s="33"/>
      <c r="AD6" s="4"/>
      <c r="AE6" s="4"/>
      <c r="AF6" s="4"/>
      <c r="AG6" s="4"/>
    </row>
    <row r="7" spans="1:33" x14ac:dyDescent="0.25">
      <c r="A7" t="s">
        <v>30</v>
      </c>
      <c r="B7" s="10">
        <f>Calibration!$G$3</f>
        <v>0.36</v>
      </c>
      <c r="C7" s="10">
        <f>Calibration!$G$3</f>
        <v>0.36</v>
      </c>
      <c r="D7" s="10">
        <f>Calibration!$G$3</f>
        <v>0.36</v>
      </c>
      <c r="E7" s="10">
        <f>Calibration!$G$3</f>
        <v>0.36</v>
      </c>
      <c r="F7" s="10">
        <f>Calibration!$G$3</f>
        <v>0.36</v>
      </c>
      <c r="G7" s="10">
        <f>Calibration!$G$3</f>
        <v>0.36</v>
      </c>
      <c r="H7" s="10">
        <f>Calibration!$G$3</f>
        <v>0.36</v>
      </c>
      <c r="I7" s="10">
        <f>Calibration!$G$3</f>
        <v>0.36</v>
      </c>
      <c r="J7" s="10">
        <f>Calibration!$G$3</f>
        <v>0.36</v>
      </c>
      <c r="K7" s="10">
        <f>Calibration!$G$3</f>
        <v>0.36</v>
      </c>
      <c r="L7" s="10">
        <f>Calibration!$G$3</f>
        <v>0.36</v>
      </c>
      <c r="M7" s="10">
        <f>Calibration!$G$3</f>
        <v>0.36</v>
      </c>
      <c r="N7" s="10">
        <f>Calibration!$G$3</f>
        <v>0.36</v>
      </c>
      <c r="O7" s="10">
        <f>Calibration!$G$3</f>
        <v>0.36</v>
      </c>
      <c r="P7" s="10">
        <f>Calibration!$G$3</f>
        <v>0.36</v>
      </c>
      <c r="Q7" s="10">
        <f>Calibration!$G$3</f>
        <v>0.36</v>
      </c>
      <c r="R7" s="10">
        <f>Calibration!$G$3</f>
        <v>0.36</v>
      </c>
      <c r="S7" s="10">
        <f>Calibration!$G$3</f>
        <v>0.36</v>
      </c>
      <c r="T7" s="10">
        <f>Calibration!$G$3</f>
        <v>0.36</v>
      </c>
      <c r="U7" s="10">
        <f>Calibration!$G$3</f>
        <v>0.36</v>
      </c>
      <c r="V7" s="10">
        <f>Calibration!$G$3</f>
        <v>0.36</v>
      </c>
      <c r="W7" s="10">
        <f>Calibration!$G$3</f>
        <v>0.36</v>
      </c>
      <c r="X7" s="10">
        <f>Calibration!$G$3</f>
        <v>0.36</v>
      </c>
      <c r="Y7" s="10">
        <f>Calibration!$G$3</f>
        <v>0.36</v>
      </c>
      <c r="Z7" s="10">
        <f>Calibration!$G$3</f>
        <v>0.36</v>
      </c>
      <c r="AA7" s="10">
        <f>Calibration!$G$3</f>
        <v>0.36</v>
      </c>
      <c r="AB7" s="35">
        <f>Calibration!$G$3</f>
        <v>0.36</v>
      </c>
      <c r="AC7" s="33"/>
      <c r="AD7" s="4"/>
      <c r="AE7" s="4"/>
      <c r="AF7" s="4"/>
      <c r="AG7" s="4"/>
    </row>
    <row r="8" spans="1:33" x14ac:dyDescent="0.25">
      <c r="A8" t="s">
        <v>28</v>
      </c>
      <c r="B8" s="10">
        <v>0.5</v>
      </c>
      <c r="C8" s="10">
        <v>0.5</v>
      </c>
      <c r="D8" s="10">
        <v>0.5</v>
      </c>
      <c r="E8" s="10">
        <v>0.5</v>
      </c>
      <c r="F8" s="10">
        <v>0.5</v>
      </c>
      <c r="G8" s="10">
        <v>0.5</v>
      </c>
      <c r="H8" s="10">
        <v>0.5</v>
      </c>
      <c r="I8" s="10">
        <v>0.5</v>
      </c>
      <c r="J8" s="10">
        <v>0.5</v>
      </c>
      <c r="K8" s="10">
        <v>0.5</v>
      </c>
      <c r="L8" s="10">
        <v>0.5</v>
      </c>
      <c r="M8" s="10">
        <v>0.5</v>
      </c>
      <c r="N8" s="10">
        <v>0.5</v>
      </c>
      <c r="O8" s="10">
        <v>0.5</v>
      </c>
      <c r="P8" s="10">
        <v>0.5</v>
      </c>
      <c r="Q8" s="10">
        <v>0.5</v>
      </c>
      <c r="R8" s="10">
        <v>0.5</v>
      </c>
      <c r="S8" s="10">
        <v>0.5</v>
      </c>
      <c r="T8" s="10">
        <v>0.5</v>
      </c>
      <c r="U8" s="10">
        <v>0.5</v>
      </c>
      <c r="V8" s="10">
        <v>0.5</v>
      </c>
      <c r="W8" s="10">
        <v>0.5</v>
      </c>
      <c r="X8" s="10">
        <v>0.5</v>
      </c>
      <c r="Y8" s="10">
        <v>0.5</v>
      </c>
      <c r="Z8" s="10">
        <v>0.5</v>
      </c>
      <c r="AA8" s="10">
        <v>0.5</v>
      </c>
      <c r="AB8" s="35">
        <v>0.5</v>
      </c>
      <c r="AC8" s="33"/>
      <c r="AD8" s="4"/>
      <c r="AE8" s="4"/>
      <c r="AF8" s="4"/>
      <c r="AG8" s="4"/>
    </row>
    <row r="9" spans="1:33" x14ac:dyDescent="0.25">
      <c r="A9" t="s">
        <v>29</v>
      </c>
      <c r="B9" s="10">
        <f>0.03*Data!B10</f>
        <v>6.6000000000000003E-2</v>
      </c>
      <c r="C9" s="10">
        <f>0.03*Data!C10</f>
        <v>6.6000000000000003E-2</v>
      </c>
      <c r="D9" s="10">
        <f>0.03*Data!D10</f>
        <v>6.6000000000000003E-2</v>
      </c>
      <c r="E9" s="10">
        <f>0.03*Data!E10</f>
        <v>4.1999999999999996E-2</v>
      </c>
      <c r="F9" s="10">
        <f>0.03*Data!F10</f>
        <v>4.1999999999999996E-2</v>
      </c>
      <c r="G9" s="10">
        <f>0.03*Data!G10</f>
        <v>4.1999999999999996E-2</v>
      </c>
      <c r="H9" s="10">
        <f>0.03*Data!H10</f>
        <v>3.0000000000000001E-3</v>
      </c>
      <c r="I9" s="10">
        <f>0.03*Data!I10</f>
        <v>3.0000000000000001E-3</v>
      </c>
      <c r="J9" s="10">
        <f>0.03*Data!J10</f>
        <v>6.0000000000000001E-3</v>
      </c>
      <c r="K9" s="10">
        <f>0.03*Data!K10</f>
        <v>0.09</v>
      </c>
      <c r="L9" s="10">
        <f>0.03*Data!L10</f>
        <v>9.2999999999999999E-2</v>
      </c>
      <c r="M9" s="10">
        <f>0.03*Data!M10</f>
        <v>0.09</v>
      </c>
      <c r="N9" s="10">
        <f>0.03*Data!N10</f>
        <v>6.6000000000000003E-2</v>
      </c>
      <c r="O9" s="10">
        <f>0.03*Data!O10</f>
        <v>6.6000000000000003E-2</v>
      </c>
      <c r="P9" s="10">
        <f>0.03*Data!P10</f>
        <v>6.6000000000000003E-2</v>
      </c>
      <c r="Q9" s="10">
        <f>0.03*Data!Q10</f>
        <v>0.03</v>
      </c>
      <c r="R9" s="10">
        <f>0.03*Data!R10</f>
        <v>2.7E-2</v>
      </c>
      <c r="S9" s="10">
        <f>0.03*Data!S10</f>
        <v>0.03</v>
      </c>
      <c r="T9" s="10">
        <f>0.03*Data!T10</f>
        <v>0.111</v>
      </c>
      <c r="U9" s="10">
        <f>0.03*Data!U10</f>
        <v>0.111</v>
      </c>
      <c r="V9" s="10">
        <f>0.03*Data!V10</f>
        <v>0.1095</v>
      </c>
      <c r="W9" s="10">
        <f>0.03*Data!W10</f>
        <v>8.6999999999999994E-2</v>
      </c>
      <c r="X9" s="10">
        <f>0.03*Data!X10</f>
        <v>8.5499999999999993E-2</v>
      </c>
      <c r="Y9" s="10">
        <f>0.03*Data!Y10</f>
        <v>8.6999999999999994E-2</v>
      </c>
      <c r="Z9" s="10">
        <f>0.03*Data!Z10</f>
        <v>4.8000000000000001E-2</v>
      </c>
      <c r="AA9" s="10">
        <f>0.03*Data!AA10</f>
        <v>4.8000000000000001E-2</v>
      </c>
      <c r="AB9" s="35">
        <f>0.03*Data!AB10</f>
        <v>4.4999999999999998E-2</v>
      </c>
      <c r="AC9" s="33"/>
      <c r="AD9" s="4"/>
      <c r="AE9" s="4"/>
      <c r="AF9" s="4"/>
      <c r="AG9" s="4"/>
    </row>
    <row r="10" spans="1:33" x14ac:dyDescent="0.25">
      <c r="B10" s="10"/>
      <c r="C10" s="8"/>
      <c r="E10" s="8"/>
      <c r="F10" s="8"/>
      <c r="H10" s="8"/>
      <c r="I10" s="8"/>
      <c r="L10" s="8"/>
      <c r="N10" s="8"/>
      <c r="O10" s="8"/>
      <c r="Q10" s="8"/>
      <c r="R10" s="8"/>
      <c r="T10" s="8"/>
      <c r="U10" s="8"/>
      <c r="W10" s="8"/>
      <c r="X10" s="24"/>
      <c r="Z10" s="8"/>
      <c r="AA10" s="8"/>
      <c r="AC10" s="33"/>
      <c r="AD10" s="4"/>
      <c r="AE10" s="4"/>
      <c r="AF10" s="4"/>
      <c r="AG10" s="4"/>
    </row>
    <row r="11" spans="1:33" x14ac:dyDescent="0.25">
      <c r="A11" s="5" t="s">
        <v>78</v>
      </c>
    </row>
    <row r="12" spans="1:33" x14ac:dyDescent="0.25">
      <c r="A12" t="s">
        <v>96</v>
      </c>
      <c r="B12" s="43">
        <v>28.97</v>
      </c>
    </row>
    <row r="13" spans="1:33" x14ac:dyDescent="0.25">
      <c r="A13" t="s">
        <v>95</v>
      </c>
      <c r="B13" s="43">
        <v>7.4886999999999995E-2</v>
      </c>
    </row>
    <row r="14" spans="1:33" x14ac:dyDescent="0.25">
      <c r="A14" s="36" t="s">
        <v>101</v>
      </c>
      <c r="B14" s="35">
        <v>0.24</v>
      </c>
      <c r="C14" s="34"/>
      <c r="E14" s="34"/>
      <c r="F14" s="34"/>
      <c r="H14" s="34"/>
      <c r="I14" s="34"/>
      <c r="L14" s="34"/>
      <c r="N14" s="34"/>
      <c r="O14" s="34"/>
      <c r="Q14" s="34"/>
      <c r="R14" s="34"/>
      <c r="T14" s="34"/>
      <c r="U14" s="34"/>
      <c r="W14" s="34"/>
      <c r="X14" s="34"/>
      <c r="Z14" s="34"/>
      <c r="AA14" s="34"/>
      <c r="AC14" s="33"/>
      <c r="AD14" s="4"/>
      <c r="AE14" s="4"/>
      <c r="AF14" s="4"/>
      <c r="AG14" s="4"/>
    </row>
    <row r="15" spans="1:33" x14ac:dyDescent="0.25">
      <c r="A15" s="36"/>
      <c r="B15" s="34"/>
      <c r="C15" s="34"/>
      <c r="E15" s="34"/>
      <c r="F15" s="34"/>
      <c r="H15" s="34"/>
      <c r="I15" s="34"/>
      <c r="L15" s="34"/>
      <c r="N15" s="34"/>
      <c r="O15" s="34"/>
      <c r="Q15" s="34"/>
      <c r="R15" s="34"/>
      <c r="T15" s="34"/>
      <c r="U15" s="34"/>
      <c r="W15" s="34"/>
      <c r="X15" s="34"/>
      <c r="Z15" s="34"/>
      <c r="AA15" s="34"/>
      <c r="AC15" s="33"/>
      <c r="AD15" s="4"/>
      <c r="AE15" s="4"/>
      <c r="AF15" s="4"/>
      <c r="AG15" s="4"/>
    </row>
    <row r="16" spans="1:33" x14ac:dyDescent="0.25">
      <c r="A16" s="11" t="s">
        <v>97</v>
      </c>
      <c r="B16" s="34"/>
      <c r="C16" s="34"/>
      <c r="E16" s="34"/>
      <c r="F16" s="34"/>
      <c r="H16" s="34"/>
      <c r="I16" s="34"/>
      <c r="L16" s="34"/>
      <c r="N16" s="34"/>
      <c r="O16" s="34"/>
      <c r="Q16" s="34"/>
      <c r="R16" s="34"/>
      <c r="T16" s="34"/>
      <c r="U16" s="34"/>
      <c r="W16" s="34"/>
      <c r="X16" s="34"/>
      <c r="Z16" s="34"/>
      <c r="AA16" s="34"/>
      <c r="AC16" s="33"/>
      <c r="AD16" s="4"/>
      <c r="AE16" s="4"/>
      <c r="AF16" s="4"/>
      <c r="AG16" s="4"/>
    </row>
    <row r="17" spans="1:33" x14ac:dyDescent="0.25">
      <c r="A17" t="s">
        <v>11</v>
      </c>
      <c r="B17" s="35">
        <f>SQRT(B3^2+Calibration!$G$2^2)</f>
        <v>5.0922711043305625E-2</v>
      </c>
      <c r="C17" s="35">
        <f>SQRT(C3^2+Calibration!$G$2^2)</f>
        <v>5.0922711043305625E-2</v>
      </c>
      <c r="D17" s="35">
        <f>SQRT(D3^2+Calibration!$G$2^2)</f>
        <v>5.0922711043305625E-2</v>
      </c>
      <c r="E17" s="35">
        <f>SQRT(E3^2+Calibration!$G$2^2)</f>
        <v>5.0922711043305625E-2</v>
      </c>
      <c r="F17" s="35">
        <f>SQRT(F3^2+Calibration!$G$2^2)</f>
        <v>5.0922711043305625E-2</v>
      </c>
      <c r="G17" s="35">
        <f>SQRT(G3^2+Calibration!$G$2^2)</f>
        <v>5.0922711043305625E-2</v>
      </c>
      <c r="H17" s="35">
        <f>SQRT(H3^2+Calibration!$G$2^2)</f>
        <v>5.0922711043305625E-2</v>
      </c>
      <c r="I17" s="35">
        <f>SQRT(I3^2+Calibration!$G$2^2)</f>
        <v>5.0922711043305625E-2</v>
      </c>
      <c r="J17" s="35">
        <f>SQRT(J3^2+Calibration!$G$2^2)</f>
        <v>5.0922711043305625E-2</v>
      </c>
      <c r="K17" s="35">
        <f>SQRT(K3^2+Calibration!$G$2^2)</f>
        <v>5.0922711043305625E-2</v>
      </c>
      <c r="L17" s="35">
        <f>SQRT(L3^2+Calibration!$G$2^2)</f>
        <v>5.0922711043305625E-2</v>
      </c>
      <c r="M17" s="35">
        <f>SQRT(M3^2+Calibration!$G$2^2)</f>
        <v>5.0922711043305625E-2</v>
      </c>
      <c r="N17" s="35">
        <f>SQRT(N3^2+Calibration!$G$2^2)</f>
        <v>5.0922711043305625E-2</v>
      </c>
      <c r="O17" s="35">
        <f>SQRT(O3^2+Calibration!$G$2^2)</f>
        <v>5.0922711043305625E-2</v>
      </c>
      <c r="P17" s="35">
        <f>SQRT(P3^2+Calibration!$G$2^2)</f>
        <v>5.0922711043305625E-2</v>
      </c>
      <c r="Q17" s="35">
        <f>SQRT(Q3^2+Calibration!$G$2^2)</f>
        <v>5.0922711043305625E-2</v>
      </c>
      <c r="R17" s="35">
        <f>SQRT(R3^2+Calibration!$G$2^2)</f>
        <v>5.0922711043305625E-2</v>
      </c>
      <c r="S17" s="35">
        <f>SQRT(S3^2+Calibration!$G$2^2)</f>
        <v>5.0922711043305625E-2</v>
      </c>
      <c r="T17" s="35">
        <f>SQRT(T3^2+Calibration!$G$2^2)</f>
        <v>5.0922711043305625E-2</v>
      </c>
      <c r="U17" s="35">
        <f>SQRT(U3^2+Calibration!$G$2^2)</f>
        <v>5.0922711043305625E-2</v>
      </c>
      <c r="V17" s="35">
        <f>SQRT(V3^2+Calibration!$G$2^2)</f>
        <v>5.0922711043305625E-2</v>
      </c>
      <c r="W17" s="35">
        <f>SQRT(W3^2+Calibration!$G$2^2)</f>
        <v>5.0922711043305625E-2</v>
      </c>
      <c r="X17" s="35">
        <f>SQRT(X3^2+Calibration!$G$2^2)</f>
        <v>5.0922711043305625E-2</v>
      </c>
      <c r="Y17" s="35">
        <f>SQRT(Y3^2+Calibration!$G$2^2)</f>
        <v>5.0922711043305625E-2</v>
      </c>
      <c r="Z17" s="35">
        <f>SQRT(Z3^2+Calibration!$G$2^2)</f>
        <v>5.0922711043305625E-2</v>
      </c>
      <c r="AA17" s="35">
        <f>SQRT(AA3^2+Calibration!$G$2^2)</f>
        <v>5.0922711043305625E-2</v>
      </c>
      <c r="AB17" s="35">
        <f>SQRT(AB3^2+Calibration!$G$2^2)</f>
        <v>5.0922711043305625E-2</v>
      </c>
      <c r="AC17" s="33"/>
      <c r="AD17" s="4"/>
      <c r="AE17" s="4"/>
      <c r="AF17" s="4"/>
      <c r="AG17" s="4"/>
    </row>
    <row r="18" spans="1:33" x14ac:dyDescent="0.25">
      <c r="A18" t="s">
        <v>27</v>
      </c>
      <c r="B18" s="35">
        <f>SQRT(B4^2+Calibration!$G$2^2)</f>
        <v>5.0922711043305625E-2</v>
      </c>
      <c r="C18" s="35">
        <f>SQRT(C4^2+Calibration!$G$2^2)</f>
        <v>5.0922711043305625E-2</v>
      </c>
      <c r="D18" s="35">
        <f>SQRT(D4^2+Calibration!$G$2^2)</f>
        <v>5.0922711043305625E-2</v>
      </c>
      <c r="E18" s="35">
        <f>SQRT(E4^2+Calibration!$G$2^2)</f>
        <v>5.0922711043305625E-2</v>
      </c>
      <c r="F18" s="35">
        <f>SQRT(F4^2+Calibration!$G$2^2)</f>
        <v>5.0922711043305625E-2</v>
      </c>
      <c r="G18" s="35">
        <f>SQRT(G4^2+Calibration!$G$2^2)</f>
        <v>5.0922711043305625E-2</v>
      </c>
      <c r="H18" s="35">
        <f>SQRT(H4^2+Calibration!$G$2^2)</f>
        <v>5.0922711043305625E-2</v>
      </c>
      <c r="I18" s="35">
        <f>SQRT(I4^2+Calibration!$G$2^2)</f>
        <v>5.0922711043305625E-2</v>
      </c>
      <c r="J18" s="35">
        <f>SQRT(J4^2+Calibration!$G$2^2)</f>
        <v>5.0922711043305625E-2</v>
      </c>
      <c r="K18" s="35">
        <f>SQRT(K4^2+Calibration!$G$2^2)</f>
        <v>5.0922711043305625E-2</v>
      </c>
      <c r="L18" s="35">
        <f>SQRT(L4^2+Calibration!$G$2^2)</f>
        <v>5.0922711043305625E-2</v>
      </c>
      <c r="M18" s="35">
        <f>SQRT(M4^2+Calibration!$G$2^2)</f>
        <v>5.0922711043305625E-2</v>
      </c>
      <c r="N18" s="35">
        <f>SQRT(N4^2+Calibration!$G$2^2)</f>
        <v>5.0922711043305625E-2</v>
      </c>
      <c r="O18" s="35">
        <f>SQRT(O4^2+Calibration!$G$2^2)</f>
        <v>5.0922711043305625E-2</v>
      </c>
      <c r="P18" s="35">
        <f>SQRT(P4^2+Calibration!$G$2^2)</f>
        <v>5.0922711043305625E-2</v>
      </c>
      <c r="Q18" s="35">
        <f>SQRT(Q4^2+Calibration!$G$2^2)</f>
        <v>5.0922711043305625E-2</v>
      </c>
      <c r="R18" s="35">
        <f>SQRT(R4^2+Calibration!$G$2^2)</f>
        <v>5.0922711043305625E-2</v>
      </c>
      <c r="S18" s="35">
        <f>SQRT(S4^2+Calibration!$G$2^2)</f>
        <v>5.0922711043305625E-2</v>
      </c>
      <c r="T18" s="35">
        <f>SQRT(T4^2+Calibration!$G$2^2)</f>
        <v>5.0922711043305625E-2</v>
      </c>
      <c r="U18" s="35">
        <f>SQRT(U4^2+Calibration!$G$2^2)</f>
        <v>5.0922711043305625E-2</v>
      </c>
      <c r="V18" s="35">
        <f>SQRT(V4^2+Calibration!$G$2^2)</f>
        <v>5.0922711043305625E-2</v>
      </c>
      <c r="W18" s="35">
        <f>SQRT(W4^2+Calibration!$G$2^2)</f>
        <v>5.0922711043305625E-2</v>
      </c>
      <c r="X18" s="35">
        <f>SQRT(X4^2+Calibration!$G$2^2)</f>
        <v>5.0922711043305625E-2</v>
      </c>
      <c r="Y18" s="35">
        <f>SQRT(Y4^2+Calibration!$G$2^2)</f>
        <v>5.0922711043305625E-2</v>
      </c>
      <c r="Z18" s="35">
        <f>SQRT(Z4^2+Calibration!$G$2^2)</f>
        <v>5.0922711043305625E-2</v>
      </c>
      <c r="AA18" s="35">
        <f>SQRT(AA4^2+Calibration!$G$2^2)</f>
        <v>5.0922711043305625E-2</v>
      </c>
      <c r="AB18" s="35">
        <f>SQRT(AB4^2+Calibration!$G$2^2)</f>
        <v>5.0922711043305625E-2</v>
      </c>
      <c r="AC18" s="33"/>
      <c r="AD18" s="4"/>
      <c r="AE18" s="4"/>
      <c r="AF18" s="4"/>
      <c r="AG18" s="4"/>
    </row>
    <row r="19" spans="1:33" s="2" customFormat="1" x14ac:dyDescent="0.25">
      <c r="A19" s="30" t="s">
        <v>79</v>
      </c>
      <c r="B19" s="35">
        <f>Calibration!$G$2</f>
        <v>9.6500000000000006E-3</v>
      </c>
      <c r="C19" s="35">
        <f>Calibration!$G$2</f>
        <v>9.6500000000000006E-3</v>
      </c>
      <c r="D19" s="35">
        <f>Calibration!$G$2</f>
        <v>9.6500000000000006E-3</v>
      </c>
      <c r="E19" s="35">
        <f>Calibration!$G$2</f>
        <v>9.6500000000000006E-3</v>
      </c>
      <c r="F19" s="35">
        <f>Calibration!$G$2</f>
        <v>9.6500000000000006E-3</v>
      </c>
      <c r="G19" s="35">
        <f>Calibration!$G$2</f>
        <v>9.6500000000000006E-3</v>
      </c>
      <c r="H19" s="35">
        <f>Calibration!$G$2</f>
        <v>9.6500000000000006E-3</v>
      </c>
      <c r="I19" s="35">
        <f>Calibration!$G$2</f>
        <v>9.6500000000000006E-3</v>
      </c>
      <c r="J19" s="35">
        <f>Calibration!$G$2</f>
        <v>9.6500000000000006E-3</v>
      </c>
      <c r="K19" s="35">
        <f>Calibration!$G$2</f>
        <v>9.6500000000000006E-3</v>
      </c>
      <c r="L19" s="35">
        <f>Calibration!$G$2</f>
        <v>9.6500000000000006E-3</v>
      </c>
      <c r="M19" s="35">
        <f>Calibration!$G$2</f>
        <v>9.6500000000000006E-3</v>
      </c>
      <c r="N19" s="35">
        <f>Calibration!$G$2</f>
        <v>9.6500000000000006E-3</v>
      </c>
      <c r="O19" s="35">
        <f>Calibration!$G$2</f>
        <v>9.6500000000000006E-3</v>
      </c>
      <c r="P19" s="35">
        <f>Calibration!$G$2</f>
        <v>9.6500000000000006E-3</v>
      </c>
      <c r="Q19" s="35">
        <f>Calibration!$G$2</f>
        <v>9.6500000000000006E-3</v>
      </c>
      <c r="R19" s="35">
        <f>Calibration!$G$2</f>
        <v>9.6500000000000006E-3</v>
      </c>
      <c r="S19" s="35">
        <f>Calibration!$G$2</f>
        <v>9.6500000000000006E-3</v>
      </c>
      <c r="T19" s="35">
        <f>Calibration!$G$2</f>
        <v>9.6500000000000006E-3</v>
      </c>
      <c r="U19" s="35">
        <f>Calibration!$G$2</f>
        <v>9.6500000000000006E-3</v>
      </c>
      <c r="V19" s="35">
        <f>Calibration!$G$2</f>
        <v>9.6500000000000006E-3</v>
      </c>
      <c r="W19" s="35">
        <f>Calibration!$G$2</f>
        <v>9.6500000000000006E-3</v>
      </c>
      <c r="X19" s="35">
        <f>Calibration!$G$2</f>
        <v>9.6500000000000006E-3</v>
      </c>
      <c r="Y19" s="35">
        <f>Calibration!$G$2</f>
        <v>9.6500000000000006E-3</v>
      </c>
      <c r="Z19" s="35">
        <f>Calibration!$G$2</f>
        <v>9.6500000000000006E-3</v>
      </c>
      <c r="AA19" s="35">
        <f>Calibration!$G$2</f>
        <v>9.6500000000000006E-3</v>
      </c>
      <c r="AB19" s="44">
        <f>Calibration!$G$2</f>
        <v>9.6500000000000006E-3</v>
      </c>
    </row>
    <row r="20" spans="1:33" x14ac:dyDescent="0.25">
      <c r="A20" t="s">
        <v>41</v>
      </c>
      <c r="B20" s="10">
        <f>Calibration!$G$3</f>
        <v>0.36</v>
      </c>
      <c r="C20" s="10">
        <f>Calibration!$G$3</f>
        <v>0.36</v>
      </c>
      <c r="D20" s="10">
        <f>Calibration!$G$3</f>
        <v>0.36</v>
      </c>
      <c r="E20" s="10">
        <f>Calibration!$G$3</f>
        <v>0.36</v>
      </c>
      <c r="F20" s="10">
        <f>Calibration!$G$3</f>
        <v>0.36</v>
      </c>
      <c r="G20" s="10">
        <f>Calibration!$G$3</f>
        <v>0.36</v>
      </c>
      <c r="H20" s="10">
        <f>Calibration!$G$3</f>
        <v>0.36</v>
      </c>
      <c r="I20" s="10">
        <f>Calibration!$G$3</f>
        <v>0.36</v>
      </c>
      <c r="J20" s="10">
        <f>Calibration!$G$3</f>
        <v>0.36</v>
      </c>
      <c r="K20" s="10">
        <f>Calibration!$G$3</f>
        <v>0.36</v>
      </c>
      <c r="L20" s="10">
        <f>Calibration!$G$3</f>
        <v>0.36</v>
      </c>
      <c r="M20" s="10">
        <f>Calibration!$G$3</f>
        <v>0.36</v>
      </c>
      <c r="N20" s="10">
        <f>Calibration!$G$3</f>
        <v>0.36</v>
      </c>
      <c r="O20" s="10">
        <f>Calibration!$G$3</f>
        <v>0.36</v>
      </c>
      <c r="P20" s="10">
        <f>Calibration!$G$3</f>
        <v>0.36</v>
      </c>
      <c r="Q20" s="10">
        <f>Calibration!$G$3</f>
        <v>0.36</v>
      </c>
      <c r="R20" s="10">
        <f>Calibration!$G$3</f>
        <v>0.36</v>
      </c>
      <c r="S20" s="10">
        <f>Calibration!$G$3</f>
        <v>0.36</v>
      </c>
      <c r="T20" s="10">
        <f>Calibration!$G$3</f>
        <v>0.36</v>
      </c>
      <c r="U20" s="10">
        <f>Calibration!$G$3</f>
        <v>0.36</v>
      </c>
      <c r="V20" s="10">
        <f>Calibration!$G$3</f>
        <v>0.36</v>
      </c>
      <c r="W20" s="10">
        <f>Calibration!$G$3</f>
        <v>0.36</v>
      </c>
      <c r="X20" s="10">
        <f>Calibration!$G$3</f>
        <v>0.36</v>
      </c>
      <c r="Y20" s="10">
        <f>Calibration!$G$3</f>
        <v>0.36</v>
      </c>
      <c r="Z20" s="10">
        <f>Calibration!$G$3</f>
        <v>0.36</v>
      </c>
      <c r="AA20" s="10">
        <f>Calibration!$G$3</f>
        <v>0.36</v>
      </c>
      <c r="AB20" s="35">
        <f>Calibration!$G$3</f>
        <v>0.36</v>
      </c>
      <c r="AC20" s="33"/>
      <c r="AD20" s="4"/>
      <c r="AE20" s="4"/>
      <c r="AF20" s="4"/>
      <c r="AG20" s="4"/>
    </row>
    <row r="21" spans="1:33" x14ac:dyDescent="0.25">
      <c r="A21" t="s">
        <v>42</v>
      </c>
      <c r="B21" s="10">
        <f>Calibration!$G$3</f>
        <v>0.36</v>
      </c>
      <c r="C21" s="10">
        <f>Calibration!$G$3</f>
        <v>0.36</v>
      </c>
      <c r="D21" s="10">
        <f>Calibration!$G$3</f>
        <v>0.36</v>
      </c>
      <c r="E21" s="10">
        <f>Calibration!$G$3</f>
        <v>0.36</v>
      </c>
      <c r="F21" s="10">
        <f>Calibration!$G$3</f>
        <v>0.36</v>
      </c>
      <c r="G21" s="10">
        <f>Calibration!$G$3</f>
        <v>0.36</v>
      </c>
      <c r="H21" s="10">
        <f>Calibration!$G$3</f>
        <v>0.36</v>
      </c>
      <c r="I21" s="10">
        <f>Calibration!$G$3</f>
        <v>0.36</v>
      </c>
      <c r="J21" s="10">
        <f>Calibration!$G$3</f>
        <v>0.36</v>
      </c>
      <c r="K21" s="10">
        <f>Calibration!$G$3</f>
        <v>0.36</v>
      </c>
      <c r="L21" s="10">
        <f>Calibration!$G$3</f>
        <v>0.36</v>
      </c>
      <c r="M21" s="10">
        <f>Calibration!$G$3</f>
        <v>0.36</v>
      </c>
      <c r="N21" s="10">
        <f>Calibration!$G$3</f>
        <v>0.36</v>
      </c>
      <c r="O21" s="10">
        <f>Calibration!$G$3</f>
        <v>0.36</v>
      </c>
      <c r="P21" s="10">
        <f>Calibration!$G$3</f>
        <v>0.36</v>
      </c>
      <c r="Q21" s="10">
        <f>Calibration!$G$3</f>
        <v>0.36</v>
      </c>
      <c r="R21" s="10">
        <f>Calibration!$G$3</f>
        <v>0.36</v>
      </c>
      <c r="S21" s="10">
        <f>Calibration!$G$3</f>
        <v>0.36</v>
      </c>
      <c r="T21" s="10">
        <f>Calibration!$G$3</f>
        <v>0.36</v>
      </c>
      <c r="U21" s="10">
        <f>Calibration!$G$3</f>
        <v>0.36</v>
      </c>
      <c r="V21" s="10">
        <f>Calibration!$G$3</f>
        <v>0.36</v>
      </c>
      <c r="W21" s="10">
        <f>Calibration!$G$3</f>
        <v>0.36</v>
      </c>
      <c r="X21" s="10">
        <f>Calibration!$G$3</f>
        <v>0.36</v>
      </c>
      <c r="Y21" s="10">
        <f>Calibration!$G$3</f>
        <v>0.36</v>
      </c>
      <c r="Z21" s="10">
        <f>Calibration!$G$3</f>
        <v>0.36</v>
      </c>
      <c r="AA21" s="10">
        <f>Calibration!$G$3</f>
        <v>0.36</v>
      </c>
      <c r="AB21" s="35">
        <f>Calibration!$G$3</f>
        <v>0.36</v>
      </c>
      <c r="AC21" s="33"/>
      <c r="AD21" s="4"/>
      <c r="AE21" s="4"/>
      <c r="AF21" s="4"/>
      <c r="AG21" s="4"/>
    </row>
    <row r="22" spans="1:33" x14ac:dyDescent="0.25">
      <c r="A22" t="s">
        <v>43</v>
      </c>
      <c r="B22" s="10">
        <f>Calibration!$G$3</f>
        <v>0.36</v>
      </c>
      <c r="C22" s="10">
        <f>Calibration!$G$3</f>
        <v>0.36</v>
      </c>
      <c r="D22" s="10">
        <f>Calibration!$G$3</f>
        <v>0.36</v>
      </c>
      <c r="E22" s="10">
        <f>Calibration!$G$3</f>
        <v>0.36</v>
      </c>
      <c r="F22" s="10">
        <f>Calibration!$G$3</f>
        <v>0.36</v>
      </c>
      <c r="G22" s="10">
        <f>Calibration!$G$3</f>
        <v>0.36</v>
      </c>
      <c r="H22" s="10">
        <f>Calibration!$G$3</f>
        <v>0.36</v>
      </c>
      <c r="I22" s="10">
        <f>Calibration!$G$3</f>
        <v>0.36</v>
      </c>
      <c r="J22" s="10">
        <f>Calibration!$G$3</f>
        <v>0.36</v>
      </c>
      <c r="K22" s="10">
        <f>Calibration!$G$3</f>
        <v>0.36</v>
      </c>
      <c r="L22" s="10">
        <f>Calibration!$G$3</f>
        <v>0.36</v>
      </c>
      <c r="M22" s="10">
        <f>Calibration!$G$3</f>
        <v>0.36</v>
      </c>
      <c r="N22" s="10">
        <f>Calibration!$G$3</f>
        <v>0.36</v>
      </c>
      <c r="O22" s="10">
        <f>Calibration!$G$3</f>
        <v>0.36</v>
      </c>
      <c r="P22" s="10">
        <f>Calibration!$G$3</f>
        <v>0.36</v>
      </c>
      <c r="Q22" s="10">
        <f>Calibration!$G$3</f>
        <v>0.36</v>
      </c>
      <c r="R22" s="10">
        <f>Calibration!$G$3</f>
        <v>0.36</v>
      </c>
      <c r="S22" s="10">
        <f>Calibration!$G$3</f>
        <v>0.36</v>
      </c>
      <c r="T22" s="10">
        <f>Calibration!$G$3</f>
        <v>0.36</v>
      </c>
      <c r="U22" s="10">
        <f>Calibration!$G$3</f>
        <v>0.36</v>
      </c>
      <c r="V22" s="10">
        <f>Calibration!$G$3</f>
        <v>0.36</v>
      </c>
      <c r="W22" s="10">
        <f>Calibration!$G$3</f>
        <v>0.36</v>
      </c>
      <c r="X22" s="10">
        <f>Calibration!$G$3</f>
        <v>0.36</v>
      </c>
      <c r="Y22" s="10">
        <f>Calibration!$G$3</f>
        <v>0.36</v>
      </c>
      <c r="Z22" s="10">
        <f>Calibration!$G$3</f>
        <v>0.36</v>
      </c>
      <c r="AA22" s="10">
        <f>Calibration!$G$3</f>
        <v>0.36</v>
      </c>
      <c r="AB22" s="35">
        <f>Calibration!$G$3</f>
        <v>0.36</v>
      </c>
      <c r="AC22" s="33"/>
      <c r="AD22" s="4"/>
      <c r="AE22" s="4"/>
      <c r="AF22" s="4"/>
      <c r="AG22" s="4"/>
    </row>
    <row r="23" spans="1:33" x14ac:dyDescent="0.25">
      <c r="A23" t="s">
        <v>82</v>
      </c>
      <c r="B23" s="35">
        <f>SQRT((36.0544*Data!B37/Data!B40)*'Error Data'!B8^2+(9.01361*Data!B9^2/Data!B37/Data!B40)*'Error Data'!B17^2+(9.01361+Data!B9^2*Data!B37/Data!B40^3)*'Error Data'!B20^2)</f>
        <v>1.4324564936547897</v>
      </c>
      <c r="C23" s="35">
        <f>SQRT((36.0544*Data!C37/Data!C40)*'Error Data'!C8^2+(9.01361*Data!C9^2/Data!C37/Data!C40)*'Error Data'!C17^2+(9.01361+Data!C9^2*Data!C37/Data!C40^3)*'Error Data'!C20^2)</f>
        <v>1.4317271644143417</v>
      </c>
      <c r="D23" s="35">
        <f>SQRT((36.0544*Data!D37/Data!D40)*'Error Data'!D8^2+(9.01361*Data!D9^2/Data!D37/Data!D40)*'Error Data'!D17^2+(9.01361+Data!D9^2*Data!D37/Data!D40^3)*'Error Data'!D20^2)</f>
        <v>1.4320393569505507</v>
      </c>
      <c r="E23" s="35">
        <f>SQRT((36.0544*Data!E37/Data!E40)*'Error Data'!E8^2+(9.01361*Data!E9^2/Data!E37/Data!E40)*'Error Data'!E17^2+(9.01361+Data!E9^2*Data!E37/Data!E40^3)*'Error Data'!E20^2)</f>
        <v>1.4324564936547897</v>
      </c>
      <c r="F23" s="35">
        <f>SQRT((36.0544*Data!F37/Data!F40)*'Error Data'!F8^2+(9.01361*Data!F9^2/Data!F37/Data!F40)*'Error Data'!F17^2+(9.01361+Data!F9^2*Data!F37/Data!F40^3)*'Error Data'!F20^2)</f>
        <v>1.4317271644143417</v>
      </c>
      <c r="G23" s="35">
        <f>SQRT((36.0544*Data!G37/Data!G40)*'Error Data'!G8^2+(9.01361*Data!G9^2/Data!G37/Data!G40)*'Error Data'!G17^2+(9.01361+Data!G9^2*Data!G37/Data!G40^3)*'Error Data'!G20^2)</f>
        <v>1.4322478280453566</v>
      </c>
      <c r="H23" s="35">
        <f>SQRT((36.0544*Data!H37/Data!H40)*'Error Data'!H8^2+(9.01361*Data!H9^2/Data!H37/Data!H40)*'Error Data'!H17^2+(9.01361+Data!H9^2*Data!H37/Data!H40^3)*'Error Data'!H20^2)</f>
        <v>1.4319352888031212</v>
      </c>
      <c r="I23" s="35">
        <f>SQRT((36.0544*Data!I37/Data!I40)*'Error Data'!I8^2+(9.01361*Data!I9^2/Data!I37/Data!I40)*'Error Data'!I17^2+(9.01361+Data!I9^2*Data!I37/Data!I40^3)*'Error Data'!I20^2)</f>
        <v>1.4319352300115855</v>
      </c>
      <c r="J23" s="35">
        <f>SQRT((36.0544*Data!J37/Data!J40)*'Error Data'!J8^2+(9.01361*Data!J9^2/Data!J37/Data!J40)*'Error Data'!J17^2+(9.01361+Data!J9^2*Data!J37/Data!J40^3)*'Error Data'!J20^2)</f>
        <v>1.4317271644143417</v>
      </c>
      <c r="K23" s="35">
        <f>SQRT((36.0544*Data!K37/Data!K40)*'Error Data'!K8^2+(9.01361*Data!K9^2/Data!K37/Data!K40)*'Error Data'!K17^2+(9.01361+Data!K9^2*Data!K37/Data!K40^3)*'Error Data'!K20^2)</f>
        <v>1.5450555463444828</v>
      </c>
      <c r="L23" s="35">
        <f>SQRT((36.0544*Data!L37/Data!L40)*'Error Data'!L8^2+(9.01361*Data!L9^2/Data!L37/Data!L40)*'Error Data'!L17^2+(9.01361+Data!L9^2*Data!L37/Data!L40^3)*'Error Data'!L20^2)</f>
        <v>1.5449224178515066</v>
      </c>
      <c r="M23" s="35">
        <f>SQRT((36.0544*Data!M37/Data!M40)*'Error Data'!M8^2+(9.01361*Data!M9^2/Data!M37/Data!M40)*'Error Data'!M17^2+(9.01361+Data!M9^2*Data!M37/Data!M40^3)*'Error Data'!M20^2)</f>
        <v>1.5447894174487262</v>
      </c>
      <c r="N23" s="35">
        <f>SQRT((36.0544*Data!N37/Data!N40)*'Error Data'!N8^2+(9.01361*Data!N9^2/Data!N37/Data!N40)*'Error Data'!N17^2+(9.01361+Data!N9^2*Data!N37/Data!N40^3)*'Error Data'!N20^2)</f>
        <v>1.5455886201434585</v>
      </c>
      <c r="O23" s="35">
        <f>SQRT((36.0544*Data!O37/Data!O40)*'Error Data'!O8^2+(9.01361*Data!O9^2/Data!O37/Data!O40)*'Error Data'!O17^2+(9.01361+Data!O9^2*Data!O37/Data!O40^3)*'Error Data'!O20^2)</f>
        <v>1.544922442198472</v>
      </c>
      <c r="P23" s="35">
        <f>SQRT((36.0544*Data!P37/Data!P40)*'Error Data'!P8^2+(9.01361*Data!P9^2/Data!P37/Data!P40)*'Error Data'!P17^2+(9.01361+Data!P9^2*Data!P37/Data!P40^3)*'Error Data'!P20^2)</f>
        <v>1.5454552275328159</v>
      </c>
      <c r="Q23" s="35">
        <f>SQRT((36.0544*Data!Q37/Data!Q40)*'Error Data'!Q8^2+(9.01361*Data!Q9^2/Data!Q37/Data!Q40)*'Error Data'!Q17^2+(9.01361+Data!Q9^2*Data!Q37/Data!Q40^3)*'Error Data'!Q20^2)</f>
        <v>1.5449225217318894</v>
      </c>
      <c r="R23" s="35">
        <f>SQRT((36.0544*Data!R37/Data!R40)*'Error Data'!R8^2+(9.01361*Data!R9^2/Data!R37/Data!R40)*'Error Data'!R17^2+(9.01361+Data!R9^2*Data!R37/Data!R40^3)*'Error Data'!R20^2)</f>
        <v>1.5447894672091547</v>
      </c>
      <c r="S23" s="35">
        <f>SQRT((36.0544*Data!S37/Data!S40)*'Error Data'!S8^2+(9.01361*Data!S9^2/Data!S37/Data!S40)*'Error Data'!S17^2+(9.01361+Data!S9^2*Data!S37/Data!S40^3)*'Error Data'!S20^2)</f>
        <v>1.5454552529937819</v>
      </c>
      <c r="T23" s="35">
        <f>SQRT((36.0544*Data!T37/Data!T40)*'Error Data'!T8^2+(9.01361*Data!T9^2/Data!T37/Data!T40)*'Error Data'!T17^2+(9.01361+Data!T9^2*Data!T37/Data!T40^3)*'Error Data'!T20^2)</f>
        <v>1.650642390725934</v>
      </c>
      <c r="U23" s="35">
        <f>SQRT((36.0544*Data!U37/Data!U40)*'Error Data'!U8^2+(9.01361*Data!U9^2/Data!U37/Data!U40)*'Error Data'!U17^2+(9.01361+Data!U9^2*Data!U37/Data!U40^3)*'Error Data'!U20^2)</f>
        <v>1.650006971127236</v>
      </c>
      <c r="V23" s="35">
        <f>SQRT((36.0544*Data!V37/Data!V40)*'Error Data'!V8^2+(9.01361*Data!V9^2/Data!V37/Data!V40)*'Error Data'!V17^2+(9.01361+Data!V9^2*Data!V37/Data!V40^3)*'Error Data'!V20^2)</f>
        <v>1.6506423676528681</v>
      </c>
      <c r="W23" s="35">
        <f>SQRT((36.0544*Data!W37/Data!W40)*'Error Data'!W8^2+(9.01361*Data!W9^2/Data!W37/Data!W40)*'Error Data'!W17^2+(9.01361+Data!W9^2*Data!W37/Data!W40^3)*'Error Data'!W20^2)</f>
        <v>1.6504833980727678</v>
      </c>
      <c r="X23" s="35">
        <f>SQRT((36.0544*Data!X37/Data!X40)*'Error Data'!X8^2+(9.01361*Data!X9^2/Data!X37/Data!X40)*'Error Data'!X17^2+(9.01361+Data!X9^2*Data!X37/Data!X40^3)*'Error Data'!X20^2)</f>
        <v>1.650006971127236</v>
      </c>
      <c r="Y23" s="35">
        <f>SQRT((36.0544*Data!Y37/Data!Y40)*'Error Data'!Y8^2+(9.01361*Data!Y9^2/Data!Y37/Data!Y40)*'Error Data'!Y17^2+(9.01361+Data!Y9^2*Data!Y37/Data!Y40^3)*'Error Data'!Y20^2)</f>
        <v>1.6508014753512559</v>
      </c>
      <c r="Z23" s="35">
        <f>SQRT((36.0544*Data!Z37/Data!Z40)*'Error Data'!Z8^2+(9.01361*Data!Z9^2/Data!Z37/Data!Z40)*'Error Data'!Z17^2+(9.01361+Data!Z9^2*Data!Z37/Data!Z40^3)*'Error Data'!Z20^2)</f>
        <v>1.6504834467195821</v>
      </c>
      <c r="AA23" s="35">
        <f>SQRT((36.0544*Data!AA37/Data!AA40)*'Error Data'!AA8^2+(9.01361*Data!AA9^2/Data!AA37/Data!AA40)*'Error Data'!AA17^2+(9.01361+Data!AA9^2*Data!AA37/Data!AA40^3)*'Error Data'!AA20^2)</f>
        <v>1.6500070197249948</v>
      </c>
      <c r="AB23" s="35">
        <f>SQRT((36.0544*Data!AB37/Data!AB40)*'Error Data'!AB8^2+(9.01361*Data!AB9^2/Data!AB37/Data!AB40)*'Error Data'!AB17^2+(9.01361+Data!AB9^2*Data!AB37/Data!AB40^3)*'Error Data'!AB20^2)</f>
        <v>1.6503245212058075</v>
      </c>
      <c r="AC23" s="33"/>
      <c r="AD23" s="4"/>
      <c r="AE23" s="4"/>
      <c r="AF23" s="4"/>
      <c r="AG23" s="4"/>
    </row>
    <row r="24" spans="1:33" x14ac:dyDescent="0.25">
      <c r="A24" t="s">
        <v>44</v>
      </c>
      <c r="B24" s="35">
        <f>SQRT((36.0544*Data!B38/Data!B41)*'Error Data'!B9^2+(9.01361*Data!B10^2/Data!B38/Data!B41)*'Error Data'!B18^2+(9.01361+Data!B10^2*Data!B38/Data!B41^3)*'Error Data'!B21^2)</f>
        <v>1.0825942150839405</v>
      </c>
      <c r="C24" s="35">
        <f>SQRT((36.0544*Data!C38/Data!C41)*'Error Data'!C9^2+(9.01361*Data!C10^2/Data!C38/Data!C41)*'Error Data'!C18^2+(9.01361+Data!C10^2*Data!C38/Data!C41^3)*'Error Data'!C21^2)</f>
        <v>1.0825791845421038</v>
      </c>
      <c r="D24" s="35">
        <f>SQRT((36.0544*Data!D38/Data!D41)*'Error Data'!D9^2+(9.01361*Data!D10^2/Data!D38/Data!D41)*'Error Data'!D18^2+(9.01361+Data!D10^2*Data!D38/Data!D41^3)*'Error Data'!D21^2)</f>
        <v>1.0825822210987961</v>
      </c>
      <c r="E24" s="35">
        <f>SQRT((36.0544*Data!E38/Data!E41)*'Error Data'!E9^2+(9.01361*Data!E10^2/Data!E38/Data!E41)*'Error Data'!E18^2+(9.01361+Data!E10^2*Data!E38/Data!E41^3)*'Error Data'!E21^2)</f>
        <v>1.0815407237754804</v>
      </c>
      <c r="F24" s="35">
        <f>SQRT((36.0544*Data!F38/Data!F41)*'Error Data'!F9^2+(9.01361*Data!F10^2/Data!F38/Data!F41)*'Error Data'!F18^2+(9.01361+Data!F10^2*Data!F38/Data!F41^3)*'Error Data'!F21^2)</f>
        <v>1.0815414981956739</v>
      </c>
      <c r="G24" s="35">
        <f>SQRT((36.0544*Data!G38/Data!G41)*'Error Data'!G9^2+(9.01361*Data!G10^2/Data!G38/Data!G41)*'Error Data'!G18^2+(9.01361+Data!G10^2*Data!G38/Data!G41^3)*'Error Data'!G21^2)</f>
        <v>1.0815413653949069</v>
      </c>
      <c r="H24" s="35">
        <f>SQRT((36.0544*Data!H38/Data!H41)*'Error Data'!H9^2+(9.01361*Data!H10^2/Data!H38/Data!H41)*'Error Data'!H18^2+(9.01361+Data!H10^2*Data!H38/Data!H41^3)*'Error Data'!H21^2)</f>
        <v>1.0808201289634736</v>
      </c>
      <c r="I24" s="35">
        <f>SQRT((36.0544*Data!I38/Data!I41)*'Error Data'!I9^2+(9.01361*Data!I10^2/Data!I38/Data!I41)*'Error Data'!I18^2+(9.01361+Data!I10^2*Data!I38/Data!I41^3)*'Error Data'!I21^2)</f>
        <v>1.080820110393413</v>
      </c>
      <c r="J24" s="35">
        <f>SQRT((36.0544*Data!J38/Data!J41)*'Error Data'!J9^2+(9.01361*Data!J10^2/Data!J38/Data!J41)*'Error Data'!J18^2+(9.01361+Data!J10^2*Data!J38/Data!J41^3)*'Error Data'!J21^2)</f>
        <v>1.0808315272539448</v>
      </c>
      <c r="K24" s="35">
        <f>SQRT((36.0544*Data!K38/Data!K41)*'Error Data'!K9^2+(9.01361*Data!K10^2/Data!K38/Data!K41)*'Error Data'!K18^2+(9.01361+Data!K10^2*Data!K38/Data!K41^3)*'Error Data'!K21^2)</f>
        <v>1.0841900347886704</v>
      </c>
      <c r="L24" s="35">
        <f>SQRT((36.0544*Data!L38/Data!L41)*'Error Data'!L9^2+(9.01361*Data!L10^2/Data!L38/Data!L41)*'Error Data'!L18^2+(9.01361+Data!L10^2*Data!L38/Data!L41^3)*'Error Data'!L21^2)</f>
        <v>1.0844344721164898</v>
      </c>
      <c r="M24" s="35">
        <f>SQRT((36.0544*Data!M38/Data!M41)*'Error Data'!M9^2+(9.01361*Data!M10^2/Data!M38/Data!M41)*'Error Data'!M18^2+(9.01361+Data!M10^2*Data!M38/Data!M41^3)*'Error Data'!M21^2)</f>
        <v>1.0841993226130222</v>
      </c>
      <c r="N24" s="35">
        <f>SQRT((36.0544*Data!N38/Data!N41)*'Error Data'!N9^2+(9.01361*Data!N10^2/Data!N38/Data!N41)*'Error Data'!N18^2+(9.01361+Data!N10^2*Data!N38/Data!N41^3)*'Error Data'!N21^2)</f>
        <v>1.0826439232695546</v>
      </c>
      <c r="O24" s="35">
        <f>SQRT((36.0544*Data!O38/Data!O41)*'Error Data'!O9^2+(9.01361*Data!O10^2/Data!O38/Data!O41)*'Error Data'!O18^2+(9.01361+Data!O10^2*Data!O38/Data!O41^3)*'Error Data'!O21^2)</f>
        <v>1.0826406710010223</v>
      </c>
      <c r="P24" s="35">
        <f>SQRT((36.0544*Data!P38/Data!P41)*'Error Data'!P9^2+(9.01361*Data!P10^2/Data!P38/Data!P41)*'Error Data'!P18^2+(9.01361+Data!P10^2*Data!P38/Data!P41^3)*'Error Data'!P21^2)</f>
        <v>1.0826523895788596</v>
      </c>
      <c r="Q24" s="35">
        <f>SQRT((36.0544*Data!Q38/Data!Q41)*'Error Data'!Q9^2+(9.01361*Data!Q10^2/Data!Q38/Data!Q41)*'Error Data'!Q18^2+(9.01361+Data!Q10^2*Data!Q38/Data!Q41^3)*'Error Data'!Q21^2)</f>
        <v>1.0812150015926489</v>
      </c>
      <c r="R24" s="35">
        <f>SQRT((36.0544*Data!R38/Data!R41)*'Error Data'!R9^2+(9.01361*Data!R10^2/Data!R38/Data!R41)*'Error Data'!R18^2+(9.01361+Data!R10^2*Data!R38/Data!R41^3)*'Error Data'!R21^2)</f>
        <v>1.081139881770355</v>
      </c>
      <c r="S24" s="35">
        <f>SQRT((36.0544*Data!S38/Data!S41)*'Error Data'!S9^2+(9.01361*Data!S10^2/Data!S38/Data!S41)*'Error Data'!S18^2+(9.01361+Data!S10^2*Data!S38/Data!S41^3)*'Error Data'!S21^2)</f>
        <v>1.0812166996215993</v>
      </c>
      <c r="T24" s="35">
        <f>SQRT((36.0544*Data!T38/Data!T41)*'Error Data'!T9^2+(9.01361*Data!T10^2/Data!T38/Data!T41)*'Error Data'!T18^2+(9.01361+Data!T10^2*Data!T38/Data!T41^3)*'Error Data'!T21^2)</f>
        <v>1.0861733382164018</v>
      </c>
      <c r="U24" s="35">
        <f>SQRT((36.0544*Data!U38/Data!U41)*'Error Data'!U9^2+(9.01361*Data!U10^2/Data!U38/Data!U41)*'Error Data'!U18^2+(9.01361+Data!U10^2*Data!U38/Data!U41^3)*'Error Data'!U21^2)</f>
        <v>1.0861622682631327</v>
      </c>
      <c r="V24" s="35">
        <f>SQRT((36.0544*Data!V38/Data!V41)*'Error Data'!V9^2+(9.01361*Data!V10^2/Data!V38/Data!V41)*'Error Data'!V18^2+(9.01361+Data!V10^2*Data!V38/Data!V41^3)*'Error Data'!V21^2)</f>
        <v>1.0860180062382927</v>
      </c>
      <c r="W24" s="35">
        <f>SQRT((36.0544*Data!W38/Data!W41)*'Error Data'!W9^2+(9.01361*Data!W10^2/Data!W38/Data!W41)*'Error Data'!W18^2+(9.01361+Data!W10^2*Data!W38/Data!W41^3)*'Error Data'!W21^2)</f>
        <v>1.0840642367408195</v>
      </c>
      <c r="X24" s="35">
        <f>SQRT((36.0544*Data!X38/Data!X41)*'Error Data'!X9^2+(9.01361*Data!X10^2/Data!X38/Data!X41)*'Error Data'!X18^2+(9.01361+Data!X10^2*Data!X38/Data!X41^3)*'Error Data'!X21^2)</f>
        <v>1.083944743781895</v>
      </c>
      <c r="Y24" s="35">
        <f>SQRT((36.0544*Data!Y38/Data!Y41)*'Error Data'!Y9^2+(9.01361*Data!Y10^2/Data!Y38/Data!Y41)*'Error Data'!Y18^2+(9.01361+Data!Y10^2*Data!Y38/Data!Y41^3)*'Error Data'!Y21^2)</f>
        <v>1.0840769663678707</v>
      </c>
      <c r="Z24" s="35">
        <f>SQRT((36.0544*Data!Z38/Data!Z41)*'Error Data'!Z9^2+(9.01361*Data!Z10^2/Data!Z38/Data!Z41)*'Error Data'!Z18^2+(9.01361+Data!Z10^2*Data!Z38/Data!Z41^3)*'Error Data'!Z21^2)</f>
        <v>1.0818597616520842</v>
      </c>
      <c r="AA24" s="35">
        <f>SQRT((36.0544*Data!AA38/Data!AA41)*'Error Data'!AA9^2+(9.01361*Data!AA10^2/Data!AA38/Data!AA41)*'Error Data'!AA18^2+(9.01361+Data!AA10^2*Data!AA38/Data!AA41^3)*'Error Data'!AA21^2)</f>
        <v>1.0818589463255843</v>
      </c>
      <c r="AB24" s="35">
        <f>SQRT((36.0544*Data!AB38/Data!AB41)*'Error Data'!AB9^2+(9.01361*Data!AB10^2/Data!AB38/Data!AB41)*'Error Data'!AB18^2+(9.01361+Data!AB10^2*Data!AB38/Data!AB41^3)*'Error Data'!AB21^2)</f>
        <v>1.0817377812297857</v>
      </c>
      <c r="AC24" s="33"/>
      <c r="AD24" s="4"/>
      <c r="AE24" s="4"/>
      <c r="AF24" s="4"/>
      <c r="AG24" s="4"/>
    </row>
    <row r="25" spans="1:33" s="2" customFormat="1" x14ac:dyDescent="0.25">
      <c r="A25" s="30" t="s">
        <v>81</v>
      </c>
      <c r="B25" s="35">
        <f>1.133*B23</f>
        <v>1.6229732073108767</v>
      </c>
      <c r="C25" s="35">
        <f t="shared" ref="C25:AB25" si="0">1.133*C23</f>
        <v>1.6221468772814491</v>
      </c>
      <c r="D25" s="35">
        <f t="shared" si="0"/>
        <v>1.6225005914249739</v>
      </c>
      <c r="E25" s="35">
        <f t="shared" si="0"/>
        <v>1.6229732073108767</v>
      </c>
      <c r="F25" s="35">
        <f t="shared" si="0"/>
        <v>1.6221468772814491</v>
      </c>
      <c r="G25" s="35">
        <f t="shared" si="0"/>
        <v>1.622736789175389</v>
      </c>
      <c r="H25" s="35">
        <f t="shared" si="0"/>
        <v>1.6223826822139362</v>
      </c>
      <c r="I25" s="35">
        <f t="shared" si="0"/>
        <v>1.6223826156031265</v>
      </c>
      <c r="J25" s="35">
        <f t="shared" si="0"/>
        <v>1.6221468772814491</v>
      </c>
      <c r="K25" s="35">
        <f t="shared" si="0"/>
        <v>1.750547934008299</v>
      </c>
      <c r="L25" s="35">
        <f t="shared" si="0"/>
        <v>1.7503970994257569</v>
      </c>
      <c r="M25" s="35">
        <f t="shared" si="0"/>
        <v>1.7502464099694068</v>
      </c>
      <c r="N25" s="35">
        <f t="shared" si="0"/>
        <v>1.7511519066225385</v>
      </c>
      <c r="O25" s="35">
        <f t="shared" si="0"/>
        <v>1.7503971270108687</v>
      </c>
      <c r="P25" s="35">
        <f t="shared" si="0"/>
        <v>1.7510007727946806</v>
      </c>
      <c r="Q25" s="35">
        <f t="shared" si="0"/>
        <v>1.7503972171222306</v>
      </c>
      <c r="R25" s="35">
        <f t="shared" si="0"/>
        <v>1.7502464663479722</v>
      </c>
      <c r="S25" s="35">
        <f t="shared" si="0"/>
        <v>1.7510008016419549</v>
      </c>
      <c r="T25" s="35">
        <f t="shared" si="0"/>
        <v>1.8701778286924833</v>
      </c>
      <c r="U25" s="35">
        <f t="shared" si="0"/>
        <v>1.8694578982871584</v>
      </c>
      <c r="V25" s="35">
        <f t="shared" si="0"/>
        <v>1.8701778025506997</v>
      </c>
      <c r="W25" s="35">
        <f t="shared" si="0"/>
        <v>1.8699976900164459</v>
      </c>
      <c r="X25" s="35">
        <f t="shared" si="0"/>
        <v>1.8694578982871584</v>
      </c>
      <c r="Y25" s="35">
        <f t="shared" si="0"/>
        <v>1.8703580715729728</v>
      </c>
      <c r="Z25" s="35">
        <f t="shared" si="0"/>
        <v>1.8699977451332865</v>
      </c>
      <c r="AA25" s="35">
        <f t="shared" si="0"/>
        <v>1.869457953348419</v>
      </c>
      <c r="AB25" s="44">
        <f t="shared" si="0"/>
        <v>1.8698176825261799</v>
      </c>
    </row>
    <row r="26" spans="1:33" x14ac:dyDescent="0.25">
      <c r="A26" t="s">
        <v>86</v>
      </c>
      <c r="B26" s="45">
        <f>'Error Data'!$B$13*'Error Data'!B23</f>
        <v>0.10727236944032623</v>
      </c>
      <c r="C26" s="45">
        <f>'Error Data'!$B$13*'Error Data'!C23</f>
        <v>0.1072177521614968</v>
      </c>
      <c r="D26" s="45">
        <f>'Error Data'!$B$13*'Error Data'!D23</f>
        <v>0.10724113132395588</v>
      </c>
      <c r="E26" s="45">
        <f>'Error Data'!$B$13*'Error Data'!E23</f>
        <v>0.10727236944032623</v>
      </c>
      <c r="F26" s="45">
        <f>'Error Data'!$B$13*'Error Data'!F23</f>
        <v>0.1072177521614968</v>
      </c>
      <c r="G26" s="45">
        <f>'Error Data'!$B$13*'Error Data'!G23</f>
        <v>0.10725674309883261</v>
      </c>
      <c r="H26" s="45">
        <f>'Error Data'!$B$13*'Error Data'!H23</f>
        <v>0.10723333797259933</v>
      </c>
      <c r="I26" s="45">
        <f>'Error Data'!$B$13*'Error Data'!I23</f>
        <v>0.1072333335698776</v>
      </c>
      <c r="J26" s="45">
        <f>'Error Data'!$B$13*'Error Data'!J23</f>
        <v>0.1072177521614968</v>
      </c>
      <c r="K26" s="45">
        <f>'Error Data'!$B$13*'Error Data'!K23</f>
        <v>0.11570457469909928</v>
      </c>
      <c r="L26" s="45">
        <f>'Error Data'!$B$13*'Error Data'!L23</f>
        <v>0.11569460510564578</v>
      </c>
      <c r="M26" s="45">
        <f>'Error Data'!$B$13*'Error Data'!M23</f>
        <v>0.11568464510448276</v>
      </c>
      <c r="N26" s="45">
        <f>'Error Data'!$B$13*'Error Data'!N23</f>
        <v>0.11574449499668317</v>
      </c>
      <c r="O26" s="45">
        <f>'Error Data'!$B$13*'Error Data'!O23</f>
        <v>0.11569460692891696</v>
      </c>
      <c r="P26" s="45">
        <f>'Error Data'!$B$13*'Error Data'!P23</f>
        <v>0.11573450562424999</v>
      </c>
      <c r="Q26" s="45">
        <f>'Error Data'!$B$13*'Error Data'!Q23</f>
        <v>0.11569461288493599</v>
      </c>
      <c r="R26" s="45">
        <f>'Error Data'!$B$13*'Error Data'!R23</f>
        <v>0.11568464883089195</v>
      </c>
      <c r="S26" s="45">
        <f>'Error Data'!$B$13*'Error Data'!S23</f>
        <v>0.11573450753094534</v>
      </c>
      <c r="T26" s="45">
        <f>'Error Data'!$B$13*'Error Data'!T23</f>
        <v>0.12361165671429301</v>
      </c>
      <c r="U26" s="45">
        <f>'Error Data'!$B$13*'Error Data'!U23</f>
        <v>0.12356407204680532</v>
      </c>
      <c r="V26" s="45">
        <f>'Error Data'!$B$13*'Error Data'!V23</f>
        <v>0.12361165498642032</v>
      </c>
      <c r="W26" s="45">
        <f>'Error Data'!$B$13*'Error Data'!W23</f>
        <v>0.12359975023147535</v>
      </c>
      <c r="X26" s="45">
        <f>'Error Data'!$B$13*'Error Data'!X23</f>
        <v>0.12356407204680532</v>
      </c>
      <c r="Y26" s="45">
        <f>'Error Data'!$B$13*'Error Data'!Y23</f>
        <v>0.12362357008462949</v>
      </c>
      <c r="Z26" s="45">
        <f>'Error Data'!$B$13*'Error Data'!Z23</f>
        <v>0.12359975387448933</v>
      </c>
      <c r="AA26" s="45">
        <f>'Error Data'!$B$13*'Error Data'!AA23</f>
        <v>0.12356407568614568</v>
      </c>
      <c r="AB26" s="45">
        <f>'Error Data'!$B$13*'Error Data'!AB23</f>
        <v>0.1235878524195393</v>
      </c>
      <c r="AC26" s="33"/>
      <c r="AD26" s="4"/>
      <c r="AE26" s="4"/>
      <c r="AF26" s="4"/>
      <c r="AG26" s="4"/>
    </row>
    <row r="27" spans="1:33" x14ac:dyDescent="0.25">
      <c r="A27" t="s">
        <v>87</v>
      </c>
      <c r="B27" s="45">
        <f>$B$13*B24</f>
        <v>8.1072232984991041E-2</v>
      </c>
      <c r="C27" s="45">
        <f t="shared" ref="C27:AB27" si="1">$B$13*C24</f>
        <v>8.1071107392804515E-2</v>
      </c>
      <c r="D27" s="45">
        <f t="shared" si="1"/>
        <v>8.1071334791425531E-2</v>
      </c>
      <c r="E27" s="45">
        <f t="shared" si="1"/>
        <v>8.0993340181374399E-2</v>
      </c>
      <c r="F27" s="45">
        <f t="shared" si="1"/>
        <v>8.0993398175379427E-2</v>
      </c>
      <c r="G27" s="45">
        <f t="shared" si="1"/>
        <v>8.0993388230328381E-2</v>
      </c>
      <c r="H27" s="45">
        <f t="shared" si="1"/>
        <v>8.0939376997687634E-2</v>
      </c>
      <c r="I27" s="45">
        <f t="shared" si="1"/>
        <v>8.0939375607031516E-2</v>
      </c>
      <c r="J27" s="45">
        <f t="shared" si="1"/>
        <v>8.0940230581466155E-2</v>
      </c>
      <c r="K27" s="45">
        <f t="shared" si="1"/>
        <v>8.1191739135219154E-2</v>
      </c>
      <c r="L27" s="45">
        <f t="shared" si="1"/>
        <v>8.1210044313387561E-2</v>
      </c>
      <c r="M27" s="45">
        <f t="shared" si="1"/>
        <v>8.1192434672521394E-2</v>
      </c>
      <c r="N27" s="45">
        <f t="shared" si="1"/>
        <v>8.1075955481887133E-2</v>
      </c>
      <c r="O27" s="45">
        <f t="shared" si="1"/>
        <v>8.1075711929253558E-2</v>
      </c>
      <c r="P27" s="45">
        <f t="shared" si="1"/>
        <v>8.1076589498392054E-2</v>
      </c>
      <c r="Q27" s="45">
        <f t="shared" si="1"/>
        <v>8.0968947824268694E-2</v>
      </c>
      <c r="R27" s="45">
        <f t="shared" si="1"/>
        <v>8.0963322326136566E-2</v>
      </c>
      <c r="S27" s="45">
        <f t="shared" si="1"/>
        <v>8.0969074984562697E-2</v>
      </c>
      <c r="T27" s="45">
        <f t="shared" si="1"/>
        <v>8.1340262779011685E-2</v>
      </c>
      <c r="U27" s="45">
        <f t="shared" si="1"/>
        <v>8.1339433783421206E-2</v>
      </c>
      <c r="V27" s="45">
        <f t="shared" si="1"/>
        <v>8.1328630433167015E-2</v>
      </c>
      <c r="W27" s="45">
        <f t="shared" si="1"/>
        <v>8.1182318496809749E-2</v>
      </c>
      <c r="X27" s="45">
        <f t="shared" si="1"/>
        <v>8.1173370027594768E-2</v>
      </c>
      <c r="Y27" s="45">
        <f t="shared" si="1"/>
        <v>8.1183271780390726E-2</v>
      </c>
      <c r="Z27" s="45">
        <f t="shared" si="1"/>
        <v>8.1017231970839626E-2</v>
      </c>
      <c r="AA27" s="45">
        <f t="shared" si="1"/>
        <v>8.1017170913484024E-2</v>
      </c>
      <c r="AB27" s="45">
        <f t="shared" si="1"/>
        <v>8.1008097222954961E-2</v>
      </c>
      <c r="AC27" s="33"/>
      <c r="AD27" s="4"/>
      <c r="AE27" s="4"/>
      <c r="AF27" s="4"/>
      <c r="AG27" s="4"/>
    </row>
    <row r="28" spans="1:33" x14ac:dyDescent="0.25">
      <c r="A28" t="s">
        <v>88</v>
      </c>
      <c r="B28" s="45">
        <f>$B$13*B25</f>
        <v>0.12153959457588961</v>
      </c>
      <c r="C28" s="45">
        <f t="shared" ref="C28:AB28" si="2">$B$13*C25</f>
        <v>0.12147771319897588</v>
      </c>
      <c r="D28" s="45">
        <f t="shared" si="2"/>
        <v>0.12150420179004201</v>
      </c>
      <c r="E28" s="45">
        <f t="shared" si="2"/>
        <v>0.12153959457588961</v>
      </c>
      <c r="F28" s="45">
        <f t="shared" si="2"/>
        <v>0.12147771319897588</v>
      </c>
      <c r="G28" s="45">
        <f t="shared" si="2"/>
        <v>0.12152188993097734</v>
      </c>
      <c r="H28" s="45">
        <f t="shared" si="2"/>
        <v>0.12149537192295504</v>
      </c>
      <c r="I28" s="45">
        <f t="shared" si="2"/>
        <v>0.12149536693467132</v>
      </c>
      <c r="J28" s="45">
        <f t="shared" si="2"/>
        <v>0.12147771319897588</v>
      </c>
      <c r="K28" s="47">
        <f t="shared" si="2"/>
        <v>0.13109328313407947</v>
      </c>
      <c r="L28" s="45">
        <f t="shared" si="2"/>
        <v>0.13108198758469666</v>
      </c>
      <c r="M28" s="45">
        <f t="shared" si="2"/>
        <v>0.13107070290337897</v>
      </c>
      <c r="N28" s="45">
        <f t="shared" si="2"/>
        <v>0.13113851283124203</v>
      </c>
      <c r="O28" s="45">
        <f t="shared" si="2"/>
        <v>0.13108198965046292</v>
      </c>
      <c r="P28" s="45">
        <f t="shared" si="2"/>
        <v>0.13112719487227523</v>
      </c>
      <c r="Q28" s="45">
        <f t="shared" si="2"/>
        <v>0.13108199639863247</v>
      </c>
      <c r="R28" s="45">
        <f t="shared" si="2"/>
        <v>0.13107070712540059</v>
      </c>
      <c r="S28" s="45">
        <f t="shared" si="2"/>
        <v>0.13112719703256107</v>
      </c>
      <c r="T28" s="45">
        <f t="shared" si="2"/>
        <v>0.14005200705729398</v>
      </c>
      <c r="U28" s="45">
        <f t="shared" si="2"/>
        <v>0.13999809362903043</v>
      </c>
      <c r="V28" s="45">
        <f t="shared" si="2"/>
        <v>0.14005200509961424</v>
      </c>
      <c r="W28" s="45">
        <f t="shared" si="2"/>
        <v>0.14003851701226158</v>
      </c>
      <c r="X28" s="45">
        <f t="shared" si="2"/>
        <v>0.13999809362903043</v>
      </c>
      <c r="Y28" s="45">
        <f t="shared" si="2"/>
        <v>0.14006550490588521</v>
      </c>
      <c r="Z28" s="45">
        <f t="shared" si="2"/>
        <v>0.14003852113979642</v>
      </c>
      <c r="AA28" s="45">
        <f t="shared" si="2"/>
        <v>0.13999809775240304</v>
      </c>
      <c r="AB28" s="45">
        <f t="shared" si="2"/>
        <v>0.14002503679133801</v>
      </c>
      <c r="AC28" s="33"/>
      <c r="AD28" s="4"/>
      <c r="AE28" s="4"/>
      <c r="AF28" s="4"/>
      <c r="AG28" s="4"/>
    </row>
    <row r="29" spans="1:33" x14ac:dyDescent="0.25">
      <c r="A29" t="s">
        <v>85</v>
      </c>
      <c r="B29" s="35">
        <f>SQRT(B22^2+B21^2)</f>
        <v>0.50911688245431419</v>
      </c>
      <c r="C29" s="35">
        <f t="shared" ref="C29:AB29" si="3">SQRT(C22^2+C21^2)</f>
        <v>0.50911688245431419</v>
      </c>
      <c r="D29" s="35">
        <f t="shared" si="3"/>
        <v>0.50911688245431419</v>
      </c>
      <c r="E29" s="35">
        <f t="shared" si="3"/>
        <v>0.50911688245431419</v>
      </c>
      <c r="F29" s="35">
        <f t="shared" si="3"/>
        <v>0.50911688245431419</v>
      </c>
      <c r="G29" s="35">
        <f t="shared" si="3"/>
        <v>0.50911688245431419</v>
      </c>
      <c r="H29" s="35">
        <f t="shared" si="3"/>
        <v>0.50911688245431419</v>
      </c>
      <c r="I29" s="35">
        <f t="shared" si="3"/>
        <v>0.50911688245431419</v>
      </c>
      <c r="J29" s="35">
        <f t="shared" si="3"/>
        <v>0.50911688245431419</v>
      </c>
      <c r="K29" s="35">
        <f t="shared" si="3"/>
        <v>0.50911688245431419</v>
      </c>
      <c r="L29" s="35">
        <f t="shared" si="3"/>
        <v>0.50911688245431419</v>
      </c>
      <c r="M29" s="35">
        <f t="shared" si="3"/>
        <v>0.50911688245431419</v>
      </c>
      <c r="N29" s="35">
        <f t="shared" si="3"/>
        <v>0.50911688245431419</v>
      </c>
      <c r="O29" s="35">
        <f t="shared" si="3"/>
        <v>0.50911688245431419</v>
      </c>
      <c r="P29" s="35">
        <f t="shared" si="3"/>
        <v>0.50911688245431419</v>
      </c>
      <c r="Q29" s="35">
        <f t="shared" si="3"/>
        <v>0.50911688245431419</v>
      </c>
      <c r="R29" s="35">
        <f t="shared" si="3"/>
        <v>0.50911688245431419</v>
      </c>
      <c r="S29" s="35">
        <f t="shared" si="3"/>
        <v>0.50911688245431419</v>
      </c>
      <c r="T29" s="35">
        <f t="shared" si="3"/>
        <v>0.50911688245431419</v>
      </c>
      <c r="U29" s="35">
        <f t="shared" si="3"/>
        <v>0.50911688245431419</v>
      </c>
      <c r="V29" s="35">
        <f t="shared" si="3"/>
        <v>0.50911688245431419</v>
      </c>
      <c r="W29" s="35">
        <f t="shared" si="3"/>
        <v>0.50911688245431419</v>
      </c>
      <c r="X29" s="35">
        <f t="shared" si="3"/>
        <v>0.50911688245431419</v>
      </c>
      <c r="Y29" s="35">
        <f t="shared" si="3"/>
        <v>0.50911688245431419</v>
      </c>
      <c r="Z29" s="35">
        <f t="shared" si="3"/>
        <v>0.50911688245431419</v>
      </c>
      <c r="AA29" s="35">
        <f t="shared" si="3"/>
        <v>0.50911688245431419</v>
      </c>
      <c r="AB29" s="35">
        <f t="shared" si="3"/>
        <v>0.50911688245431419</v>
      </c>
      <c r="AC29" s="33"/>
      <c r="AD29" s="4"/>
      <c r="AE29" s="4"/>
      <c r="AF29" s="4"/>
      <c r="AG29" s="4"/>
    </row>
    <row r="30" spans="1:33" x14ac:dyDescent="0.25">
      <c r="A30" t="s">
        <v>84</v>
      </c>
      <c r="B30" s="35">
        <f>SQRT(B28^2+B27^2)</f>
        <v>0.14609784396370909</v>
      </c>
      <c r="C30" s="35">
        <f t="shared" ref="C30:AB30" si="4">SQRT(C28^2+C27^2)</f>
        <v>0.14604574371733084</v>
      </c>
      <c r="D30" s="35">
        <f t="shared" si="4"/>
        <v>0.14606790331040784</v>
      </c>
      <c r="E30" s="35">
        <f t="shared" si="4"/>
        <v>0.14605407972188744</v>
      </c>
      <c r="F30" s="35">
        <f t="shared" si="4"/>
        <v>0.14600262104513123</v>
      </c>
      <c r="G30" s="35">
        <f t="shared" si="4"/>
        <v>0.14603937369567588</v>
      </c>
      <c r="H30" s="35">
        <f t="shared" si="4"/>
        <v>0.14598735612192917</v>
      </c>
      <c r="I30" s="35">
        <f t="shared" si="4"/>
        <v>0.14598735119950138</v>
      </c>
      <c r="J30" s="35">
        <f t="shared" si="4"/>
        <v>0.14597313359188241</v>
      </c>
      <c r="K30" s="35">
        <f t="shared" si="4"/>
        <v>0.15419969969709216</v>
      </c>
      <c r="L30" s="35">
        <f t="shared" si="4"/>
        <v>0.15419973659684683</v>
      </c>
      <c r="M30" s="35">
        <f t="shared" si="4"/>
        <v>0.15418086978492984</v>
      </c>
      <c r="N30" s="35">
        <f t="shared" si="4"/>
        <v>0.15417723601391606</v>
      </c>
      <c r="O30" s="35">
        <f t="shared" si="4"/>
        <v>0.15412903385008087</v>
      </c>
      <c r="P30" s="35">
        <f t="shared" si="4"/>
        <v>0.1541679428407943</v>
      </c>
      <c r="Q30" s="35">
        <f t="shared" si="4"/>
        <v>0.15407290576743285</v>
      </c>
      <c r="R30" s="35">
        <f t="shared" si="4"/>
        <v>0.15406034476281824</v>
      </c>
      <c r="S30" s="35">
        <f t="shared" si="4"/>
        <v>0.15411143015841436</v>
      </c>
      <c r="T30" s="35">
        <f t="shared" si="4"/>
        <v>0.16195926348849268</v>
      </c>
      <c r="U30" s="35">
        <f t="shared" si="4"/>
        <v>0.16191222840777139</v>
      </c>
      <c r="V30" s="35">
        <f t="shared" si="4"/>
        <v>0.16195342003353011</v>
      </c>
      <c r="W30" s="35">
        <f t="shared" si="4"/>
        <v>0.16186832637520823</v>
      </c>
      <c r="X30" s="35">
        <f t="shared" si="4"/>
        <v>0.16182886708309982</v>
      </c>
      <c r="Y30" s="35">
        <f t="shared" si="4"/>
        <v>0.16189215324255013</v>
      </c>
      <c r="Z30" s="35">
        <f t="shared" si="4"/>
        <v>0.16178559663714828</v>
      </c>
      <c r="AA30" s="35">
        <f t="shared" si="4"/>
        <v>0.16175057760983755</v>
      </c>
      <c r="AB30" s="35">
        <f t="shared" si="4"/>
        <v>0.16176935044716995</v>
      </c>
      <c r="AC30" s="33"/>
      <c r="AD30" s="4"/>
      <c r="AE30" s="4"/>
      <c r="AF30" s="4"/>
      <c r="AG30" s="4"/>
    </row>
    <row r="31" spans="1:33" x14ac:dyDescent="0.25">
      <c r="A31" t="s">
        <v>83</v>
      </c>
      <c r="B31" s="35">
        <f>SQRT(($B$14*(Data!B41-Data!B40))^2*'Error Data'!B27^2+(Data!B47*Data!$B$34)^2*'Error Data'!B21^2+(-Data!B47*Data!$B$34)^2*'Error Data'!B20^2)</f>
        <v>0.17961280582992253</v>
      </c>
      <c r="C31" s="35">
        <f>SQRT(($B$14*(Data!C41-Data!C40))^2*'Error Data'!C27^2+(Data!C47*Data!$B$34)^2*'Error Data'!C21^2+(-Data!C47*Data!$B$34)^2*'Error Data'!C20^2)</f>
        <v>0.19702562265166995</v>
      </c>
      <c r="D31" s="35">
        <f>SQRT(($B$14*(Data!D41-Data!D40))^2*'Error Data'!D27^2+(Data!D47*Data!$B$34)^2*'Error Data'!D21^2+(-Data!D47*Data!$B$34)^2*'Error Data'!D20^2)</f>
        <v>0.20400138079374222</v>
      </c>
      <c r="E31" s="35">
        <f>SQRT(($B$14*(Data!E41-Data!E40))^2*'Error Data'!E27^2+(Data!E47*Data!$B$34)^2*'Error Data'!E21^2+(-Data!E47*Data!$B$34)^2*'Error Data'!E20^2)</f>
        <v>0.5109831461163884</v>
      </c>
      <c r="F31" s="35">
        <f>SQRT(($B$14*(Data!F41-Data!F40))^2*'Error Data'!F27^2+(Data!F47*Data!$B$34)^2*'Error Data'!F21^2+(-Data!F47*Data!$B$34)^2*'Error Data'!F20^2)</f>
        <v>0.54596370473152467</v>
      </c>
      <c r="G31" s="35">
        <f>SQRT(($B$14*(Data!G41-Data!G40))^2*'Error Data'!G27^2+(Data!G47*Data!$B$34)^2*'Error Data'!G21^2+(-Data!G47*Data!$B$34)^2*'Error Data'!G20^2)</f>
        <v>0.51098357697339714</v>
      </c>
      <c r="H31" s="35">
        <f>SQRT(($B$14*(Data!H41-Data!H40))^2*'Error Data'!H27^2+(Data!H47*Data!$B$34)^2*'Error Data'!H21^2+(-Data!H47*Data!$B$34)^2*'Error Data'!H20^2)</f>
        <v>1.000022574675727</v>
      </c>
      <c r="I31" s="35">
        <f>SQRT(($B$14*(Data!I41-Data!I40))^2*'Error Data'!I27^2+(Data!I47*Data!$B$34)^2*'Error Data'!I21^2+(-Data!I47*Data!$B$34)^2*'Error Data'!I20^2)</f>
        <v>0.95456702049177145</v>
      </c>
      <c r="J31" s="35">
        <f>SQRT(($B$14*(Data!J41-Data!J40))^2*'Error Data'!J27^2+(Data!J47*Data!$B$34)^2*'Error Data'!J21^2+(-Data!J47*Data!$B$34)^2*'Error Data'!J20^2)</f>
        <v>0.93709524052878457</v>
      </c>
      <c r="K31" s="35">
        <f>SQRT(($B$14*(Data!K41-Data!K40))^2*'Error Data'!K27^2+(Data!K47*Data!$B$34)^2*'Error Data'!K21^2+(-Data!K47*Data!$B$34)^2*'Error Data'!K20^2)</f>
        <v>0.19118198005284623</v>
      </c>
      <c r="L31" s="35">
        <f>SQRT(($B$14*(Data!L41-Data!L40))^2*'Error Data'!L27^2+(Data!L47*Data!$B$34)^2*'Error Data'!L21^2+(-Data!L47*Data!$B$34)^2*'Error Data'!L20^2)</f>
        <v>0.20177813652652671</v>
      </c>
      <c r="M31" s="35">
        <f>SQRT(($B$14*(Data!M41-Data!M40))^2*'Error Data'!M27^2+(Data!M47*Data!$B$34)^2*'Error Data'!M21^2+(-Data!M47*Data!$B$34)^2*'Error Data'!M20^2)</f>
        <v>0.22598706870459676</v>
      </c>
      <c r="N31" s="35">
        <f>SQRT(($B$14*(Data!N41-Data!N40))^2*'Error Data'!N27^2+(Data!N47*Data!$B$34)^2*'Error Data'!N21^2+(-Data!N47*Data!$B$34)^2*'Error Data'!N20^2)</f>
        <v>0.55022242639948282</v>
      </c>
      <c r="O31" s="35">
        <f>SQRT(($B$14*(Data!O41-Data!O40))^2*'Error Data'!O27^2+(Data!O47*Data!$B$34)^2*'Error Data'!O21^2+(-Data!O47*Data!$B$34)^2*'Error Data'!O20^2)</f>
        <v>0.55022018288908447</v>
      </c>
      <c r="P31" s="35">
        <f>SQRT(($B$14*(Data!P41-Data!P40))^2*'Error Data'!P27^2+(Data!P47*Data!$B$34)^2*'Error Data'!P21^2+(-Data!P47*Data!$B$34)^2*'Error Data'!P20^2)</f>
        <v>0.56072953789765179</v>
      </c>
      <c r="Q31" s="35">
        <f>SQRT(($B$14*(Data!Q41-Data!Q40))^2*'Error Data'!Q27^2+(Data!Q47*Data!$B$34)^2*'Error Data'!Q21^2+(-Data!Q47*Data!$B$34)^2*'Error Data'!Q20^2)</f>
        <v>1.2977362730076616</v>
      </c>
      <c r="R31" s="35">
        <f>SQRT(($B$14*(Data!R41-Data!R40))^2*'Error Data'!R27^2+(Data!R47*Data!$B$34)^2*'Error Data'!R21^2+(-Data!R47*Data!$B$34)^2*'Error Data'!R20^2)</f>
        <v>1.3186256148890012</v>
      </c>
      <c r="S31" s="35">
        <f>SQRT(($B$14*(Data!S41-Data!S40))^2*'Error Data'!S27^2+(Data!S47*Data!$B$34)^2*'Error Data'!S21^2+(-Data!S47*Data!$B$34)^2*'Error Data'!S20^2)</f>
        <v>1.3222229183433727</v>
      </c>
      <c r="T31" s="35">
        <f>SQRT(($B$14*(Data!T41-Data!T40))^2*'Error Data'!T27^2+(Data!T47*Data!$B$34)^2*'Error Data'!T21^2+(-Data!T47*Data!$B$34)^2*'Error Data'!T20^2)</f>
        <v>0.26208886668418629</v>
      </c>
      <c r="U31" s="35">
        <f>SQRT(($B$14*(Data!U41-Data!U40))^2*'Error Data'!U27^2+(Data!U47*Data!$B$34)^2*'Error Data'!U21^2+(-Data!U47*Data!$B$34)^2*'Error Data'!U20^2)</f>
        <v>0.25511090588257562</v>
      </c>
      <c r="V31" s="35">
        <f>SQRT(($B$14*(Data!V41-Data!V40))^2*'Error Data'!V27^2+(Data!V47*Data!$B$34)^2*'Error Data'!V21^2+(-Data!V47*Data!$B$34)^2*'Error Data'!V20^2)</f>
        <v>0.27594395384619486</v>
      </c>
      <c r="W31" s="35">
        <f>SQRT(($B$14*(Data!W41-Data!W40))^2*'Error Data'!W27^2+(Data!W47*Data!$B$34)^2*'Error Data'!W21^2+(-Data!W47*Data!$B$34)^2*'Error Data'!W20^2)</f>
        <v>0.53368616304633754</v>
      </c>
      <c r="X31" s="35">
        <f>SQRT(($B$14*(Data!X41-Data!X40))^2*'Error Data'!X27^2+(Data!X47*Data!$B$34)^2*'Error Data'!X21^2+(-Data!X47*Data!$B$34)^2*'Error Data'!X20^2)</f>
        <v>0.55462279146254578</v>
      </c>
      <c r="Y31" s="35">
        <f>SQRT(($B$14*(Data!Y41-Data!Y40))^2*'Error Data'!Y27^2+(Data!Y47*Data!$B$34)^2*'Error Data'!Y21^2+(-Data!Y47*Data!$B$34)^2*'Error Data'!Y20^2)</f>
        <v>0.56522463722855409</v>
      </c>
      <c r="Z31" s="35">
        <f>SQRT(($B$14*(Data!Z41-Data!Z40))^2*'Error Data'!Z27^2+(Data!Z47*Data!$B$34)^2*'Error Data'!Z21^2+(-Data!Z47*Data!$B$34)^2*'Error Data'!Z20^2)</f>
        <v>1.4315502560210078</v>
      </c>
      <c r="AA31" s="35">
        <f>SQRT(($B$14*(Data!AA41-Data!AA40))^2*'Error Data'!AA27^2+(Data!AA47*Data!$B$34)^2*'Error Data'!AA21^2+(-Data!AA47*Data!$B$34)^2*'Error Data'!AA20^2)</f>
        <v>1.4350488841246378</v>
      </c>
      <c r="AB31" s="35">
        <f>SQRT(($B$14*(Data!AB41-Data!AB40))^2*'Error Data'!AB27^2+(Data!AB47*Data!$B$34)^2*'Error Data'!AB21^2+(-Data!AB47*Data!$B$34)^2*'Error Data'!AB20^2)</f>
        <v>1.4768724893855567</v>
      </c>
      <c r="AC31" s="33"/>
      <c r="AD31" s="4"/>
      <c r="AE31" s="4"/>
      <c r="AF31" s="4"/>
      <c r="AG31" s="4"/>
    </row>
    <row r="32" spans="1:33" x14ac:dyDescent="0.25">
      <c r="A32" t="s">
        <v>102</v>
      </c>
      <c r="B32" s="29">
        <f>SQRT(((1.986/28.97/Data!B37)^2*'Error Data'!B17^2)+(('Error Data'!$B$14/Data!B40)^2*'Error Data'!B20^2)+((1.986/28.97/Data!B$37)^2*'Error Data'!B$17^2)+(('Error Data'!$B$14/Data!B$40)^2*'Error Data'!B$20^2))</f>
        <v>2.4850262266895015E-4</v>
      </c>
      <c r="C32" s="29">
        <f>SQRT(((1.986/28.97/Data!C37)^2*'Error Data'!C17^2)+(('Error Data'!$B$14/Data!C40)^2*'Error Data'!C20^2)+((1.986/28.97/Data!C$37)^2*'Error Data'!C$17^2)+(('Error Data'!$B$14/Data!C$40)^2*'Error Data'!C$20^2))</f>
        <v>2.4800059790192465E-4</v>
      </c>
      <c r="D32" s="29">
        <f>SQRT(((1.986/28.97/Data!D37)^2*'Error Data'!D17^2)+(('Error Data'!$B$14/Data!D40)^2*'Error Data'!D20^2)+((1.986/28.97/Data!D$37)^2*'Error Data'!D$17^2)+(('Error Data'!$B$14/Data!D$40)^2*'Error Data'!D$20^2))</f>
        <v>2.4821543932209377E-4</v>
      </c>
      <c r="E32" s="29">
        <f>SQRT(((1.986/28.97/Data!E37)^2*'Error Data'!E17^2)+(('Error Data'!$B$14/Data!E40)^2*'Error Data'!E20^2)+((1.986/28.97/Data!E$37)^2*'Error Data'!E$17^2)+(('Error Data'!$B$14/Data!E$40)^2*'Error Data'!E$20^2))</f>
        <v>2.4850262266895015E-4</v>
      </c>
      <c r="F32" s="29">
        <f>SQRT(((1.986/28.97/Data!F37)^2*'Error Data'!F17^2)+(('Error Data'!$B$14/Data!F40)^2*'Error Data'!F20^2)+((1.986/28.97/Data!F$37)^2*'Error Data'!F$17^2)+(('Error Data'!$B$14/Data!F$40)^2*'Error Data'!F$20^2))</f>
        <v>2.4800059790192465E-4</v>
      </c>
      <c r="G32" s="29">
        <f>SQRT(((1.986/28.97/Data!G37)^2*'Error Data'!G17^2)+(('Error Data'!$B$14/Data!G40)^2*'Error Data'!G20^2)+((1.986/28.97/Data!G$37)^2*'Error Data'!G$17^2)+(('Error Data'!$B$14/Data!G$40)^2*'Error Data'!G$20^2))</f>
        <v>2.4835892680073653E-4</v>
      </c>
      <c r="H32" s="29">
        <f>SQRT(((1.986/28.97/Data!H37)^2*'Error Data'!H17^2)+(('Error Data'!$B$14/Data!H40)^2*'Error Data'!H20^2)+((1.986/28.97/Data!H$37)^2*'Error Data'!H$17^2)+(('Error Data'!$B$14/Data!H$40)^2*'Error Data'!H$20^2))</f>
        <v>2.4814377359553576E-4</v>
      </c>
      <c r="I32" s="29">
        <f>SQRT(((1.986/28.97/Data!I37)^2*'Error Data'!I17^2)+(('Error Data'!$B$14/Data!I40)^2*'Error Data'!I20^2)+((1.986/28.97/Data!I$37)^2*'Error Data'!I$17^2)+(('Error Data'!$B$14/Data!I$40)^2*'Error Data'!I$20^2))</f>
        <v>2.4814377359553576E-4</v>
      </c>
      <c r="J32" s="29">
        <f>SQRT(((1.986/28.97/Data!J37)^2*'Error Data'!J17^2)+(('Error Data'!$B$14/Data!J40)^2*'Error Data'!J20^2)+((1.986/28.97/Data!J$37)^2*'Error Data'!J$17^2)+(('Error Data'!$B$14/Data!J$40)^2*'Error Data'!J$20^2))</f>
        <v>2.4800059790192465E-4</v>
      </c>
      <c r="K32" s="29">
        <f>SQRT(((1.986/28.97/Data!K37)^2*'Error Data'!K17^2)+(('Error Data'!$B$14/Data!K40)^2*'Error Data'!K20^2)+((1.986/28.97/Data!K$37)^2*'Error Data'!K$17^2)+(('Error Data'!$B$14/Data!K$40)^2*'Error Data'!K$20^2))</f>
        <v>2.3906484381334628E-4</v>
      </c>
      <c r="L32" s="29">
        <f>SQRT(((1.986/28.97/Data!L37)^2*'Error Data'!L17^2)+(('Error Data'!$B$14/Data!L40)^2*'Error Data'!L20^2)+((1.986/28.97/Data!L$37)^2*'Error Data'!L$17^2)+(('Error Data'!$B$14/Data!L$40)^2*'Error Data'!L$20^2))</f>
        <v>2.389908101168954E-4</v>
      </c>
      <c r="M32" s="29">
        <f>SQRT(((1.986/28.97/Data!M37)^2*'Error Data'!M17^2)+(('Error Data'!$B$14/Data!M40)^2*'Error Data'!M20^2)+((1.986/28.97/Data!M$37)^2*'Error Data'!M$17^2)+(('Error Data'!$B$14/Data!M$40)^2*'Error Data'!M$20^2))</f>
        <v>2.3891682839661168E-4</v>
      </c>
      <c r="N32" s="29">
        <f>SQRT(((1.986/28.97/Data!N37)^2*'Error Data'!N17^2)+(('Error Data'!$B$14/Data!N40)^2*'Error Data'!N20^2)+((1.986/28.97/Data!N$37)^2*'Error Data'!N$17^2)+(('Error Data'!$B$14/Data!N$40)^2*'Error Data'!N$20^2))</f>
        <v>2.3936149941797266E-4</v>
      </c>
      <c r="O32" s="29">
        <f>SQRT(((1.986/28.97/Data!O37)^2*'Error Data'!O17^2)+(('Error Data'!$B$14/Data!O40)^2*'Error Data'!O20^2)+((1.986/28.97/Data!O$37)^2*'Error Data'!O$17^2)+(('Error Data'!$B$14/Data!O$40)^2*'Error Data'!O$20^2))</f>
        <v>2.389908101168954E-4</v>
      </c>
      <c r="P32" s="29">
        <f>SQRT(((1.986/28.97/Data!P37)^2*'Error Data'!P17^2)+(('Error Data'!$B$14/Data!P40)^2*'Error Data'!P20^2)+((1.986/28.97/Data!P$37)^2*'Error Data'!P$17^2)+(('Error Data'!$B$14/Data!P$40)^2*'Error Data'!P$20^2))</f>
        <v>2.3928725728809914E-4</v>
      </c>
      <c r="Q32" s="29">
        <f>SQRT(((1.986/28.97/Data!Q37)^2*'Error Data'!Q17^2)+(('Error Data'!$B$14/Data!Q40)^2*'Error Data'!Q20^2)+((1.986/28.97/Data!Q$37)^2*'Error Data'!Q$17^2)+(('Error Data'!$B$14/Data!Q$40)^2*'Error Data'!Q$20^2))</f>
        <v>2.389908101168954E-4</v>
      </c>
      <c r="R32" s="29">
        <f>SQRT(((1.986/28.97/Data!R37)^2*'Error Data'!R17^2)+(('Error Data'!$B$14/Data!R40)^2*'Error Data'!R20^2)+((1.986/28.97/Data!R$37)^2*'Error Data'!R$17^2)+(('Error Data'!$B$14/Data!R$40)^2*'Error Data'!R$20^2))</f>
        <v>2.3891682839661168E-4</v>
      </c>
      <c r="S32" s="29">
        <f>SQRT(((1.986/28.97/Data!S37)^2*'Error Data'!S17^2)+(('Error Data'!$B$14/Data!S40)^2*'Error Data'!S20^2)+((1.986/28.97/Data!S$37)^2*'Error Data'!S$17^2)+(('Error Data'!$B$14/Data!S$40)^2*'Error Data'!S$20^2))</f>
        <v>2.3928725728809914E-4</v>
      </c>
      <c r="T32" s="29">
        <f>SQRT(((1.986/28.97/Data!T37)^2*'Error Data'!T17^2)+(('Error Data'!$B$14/Data!T40)^2*'Error Data'!T20^2)+((1.986/28.97/Data!T$37)^2*'Error Data'!T$17^2)+(('Error Data'!$B$14/Data!T$40)^2*'Error Data'!T$20^2))</f>
        <v>2.3516866162202099E-4</v>
      </c>
      <c r="U32" s="29">
        <f>SQRT(((1.986/28.97/Data!U37)^2*'Error Data'!U17^2)+(('Error Data'!$B$14/Data!U40)^2*'Error Data'!U20^2)+((1.986/28.97/Data!U$37)^2*'Error Data'!U$17^2)+(('Error Data'!$B$14/Data!U$40)^2*'Error Data'!U$20^2))</f>
        <v>2.3486823539500441E-4</v>
      </c>
      <c r="V32" s="29">
        <f>SQRT(((1.986/28.97/Data!V37)^2*'Error Data'!V17^2)+(('Error Data'!$B$14/Data!V40)^2*'Error Data'!V20^2)+((1.986/28.97/Data!V$37)^2*'Error Data'!V$17^2)+(('Error Data'!$B$14/Data!V$40)^2*'Error Data'!V$20^2))</f>
        <v>2.3516866162202099E-4</v>
      </c>
      <c r="W32" s="29">
        <f>SQRT(((1.986/28.97/Data!W37)^2*'Error Data'!W17^2)+(('Error Data'!$B$14/Data!W40)^2*'Error Data'!W20^2)+((1.986/28.97/Data!W$37)^2*'Error Data'!W$17^2)+(('Error Data'!$B$14/Data!W$40)^2*'Error Data'!W$20^2))</f>
        <v>2.3509347711040101E-4</v>
      </c>
      <c r="X32" s="29">
        <f>SQRT(((1.986/28.97/Data!X37)^2*'Error Data'!X17^2)+(('Error Data'!$B$14/Data!X40)^2*'Error Data'!X20^2)+((1.986/28.97/Data!X$37)^2*'Error Data'!X$17^2)+(('Error Data'!$B$14/Data!X$40)^2*'Error Data'!X$20^2))</f>
        <v>2.3486823539500441E-4</v>
      </c>
      <c r="Y32" s="29">
        <f>SQRT(((1.986/28.97/Data!Y37)^2*'Error Data'!Y17^2)+(('Error Data'!$B$14/Data!Y40)^2*'Error Data'!Y20^2)+((1.986/28.97/Data!Y$37)^2*'Error Data'!Y$17^2)+(('Error Data'!$B$14/Data!Y$40)^2*'Error Data'!Y$20^2))</f>
        <v>2.3524389819135012E-4</v>
      </c>
      <c r="Z32" s="29">
        <f>SQRT(((1.986/28.97/Data!Z37)^2*'Error Data'!Z17^2)+(('Error Data'!$B$14/Data!Z40)^2*'Error Data'!Z20^2)+((1.986/28.97/Data!Z$37)^2*'Error Data'!Z$17^2)+(('Error Data'!$B$14/Data!Z$40)^2*'Error Data'!Z$20^2))</f>
        <v>2.3509347711040101E-4</v>
      </c>
      <c r="AA32" s="29">
        <f>SQRT(((1.986/28.97/Data!AA37)^2*'Error Data'!AA17^2)+(('Error Data'!$B$14/Data!AA40)^2*'Error Data'!AA20^2)+((1.986/28.97/Data!AA$37)^2*'Error Data'!AA$17^2)+(('Error Data'!$B$14/Data!AA$40)^2*'Error Data'!AA$20^2))</f>
        <v>2.3486823539500441E-4</v>
      </c>
      <c r="AB32" s="29">
        <f>SQRT(((1.986/28.97/Data!AB37)^2*'Error Data'!AB17^2)+(('Error Data'!$B$14/Data!AB40)^2*'Error Data'!AB20^2)+((1.986/28.97/Data!AB$37)^2*'Error Data'!AB$17^2)+(('Error Data'!$B$14/Data!AB$40)^2*'Error Data'!AB$20^2))</f>
        <v>2.3501834460377553E-4</v>
      </c>
      <c r="AC32" s="33"/>
      <c r="AD32" s="4"/>
      <c r="AE32" s="4"/>
      <c r="AF32" s="4"/>
      <c r="AG32" s="4"/>
    </row>
    <row r="33" spans="1:33" x14ac:dyDescent="0.25">
      <c r="A33" t="s">
        <v>103</v>
      </c>
      <c r="B33" s="29">
        <f>SQRT(((1.986/28.97/Data!B38)^2*'Error Data'!B18^2)+(('Error Data'!$B$14/Data!B41)^2*'Error Data'!B21^2)+((1.986/28.97/Data!B$37)^2*'Error Data'!B$17^2)+(('Error Data'!$B$14/Data!B$40)^2*'Error Data'!B$20^2))</f>
        <v>3.6504120066847509E-4</v>
      </c>
      <c r="C33" s="29">
        <f>SQRT(((1.986/28.97/Data!C38)^2*'Error Data'!C18^2)+(('Error Data'!$B$14/Data!C41)^2*'Error Data'!C21^2)+((1.986/28.97/Data!C$37)^2*'Error Data'!C$17^2)+(('Error Data'!$B$14/Data!C$40)^2*'Error Data'!C$20^2))</f>
        <v>3.6644880240058517E-4</v>
      </c>
      <c r="D33" s="29">
        <f>SQRT(((1.986/28.97/Data!D38)^2*'Error Data'!D18^2)+(('Error Data'!$B$14/Data!D41)^2*'Error Data'!D21^2)+((1.986/28.97/Data!D$37)^2*'Error Data'!D$17^2)+(('Error Data'!$B$14/Data!D$40)^2*'Error Data'!D$20^2))</f>
        <v>3.6664997619519562E-4</v>
      </c>
      <c r="E33" s="29">
        <f>SQRT(((1.986/28.97/Data!E38)^2*'Error Data'!E18^2)+(('Error Data'!$B$14/Data!E41)^2*'Error Data'!E21^2)+((1.986/28.97/Data!E$37)^2*'Error Data'!E$17^2)+(('Error Data'!$B$14/Data!E$40)^2*'Error Data'!E$20^2))</f>
        <v>3.7340878421614286E-4</v>
      </c>
      <c r="F33" s="29">
        <f>SQRT(((1.986/28.97/Data!F38)^2*'Error Data'!F18^2)+(('Error Data'!$B$14/Data!F41)^2*'Error Data'!F21^2)+((1.986/28.97/Data!F$37)^2*'Error Data'!F$17^2)+(('Error Data'!$B$14/Data!F$40)^2*'Error Data'!F$20^2))</f>
        <v>3.7332558915522654E-4</v>
      </c>
      <c r="G33" s="29">
        <f>SQRT(((1.986/28.97/Data!G38)^2*'Error Data'!G18^2)+(('Error Data'!$B$14/Data!G41)^2*'Error Data'!G21^2)+((1.986/28.97/Data!G$37)^2*'Error Data'!G$17^2)+(('Error Data'!$B$14/Data!G$40)^2*'Error Data'!G$20^2))</f>
        <v>3.7296297255714079E-4</v>
      </c>
      <c r="H33" s="29">
        <f>SQRT(((1.986/28.97/Data!H38)^2*'Error Data'!H18^2)+(('Error Data'!$B$14/Data!H41)^2*'Error Data'!H21^2)+((1.986/28.97/Data!H$37)^2*'Error Data'!H$17^2)+(('Error Data'!$B$14/Data!H$40)^2*'Error Data'!H$20^2))</f>
        <v>3.799021921933566E-4</v>
      </c>
      <c r="I33" s="29">
        <f>SQRT(((1.986/28.97/Data!I38)^2*'Error Data'!I18^2)+(('Error Data'!$B$14/Data!I41)^2*'Error Data'!I21^2)+((1.986/28.97/Data!I$37)^2*'Error Data'!I$17^2)+(('Error Data'!$B$14/Data!I$40)^2*'Error Data'!I$20^2))</f>
        <v>3.7949237604844238E-4</v>
      </c>
      <c r="J33" s="29">
        <f>SQRT(((1.986/28.97/Data!J38)^2*'Error Data'!J18^2)+(('Error Data'!$B$14/Data!J41)^2*'Error Data'!J21^2)+((1.986/28.97/Data!J$37)^2*'Error Data'!J$17^2)+(('Error Data'!$B$14/Data!J$40)^2*'Error Data'!J$20^2))</f>
        <v>3.7922715240425154E-4</v>
      </c>
      <c r="K33" s="29">
        <f>SQRT(((1.986/28.97/Data!K38)^2*'Error Data'!K18^2)+(('Error Data'!$B$14/Data!K41)^2*'Error Data'!K21^2)+((1.986/28.97/Data!K$37)^2*'Error Data'!K$17^2)+(('Error Data'!$B$14/Data!K$40)^2*'Error Data'!K$20^2))</f>
        <v>3.5697205763593275E-4</v>
      </c>
      <c r="L33" s="29">
        <f>SQRT(((1.986/28.97/Data!L38)^2*'Error Data'!L18^2)+(('Error Data'!$B$14/Data!L41)^2*'Error Data'!L21^2)+((1.986/28.97/Data!L$37)^2*'Error Data'!L$17^2)+(('Error Data'!$B$14/Data!L$40)^2*'Error Data'!L$20^2))</f>
        <v>3.5623408865022164E-4</v>
      </c>
      <c r="M33" s="29">
        <f>SQRT(((1.986/28.97/Data!M38)^2*'Error Data'!M18^2)+(('Error Data'!$B$14/Data!M41)^2*'Error Data'!M21^2)+((1.986/28.97/Data!M$37)^2*'Error Data'!M$17^2)+(('Error Data'!$B$14/Data!M$40)^2*'Error Data'!M$20^2))</f>
        <v>3.5713298579485587E-4</v>
      </c>
      <c r="N33" s="29">
        <f>SQRT(((1.986/28.97/Data!N38)^2*'Error Data'!N18^2)+(('Error Data'!$B$14/Data!N41)^2*'Error Data'!N21^2)+((1.986/28.97/Data!N$37)^2*'Error Data'!N$17^2)+(('Error Data'!$B$14/Data!N$40)^2*'Error Data'!N$20^2))</f>
        <v>3.6636395974462641E-4</v>
      </c>
      <c r="O33" s="29">
        <f>SQRT(((1.986/28.97/Data!O38)^2*'Error Data'!O18^2)+(('Error Data'!$B$14/Data!O41)^2*'Error Data'!O21^2)+((1.986/28.97/Data!O$37)^2*'Error Data'!O$17^2)+(('Error Data'!$B$14/Data!O$40)^2*'Error Data'!O$20^2))</f>
        <v>3.6610038894766526E-4</v>
      </c>
      <c r="P33" s="29">
        <f>SQRT(((1.986/28.97/Data!P38)^2*'Error Data'!P18^2)+(('Error Data'!$B$14/Data!P41)^2*'Error Data'!P21^2)+((1.986/28.97/Data!P$37)^2*'Error Data'!P$17^2)+(('Error Data'!$B$14/Data!P$40)^2*'Error Data'!P$20^2))</f>
        <v>3.6557794419130995E-4</v>
      </c>
      <c r="Q33" s="29">
        <f>SQRT(((1.986/28.97/Data!Q38)^2*'Error Data'!Q18^2)+(('Error Data'!$B$14/Data!Q41)^2*'Error Data'!Q21^2)+((1.986/28.97/Data!Q$37)^2*'Error Data'!Q$17^2)+(('Error Data'!$B$14/Data!Q$40)^2*'Error Data'!Q$20^2))</f>
        <v>3.7789358019453789E-4</v>
      </c>
      <c r="R33" s="29">
        <f>SQRT(((1.986/28.97/Data!R38)^2*'Error Data'!R18^2)+(('Error Data'!$B$14/Data!R41)^2*'Error Data'!R21^2)+((1.986/28.97/Data!R$37)^2*'Error Data'!R$17^2)+(('Error Data'!$B$14/Data!R$40)^2*'Error Data'!R$20^2))</f>
        <v>3.7804541870947191E-4</v>
      </c>
      <c r="S33" s="29">
        <f>SQRT(((1.986/28.97/Data!S38)^2*'Error Data'!S18^2)+(('Error Data'!$B$14/Data!S41)^2*'Error Data'!S21^2)+((1.986/28.97/Data!S$37)^2*'Error Data'!S$17^2)+(('Error Data'!$B$14/Data!S$40)^2*'Error Data'!S$20^2))</f>
        <v>3.7837398989629112E-4</v>
      </c>
      <c r="T33" s="29">
        <f>SQRT(((1.986/28.97/Data!T38)^2*'Error Data'!T18^2)+(('Error Data'!$B$14/Data!T41)^2*'Error Data'!T21^2)+((1.986/28.97/Data!T$37)^2*'Error Data'!T$17^2)+(('Error Data'!$B$14/Data!T$40)^2*'Error Data'!T$20^2))</f>
        <v>3.4881561211807437E-4</v>
      </c>
      <c r="U33" s="29">
        <f>SQRT(((1.986/28.97/Data!U38)^2*'Error Data'!U18^2)+(('Error Data'!$B$14/Data!U41)^2*'Error Data'!U21^2)+((1.986/28.97/Data!U$37)^2*'Error Data'!U$17^2)+(('Error Data'!$B$14/Data!U$40)^2*'Error Data'!U$20^2))</f>
        <v>3.48550709408526E-4</v>
      </c>
      <c r="V33" s="29">
        <f>SQRT(((1.986/28.97/Data!V38)^2*'Error Data'!V18^2)+(('Error Data'!$B$14/Data!V41)^2*'Error Data'!V21^2)+((1.986/28.97/Data!V$37)^2*'Error Data'!V$17^2)+(('Error Data'!$B$14/Data!V$40)^2*'Error Data'!V$20^2))</f>
        <v>3.4963145884616439E-4</v>
      </c>
      <c r="W33" s="29">
        <f>SQRT(((1.986/28.97/Data!W38)^2*'Error Data'!W18^2)+(('Error Data'!$B$14/Data!W41)^2*'Error Data'!W21^2)+((1.986/28.97/Data!W$37)^2*'Error Data'!W$17^2)+(('Error Data'!$B$14/Data!W$40)^2*'Error Data'!W$20^2))</f>
        <v>3.5906682973010624E-4</v>
      </c>
      <c r="X33" s="29">
        <f>SQRT(((1.986/28.97/Data!X38)^2*'Error Data'!X18^2)+(('Error Data'!$B$14/Data!X41)^2*'Error Data'!X21^2)+((1.986/28.97/Data!X$37)^2*'Error Data'!X$17^2)+(('Error Data'!$B$14/Data!X$40)^2*'Error Data'!X$20^2))</f>
        <v>3.5985698220940385E-4</v>
      </c>
      <c r="Y33" s="29">
        <f>SQRT(((1.986/28.97/Data!Y38)^2*'Error Data'!Y18^2)+(('Error Data'!$B$14/Data!Y41)^2*'Error Data'!Y21^2)+((1.986/28.97/Data!Y$37)^2*'Error Data'!Y$17^2)+(('Error Data'!$B$14/Data!Y$40)^2*'Error Data'!Y$20^2))</f>
        <v>3.5943469527570892E-4</v>
      </c>
      <c r="Z33" s="29">
        <f>SQRT(((1.986/28.97/Data!Z38)^2*'Error Data'!Z18^2)+(('Error Data'!$B$14/Data!Z41)^2*'Error Data'!Z21^2)+((1.986/28.97/Data!Z$37)^2*'Error Data'!Z$17^2)+(('Error Data'!$B$14/Data!Z$40)^2*'Error Data'!Z$20^2))</f>
        <v>3.7629489744361139E-4</v>
      </c>
      <c r="AA33" s="29">
        <f>SQRT(((1.986/28.97/Data!AA38)^2*'Error Data'!AA18^2)+(('Error Data'!$B$14/Data!AA41)^2*'Error Data'!AA21^2)+((1.986/28.97/Data!AA$37)^2*'Error Data'!AA$17^2)+(('Error Data'!$B$14/Data!AA$40)^2*'Error Data'!AA$20^2))</f>
        <v>3.7615133848772198E-4</v>
      </c>
      <c r="AB33" s="29">
        <f>SQRT(((1.986/28.97/Data!AB38)^2*'Error Data'!AB18^2)+(('Error Data'!$B$14/Data!AB41)^2*'Error Data'!AB21^2)+((1.986/28.97/Data!AB$37)^2*'Error Data'!AB$17^2)+(('Error Data'!$B$14/Data!AB$40)^2*'Error Data'!AB$20^2))</f>
        <v>3.7671405561663342E-4</v>
      </c>
      <c r="AC33" s="33"/>
      <c r="AD33" s="4"/>
      <c r="AE33" s="4"/>
      <c r="AF33" s="4"/>
      <c r="AG33" s="4"/>
    </row>
    <row r="34" spans="1:33" x14ac:dyDescent="0.25">
      <c r="A34" t="s">
        <v>104</v>
      </c>
      <c r="B34" s="29">
        <f>SQRT(((1.986/28.97/Data!B39)^2*'Error Data'!B19^2)+(('Error Data'!$B$14/Data!B42)^2*'Error Data'!B22^2)+((1.986/28.97/Data!B$37)^2*'Error Data'!B$17^2)+(('Error Data'!$B$14/Data!B$40)^2*'Error Data'!B$20^2))</f>
        <v>2.3895948193414785E-4</v>
      </c>
      <c r="C34" s="29">
        <f>SQRT(((1.986/28.97/Data!C39)^2*'Error Data'!C19^2)+(('Error Data'!$B$14/Data!C42)^2*'Error Data'!C22^2)+((1.986/28.97/Data!C$37)^2*'Error Data'!C$17^2)+(('Error Data'!$B$14/Data!C$40)^2*'Error Data'!C$20^2))</f>
        <v>2.3835959371996997E-4</v>
      </c>
      <c r="D34" s="29">
        <f>SQRT(((1.986/28.97/Data!D39)^2*'Error Data'!D19^2)+(('Error Data'!$B$14/Data!D42)^2*'Error Data'!D22^2)+((1.986/28.97/Data!D$37)^2*'Error Data'!D$17^2)+(('Error Data'!$B$14/Data!D$40)^2*'Error Data'!D$20^2))</f>
        <v>2.383183846151917E-4</v>
      </c>
      <c r="E34" s="29">
        <f>SQRT(((1.986/28.97/Data!E39)^2*'Error Data'!E19^2)+(('Error Data'!$B$14/Data!E42)^2*'Error Data'!E22^2)+((1.986/28.97/Data!E$37)^2*'Error Data'!E$17^2)+(('Error Data'!$B$14/Data!E$40)^2*'Error Data'!E$20^2))</f>
        <v>2.4015314569507274E-4</v>
      </c>
      <c r="F34" s="29">
        <f>SQRT(((1.986/28.97/Data!F39)^2*'Error Data'!F19^2)+(('Error Data'!$B$14/Data!F42)^2*'Error Data'!F22^2)+((1.986/28.97/Data!F$37)^2*'Error Data'!F$17^2)+(('Error Data'!$B$14/Data!F$40)^2*'Error Data'!F$20^2))</f>
        <v>2.3938580152221343E-4</v>
      </c>
      <c r="G34" s="29">
        <f>SQRT(((1.986/28.97/Data!G39)^2*'Error Data'!G19^2)+(('Error Data'!$B$14/Data!G42)^2*'Error Data'!G22^2)+((1.986/28.97/Data!G$37)^2*'Error Data'!G$17^2)+(('Error Data'!$B$14/Data!G$40)^2*'Error Data'!G$20^2))</f>
        <v>2.3966608848537669E-4</v>
      </c>
      <c r="H34" s="29">
        <f>SQRT(((1.986/28.97/Data!H39)^2*'Error Data'!H19^2)+(('Error Data'!$B$14/Data!H42)^2*'Error Data'!H22^2)+((1.986/28.97/Data!H$37)^2*'Error Data'!H$17^2)+(('Error Data'!$B$14/Data!H$40)^2*'Error Data'!H$20^2))</f>
        <v>2.4156479344657233E-4</v>
      </c>
      <c r="I34" s="29">
        <f>SQRT(((1.986/28.97/Data!I39)^2*'Error Data'!I19^2)+(('Error Data'!$B$14/Data!I42)^2*'Error Data'!I22^2)+((1.986/28.97/Data!I$37)^2*'Error Data'!I$17^2)+(('Error Data'!$B$14/Data!I$40)^2*'Error Data'!I$20^2))</f>
        <v>2.4133257831314932E-4</v>
      </c>
      <c r="J34" s="29">
        <f>SQRT(((1.986/28.97/Data!J39)^2*'Error Data'!J19^2)+(('Error Data'!$B$14/Data!J42)^2*'Error Data'!J22^2)+((1.986/28.97/Data!J$37)^2*'Error Data'!J$17^2)+(('Error Data'!$B$14/Data!J$40)^2*'Error Data'!J$20^2))</f>
        <v>2.4083120067142617E-4</v>
      </c>
      <c r="K34" s="29">
        <f>SQRT(((1.986/28.97/Data!K39)^2*'Error Data'!K19^2)+(('Error Data'!$B$14/Data!K42)^2*'Error Data'!K22^2)+((1.986/28.97/Data!K$37)^2*'Error Data'!K$17^2)+(('Error Data'!$B$14/Data!K$40)^2*'Error Data'!K$20^2))</f>
        <v>2.3322206190189198E-4</v>
      </c>
      <c r="L34" s="29">
        <f>SQRT(((1.986/28.97/Data!L39)^2*'Error Data'!L19^2)+(('Error Data'!$B$14/Data!L42)^2*'Error Data'!L22^2)+((1.986/28.97/Data!L$37)^2*'Error Data'!L$17^2)+(('Error Data'!$B$14/Data!L$40)^2*'Error Data'!L$20^2))</f>
        <v>2.3318412048033008E-4</v>
      </c>
      <c r="M34" s="29">
        <f>SQRT(((1.986/28.97/Data!M39)^2*'Error Data'!M19^2)+(('Error Data'!$B$14/Data!M42)^2*'Error Data'!M22^2)+((1.986/28.97/Data!M$37)^2*'Error Data'!M$17^2)+(('Error Data'!$B$14/Data!M$40)^2*'Error Data'!M$20^2))</f>
        <v>2.3290011884169982E-4</v>
      </c>
      <c r="N34" s="29">
        <f>SQRT(((1.986/28.97/Data!N39)^2*'Error Data'!N19^2)+(('Error Data'!$B$14/Data!N42)^2*'Error Data'!N22^2)+((1.986/28.97/Data!N$37)^2*'Error Data'!N$17^2)+(('Error Data'!$B$14/Data!N$40)^2*'Error Data'!N$20^2))</f>
        <v>2.3424734997726885E-4</v>
      </c>
      <c r="O34" s="29">
        <f>SQRT(((1.986/28.97/Data!O39)^2*'Error Data'!O19^2)+(('Error Data'!$B$14/Data!O42)^2*'Error Data'!O22^2)+((1.986/28.97/Data!O$37)^2*'Error Data'!O$17^2)+(('Error Data'!$B$14/Data!O$40)^2*'Error Data'!O$20^2))</f>
        <v>2.3386907856383528E-4</v>
      </c>
      <c r="P34" s="29">
        <f>SQRT(((1.986/28.97/Data!P39)^2*'Error Data'!P19^2)+(('Error Data'!$B$14/Data!P42)^2*'Error Data'!P22^2)+((1.986/28.97/Data!P$37)^2*'Error Data'!P$17^2)+(('Error Data'!$B$14/Data!P$40)^2*'Error Data'!P$20^2))</f>
        <v>2.3380146043191125E-4</v>
      </c>
      <c r="Q34" s="29">
        <f>SQRT(((1.986/28.97/Data!Q39)^2*'Error Data'!Q19^2)+(('Error Data'!$B$14/Data!Q42)^2*'Error Data'!Q22^2)+((1.986/28.97/Data!Q$37)^2*'Error Data'!Q$17^2)+(('Error Data'!$B$14/Data!Q$40)^2*'Error Data'!Q$20^2))</f>
        <v>2.3511404177067063E-4</v>
      </c>
      <c r="R34" s="29">
        <f>SQRT(((1.986/28.97/Data!R39)^2*'Error Data'!R19^2)+(('Error Data'!$B$14/Data!R42)^2*'Error Data'!R22^2)+((1.986/28.97/Data!R$37)^2*'Error Data'!R$17^2)+(('Error Data'!$B$14/Data!R$40)^2*'Error Data'!R$20^2))</f>
        <v>2.3491456755863133E-4</v>
      </c>
      <c r="S34" s="29">
        <f>SQRT(((1.986/28.97/Data!S39)^2*'Error Data'!S19^2)+(('Error Data'!$B$14/Data!S42)^2*'Error Data'!S22^2)+((1.986/28.97/Data!S$37)^2*'Error Data'!S$17^2)+(('Error Data'!$B$14/Data!S$40)^2*'Error Data'!S$20^2))</f>
        <v>2.3523235182429676E-4</v>
      </c>
      <c r="T34" s="29">
        <f>SQRT(((1.986/28.97/Data!T39)^2*'Error Data'!T19^2)+(('Error Data'!$B$14/Data!T42)^2*'Error Data'!T22^2)+((1.986/28.97/Data!T$37)^2*'Error Data'!T$17^2)+(('Error Data'!$B$14/Data!T$40)^2*'Error Data'!T$20^2))</f>
        <v>2.3126408583438822E-4</v>
      </c>
      <c r="U34" s="29">
        <f>SQRT(((1.986/28.97/Data!U39)^2*'Error Data'!U19^2)+(('Error Data'!$B$14/Data!U42)^2*'Error Data'!U22^2)+((1.986/28.97/Data!U$37)^2*'Error Data'!U$17^2)+(('Error Data'!$B$14/Data!U$40)^2*'Error Data'!U$20^2))</f>
        <v>2.3089386183777871E-4</v>
      </c>
      <c r="V34" s="29">
        <f>SQRT(((1.986/28.97/Data!V39)^2*'Error Data'!V19^2)+(('Error Data'!$B$14/Data!V42)^2*'Error Data'!V22^2)+((1.986/28.97/Data!V$37)^2*'Error Data'!V$17^2)+(('Error Data'!$B$14/Data!V$40)^2*'Error Data'!V$20^2))</f>
        <v>2.3086136086354186E-4</v>
      </c>
      <c r="W34" s="29">
        <f>SQRT(((1.986/28.97/Data!W39)^2*'Error Data'!W19^2)+(('Error Data'!$B$14/Data!W42)^2*'Error Data'!W22^2)+((1.986/28.97/Data!W$37)^2*'Error Data'!W$17^2)+(('Error Data'!$B$14/Data!W$40)^2*'Error Data'!W$20^2))</f>
        <v>2.3122586183685923E-4</v>
      </c>
      <c r="X34" s="29">
        <f>SQRT(((1.986/28.97/Data!X39)^2*'Error Data'!X19^2)+(('Error Data'!$B$14/Data!X42)^2*'Error Data'!X22^2)+((1.986/28.97/Data!X$37)^2*'Error Data'!X$17^2)+(('Error Data'!$B$14/Data!X$40)^2*'Error Data'!X$20^2))</f>
        <v>2.3136149559996447E-4</v>
      </c>
      <c r="Y34" s="29">
        <f>SQRT(((1.986/28.97/Data!Y39)^2*'Error Data'!Y19^2)+(('Error Data'!$B$14/Data!Y42)^2*'Error Data'!Y22^2)+((1.986/28.97/Data!Y$37)^2*'Error Data'!Y$17^2)+(('Error Data'!$B$14/Data!Y$40)^2*'Error Data'!Y$20^2))</f>
        <v>2.3148961925012905E-4</v>
      </c>
      <c r="Z34" s="29">
        <f>SQRT(((1.986/28.97/Data!Z39)^2*'Error Data'!Z19^2)+(('Error Data'!$B$14/Data!Z42)^2*'Error Data'!Z22^2)+((1.986/28.97/Data!Z$37)^2*'Error Data'!Z$17^2)+(('Error Data'!$B$14/Data!Z$40)^2*'Error Data'!Z$20^2))</f>
        <v>2.3207612707793179E-4</v>
      </c>
      <c r="AA34" s="29">
        <f>SQRT(((1.986/28.97/Data!AA39)^2*'Error Data'!AA19^2)+(('Error Data'!$B$14/Data!AA42)^2*'Error Data'!AA22^2)+((1.986/28.97/Data!AA$37)^2*'Error Data'!AA$17^2)+(('Error Data'!$B$14/Data!AA$40)^2*'Error Data'!AA$20^2))</f>
        <v>2.3155014823714903E-4</v>
      </c>
      <c r="AB34" s="29">
        <f>SQRT(((1.986/28.97/Data!AB39)^2*'Error Data'!AB19^2)+(('Error Data'!$B$14/Data!AB42)^2*'Error Data'!AB22^2)+((1.986/28.97/Data!AB$37)^2*'Error Data'!AB$17^2)+(('Error Data'!$B$14/Data!AB$40)^2*'Error Data'!AB$20^2))</f>
        <v>2.3187918014584387E-4</v>
      </c>
    </row>
    <row r="35" spans="1:33" x14ac:dyDescent="0.25">
      <c r="A35" t="s">
        <v>105</v>
      </c>
      <c r="B35" s="35">
        <f>SQRT((Data!B54^2*'Error Data'!B28^2)+(Data!B48^2*'Error Data'!B34^2)+(Data!B53^2*'Error Data'!B27^2)+(Data!B47^2*'Error Data'!B33^2))</f>
        <v>1.5867768770857757E-2</v>
      </c>
      <c r="C35" s="35">
        <f>SQRT((Data!C54^2*'Error Data'!C28^2)+(Data!C48^2*'Error Data'!C34^2)+(Data!C53^2*'Error Data'!C27^2)+(Data!C47^2*'Error Data'!C33^2))</f>
        <v>1.5895544109215537E-2</v>
      </c>
      <c r="D35" s="35">
        <f>SQRT((Data!D54^2*'Error Data'!D28^2)+(Data!D48^2*'Error Data'!D34^2)+(Data!D53^2*'Error Data'!D27^2)+(Data!D47^2*'Error Data'!D33^2))</f>
        <v>1.5958532608737256E-2</v>
      </c>
      <c r="E35" s="35">
        <f>SQRT((Data!E54^2*'Error Data'!E28^2)+(Data!E48^2*'Error Data'!E34^2)+(Data!E53^2*'Error Data'!E27^2)+(Data!E47^2*'Error Data'!E33^2))</f>
        <v>1.5322073927054607E-2</v>
      </c>
      <c r="F35" s="35">
        <f>SQRT((Data!F54^2*'Error Data'!F28^2)+(Data!F48^2*'Error Data'!F34^2)+(Data!F53^2*'Error Data'!F27^2)+(Data!F47^2*'Error Data'!F33^2))</f>
        <v>1.5357455496958458E-2</v>
      </c>
      <c r="G35" s="35">
        <f>SQRT((Data!G54^2*'Error Data'!G28^2)+(Data!G48^2*'Error Data'!G34^2)+(Data!G53^2*'Error Data'!G27^2)+(Data!G47^2*'Error Data'!G33^2))</f>
        <v>1.540733314046118E-2</v>
      </c>
      <c r="H35" s="35">
        <f>SQRT((Data!H54^2*'Error Data'!H28^2)+(Data!H48^2*'Error Data'!H34^2)+(Data!H53^2*'Error Data'!H27^2)+(Data!H47^2*'Error Data'!H33^2))</f>
        <v>1.4450675207803857E-2</v>
      </c>
      <c r="I35" s="35">
        <f>SQRT((Data!I54^2*'Error Data'!I28^2)+(Data!I48^2*'Error Data'!I34^2)+(Data!I53^2*'Error Data'!I27^2)+(Data!I47^2*'Error Data'!I33^2))</f>
        <v>1.4550793972923326E-2</v>
      </c>
      <c r="J35" s="35">
        <f>SQRT((Data!J54^2*'Error Data'!J28^2)+(Data!J48^2*'Error Data'!J34^2)+(Data!J53^2*'Error Data'!J27^2)+(Data!J47^2*'Error Data'!J33^2))</f>
        <v>1.4658786915190547E-2</v>
      </c>
      <c r="K35" s="35">
        <f>SQRT((Data!K54^2*'Error Data'!K28^2)+(Data!K48^2*'Error Data'!K34^2)+(Data!K53^2*'Error Data'!K27^2)+(Data!K47^2*'Error Data'!K33^2))</f>
        <v>2.0365007331894933E-2</v>
      </c>
      <c r="L35" s="35">
        <f>SQRT((Data!L54^2*'Error Data'!L28^2)+(Data!L48^2*'Error Data'!L34^2)+(Data!L53^2*'Error Data'!L27^2)+(Data!L47^2*'Error Data'!L33^2))</f>
        <v>2.033651618952852E-2</v>
      </c>
      <c r="M35" s="35">
        <f>SQRT((Data!M54^2*'Error Data'!M28^2)+(Data!M48^2*'Error Data'!M34^2)+(Data!M53^2*'Error Data'!M27^2)+(Data!M47^2*'Error Data'!M33^2))</f>
        <v>2.0384099713292785E-2</v>
      </c>
      <c r="N35" s="35">
        <f>SQRT((Data!N54^2*'Error Data'!N28^2)+(Data!N48^2*'Error Data'!N34^2)+(Data!N53^2*'Error Data'!N27^2)+(Data!N47^2*'Error Data'!N33^2))</f>
        <v>1.9919058953108464E-2</v>
      </c>
      <c r="O35" s="35">
        <f>SQRT((Data!O54^2*'Error Data'!O28^2)+(Data!O48^2*'Error Data'!O34^2)+(Data!O53^2*'Error Data'!O27^2)+(Data!O47^2*'Error Data'!O33^2))</f>
        <v>1.9919002922665446E-2</v>
      </c>
      <c r="P35" s="35">
        <f>SQRT((Data!P54^2*'Error Data'!P28^2)+(Data!P48^2*'Error Data'!P34^2)+(Data!P53^2*'Error Data'!P27^2)+(Data!P47^2*'Error Data'!P33^2))</f>
        <v>2.0006897395125171E-2</v>
      </c>
      <c r="Q35" s="35">
        <f>SQRT((Data!Q54^2*'Error Data'!Q28^2)+(Data!Q48^2*'Error Data'!Q34^2)+(Data!Q53^2*'Error Data'!Q27^2)+(Data!Q47^2*'Error Data'!Q33^2))</f>
        <v>1.8984473610232856E-2</v>
      </c>
      <c r="R35" s="35">
        <f>SQRT((Data!R54^2*'Error Data'!R28^2)+(Data!R48^2*'Error Data'!R34^2)+(Data!R53^2*'Error Data'!R27^2)+(Data!R47^2*'Error Data'!R33^2))</f>
        <v>1.9003115857041467E-2</v>
      </c>
      <c r="S35" s="35">
        <f>SQRT((Data!S54^2*'Error Data'!S28^2)+(Data!S48^2*'Error Data'!S34^2)+(Data!S53^2*'Error Data'!S27^2)+(Data!S47^2*'Error Data'!S33^2))</f>
        <v>1.9017499931824292E-2</v>
      </c>
      <c r="T35" s="35">
        <f>SQRT((Data!T54^2*'Error Data'!T28^2)+(Data!T48^2*'Error Data'!T34^2)+(Data!T53^2*'Error Data'!T27^2)+(Data!T47^2*'Error Data'!T33^2))</f>
        <v>2.4029768366989734E-2</v>
      </c>
      <c r="U35" s="35">
        <f>SQRT((Data!U54^2*'Error Data'!U28^2)+(Data!U48^2*'Error Data'!U34^2)+(Data!U53^2*'Error Data'!U27^2)+(Data!U47^2*'Error Data'!U33^2))</f>
        <v>2.4054137620758469E-2</v>
      </c>
      <c r="V35" s="35">
        <f>SQRT((Data!V54^2*'Error Data'!V28^2)+(Data!V48^2*'Error Data'!V34^2)+(Data!V53^2*'Error Data'!V27^2)+(Data!V47^2*'Error Data'!V33^2))</f>
        <v>2.4150892381138017E-2</v>
      </c>
      <c r="W35" s="35">
        <f>SQRT((Data!W54^2*'Error Data'!W28^2)+(Data!W48^2*'Error Data'!W34^2)+(Data!W53^2*'Error Data'!W27^2)+(Data!W47^2*'Error Data'!W33^2))</f>
        <v>2.3882723001878586E-2</v>
      </c>
      <c r="X35" s="35">
        <f>SQRT((Data!X54^2*'Error Data'!X28^2)+(Data!X48^2*'Error Data'!X34^2)+(Data!X53^2*'Error Data'!X27^2)+(Data!X47^2*'Error Data'!X33^2))</f>
        <v>2.3760588197657903E-2</v>
      </c>
      <c r="Y35" s="35">
        <f>SQRT((Data!Y54^2*'Error Data'!Y28^2)+(Data!Y48^2*'Error Data'!Y34^2)+(Data!Y53^2*'Error Data'!Y27^2)+(Data!Y47^2*'Error Data'!Y33^2))</f>
        <v>2.3823241316811201E-2</v>
      </c>
      <c r="Z35" s="35">
        <f>SQRT((Data!Z54^2*'Error Data'!Z28^2)+(Data!Z48^2*'Error Data'!Z34^2)+(Data!Z53^2*'Error Data'!Z27^2)+(Data!Z47^2*'Error Data'!Z33^2))</f>
        <v>2.2983342021560802E-2</v>
      </c>
      <c r="AA35" s="35">
        <f>SQRT((Data!AA54^2*'Error Data'!AA28^2)+(Data!AA48^2*'Error Data'!AA34^2)+(Data!AA53^2*'Error Data'!AA27^2)+(Data!AA47^2*'Error Data'!AA33^2))</f>
        <v>2.3073571106004519E-2</v>
      </c>
      <c r="AB35" s="35">
        <f>SQRT((Data!AB54^2*'Error Data'!AB28^2)+(Data!AB48^2*'Error Data'!AB34^2)+(Data!AB53^2*'Error Data'!AB27^2)+(Data!AB47^2*'Error Data'!AB33^2))</f>
        <v>2.2985422229020828E-2</v>
      </c>
      <c r="AC35" s="4"/>
      <c r="AD35" s="4"/>
      <c r="AE35" s="4"/>
      <c r="AF35" s="4"/>
      <c r="AG35" s="4"/>
    </row>
    <row r="36" spans="1:33" x14ac:dyDescent="0.25">
      <c r="A36" t="s">
        <v>107</v>
      </c>
      <c r="B36" s="35">
        <f>SQRT((($B$14*(Data!B41-Data!B40))^2*'Error Data'!B27^2)+(($B$14*(Data!B42-Data!B40))^2*'Error Data'!B28^2)+(('Error Data'!$B$14*'Error Data'!B27)^2*'Error Data'!B21^2)+(('Error Data'!$B$14*Data!B48)^2*'Error Data'!B22^2)+((-'Error Data'!$B$14*(Data!B47-Data!B48))^2*'Error Data'!B20^2))</f>
        <v>1.0290583626790941</v>
      </c>
      <c r="C36" s="35">
        <f>SQRT((($B$14*(Data!C41-Data!C40))^2*'Error Data'!C27^2)+(($B$14*(Data!C42-Data!C40))^2*'Error Data'!C28^2)+(('Error Data'!$B$14*'Error Data'!C27)^2*'Error Data'!C21^2)+(('Error Data'!$B$14*Data!C48)^2*'Error Data'!C22^2)+((-'Error Data'!$B$14*(Data!C47-Data!C48))^2*'Error Data'!C20^2))</f>
        <v>1.052348377414815</v>
      </c>
      <c r="D36" s="35">
        <f>SQRT((($B$14*(Data!D41-Data!D40))^2*'Error Data'!D27^2)+(($B$14*(Data!D42-Data!D40))^2*'Error Data'!D28^2)+(('Error Data'!$B$14*'Error Data'!D27)^2*'Error Data'!D21^2)+(('Error Data'!$B$14*Data!D48)^2*'Error Data'!D22^2)+((-'Error Data'!$B$14*(Data!D47-Data!D48))^2*'Error Data'!D20^2))</f>
        <v>1.0951287992813104</v>
      </c>
      <c r="E36" s="35">
        <f>SQRT((($B$14*(Data!E41-Data!E40))^2*'Error Data'!E27^2)+(($B$14*(Data!E42-Data!E40))^2*'Error Data'!E28^2)+(('Error Data'!$B$14*'Error Data'!E27)^2*'Error Data'!E21^2)+(('Error Data'!$B$14*Data!E48)^2*'Error Data'!E22^2)+((-'Error Data'!$B$14*(Data!E47-Data!E48))^2*'Error Data'!E20^2))</f>
        <v>0.96092417756350179</v>
      </c>
      <c r="F36" s="35">
        <f>SQRT((($B$14*(Data!F41-Data!F40))^2*'Error Data'!F27^2)+(($B$14*(Data!F42-Data!F40))^2*'Error Data'!F28^2)+(('Error Data'!$B$14*'Error Data'!F27)^2*'Error Data'!F21^2)+(('Error Data'!$B$14*Data!F48)^2*'Error Data'!F22^2)+((-'Error Data'!$B$14*(Data!F47-Data!F48))^2*'Error Data'!F20^2))</f>
        <v>1.0191859591385655</v>
      </c>
      <c r="G36" s="35">
        <f>SQRT((($B$14*(Data!G41-Data!G40))^2*'Error Data'!G27^2)+(($B$14*(Data!G42-Data!G40))^2*'Error Data'!G28^2)+(('Error Data'!$B$14*'Error Data'!G27)^2*'Error Data'!G21^2)+(('Error Data'!$B$14*Data!G48)^2*'Error Data'!G22^2)+((-'Error Data'!$B$14*(Data!G47-Data!G48))^2*'Error Data'!G20^2))</f>
        <v>1.0102001782319214</v>
      </c>
      <c r="H36" s="35">
        <f>SQRT((($B$14*(Data!H41-Data!H40))^2*'Error Data'!H27^2)+(($B$14*(Data!H42-Data!H40))^2*'Error Data'!H28^2)+(('Error Data'!$B$14*'Error Data'!H27)^2*'Error Data'!H21^2)+(('Error Data'!$B$14*Data!H48)^2*'Error Data'!H22^2)+((-'Error Data'!$B$14*(Data!H47-Data!H48))^2*'Error Data'!H20^2))</f>
        <v>1.1320814080656347</v>
      </c>
      <c r="I36" s="35">
        <f>SQRT((($B$14*(Data!I41-Data!I40))^2*'Error Data'!I27^2)+(($B$14*(Data!I42-Data!I40))^2*'Error Data'!I28^2)+(('Error Data'!$B$14*'Error Data'!I27)^2*'Error Data'!I21^2)+(('Error Data'!$B$14*Data!I48)^2*'Error Data'!I22^2)+((-'Error Data'!$B$14*(Data!I47-Data!I48))^2*'Error Data'!I20^2))</f>
        <v>1.1103966062948893</v>
      </c>
      <c r="J36" s="35">
        <f>SQRT((($B$14*(Data!J41-Data!J40))^2*'Error Data'!J27^2)+(($B$14*(Data!J42-Data!J40))^2*'Error Data'!J28^2)+(('Error Data'!$B$14*'Error Data'!J27)^2*'Error Data'!J21^2)+(('Error Data'!$B$14*Data!J48)^2*'Error Data'!J22^2)+((-'Error Data'!$B$14*(Data!J47-Data!J48))^2*'Error Data'!J20^2))</f>
        <v>1.1262991599774195</v>
      </c>
      <c r="K36" s="35">
        <f>SQRT((($B$14*(Data!K41-Data!K40))^2*'Error Data'!K27^2)+(($B$14*(Data!K42-Data!K40))^2*'Error Data'!K28^2)+(('Error Data'!$B$14*'Error Data'!K27)^2*'Error Data'!K21^2)+(('Error Data'!$B$14*Data!K48)^2*'Error Data'!K22^2)+((-'Error Data'!$B$14*(Data!K47-Data!K48))^2*'Error Data'!K20^2))</f>
        <v>1.2155649168522105</v>
      </c>
      <c r="L36" s="35">
        <f>SQRT((($B$14*(Data!L41-Data!L40))^2*'Error Data'!L27^2)+(($B$14*(Data!L42-Data!L40))^2*'Error Data'!L28^2)+(('Error Data'!$B$14*'Error Data'!L27)^2*'Error Data'!L21^2)+(('Error Data'!$B$14*Data!L48)^2*'Error Data'!L22^2)+((-'Error Data'!$B$14*(Data!L47-Data!L48))^2*'Error Data'!L20^2))</f>
        <v>1.2116023732732202</v>
      </c>
      <c r="M36" s="35">
        <f>SQRT((($B$14*(Data!M41-Data!M40))^2*'Error Data'!M27^2)+(($B$14*(Data!M42-Data!M40))^2*'Error Data'!M28^2)+(('Error Data'!$B$14*'Error Data'!M27)^2*'Error Data'!M21^2)+(('Error Data'!$B$14*Data!M48)^2*'Error Data'!M22^2)+((-'Error Data'!$B$14*(Data!M47-Data!M48))^2*'Error Data'!M20^2))</f>
        <v>1.254742032649822</v>
      </c>
      <c r="N36" s="35">
        <f>SQRT((($B$14*(Data!N41-Data!N40))^2*'Error Data'!N27^2)+(($B$14*(Data!N42-Data!N40))^2*'Error Data'!N28^2)+(('Error Data'!$B$14*'Error Data'!N27)^2*'Error Data'!N21^2)+(('Error Data'!$B$14*Data!N48)^2*'Error Data'!N22^2)+((-'Error Data'!$B$14*(Data!N47-Data!N48))^2*'Error Data'!N20^2))</f>
        <v>1.1986924927172367</v>
      </c>
      <c r="O36" s="35">
        <f>SQRT((($B$14*(Data!O41-Data!O40))^2*'Error Data'!O27^2)+(($B$14*(Data!O42-Data!O40))^2*'Error Data'!O28^2)+(('Error Data'!$B$14*'Error Data'!O27)^2*'Error Data'!O21^2)+(('Error Data'!$B$14*Data!O48)^2*'Error Data'!O22^2)+((-'Error Data'!$B$14*(Data!O47-Data!O48))^2*'Error Data'!O20^2))</f>
        <v>1.2033175872347495</v>
      </c>
      <c r="P36" s="35">
        <f>SQRT((($B$14*(Data!P41-Data!P40))^2*'Error Data'!P27^2)+(($B$14*(Data!P42-Data!P40))^2*'Error Data'!P28^2)+(('Error Data'!$B$14*'Error Data'!P27)^2*'Error Data'!P21^2)+(('Error Data'!$B$14*Data!P48)^2*'Error Data'!P22^2)+((-'Error Data'!$B$14*(Data!P47-Data!P48))^2*'Error Data'!P20^2))</f>
        <v>1.2640192083621566</v>
      </c>
      <c r="Q36" s="35">
        <f>SQRT((($B$14*(Data!Q41-Data!Q40))^2*'Error Data'!Q27^2)+(($B$14*(Data!Q42-Data!Q40))^2*'Error Data'!Q28^2)+(('Error Data'!$B$14*'Error Data'!Q27)^2*'Error Data'!Q21^2)+(('Error Data'!$B$14*Data!Q48)^2*'Error Data'!Q22^2)+((-'Error Data'!$B$14*(Data!Q47-Data!Q48))^2*'Error Data'!Q20^2))</f>
        <v>1.551138399188402</v>
      </c>
      <c r="R36" s="35">
        <f>SQRT((($B$14*(Data!R41-Data!R40))^2*'Error Data'!R27^2)+(($B$14*(Data!R42-Data!R40))^2*'Error Data'!R28^2)+(('Error Data'!$B$14*'Error Data'!R27)^2*'Error Data'!R21^2)+(('Error Data'!$B$14*Data!R48)^2*'Error Data'!R22^2)+((-'Error Data'!$B$14*(Data!R47-Data!R48))^2*'Error Data'!R20^2))</f>
        <v>1.5809867217629845</v>
      </c>
      <c r="S36" s="35">
        <f>SQRT((($B$14*(Data!S41-Data!S40))^2*'Error Data'!S27^2)+(($B$14*(Data!S42-Data!S40))^2*'Error Data'!S28^2)+(('Error Data'!$B$14*'Error Data'!S27)^2*'Error Data'!S21^2)+(('Error Data'!$B$14*Data!S48)^2*'Error Data'!S22^2)+((-'Error Data'!$B$14*(Data!S47-Data!S48))^2*'Error Data'!S20^2))</f>
        <v>1.5873020964565874</v>
      </c>
      <c r="T36" s="35">
        <f>SQRT((($B$14*(Data!T41-Data!T40))^2*'Error Data'!T27^2)+(($B$14*(Data!T42-Data!T40))^2*'Error Data'!T28^2)+(('Error Data'!$B$14*'Error Data'!T27)^2*'Error Data'!T21^2)+(('Error Data'!$B$14*Data!T48)^2*'Error Data'!T22^2)+((-'Error Data'!$B$14*(Data!T47-Data!T48))^2*'Error Data'!T20^2))</f>
        <v>1.2970398301854189</v>
      </c>
      <c r="U36" s="35">
        <f>SQRT((($B$14*(Data!U41-Data!U40))^2*'Error Data'!U27^2)+(($B$14*(Data!U42-Data!U40))^2*'Error Data'!U28^2)+(('Error Data'!$B$14*'Error Data'!U27)^2*'Error Data'!U21^2)+(('Error Data'!$B$14*Data!U48)^2*'Error Data'!U22^2)+((-'Error Data'!$B$14*(Data!U47-Data!U48))^2*'Error Data'!U20^2))</f>
        <v>1.3129655393736528</v>
      </c>
      <c r="V36" s="35">
        <f>SQRT((($B$14*(Data!V41-Data!V40))^2*'Error Data'!V27^2)+(($B$14*(Data!V42-Data!V40))^2*'Error Data'!V28^2)+(('Error Data'!$B$14*'Error Data'!V27)^2*'Error Data'!V21^2)+(('Error Data'!$B$14*Data!V48)^2*'Error Data'!V22^2)+((-'Error Data'!$B$14*(Data!V47-Data!V48))^2*'Error Data'!V20^2))</f>
        <v>1.3768997375520133</v>
      </c>
      <c r="W36" s="35">
        <f>SQRT((($B$14*(Data!W41-Data!W40))^2*'Error Data'!W27^2)+(($B$14*(Data!W42-Data!W40))^2*'Error Data'!W28^2)+(('Error Data'!$B$14*'Error Data'!W27)^2*'Error Data'!W21^2)+(('Error Data'!$B$14*Data!W48)^2*'Error Data'!W22^2)+((-'Error Data'!$B$14*(Data!W47-Data!W48))^2*'Error Data'!W20^2))</f>
        <v>1.3722398775695968</v>
      </c>
      <c r="X36" s="35">
        <f>SQRT((($B$14*(Data!X41-Data!X40))^2*'Error Data'!X27^2)+(($B$14*(Data!X42-Data!X40))^2*'Error Data'!X28^2)+(('Error Data'!$B$14*'Error Data'!X27)^2*'Error Data'!X21^2)+(('Error Data'!$B$14*Data!X48)^2*'Error Data'!X22^2)+((-'Error Data'!$B$14*(Data!X47-Data!X48))^2*'Error Data'!X20^2))</f>
        <v>1.3195339412903895</v>
      </c>
      <c r="Y36" s="35">
        <f>SQRT((($B$14*(Data!Y41-Data!Y40))^2*'Error Data'!Y27^2)+(($B$14*(Data!Y42-Data!Y40))^2*'Error Data'!Y28^2)+(('Error Data'!$B$14*'Error Data'!Y27)^2*'Error Data'!Y21^2)+(('Error Data'!$B$14*Data!Y48)^2*'Error Data'!Y22^2)+((-'Error Data'!$B$14*(Data!Y47-Data!Y48))^2*'Error Data'!Y20^2))</f>
        <v>1.3629687971818212</v>
      </c>
      <c r="Z36" s="35">
        <f>SQRT((($B$14*(Data!Z41-Data!Z40))^2*'Error Data'!Z27^2)+(($B$14*(Data!Z42-Data!Z40))^2*'Error Data'!Z28^2)+(('Error Data'!$B$14*'Error Data'!Z27)^2*'Error Data'!Z21^2)+(('Error Data'!$B$14*Data!Z48)^2*'Error Data'!Z22^2)+((-'Error Data'!$B$14*(Data!Z47-Data!Z48))^2*'Error Data'!Z20^2))</f>
        <v>1.8060921598540436</v>
      </c>
      <c r="AA36" s="35">
        <f>SQRT((($B$14*(Data!AA41-Data!AA40))^2*'Error Data'!AA27^2)+(($B$14*(Data!AA42-Data!AA40))^2*'Error Data'!AA28^2)+(('Error Data'!$B$14*'Error Data'!AA27)^2*'Error Data'!AA21^2)+(('Error Data'!$B$14*Data!AA48)^2*'Error Data'!AA22^2)+((-'Error Data'!$B$14*(Data!AA47-Data!AA48))^2*'Error Data'!AA20^2))</f>
        <v>1.8461032115839866</v>
      </c>
      <c r="AB36" s="35">
        <f>SQRT((($B$14*(Data!AB41-Data!AB40))^2*'Error Data'!AB27^2)+(($B$14*(Data!AB42-Data!AB40))^2*'Error Data'!AB28^2)+(('Error Data'!$B$14*'Error Data'!AB27)^2*'Error Data'!AB21^2)+(('Error Data'!$B$14*Data!AB48)^2*'Error Data'!AB22^2)+((-'Error Data'!$B$14*(Data!AB47-Data!AB48))^2*'Error Data'!AB20^2))</f>
        <v>1.856726373887909</v>
      </c>
      <c r="AC36" s="4"/>
      <c r="AD36" s="4"/>
      <c r="AE36" s="4"/>
      <c r="AF36" s="4"/>
      <c r="AG36" s="4"/>
    </row>
    <row r="37" spans="1:33" x14ac:dyDescent="0.25">
      <c r="A37" s="31" t="s">
        <v>106</v>
      </c>
      <c r="B37" s="35">
        <f>SQRT(B35^2+((-1/Calibration!$N$3)^2*'Error Data'!B36^2)+((Data!B56/Calibration!$N$3^2)^2*Calibration!$G$3^2))</f>
        <v>1.5984763841336354E-2</v>
      </c>
      <c r="C37" s="35">
        <f>SQRT(C35^2+((-1/Calibration!$N$3)^2*'Error Data'!C36^2)+((Data!C56/Calibration!$N$3^2)^2*Calibration!$G$3^2))</f>
        <v>1.6017662241125386E-2</v>
      </c>
      <c r="D37" s="35">
        <f>SQRT(D35^2+((-1/Calibration!$N$3)^2*'Error Data'!D36^2)+((Data!D56/Calibration!$N$3^2)^2*Calibration!$G$3^2))</f>
        <v>1.6090221991836021E-2</v>
      </c>
      <c r="E37" s="35">
        <f>SQRT(E35^2+((-1/Calibration!$N$3)^2*'Error Data'!E36^2)+((Data!E56/Calibration!$N$3^2)^2*Calibration!$G$3^2))</f>
        <v>1.5427747686538418E-2</v>
      </c>
      <c r="F37" s="35">
        <f>SQRT(F35^2+((-1/Calibration!$N$3)^2*'Error Data'!F36^2)+((Data!F56/Calibration!$N$3^2)^2*Calibration!$G$3^2))</f>
        <v>1.5476009452829436E-2</v>
      </c>
      <c r="G37" s="35">
        <f>SQRT(G35^2+((-1/Calibration!$N$3)^2*'Error Data'!G36^2)+((Data!G56/Calibration!$N$3^2)^2*Calibration!$G$3^2))</f>
        <v>1.5523439398948673E-2</v>
      </c>
      <c r="H37" s="35">
        <f>SQRT(H35^2+((-1/Calibration!$N$3)^2*'Error Data'!H36^2)+((Data!H56/Calibration!$N$3^2)^2*Calibration!$G$3^2))</f>
        <v>1.4605893388194749E-2</v>
      </c>
      <c r="I37" s="35">
        <f>SQRT(I35^2+((-1/Calibration!$N$3)^2*'Error Data'!I36^2)+((Data!I56/Calibration!$N$3^2)^2*Calibration!$G$3^2))</f>
        <v>1.4699135595165216E-2</v>
      </c>
      <c r="J37" s="35">
        <f>SQRT(J35^2+((-1/Calibration!$N$3)^2*'Error Data'!J36^2)+((Data!J56/Calibration!$N$3^2)^2*Calibration!$G$3^2))</f>
        <v>1.4810273029243967E-2</v>
      </c>
      <c r="K37" s="35">
        <f>SQRT(K35^2+((-1/Calibration!$N$3)^2*'Error Data'!K36^2)+((Data!K56/Calibration!$N$3^2)^2*Calibration!$G$3^2))</f>
        <v>2.0492275078433524E-2</v>
      </c>
      <c r="L37" s="35">
        <f>SQRT(L35^2+((-1/Calibration!$N$3)^2*'Error Data'!L36^2)+((Data!L56/Calibration!$N$3^2)^2*Calibration!$G$3^2))</f>
        <v>2.0463134152709547E-2</v>
      </c>
      <c r="M37" s="35">
        <f>SQRT(M35^2+((-1/Calibration!$N$3)^2*'Error Data'!M36^2)+((Data!M56/Calibration!$N$3^2)^2*Calibration!$G$3^2))</f>
        <v>2.0519549513201521E-2</v>
      </c>
      <c r="N37" s="35">
        <f>SQRT(N35^2+((-1/Calibration!$N$3)^2*'Error Data'!N36^2)+((Data!N56/Calibration!$N$3^2)^2*Calibration!$G$3^2))</f>
        <v>2.0045582447787445E-2</v>
      </c>
      <c r="O37" s="35">
        <f>SQRT(O35^2+((-1/Calibration!$N$3)^2*'Error Data'!O36^2)+((Data!O56/Calibration!$N$3^2)^2*Calibration!$G$3^2))</f>
        <v>2.0046501915263856E-2</v>
      </c>
      <c r="P37" s="35">
        <f>SQRT(P35^2+((-1/Calibration!$N$3)^2*'Error Data'!P36^2)+((Data!P56/Calibration!$N$3^2)^2*Calibration!$G$3^2))</f>
        <v>2.0146924459846713E-2</v>
      </c>
      <c r="Q37" s="35">
        <f>SQRT(Q35^2+((-1/Calibration!$N$3)^2*'Error Data'!Q36^2)+((Data!Q56/Calibration!$N$3^2)^2*Calibration!$G$3^2))</f>
        <v>1.9206178637203558E-2</v>
      </c>
      <c r="R37" s="35">
        <f>SQRT(R35^2+((-1/Calibration!$N$3)^2*'Error Data'!R36^2)+((Data!R56/Calibration!$N$3^2)^2*Calibration!$G$3^2))</f>
        <v>1.9233160630641032E-2</v>
      </c>
      <c r="S37" s="35">
        <f>SQRT(S35^2+((-1/Calibration!$N$3)^2*'Error Data'!S36^2)+((Data!S56/Calibration!$N$3^2)^2*Calibration!$G$3^2))</f>
        <v>1.9249201868398815E-2</v>
      </c>
      <c r="T37" s="35">
        <f>SQRT(T35^2+((-1/Calibration!$N$3)^2*'Error Data'!T36^2)+((Data!T56/Calibration!$N$3^2)^2*Calibration!$G$3^2))</f>
        <v>2.4152639440459478E-2</v>
      </c>
      <c r="U37" s="35">
        <f>SQRT(U35^2+((-1/Calibration!$N$3)^2*'Error Data'!U36^2)+((Data!U56/Calibration!$N$3^2)^2*Calibration!$G$3^2))</f>
        <v>2.4179909767298547E-2</v>
      </c>
      <c r="V37" s="35">
        <f>SQRT(V35^2+((-1/Calibration!$N$3)^2*'Error Data'!V36^2)+((Data!V56/Calibration!$N$3^2)^2*Calibration!$G$3^2))</f>
        <v>2.428862485787522E-2</v>
      </c>
      <c r="W37" s="35">
        <f>SQRT(W35^2+((-1/Calibration!$N$3)^2*'Error Data'!W36^2)+((Data!W56/Calibration!$N$3^2)^2*Calibration!$G$3^2))</f>
        <v>2.4021054739310464E-2</v>
      </c>
      <c r="X37" s="35">
        <f>SQRT(X35^2+((-1/Calibration!$N$3)^2*'Error Data'!X36^2)+((Data!X56/Calibration!$N$3^2)^2*Calibration!$G$3^2))</f>
        <v>2.3889179581742262E-2</v>
      </c>
      <c r="Y37" s="35">
        <f>SQRT(Y35^2+((-1/Calibration!$N$3)^2*'Error Data'!Y36^2)+((Data!Y56/Calibration!$N$3^2)^2*Calibration!$G$3^2))</f>
        <v>2.3960054282967422E-2</v>
      </c>
      <c r="Z37" s="35">
        <f>SQRT(Z35^2+((-1/Calibration!$N$3)^2*'Error Data'!Z36^2)+((Data!Z56/Calibration!$N$3^2)^2*Calibration!$G$3^2))</f>
        <v>2.3231728365885045E-2</v>
      </c>
      <c r="AA37" s="35">
        <f>SQRT(AA35^2+((-1/Calibration!$N$3)^2*'Error Data'!AA36^2)+((Data!AA56/Calibration!$N$3^2)^2*Calibration!$G$3^2))</f>
        <v>2.3332019103978474E-2</v>
      </c>
      <c r="AB37" s="35">
        <f>SQRT(AB35^2+((-1/Calibration!$N$3)^2*'Error Data'!AB36^2)+((Data!AB56/Calibration!$N$3^2)^2*Calibration!$G$3^2))</f>
        <v>2.3247827713232205E-2</v>
      </c>
      <c r="AC37" s="4"/>
      <c r="AD37" s="4"/>
      <c r="AE37" s="4"/>
      <c r="AF37" s="4"/>
      <c r="AG37" s="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Calibration</vt:lpstr>
      <vt:lpstr>Linear Regression</vt:lpstr>
      <vt:lpstr>Data</vt:lpstr>
      <vt:lpstr>Error Data</vt:lpstr>
      <vt:lpstr>dTout vs dm</vt:lpstr>
      <vt:lpstr>dTout vs mhotout</vt:lpstr>
      <vt:lpstr>CC vs Tcout</vt:lpstr>
      <vt:lpstr>dS vs dmout</vt:lpstr>
      <vt:lpstr>Qdot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Brown</dc:creator>
  <cp:lastModifiedBy>Rachael</cp:lastModifiedBy>
  <cp:lastPrinted>2013-02-19T03:56:08Z</cp:lastPrinted>
  <dcterms:created xsi:type="dcterms:W3CDTF">2013-02-12T15:31:37Z</dcterms:created>
  <dcterms:modified xsi:type="dcterms:W3CDTF">2016-09-26T22:31:43Z</dcterms:modified>
</cp:coreProperties>
</file>