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coner\Dropbox\@Teaching\Sky files\"/>
    </mc:Choice>
  </mc:AlternateContent>
  <bookViews>
    <workbookView xWindow="1500" yWindow="90" windowWidth="9720" windowHeight="7245" tabRatio="538" activeTab="2"/>
  </bookViews>
  <sheets>
    <sheet name="Instructions" sheetId="1" r:id="rId1"/>
    <sheet name="Liquid Fugacities" sheetId="2" r:id="rId2"/>
    <sheet name="Vapor Fugacities" sheetId="3" r:id="rId3"/>
  </sheets>
  <definedNames>
    <definedName name="_R" localSheetId="2">'Vapor Fugacities'!$M$16</definedName>
    <definedName name="_R">'Liquid Fugacities'!$M$16</definedName>
    <definedName name="A" localSheetId="1">'Liquid Fugacities'!$N$13</definedName>
    <definedName name="A" localSheetId="2">'Vapor Fugacities'!$N$13</definedName>
    <definedName name="A">#REF!</definedName>
    <definedName name="AA">#REF!</definedName>
    <definedName name="ac" localSheetId="2">'Vapor Fugacities'!$F$21:$F$23</definedName>
    <definedName name="ac">'Liquid Fugacities'!$F$21:$F$23</definedName>
    <definedName name="Ai" localSheetId="2">'Vapor Fugacities'!$I$21:$I$23</definedName>
    <definedName name="Ai">'Liquid Fugacities'!$I$21:$I$23</definedName>
    <definedName name="alpha" localSheetId="2">'Vapor Fugacities'!$E$21:$E$23</definedName>
    <definedName name="alpha">'Liquid Fugacities'!$E$21:$E$23</definedName>
    <definedName name="Amatrix" localSheetId="2">'Vapor Fugacities'!$K$21:$M$23</definedName>
    <definedName name="Amatrix">'Liquid Fugacities'!$K$21:$M$23</definedName>
    <definedName name="B" localSheetId="1">'Liquid Fugacities'!$N$14</definedName>
    <definedName name="B" localSheetId="2">'Vapor Fugacities'!$N$14</definedName>
    <definedName name="B">#REF!</definedName>
    <definedName name="BB">#REF!</definedName>
    <definedName name="Bi" localSheetId="2">'Vapor Fugacities'!$J$21:$J$23</definedName>
    <definedName name="Bi">'Liquid Fugacities'!$J$21:$J$23</definedName>
    <definedName name="kappa" localSheetId="2">'Vapor Fugacities'!$D$21:$D$23</definedName>
    <definedName name="kappa">'Liquid Fugacities'!$D$21:$D$23</definedName>
    <definedName name="P" localSheetId="1">'Liquid Fugacities'!$B$13</definedName>
    <definedName name="P" localSheetId="2">'Vapor Fugacities'!$B$13</definedName>
    <definedName name="P">#REF!</definedName>
    <definedName name="Pc" localSheetId="2">'Vapor Fugacities'!$D$7:$D$9</definedName>
    <definedName name="Pc">'Liquid Fugacities'!$D$7:$D$9</definedName>
    <definedName name="PP">#REF!</definedName>
    <definedName name="Pr" localSheetId="2">'Vapor Fugacities'!$C$21:$C$23</definedName>
    <definedName name="Pr">'Liquid Fugacities'!$C$21:$C$23</definedName>
    <definedName name="q" localSheetId="2">'Vapor Fugacities'!$E$28</definedName>
    <definedName name="q">'Liquid Fugacities'!$E$28</definedName>
    <definedName name="solver_adj" localSheetId="1" hidden="1">'Liquid Fugacities'!$B$12</definedName>
    <definedName name="solver_adj" localSheetId="2" hidden="1">'Vapor Fugacities'!$B$12</definedName>
    <definedName name="solver_lhs1" localSheetId="1" hidden="1">'Liquid Fugacities'!$B$12</definedName>
    <definedName name="solver_lhs1" localSheetId="2" hidden="1">'Vapor Fugacities'!$B$12</definedName>
    <definedName name="solver_lin" localSheetId="1" hidden="1">0</definedName>
    <definedName name="solver_lin" localSheetId="2" hidden="1">0</definedName>
    <definedName name="solver_num" localSheetId="1" hidden="1">1</definedName>
    <definedName name="solver_num" localSheetId="2" hidden="1">1</definedName>
    <definedName name="solver_opt" localSheetId="1" hidden="1">'Liquid Fugacities'!$O$13</definedName>
    <definedName name="solver_opt" localSheetId="2" hidden="1">'Vapor Fugacities'!$O$13</definedName>
    <definedName name="solver_rel1" localSheetId="1" hidden="1">1</definedName>
    <definedName name="solver_rel1" localSheetId="2" hidden="1">1</definedName>
    <definedName name="solver_rhs1" localSheetId="1" hidden="1">'Liquid Fugacities'!#REF!</definedName>
    <definedName name="solver_rhs1" localSheetId="2" hidden="1">'Vapor Fugacities'!#REF!</definedName>
    <definedName name="solver_typ" localSheetId="1" hidden="1">3</definedName>
    <definedName name="solver_typ" localSheetId="2" hidden="1">3</definedName>
    <definedName name="solver_val" localSheetId="1" hidden="1">1</definedName>
    <definedName name="solver_val" localSheetId="2" hidden="1">1</definedName>
    <definedName name="Tc" localSheetId="2">'Vapor Fugacities'!$C$7:$C$9</definedName>
    <definedName name="Tc">'Liquid Fugacities'!$C$7:$C$9</definedName>
    <definedName name="TK" localSheetId="2">'Vapor Fugacities'!$B$12</definedName>
    <definedName name="TK">'Liquid Fugacities'!$B$12</definedName>
    <definedName name="Tr" localSheetId="2">'Vapor Fugacities'!$B$21:$B$23</definedName>
    <definedName name="Tr">'Liquid Fugacities'!$B$21:$B$23</definedName>
    <definedName name="w" localSheetId="2">'Vapor Fugacities'!$E$7:$E$9</definedName>
    <definedName name="w">'Liquid Fugacities'!$E$7:$E$9</definedName>
    <definedName name="Z" localSheetId="1">'Liquid Fugacities'!$C$14:$C$17</definedName>
    <definedName name="Z" localSheetId="2">'Vapor Fugacities'!$C$14:$C$17</definedName>
    <definedName name="Z">#REF!</definedName>
    <definedName name="zi" localSheetId="2">'Vapor Fugacities'!$B$7:$B$9</definedName>
    <definedName name="zi">'Liquid Fugacities'!$B$7:$B$9</definedName>
    <definedName name="ZZ">#REF!</definedName>
  </definedNames>
  <calcPr calcId="162913"/>
</workbook>
</file>

<file path=xl/calcChain.xml><?xml version="1.0" encoding="utf-8"?>
<calcChain xmlns="http://schemas.openxmlformats.org/spreadsheetml/2006/main">
  <c r="K29" i="3" l="1"/>
  <c r="K28" i="3"/>
  <c r="K27" i="3"/>
  <c r="K26" i="3"/>
  <c r="C21" i="3" l="1" a="1"/>
  <c r="L9" i="3"/>
  <c r="L8" i="3"/>
  <c r="L7" i="3"/>
  <c r="J9" i="3"/>
  <c r="J8" i="3"/>
  <c r="J7" i="3"/>
  <c r="A23" i="3"/>
  <c r="A22" i="3"/>
  <c r="H21" i="3" a="1"/>
  <c r="H23" i="3" s="1"/>
  <c r="F21" i="3" a="1"/>
  <c r="F23" i="3" s="1"/>
  <c r="D21" i="3" a="1"/>
  <c r="D23" i="3" s="1"/>
  <c r="B21" i="3" a="1"/>
  <c r="B23" i="3" s="1"/>
  <c r="A21" i="3"/>
  <c r="M20" i="3"/>
  <c r="L20" i="3"/>
  <c r="K20" i="3"/>
  <c r="K13" i="3"/>
  <c r="J13" i="3"/>
  <c r="I13" i="3"/>
  <c r="H13" i="3"/>
  <c r="G13" i="3"/>
  <c r="F13" i="3"/>
  <c r="H6" i="3"/>
  <c r="G6" i="3"/>
  <c r="F6" i="3"/>
  <c r="F21" i="3" l="1"/>
  <c r="H21" i="3"/>
  <c r="C23" i="3"/>
  <c r="B21" i="3"/>
  <c r="C21" i="3"/>
  <c r="D21" i="3"/>
  <c r="B22" i="3"/>
  <c r="C22" i="3"/>
  <c r="D22" i="3"/>
  <c r="F22" i="3"/>
  <c r="H22" i="3"/>
  <c r="J21" i="3" s="1" a="1"/>
  <c r="J23" i="3" l="1"/>
  <c r="J22" i="3"/>
  <c r="J21" i="3"/>
  <c r="E21" i="3" a="1"/>
  <c r="E23" i="3" l="1"/>
  <c r="E22" i="3"/>
  <c r="E21" i="3"/>
  <c r="G21" i="3" s="1" a="1"/>
  <c r="N14" i="3" a="1"/>
  <c r="N14" i="3" s="1"/>
  <c r="A28" i="3" s="1"/>
  <c r="G23" i="3" l="1"/>
  <c r="G22" i="3"/>
  <c r="G21" i="3"/>
  <c r="I21" i="3" l="1" a="1"/>
  <c r="I23" i="3" l="1"/>
  <c r="M23" i="3" s="1"/>
  <c r="I22" i="3"/>
  <c r="I21" i="3"/>
  <c r="K23" i="3" l="1"/>
  <c r="M21" i="3" s="1"/>
  <c r="K22" i="3"/>
  <c r="L21" i="3" s="1"/>
  <c r="K21" i="3"/>
  <c r="L23" i="3"/>
  <c r="M22" i="3" s="1"/>
  <c r="L22" i="3"/>
  <c r="F6" i="2"/>
  <c r="G6" i="2"/>
  <c r="H6" i="2"/>
  <c r="F13" i="2"/>
  <c r="G13" i="2"/>
  <c r="H13" i="2"/>
  <c r="I13" i="2"/>
  <c r="J13" i="2"/>
  <c r="K13" i="2"/>
  <c r="K20" i="2"/>
  <c r="L20" i="2"/>
  <c r="M20" i="2"/>
  <c r="A21" i="2"/>
  <c r="B21" i="2" a="1"/>
  <c r="B21" i="2" s="1"/>
  <c r="C21" i="2" a="1"/>
  <c r="C21" i="2" s="1"/>
  <c r="D21" i="2" a="1"/>
  <c r="D21" i="2" s="1"/>
  <c r="F21" i="2" a="1"/>
  <c r="F21" i="2" s="1"/>
  <c r="H21" i="2" a="1"/>
  <c r="H21" i="2" s="1"/>
  <c r="A22" i="2"/>
  <c r="A23" i="2"/>
  <c r="H23" i="2"/>
  <c r="B23" i="2" l="1"/>
  <c r="N13" i="3" a="1"/>
  <c r="N13" i="3" s="1"/>
  <c r="D23" i="2"/>
  <c r="F23" i="2"/>
  <c r="C22" i="2"/>
  <c r="C23" i="2"/>
  <c r="H22" i="2"/>
  <c r="J21" i="2" s="1" a="1"/>
  <c r="F22" i="2"/>
  <c r="D22" i="2"/>
  <c r="B22" i="2"/>
  <c r="C28" i="3" l="1"/>
  <c r="B28" i="3"/>
  <c r="E21" i="2" a="1"/>
  <c r="E22" i="2" s="1"/>
  <c r="J23" i="2"/>
  <c r="J21" i="2"/>
  <c r="J22" i="2"/>
  <c r="D28" i="3" l="1"/>
  <c r="A36" i="3" s="1"/>
  <c r="E28" i="3"/>
  <c r="E23" i="2"/>
  <c r="E21" i="2"/>
  <c r="G21" i="2" s="1" a="1"/>
  <c r="G21" i="2" s="1"/>
  <c r="N14" i="2" a="1"/>
  <c r="N14" i="2" s="1"/>
  <c r="A28" i="2" s="1"/>
  <c r="G22" i="2" l="1"/>
  <c r="H26" i="3"/>
  <c r="A32" i="3" s="1"/>
  <c r="B36" i="3"/>
  <c r="C36" i="3" s="1"/>
  <c r="D36" i="3" s="1"/>
  <c r="E36" i="3" s="1"/>
  <c r="C14" i="3" s="1"/>
  <c r="G23" i="2"/>
  <c r="I21" i="2" s="1" a="1"/>
  <c r="B32" i="3" l="1"/>
  <c r="C32" i="3" s="1"/>
  <c r="C17" i="3" s="1"/>
  <c r="F36" i="3"/>
  <c r="C15" i="3" s="1"/>
  <c r="D15" i="3" s="1"/>
  <c r="D14" i="3"/>
  <c r="E14" i="3"/>
  <c r="F14" i="3" a="1"/>
  <c r="G36" i="3"/>
  <c r="C16" i="3" s="1"/>
  <c r="I21" i="2"/>
  <c r="I23" i="2"/>
  <c r="M23" i="2" s="1"/>
  <c r="I22" i="2"/>
  <c r="F17" i="3" l="1" a="1"/>
  <c r="F17" i="3" s="1"/>
  <c r="I17" i="3" s="1"/>
  <c r="E17" i="3"/>
  <c r="D17" i="3"/>
  <c r="E16" i="3"/>
  <c r="D16" i="3"/>
  <c r="F16" i="3" a="1"/>
  <c r="G14" i="3"/>
  <c r="F14" i="3"/>
  <c r="H14" i="3"/>
  <c r="L23" i="2"/>
  <c r="M22" i="2" s="1"/>
  <c r="L22" i="2"/>
  <c r="K22" i="2"/>
  <c r="L21" i="2" s="1"/>
  <c r="K21" i="2"/>
  <c r="K23" i="2"/>
  <c r="M21" i="2" s="1"/>
  <c r="G17" i="3" l="1"/>
  <c r="J17" i="3" s="1"/>
  <c r="H17" i="3"/>
  <c r="K17" i="3" s="1"/>
  <c r="J14" i="3"/>
  <c r="M8" i="3"/>
  <c r="K14" i="3"/>
  <c r="M9" i="3"/>
  <c r="I14" i="3"/>
  <c r="M7" i="3"/>
  <c r="F16" i="3"/>
  <c r="I16" i="3" s="1"/>
  <c r="H16" i="3"/>
  <c r="K16" i="3" s="1"/>
  <c r="G16" i="3"/>
  <c r="J16" i="3" s="1"/>
  <c r="N13" i="2" a="1"/>
  <c r="N13" i="2" s="1"/>
  <c r="C28" i="2" s="1"/>
  <c r="B28" i="2" l="1"/>
  <c r="D28" i="2" s="1"/>
  <c r="A36" i="2" s="1"/>
  <c r="E28" i="2" l="1"/>
  <c r="B36" i="2" s="1"/>
  <c r="C36" i="2" s="1"/>
  <c r="D36" i="2" s="1"/>
  <c r="G36" i="2" s="1"/>
  <c r="C16" i="2" s="1"/>
  <c r="H26" i="2" l="1"/>
  <c r="B32" i="2" s="1"/>
  <c r="D16" i="2"/>
  <c r="E16" i="2"/>
  <c r="F16" i="2" a="1"/>
  <c r="A32" i="2"/>
  <c r="C32" i="2" s="1"/>
  <c r="C17" i="2" s="1"/>
  <c r="F36" i="2"/>
  <c r="C15" i="2" s="1"/>
  <c r="D15" i="2" s="1"/>
  <c r="E36" i="2"/>
  <c r="C14" i="2" s="1"/>
  <c r="F16" i="2" l="1"/>
  <c r="G16" i="2"/>
  <c r="H16" i="2"/>
  <c r="D14" i="2"/>
  <c r="E14" i="2"/>
  <c r="F14" i="2" a="1"/>
  <c r="D17" i="2"/>
  <c r="E17" i="2"/>
  <c r="F17" i="2" a="1"/>
  <c r="K16" i="2" l="1"/>
  <c r="K9" i="3"/>
  <c r="N9" i="3" s="1"/>
  <c r="O9" i="3" s="1"/>
  <c r="J16" i="2"/>
  <c r="K8" i="3"/>
  <c r="N8" i="3" s="1"/>
  <c r="O8" i="3" s="1"/>
  <c r="I16" i="2"/>
  <c r="K7" i="3"/>
  <c r="N7" i="3" s="1"/>
  <c r="O7" i="3" s="1"/>
  <c r="F17" i="2"/>
  <c r="I17" i="2" s="1"/>
  <c r="G17" i="2"/>
  <c r="J17" i="2" s="1"/>
  <c r="H17" i="2"/>
  <c r="K17" i="2" s="1"/>
  <c r="F14" i="2"/>
  <c r="I14" i="2" s="1"/>
  <c r="G14" i="2"/>
  <c r="J14" i="2" s="1"/>
  <c r="H14" i="2"/>
  <c r="K14" i="2" s="1"/>
  <c r="O10" i="3" l="1"/>
  <c r="P8" i="3" s="1"/>
  <c r="P7" i="3" l="1"/>
  <c r="P9" i="3"/>
  <c r="P10" i="3" l="1"/>
</calcChain>
</file>

<file path=xl/sharedStrings.xml><?xml version="1.0" encoding="utf-8"?>
<sst xmlns="http://schemas.openxmlformats.org/spreadsheetml/2006/main" count="159" uniqueCount="81">
  <si>
    <t>PRFUG.XLS</t>
  </si>
  <si>
    <t>This workbook will fugacities using the Peng-Robinson Equation.</t>
  </si>
  <si>
    <t>This workbook is related to PREOS.xls and works in a similar fashion.</t>
  </si>
  <si>
    <t>Worksheets are protected. Values in blue may be changed without unlocking the spreadsheet, which will</t>
  </si>
  <si>
    <t>permit most common calculations. The worksheets may easily be changed to use a different equation of state.</t>
  </si>
  <si>
    <t>For use with "An Introduction to Applied Thermodynamics" by J.R. Elliott, C.T. Lira</t>
  </si>
  <si>
    <t>www.egr.msu.edu/~lira/thermtxt.htm</t>
  </si>
  <si>
    <t>Peng-Robinson Equation of State (Mixture)</t>
  </si>
  <si>
    <t>Spreadsheet protected, but no password used.</t>
  </si>
  <si>
    <t>Fugacities</t>
  </si>
  <si>
    <t>kij</t>
  </si>
  <si>
    <t>Component</t>
  </si>
  <si>
    <t>Tc (K)</t>
  </si>
  <si>
    <t>Pc (MPa)</t>
  </si>
  <si>
    <t>w</t>
  </si>
  <si>
    <t>-</t>
  </si>
  <si>
    <t>Current State</t>
  </si>
  <si>
    <t>Roots</t>
  </si>
  <si>
    <t>T (K)</t>
  </si>
  <si>
    <t>Z</t>
  </si>
  <si>
    <t>V</t>
  </si>
  <si>
    <t>fugacity</t>
  </si>
  <si>
    <t xml:space="preserve">component fugacity coeff </t>
  </si>
  <si>
    <t>component fugacity(MPa)</t>
  </si>
  <si>
    <t>mixture</t>
  </si>
  <si>
    <t>P (MPa)</t>
  </si>
  <si>
    <r>
      <t>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/gmol</t>
    </r>
  </si>
  <si>
    <t>MPa</t>
  </si>
  <si>
    <t>A</t>
  </si>
  <si>
    <t>answers for three</t>
  </si>
  <si>
    <t>B</t>
  </si>
  <si>
    <t>root region</t>
  </si>
  <si>
    <r>
      <t>R(cm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MPa/molK)</t>
    </r>
  </si>
  <si>
    <t>&amp; for 1 root region</t>
  </si>
  <si>
    <t>Tr</t>
  </si>
  <si>
    <t>Pr</t>
  </si>
  <si>
    <t>k</t>
  </si>
  <si>
    <t>a</t>
  </si>
  <si>
    <t>ac</t>
  </si>
  <si>
    <t>b</t>
  </si>
  <si>
    <t>Solution to Cubic</t>
  </si>
  <si>
    <r>
      <t>Z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Z + a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=0</t>
    </r>
  </si>
  <si>
    <r>
      <t>R = 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/4 + 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/27 =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</si>
  <si>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</si>
  <si>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</si>
  <si>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0</t>
    </r>
  </si>
  <si>
    <t>p</t>
  </si>
  <si>
    <t>q</t>
  </si>
  <si>
    <t>If Negative, three unequal real roots,</t>
  </si>
  <si>
    <t>If Positive, one real root</t>
  </si>
  <si>
    <t>Method 1 - For region with one real root</t>
  </si>
  <si>
    <t>P</t>
  </si>
  <si>
    <t>Q</t>
  </si>
  <si>
    <t>Root to equation in x</t>
  </si>
  <si>
    <t>Solution methods are summarized</t>
  </si>
  <si>
    <t>in the appendix of the text.</t>
  </si>
  <si>
    <t>Method 2 - For region with three real roots</t>
  </si>
  <si>
    <t>m</t>
  </si>
  <si>
    <t>3q/pm</t>
  </si>
  <si>
    <r>
      <t>3*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</si>
  <si>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1</t>
    </r>
  </si>
  <si>
    <t>Roots to equation in x</t>
  </si>
  <si>
    <t>Copyright 1996-2011, Carl Lira</t>
  </si>
  <si>
    <r>
      <t>x</t>
    </r>
    <r>
      <rPr>
        <vertAlign val="subscript"/>
        <sz val="10"/>
        <rFont val="Arial"/>
        <family val="2"/>
      </rPr>
      <t>i</t>
    </r>
  </si>
  <si>
    <r>
      <t>y</t>
    </r>
    <r>
      <rPr>
        <vertAlign val="subscript"/>
        <sz val="10"/>
        <rFont val="Arial"/>
        <family val="2"/>
      </rPr>
      <t>i</t>
    </r>
  </si>
  <si>
    <t>Compound</t>
  </si>
  <si>
    <t>fug coe-L</t>
  </si>
  <si>
    <r>
      <rPr>
        <sz val="8"/>
        <rFont val="Arial"/>
        <family val="2"/>
      </rPr>
      <t>guess</t>
    </r>
    <r>
      <rPr>
        <sz val="10"/>
        <rFont val="Arial"/>
        <family val="2"/>
      </rPr>
      <t xml:space="preserve"> y</t>
    </r>
    <r>
      <rPr>
        <vertAlign val="subscript"/>
        <sz val="10"/>
        <rFont val="Arial"/>
        <family val="2"/>
      </rPr>
      <t>i</t>
    </r>
  </si>
  <si>
    <t>fug co-V</t>
  </si>
  <si>
    <t>Ki</t>
  </si>
  <si>
    <t>yi = Ki*xi</t>
  </si>
  <si>
    <t>yi</t>
  </si>
  <si>
    <t>yi-nomr</t>
  </si>
  <si>
    <t>n-PENTANE</t>
  </si>
  <si>
    <t>n-HEXANE</t>
  </si>
  <si>
    <t>n-pentane</t>
  </si>
  <si>
    <t>n-hexane</t>
  </si>
  <si>
    <t>sum of fugacities in vapor</t>
  </si>
  <si>
    <t>sum of fugacities in liquid</t>
  </si>
  <si>
    <t>fugacity of vapor mixture= sume of fugacities</t>
  </si>
  <si>
    <t>fugacity of liquid mixture-not equal to vapor mixture fugacity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</si>
</sst>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0.0000"/>
  </numFmts>
  <fonts count="15" x14ac:knownFonts="1">
    <font>
      <sz val="10"/>
      <name val="Arial"/>
    </font>
    <font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sz val="10"/>
      <color indexed="39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Symbol"/>
      <family val="1"/>
      <charset val="2"/>
    </font>
    <font>
      <sz val="9"/>
      <color indexed="12"/>
      <name val="Arial"/>
      <family val="2"/>
    </font>
    <font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 applyAlignment="1">
      <alignment horizontal="center"/>
    </xf>
    <xf numFmtId="0" fontId="0" fillId="0" borderId="24" xfId="0" applyBorder="1"/>
    <xf numFmtId="0" fontId="0" fillId="0" borderId="4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5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5" fillId="0" borderId="16" xfId="0" applyFont="1" applyBorder="1"/>
    <xf numFmtId="0" fontId="0" fillId="0" borderId="5" xfId="0" applyBorder="1" applyAlignment="1">
      <alignment horizontal="centerContinuous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horizontal="center"/>
    </xf>
    <xf numFmtId="0" fontId="0" fillId="0" borderId="29" xfId="0" applyBorder="1"/>
    <xf numFmtId="0" fontId="0" fillId="0" borderId="26" xfId="0" applyBorder="1"/>
    <xf numFmtId="0" fontId="5" fillId="0" borderId="5" xfId="0" applyFont="1" applyBorder="1" applyAlignment="1">
      <alignment horizontal="center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21" xfId="0" applyFont="1" applyBorder="1" applyAlignment="1" applyProtection="1">
      <alignment horizontal="center"/>
      <protection locked="0"/>
    </xf>
    <xf numFmtId="164" fontId="9" fillId="0" borderId="7" xfId="0" applyNumberFormat="1" applyFont="1" applyBorder="1" applyAlignment="1" applyProtection="1">
      <alignment horizontal="center"/>
      <protection locked="0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0" fillId="0" borderId="30" xfId="0" applyBorder="1" applyAlignment="1">
      <alignment horizontal="center"/>
    </xf>
    <xf numFmtId="0" fontId="0" fillId="0" borderId="30" xfId="0" applyNumberFormat="1" applyBorder="1"/>
    <xf numFmtId="0" fontId="0" fillId="0" borderId="32" xfId="0" applyNumberFormat="1" applyBorder="1"/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Continuous"/>
    </xf>
    <xf numFmtId="0" fontId="0" fillId="0" borderId="35" xfId="0" applyBorder="1" applyAlignment="1">
      <alignment horizontal="centerContinuous"/>
    </xf>
    <xf numFmtId="0" fontId="0" fillId="0" borderId="28" xfId="0" applyBorder="1" applyAlignment="1">
      <alignment horizontal="center"/>
    </xf>
    <xf numFmtId="0" fontId="7" fillId="0" borderId="21" xfId="0" applyFont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165" fontId="6" fillId="0" borderId="5" xfId="0" applyNumberFormat="1" applyFont="1" applyBorder="1" applyProtection="1">
      <protection locked="0"/>
    </xf>
    <xf numFmtId="167" fontId="0" fillId="0" borderId="2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7" fontId="0" fillId="0" borderId="21" xfId="0" applyNumberFormat="1" applyBorder="1" applyAlignment="1">
      <alignment horizontal="center"/>
    </xf>
    <xf numFmtId="167" fontId="0" fillId="0" borderId="28" xfId="0" applyNumberFormat="1" applyBorder="1" applyAlignment="1">
      <alignment horizontal="center"/>
    </xf>
    <xf numFmtId="167" fontId="0" fillId="0" borderId="26" xfId="0" applyNumberFormat="1" applyBorder="1" applyAlignment="1">
      <alignment horizontal="center"/>
    </xf>
    <xf numFmtId="0" fontId="2" fillId="0" borderId="28" xfId="0" applyFont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0" fontId="11" fillId="0" borderId="25" xfId="0" applyFont="1" applyBorder="1"/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0" fontId="11" fillId="0" borderId="28" xfId="0" applyNumberFormat="1" applyFont="1" applyBorder="1" applyAlignment="1">
      <alignment horizontal="center"/>
    </xf>
    <xf numFmtId="0" fontId="11" fillId="0" borderId="16" xfId="0" applyNumberFormat="1" applyFont="1" applyBorder="1"/>
    <xf numFmtId="0" fontId="11" fillId="0" borderId="6" xfId="0" applyFont="1" applyBorder="1"/>
    <xf numFmtId="0" fontId="11" fillId="0" borderId="21" xfId="0" applyNumberFormat="1" applyFont="1" applyBorder="1" applyAlignment="1">
      <alignment horizontal="center"/>
    </xf>
    <xf numFmtId="164" fontId="11" fillId="0" borderId="21" xfId="0" applyNumberFormat="1" applyFont="1" applyBorder="1" applyAlignment="1">
      <alignment horizontal="center"/>
    </xf>
    <xf numFmtId="0" fontId="11" fillId="0" borderId="27" xfId="0" applyNumberFormat="1" applyFont="1" applyBorder="1" applyAlignment="1">
      <alignment horizontal="center"/>
    </xf>
    <xf numFmtId="0" fontId="11" fillId="0" borderId="31" xfId="0" applyNumberFormat="1" applyFont="1" applyBorder="1"/>
    <xf numFmtId="0" fontId="13" fillId="0" borderId="6" xfId="0" applyFont="1" applyBorder="1" applyAlignment="1" applyProtection="1">
      <alignment horizontal="center"/>
      <protection locked="0"/>
    </xf>
    <xf numFmtId="165" fontId="0" fillId="2" borderId="7" xfId="0" applyNumberFormat="1" applyFill="1" applyBorder="1" applyAlignment="1">
      <alignment horizontal="center"/>
    </xf>
    <xf numFmtId="167" fontId="0" fillId="2" borderId="27" xfId="0" applyNumberFormat="1" applyFill="1" applyBorder="1" applyAlignment="1">
      <alignment horizontal="center"/>
    </xf>
    <xf numFmtId="167" fontId="0" fillId="2" borderId="28" xfId="0" applyNumberFormat="1" applyFill="1" applyBorder="1" applyAlignment="1">
      <alignment horizontal="center"/>
    </xf>
    <xf numFmtId="167" fontId="0" fillId="2" borderId="0" xfId="0" applyNumberFormat="1" applyFill="1" applyBorder="1" applyAlignment="1">
      <alignment horizontal="center"/>
    </xf>
    <xf numFmtId="166" fontId="0" fillId="2" borderId="28" xfId="0" applyNumberFormat="1" applyFill="1" applyBorder="1" applyAlignment="1">
      <alignment horizontal="center"/>
    </xf>
    <xf numFmtId="164" fontId="6" fillId="2" borderId="7" xfId="0" applyNumberFormat="1" applyFont="1" applyFill="1" applyBorder="1" applyProtection="1">
      <protection locked="0"/>
    </xf>
    <xf numFmtId="0" fontId="1" fillId="0" borderId="20" xfId="0" applyFont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67" fontId="0" fillId="2" borderId="26" xfId="0" applyNumberForma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166" fontId="0" fillId="2" borderId="26" xfId="0" applyNumberForma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7" fontId="0" fillId="0" borderId="27" xfId="0" applyNumberFormat="1" applyFill="1" applyBorder="1" applyAlignment="1">
      <alignment horizontal="center"/>
    </xf>
    <xf numFmtId="167" fontId="0" fillId="0" borderId="28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6" fontId="0" fillId="0" borderId="28" xfId="0" applyNumberFormat="1" applyFill="1" applyBorder="1" applyAlignment="1">
      <alignment horizontal="center"/>
    </xf>
    <xf numFmtId="0" fontId="9" fillId="0" borderId="16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0" fontId="10" fillId="0" borderId="16" xfId="0" applyFont="1" applyBorder="1"/>
    <xf numFmtId="0" fontId="1" fillId="0" borderId="16" xfId="0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7" fillId="2" borderId="21" xfId="0" applyNumberFormat="1" applyFont="1" applyFill="1" applyBorder="1" applyAlignment="1" applyProtection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5"/>
  <sheetViews>
    <sheetView showGridLines="0" zoomScale="110" zoomScaleNormal="110" workbookViewId="0"/>
  </sheetViews>
  <sheetFormatPr defaultRowHeight="12.75" x14ac:dyDescent="0.2"/>
  <sheetData>
    <row r="2" spans="2:3" s="38" customFormat="1" ht="23.25" x14ac:dyDescent="0.35">
      <c r="B2" s="38" t="s">
        <v>0</v>
      </c>
      <c r="C2"/>
    </row>
    <row r="4" spans="2:3" x14ac:dyDescent="0.2">
      <c r="B4" t="s">
        <v>1</v>
      </c>
    </row>
    <row r="7" spans="2:3" x14ac:dyDescent="0.2">
      <c r="B7" t="s">
        <v>2</v>
      </c>
    </row>
    <row r="10" spans="2:3" x14ac:dyDescent="0.2">
      <c r="B10" t="s">
        <v>3</v>
      </c>
    </row>
    <row r="11" spans="2:3" x14ac:dyDescent="0.2">
      <c r="B11" t="s">
        <v>4</v>
      </c>
    </row>
    <row r="13" spans="2:3" x14ac:dyDescent="0.2">
      <c r="B13" s="64" t="s">
        <v>62</v>
      </c>
    </row>
    <row r="14" spans="2:3" x14ac:dyDescent="0.2">
      <c r="B14" t="s">
        <v>5</v>
      </c>
    </row>
    <row r="15" spans="2:3" x14ac:dyDescent="0.2">
      <c r="B15" t="s">
        <v>6</v>
      </c>
    </row>
  </sheetData>
  <sheetProtection sheet="1" objects="1" scenarios="1"/>
  <printOptions gridLinesSet="0"/>
  <pageMargins left="0.75" right="0.75" top="1" bottom="1" header="0.5" footer="0.5"/>
  <pageSetup orientation="landscape" horizontalDpi="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showGridLines="0" zoomScale="130" zoomScaleNormal="130" workbookViewId="0">
      <selection activeCell="E16" sqref="E16"/>
    </sheetView>
  </sheetViews>
  <sheetFormatPr defaultRowHeight="12.75" x14ac:dyDescent="0.2"/>
  <cols>
    <col min="1" max="1" width="10.28515625" customWidth="1"/>
    <col min="5" max="5" width="11.28515625" customWidth="1"/>
    <col min="6" max="7" width="10.7109375" customWidth="1"/>
    <col min="8" max="8" width="11" customWidth="1"/>
    <col min="10" max="10" width="8.7109375" customWidth="1"/>
    <col min="11" max="11" width="9.85546875" customWidth="1"/>
    <col min="14" max="14" width="10.28515625" customWidth="1"/>
    <col min="15" max="15" width="8.28515625" customWidth="1"/>
    <col min="16" max="16" width="8" customWidth="1"/>
    <col min="18" max="18" width="10" customWidth="1"/>
    <col min="19" max="19" width="10.140625" customWidth="1"/>
    <col min="20" max="20" width="10.28515625" customWidth="1"/>
  </cols>
  <sheetData>
    <row r="1" spans="1:21" x14ac:dyDescent="0.2">
      <c r="A1" t="s">
        <v>7</v>
      </c>
      <c r="F1" t="s">
        <v>8</v>
      </c>
    </row>
    <row r="2" spans="1:21" x14ac:dyDescent="0.2">
      <c r="A2" s="13" t="s">
        <v>9</v>
      </c>
      <c r="B2" s="13"/>
    </row>
    <row r="4" spans="1:21" ht="13.5" thickBot="1" x14ac:dyDescent="0.25"/>
    <row r="5" spans="1:21" ht="13.5" thickBot="1" x14ac:dyDescent="0.25">
      <c r="A5" t="s">
        <v>7</v>
      </c>
      <c r="F5" s="28" t="s">
        <v>10</v>
      </c>
      <c r="G5" s="29"/>
      <c r="H5" s="35"/>
    </row>
    <row r="6" spans="1:21" s="42" customFormat="1" ht="15.75" x14ac:dyDescent="0.3">
      <c r="A6" s="18" t="s">
        <v>11</v>
      </c>
      <c r="B6" s="96" t="s">
        <v>63</v>
      </c>
      <c r="C6" s="36" t="s">
        <v>12</v>
      </c>
      <c r="D6" s="36" t="s">
        <v>13</v>
      </c>
      <c r="E6" s="45" t="s">
        <v>14</v>
      </c>
      <c r="F6" s="50" t="str">
        <f>A7</f>
        <v>n-PENTANE</v>
      </c>
      <c r="G6" s="37" t="str">
        <f>A8</f>
        <v>n-HEXANE</v>
      </c>
      <c r="H6" s="51">
        <f>A9</f>
        <v>0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s="42" customFormat="1" x14ac:dyDescent="0.2">
      <c r="A7" t="s">
        <v>73</v>
      </c>
      <c r="B7">
        <v>0.5</v>
      </c>
      <c r="C7">
        <v>469.7</v>
      </c>
      <c r="D7">
        <v>3.3690000000000002</v>
      </c>
      <c r="E7">
        <v>0.249</v>
      </c>
      <c r="F7" s="50" t="s">
        <v>15</v>
      </c>
      <c r="G7" s="37" t="s">
        <v>15</v>
      </c>
      <c r="H7" s="51" t="s">
        <v>15</v>
      </c>
      <c r="I7"/>
      <c r="J7"/>
      <c r="K7"/>
      <c r="L7"/>
      <c r="M7"/>
      <c r="N7"/>
      <c r="O7"/>
      <c r="P7"/>
      <c r="Q7"/>
      <c r="R7"/>
      <c r="S7"/>
      <c r="T7"/>
      <c r="U7"/>
    </row>
    <row r="8" spans="1:21" s="42" customFormat="1" x14ac:dyDescent="0.2">
      <c r="A8" t="s">
        <v>74</v>
      </c>
      <c r="B8">
        <v>0.5</v>
      </c>
      <c r="C8">
        <v>507.4</v>
      </c>
      <c r="D8">
        <v>3.012</v>
      </c>
      <c r="E8">
        <v>0.30499999999999999</v>
      </c>
      <c r="F8" s="46"/>
      <c r="G8" s="37" t="s">
        <v>15</v>
      </c>
      <c r="H8" s="51" t="s">
        <v>15</v>
      </c>
      <c r="I8"/>
      <c r="J8"/>
      <c r="K8"/>
      <c r="L8"/>
      <c r="M8"/>
      <c r="N8"/>
      <c r="O8"/>
      <c r="P8"/>
      <c r="Q8"/>
      <c r="R8"/>
      <c r="S8"/>
      <c r="T8"/>
      <c r="U8"/>
    </row>
    <row r="9" spans="1:21" s="42" customFormat="1" ht="13.5" thickBot="1" x14ac:dyDescent="0.25">
      <c r="A9" s="89"/>
      <c r="B9" s="62">
        <v>1.0000000000000001E-5</v>
      </c>
      <c r="C9" s="48">
        <v>540.29999999999995</v>
      </c>
      <c r="D9" s="48">
        <v>2.7360000000000002</v>
      </c>
      <c r="E9" s="49">
        <v>0.34899999999999998</v>
      </c>
      <c r="F9" s="47"/>
      <c r="G9" s="48"/>
      <c r="H9" s="63" t="s">
        <v>15</v>
      </c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3.5" thickBot="1" x14ac:dyDescent="0.25"/>
    <row r="11" spans="1:21" ht="13.5" thickBot="1" x14ac:dyDescent="0.25">
      <c r="A11" s="8" t="s">
        <v>16</v>
      </c>
      <c r="B11" s="9"/>
      <c r="C11" s="24" t="s">
        <v>17</v>
      </c>
      <c r="D11" s="25"/>
      <c r="G11" s="13"/>
      <c r="H11" s="13"/>
      <c r="I11" s="13"/>
      <c r="J11" s="13"/>
    </row>
    <row r="12" spans="1:21" ht="13.5" thickTop="1" x14ac:dyDescent="0.2">
      <c r="A12" s="4" t="s">
        <v>18</v>
      </c>
      <c r="B12" s="65">
        <v>315</v>
      </c>
      <c r="C12" s="18" t="s">
        <v>19</v>
      </c>
      <c r="D12" s="19" t="s">
        <v>20</v>
      </c>
      <c r="E12" s="39" t="s">
        <v>21</v>
      </c>
      <c r="F12" s="4" t="s">
        <v>22</v>
      </c>
      <c r="G12" s="22"/>
      <c r="H12" s="5"/>
      <c r="I12" s="4" t="s">
        <v>23</v>
      </c>
      <c r="J12" s="22"/>
      <c r="K12" s="5"/>
      <c r="M12" t="s">
        <v>24</v>
      </c>
      <c r="O12" s="13"/>
    </row>
    <row r="13" spans="1:21" ht="15" thickBot="1" x14ac:dyDescent="0.25">
      <c r="A13" s="6" t="s">
        <v>25</v>
      </c>
      <c r="B13" s="95">
        <v>8.1500000000000003E-2</v>
      </c>
      <c r="C13" s="20"/>
      <c r="D13" s="21" t="s">
        <v>26</v>
      </c>
      <c r="E13" s="40" t="s">
        <v>27</v>
      </c>
      <c r="F13" s="6" t="str">
        <f>A7</f>
        <v>n-PENTANE</v>
      </c>
      <c r="G13" s="23" t="str">
        <f>A8</f>
        <v>n-HEXANE</v>
      </c>
      <c r="H13" s="7">
        <f>A9</f>
        <v>0</v>
      </c>
      <c r="I13" s="6" t="str">
        <f>A7</f>
        <v>n-PENTANE</v>
      </c>
      <c r="J13" s="23" t="str">
        <f>A8</f>
        <v>n-HEXANE</v>
      </c>
      <c r="K13" s="7">
        <f>A9</f>
        <v>0</v>
      </c>
      <c r="M13" s="1" t="s">
        <v>28</v>
      </c>
      <c r="N13" s="12">
        <f t="array" ref="N13">MMULT(MMULT(TRANSPOSE(zi),Amatrix),zi)</f>
        <v>3.7678596191698145E-2</v>
      </c>
      <c r="O13" s="13"/>
    </row>
    <row r="14" spans="1:21" x14ac:dyDescent="0.2">
      <c r="A14" s="28" t="s">
        <v>29</v>
      </c>
      <c r="B14" s="29"/>
      <c r="C14" s="66">
        <f>E36-$A$28/3</f>
        <v>0.96440298080433595</v>
      </c>
      <c r="D14" s="67">
        <f>Z*_R*TK/P</f>
        <v>30989.995220347031</v>
      </c>
      <c r="E14" s="71">
        <f>P*EXP(Z-1-LN(Z-B)-A/B/2.8284*LN((Z+2.4142*B)/(Z-0.4142*B)))</f>
        <v>7.8690752563319061E-2</v>
      </c>
      <c r="F14" s="72">
        <f t="array" ref="F14:H14">EXP(TRANSPOSE(Bi)/B*(INDEX(Z,1)-1)-LN(INDEX(Z,1)-B)-A/B/2.8284*LN((INDEX(Z,1)+2.4142*B)/(INDEX(Z,1)-0.4142*B))*(2*MMULT(TRANSPOSE(zi),Amatrix)/A-TRANSPOSE(Bi)/B))</f>
        <v>0.97152819200614682</v>
      </c>
      <c r="G14" s="72">
        <v>0.9595720244376178</v>
      </c>
      <c r="H14" s="72">
        <v>0.94811545304480993</v>
      </c>
      <c r="I14" s="72">
        <f>$B$7*P*F14</f>
        <v>3.9589773824250482E-2</v>
      </c>
      <c r="J14" s="39">
        <f>$B$8*P*G14</f>
        <v>3.9102559995832925E-2</v>
      </c>
      <c r="K14" s="74">
        <f>$B$9*P*H14</f>
        <v>7.7271409423152027E-7</v>
      </c>
      <c r="M14" s="3" t="s">
        <v>30</v>
      </c>
      <c r="N14" s="16">
        <f t="array" ref="N14">SUM(zi*Bi)</f>
        <v>3.0985504631465977E-3</v>
      </c>
    </row>
    <row r="15" spans="1:21" ht="14.25" x14ac:dyDescent="0.2">
      <c r="A15" s="30" t="s">
        <v>31</v>
      </c>
      <c r="B15" s="31"/>
      <c r="C15" s="68">
        <f>F36-$A$28/3</f>
        <v>2.8617157159473827E-2</v>
      </c>
      <c r="D15" s="69">
        <f>Z*_R*TK/P</f>
        <v>919.57986572414234</v>
      </c>
      <c r="E15" s="71"/>
      <c r="F15" s="61"/>
      <c r="G15" s="73"/>
      <c r="H15" s="61"/>
      <c r="I15" s="61"/>
      <c r="J15" s="61"/>
      <c r="K15" s="61"/>
      <c r="M15" s="17" t="s">
        <v>32</v>
      </c>
      <c r="N15" s="17"/>
    </row>
    <row r="16" spans="1:21" ht="13.5" thickBot="1" x14ac:dyDescent="0.25">
      <c r="A16" s="6"/>
      <c r="B16" s="23"/>
      <c r="C16" s="70">
        <f>G36-$A$28/3</f>
        <v>3.881311573043722E-3</v>
      </c>
      <c r="D16" s="90">
        <f>Z*_R*TK/P</f>
        <v>124.72154223018323</v>
      </c>
      <c r="E16" s="91">
        <f>P*EXP(Z-1-LN(Z-B)-A/B/2.8284*LN((Z+2.4142*B)/(Z-0.4142*B)))</f>
        <v>6.7581257573232426E-2</v>
      </c>
      <c r="F16" s="92">
        <f t="array" ref="F16:H16">EXP(TRANSPOSE(Bi)/B*(INDEX(Z,3)-1)-LN(INDEX(Z,3)-B)-A/B/2.8284*LN((INDEX(Z,3)+2.4142*B)/(INDEX(Z,3)-0.4142*B))*(2*MMULT(TRANSPOSE(zi),Amatrix)/A-TRANSPOSE(Bi)/B))</f>
        <v>1.445384417424038</v>
      </c>
      <c r="G16" s="92">
        <v>0.47580791490533575</v>
      </c>
      <c r="H16" s="93">
        <v>0.16629381748536998</v>
      </c>
      <c r="I16" s="92">
        <f>$B$7*P*F16</f>
        <v>5.889941501002955E-2</v>
      </c>
      <c r="J16" s="92">
        <f>$B$8*P*G16</f>
        <v>1.9389172532392432E-2</v>
      </c>
      <c r="K16" s="94">
        <f>$B$9*P*H16</f>
        <v>1.3552946125057657E-7</v>
      </c>
      <c r="M16" s="26">
        <v>8.3140000000000001</v>
      </c>
      <c r="N16" s="10"/>
    </row>
    <row r="17" spans="1:13" ht="13.5" thickBot="1" x14ac:dyDescent="0.25">
      <c r="A17" s="32" t="s">
        <v>33</v>
      </c>
      <c r="B17" s="33"/>
      <c r="C17" s="27" t="e">
        <f>C32-A28/3</f>
        <v>#NUM!</v>
      </c>
      <c r="D17" s="25" t="e">
        <f>Z*_R*TK/P</f>
        <v>#NUM!</v>
      </c>
      <c r="E17" s="41" t="e">
        <f>P*EXP(Z-1-LN(Z-B)-A/B/2.8284*LN((Z+2.4142*B)/(Z-0.4142*B)))</f>
        <v>#NUM!</v>
      </c>
      <c r="F17" s="43" t="e">
        <f t="array" ref="F17:H17">EXP(TRANSPOSE(Bi)/B*(INDEX(Z,4)-1)-LN(INDEX(Z,4)-B)-A/B/2.8284*LN((INDEX(Z,4)+2.4142*B)/(INDEX(Z,4)-0.4142*B))*(2*MMULT(TRANSPOSE(zi),Amatrix)/A-TRANSPOSE(Bi)/B))</f>
        <v>#NUM!</v>
      </c>
      <c r="G17" s="43" t="e">
        <v>#NUM!</v>
      </c>
      <c r="H17" s="43" t="e">
        <v>#NUM!</v>
      </c>
      <c r="I17" s="43" t="e">
        <f>$B$7*P*F17</f>
        <v>#NUM!</v>
      </c>
      <c r="J17" s="43" t="e">
        <f>$B$8*P*G17</f>
        <v>#NUM!</v>
      </c>
      <c r="K17" s="43" t="e">
        <f>$B$9*P*H17</f>
        <v>#NUM!</v>
      </c>
    </row>
    <row r="18" spans="1:13" ht="13.5" thickBot="1" x14ac:dyDescent="0.25"/>
    <row r="19" spans="1:13" x14ac:dyDescent="0.2">
      <c r="A19" s="4"/>
      <c r="B19" s="22"/>
      <c r="C19" s="22"/>
      <c r="D19" s="22"/>
      <c r="E19" s="22"/>
      <c r="F19" s="22"/>
      <c r="G19" s="22"/>
      <c r="H19" s="22"/>
      <c r="I19" s="44"/>
      <c r="J19" s="44"/>
      <c r="K19" s="58" t="s">
        <v>28</v>
      </c>
      <c r="L19" s="59"/>
      <c r="M19" s="60"/>
    </row>
    <row r="20" spans="1:13" x14ac:dyDescent="0.2">
      <c r="A20" s="75"/>
      <c r="B20" s="76" t="s">
        <v>34</v>
      </c>
      <c r="C20" s="76" t="s">
        <v>35</v>
      </c>
      <c r="D20" s="77" t="s">
        <v>36</v>
      </c>
      <c r="E20" s="77" t="s">
        <v>37</v>
      </c>
      <c r="F20" s="76" t="s">
        <v>38</v>
      </c>
      <c r="G20" s="76" t="s">
        <v>37</v>
      </c>
      <c r="H20" s="76" t="s">
        <v>39</v>
      </c>
      <c r="I20" s="78" t="s">
        <v>28</v>
      </c>
      <c r="J20" s="78" t="s">
        <v>30</v>
      </c>
      <c r="K20" s="79" t="str">
        <f>A7</f>
        <v>n-PENTANE</v>
      </c>
      <c r="L20" s="79" t="str">
        <f>A8</f>
        <v>n-HEXANE</v>
      </c>
      <c r="M20" s="55">
        <f>A9</f>
        <v>0</v>
      </c>
    </row>
    <row r="21" spans="1:13" x14ac:dyDescent="0.2">
      <c r="A21" s="75" t="str">
        <f>A7</f>
        <v>n-PENTANE</v>
      </c>
      <c r="B21" s="80">
        <f t="array" ref="B21:B23">TK/Tc</f>
        <v>0.6706408345752608</v>
      </c>
      <c r="C21" s="80">
        <f t="array" ref="C21:C23">P/Pc</f>
        <v>2.4191154645295341E-2</v>
      </c>
      <c r="D21" s="80">
        <f t="array" ref="D21:D23">0.37464+1.54226*w-0.26993*w^2</f>
        <v>0.74192681006999994</v>
      </c>
      <c r="E21" s="80">
        <f t="array" ref="E21:E23">(1+kappa*(1-(Tr)^0.5))^2</f>
        <v>1.2867344581835014</v>
      </c>
      <c r="F21" s="80">
        <f t="array" ref="F21:F23">0.457235529*_R^2*Tc^2/Pc</f>
        <v>2069665.3038256869</v>
      </c>
      <c r="G21" s="80">
        <f t="array" ref="G21:G23">ac*alpha</f>
        <v>2663109.6633393369</v>
      </c>
      <c r="H21" s="81">
        <f t="array" ref="H21:H23">0.077796074*_R*Tc/Pc</f>
        <v>90.175228219990871</v>
      </c>
      <c r="I21" s="82">
        <f t="array" ref="I21:I23">G21:G23*P/_R^2/TK^2</f>
        <v>3.1645029968805097E-2</v>
      </c>
      <c r="J21" s="82">
        <f t="array" ref="J21:J23">H21:H23*P/_R/TK</f>
        <v>2.806236602223542E-3</v>
      </c>
      <c r="K21" s="83">
        <f>I21</f>
        <v>3.1645029968805097E-2</v>
      </c>
      <c r="L21" s="83">
        <f>K22</f>
        <v>3.7414671638182032E-2</v>
      </c>
      <c r="M21" s="56">
        <f>K23</f>
        <v>4.3019259439846406E-2</v>
      </c>
    </row>
    <row r="22" spans="1:13" x14ac:dyDescent="0.2">
      <c r="A22" s="75" t="str">
        <f>A8</f>
        <v>n-HEXANE</v>
      </c>
      <c r="B22" s="80">
        <v>0.62081198265668114</v>
      </c>
      <c r="C22" s="80">
        <v>2.7058432934926959E-2</v>
      </c>
      <c r="D22" s="80">
        <v>0.81991906174999996</v>
      </c>
      <c r="E22" s="80">
        <v>1.3780213176057934</v>
      </c>
      <c r="F22" s="80">
        <v>2701506.1963845929</v>
      </c>
      <c r="G22" s="80">
        <v>3722733.1282621119</v>
      </c>
      <c r="H22" s="81">
        <v>108.95902196425845</v>
      </c>
      <c r="I22" s="82">
        <v>4.4236256220105602E-2</v>
      </c>
      <c r="J22" s="82">
        <v>3.3907848265450373E-3</v>
      </c>
      <c r="K22" s="83">
        <f>SQRT(I21*I22)*(1-F8)</f>
        <v>3.7414671638182032E-2</v>
      </c>
      <c r="L22" s="83">
        <f>I22</f>
        <v>4.4236256220105602E-2</v>
      </c>
      <c r="M22" s="56">
        <f>L23</f>
        <v>5.0862693688274986E-2</v>
      </c>
    </row>
    <row r="23" spans="1:13" ht="13.5" thickBot="1" x14ac:dyDescent="0.25">
      <c r="A23" s="84">
        <f>A9</f>
        <v>0</v>
      </c>
      <c r="B23" s="85">
        <v>0.58300943920044423</v>
      </c>
      <c r="C23" s="85">
        <v>2.9788011695906433E-2</v>
      </c>
      <c r="D23" s="85">
        <v>0.88001099607</v>
      </c>
      <c r="E23" s="85">
        <v>1.4594527388558887</v>
      </c>
      <c r="F23" s="85">
        <v>3372204.097790732</v>
      </c>
      <c r="G23" s="85">
        <v>4921572.5065017352</v>
      </c>
      <c r="H23" s="86">
        <v>127.72813631403905</v>
      </c>
      <c r="I23" s="87">
        <v>5.8481748463412628E-2</v>
      </c>
      <c r="J23" s="87">
        <v>3.9748762307960884E-3</v>
      </c>
      <c r="K23" s="88">
        <f>SQRT(I21*I23)*(1-F9)</f>
        <v>4.3019259439846406E-2</v>
      </c>
      <c r="L23" s="88">
        <f>SQRT(I22*I23)*(1-G9)</f>
        <v>5.0862693688274986E-2</v>
      </c>
      <c r="M23" s="57">
        <f>I23</f>
        <v>5.8481748463412628E-2</v>
      </c>
    </row>
    <row r="24" spans="1:13" x14ac:dyDescent="0.2">
      <c r="A24" s="52"/>
      <c r="B24" s="52"/>
      <c r="C24" s="52"/>
      <c r="D24" s="52"/>
      <c r="E24" s="52"/>
      <c r="F24" s="52"/>
      <c r="G24" s="53"/>
      <c r="H24" s="52"/>
      <c r="I24" s="52"/>
      <c r="J24" s="54"/>
      <c r="K24" s="54"/>
      <c r="L24" s="54"/>
    </row>
    <row r="25" spans="1:13" ht="15.75" x14ac:dyDescent="0.3">
      <c r="A25" t="s">
        <v>40</v>
      </c>
      <c r="C25" t="s">
        <v>41</v>
      </c>
      <c r="F25" s="13"/>
      <c r="G25" s="13"/>
      <c r="H25" s="13"/>
      <c r="I25" s="13"/>
    </row>
    <row r="26" spans="1:13" ht="14.25" x14ac:dyDescent="0.2">
      <c r="F26" s="1" t="s">
        <v>42</v>
      </c>
      <c r="G26" s="11"/>
      <c r="H26" s="11">
        <f>E28^2/4+D28^3/27</f>
        <v>-4.5771698032764409E-6</v>
      </c>
      <c r="I26" s="12"/>
    </row>
    <row r="27" spans="1:13" ht="15.75" x14ac:dyDescent="0.3">
      <c r="A27" s="26" t="s">
        <v>43</v>
      </c>
      <c r="B27" s="26" t="s">
        <v>44</v>
      </c>
      <c r="C27" s="26" t="s">
        <v>45</v>
      </c>
      <c r="D27" s="26" t="s">
        <v>46</v>
      </c>
      <c r="E27" s="26" t="s">
        <v>47</v>
      </c>
      <c r="F27" s="2" t="s">
        <v>48</v>
      </c>
      <c r="G27" s="13"/>
      <c r="H27" s="13"/>
      <c r="I27" s="14"/>
    </row>
    <row r="28" spans="1:13" x14ac:dyDescent="0.2">
      <c r="A28" s="17">
        <f>-(1-N14)</f>
        <v>-0.99690144953685345</v>
      </c>
      <c r="B28" s="17">
        <f>N13-3*N14^2-2*N14</f>
        <v>3.1452692220486952E-2</v>
      </c>
      <c r="C28" s="17">
        <f>-(N13*N14-N14^2-N14^3)</f>
        <v>-1.0711826747844369E-4</v>
      </c>
      <c r="D28" s="17">
        <f>(3*B28-A28^2)/3</f>
        <v>-0.29981814114240624</v>
      </c>
      <c r="E28" s="17">
        <f>(2*A28^3-9*A28*B28+27*C28)/27</f>
        <v>-6.3043012105053933E-2</v>
      </c>
      <c r="F28" s="3" t="s">
        <v>49</v>
      </c>
      <c r="G28" s="15"/>
      <c r="H28" s="15"/>
      <c r="I28" s="16"/>
    </row>
    <row r="30" spans="1:13" x14ac:dyDescent="0.2">
      <c r="A30" t="s">
        <v>50</v>
      </c>
    </row>
    <row r="31" spans="1:13" x14ac:dyDescent="0.2">
      <c r="A31" s="17" t="s">
        <v>51</v>
      </c>
      <c r="B31" s="17" t="s">
        <v>52</v>
      </c>
      <c r="C31" s="17" t="s">
        <v>53</v>
      </c>
      <c r="D31" s="17"/>
      <c r="F31" t="s">
        <v>54</v>
      </c>
    </row>
    <row r="32" spans="1:13" x14ac:dyDescent="0.2">
      <c r="A32" s="17" t="e">
        <f>(-$E$28/2+SQRT($H$26))^(1/3)</f>
        <v>#NUM!</v>
      </c>
      <c r="B32" s="17" t="e">
        <f>(-$E$28/2-SQRT($H$26))^(1/3)</f>
        <v>#NUM!</v>
      </c>
      <c r="C32" s="17" t="e">
        <f>A32+B32</f>
        <v>#NUM!</v>
      </c>
      <c r="D32" s="13"/>
      <c r="F32" t="s">
        <v>55</v>
      </c>
    </row>
    <row r="34" spans="1:7" x14ac:dyDescent="0.2">
      <c r="A34" t="s">
        <v>56</v>
      </c>
    </row>
    <row r="35" spans="1:7" ht="15.75" x14ac:dyDescent="0.3">
      <c r="A35" s="17" t="s">
        <v>57</v>
      </c>
      <c r="B35" s="17" t="s">
        <v>58</v>
      </c>
      <c r="C35" s="17" t="s">
        <v>59</v>
      </c>
      <c r="D35" s="34" t="s">
        <v>60</v>
      </c>
      <c r="E35" s="17" t="s">
        <v>61</v>
      </c>
      <c r="F35" s="17"/>
      <c r="G35" s="17"/>
    </row>
    <row r="36" spans="1:7" x14ac:dyDescent="0.2">
      <c r="A36" s="17">
        <f>2*SQRT(-D28/3)</f>
        <v>0.63226380690595307</v>
      </c>
      <c r="B36" s="17">
        <f>3*E28/D28/A36</f>
        <v>0.99770461365369223</v>
      </c>
      <c r="C36" s="17">
        <f>ACOS(B36)</f>
        <v>6.7768208140578379E-2</v>
      </c>
      <c r="D36" s="17">
        <f>C36/3</f>
        <v>2.2589402713526125E-2</v>
      </c>
      <c r="E36" s="17">
        <f>$A$36*COS($D$36)</f>
        <v>0.63210249762538484</v>
      </c>
      <c r="F36" s="17">
        <f>$A$36*COS($D$36+4*PI()/3)</f>
        <v>-0.30368332601947734</v>
      </c>
      <c r="G36" s="17">
        <f>$A$36*COS($D$36+2*PI()/3)</f>
        <v>-0.32841917160590745</v>
      </c>
    </row>
    <row r="39" spans="1:7" x14ac:dyDescent="0.2">
      <c r="A39" s="13"/>
    </row>
  </sheetData>
  <printOptions gridLinesSet="0"/>
  <pageMargins left="0.75" right="0.75" top="1" bottom="1" header="0.5" footer="0.5"/>
  <pageSetup scale="90" orientation="landscape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showGridLines="0" tabSelected="1" zoomScale="110" zoomScaleNormal="110" workbookViewId="0">
      <selection activeCell="L30" sqref="L30"/>
    </sheetView>
  </sheetViews>
  <sheetFormatPr defaultRowHeight="12.75" x14ac:dyDescent="0.2"/>
  <cols>
    <col min="1" max="1" width="10.28515625" customWidth="1"/>
    <col min="5" max="5" width="11.28515625" customWidth="1"/>
    <col min="6" max="7" width="10.7109375" customWidth="1"/>
    <col min="8" max="8" width="11" customWidth="1"/>
    <col min="10" max="10" width="8.42578125" customWidth="1"/>
    <col min="11" max="11" width="8.7109375" customWidth="1"/>
    <col min="12" max="12" width="6.140625" customWidth="1"/>
    <col min="13" max="13" width="6" customWidth="1"/>
    <col min="14" max="14" width="7.7109375" customWidth="1"/>
    <col min="15" max="15" width="6.85546875" customWidth="1"/>
    <col min="16" max="16" width="8" customWidth="1"/>
    <col min="18" max="18" width="10" customWidth="1"/>
    <col min="19" max="19" width="10.140625" customWidth="1"/>
    <col min="20" max="20" width="10.28515625" customWidth="1"/>
  </cols>
  <sheetData>
    <row r="1" spans="1:21" x14ac:dyDescent="0.2">
      <c r="A1" t="s">
        <v>7</v>
      </c>
      <c r="F1" t="s">
        <v>8</v>
      </c>
    </row>
    <row r="2" spans="1:21" x14ac:dyDescent="0.2">
      <c r="A2" s="13" t="s">
        <v>9</v>
      </c>
      <c r="B2" s="13"/>
    </row>
    <row r="3" spans="1:21" x14ac:dyDescent="0.2">
      <c r="J3" s="64" t="s">
        <v>70</v>
      </c>
    </row>
    <row r="4" spans="1:21" ht="13.5" thickBot="1" x14ac:dyDescent="0.25"/>
    <row r="5" spans="1:21" ht="13.5" thickBot="1" x14ac:dyDescent="0.25">
      <c r="A5" t="s">
        <v>7</v>
      </c>
      <c r="F5" s="28" t="s">
        <v>10</v>
      </c>
      <c r="G5" s="29"/>
      <c r="H5" s="35"/>
    </row>
    <row r="6" spans="1:21" s="42" customFormat="1" ht="15.75" x14ac:dyDescent="0.3">
      <c r="A6" s="18" t="s">
        <v>11</v>
      </c>
      <c r="B6" s="96" t="s">
        <v>64</v>
      </c>
      <c r="C6" s="36" t="s">
        <v>12</v>
      </c>
      <c r="D6" s="36" t="s">
        <v>13</v>
      </c>
      <c r="E6" s="45" t="s">
        <v>14</v>
      </c>
      <c r="F6" s="50" t="str">
        <f>A7</f>
        <v>n-PENTANE</v>
      </c>
      <c r="G6" s="37" t="str">
        <f>A8</f>
        <v>n-HEXANE</v>
      </c>
      <c r="H6" s="37">
        <f>A9</f>
        <v>0</v>
      </c>
      <c r="I6" s="108" t="s">
        <v>65</v>
      </c>
      <c r="J6" s="96" t="s">
        <v>63</v>
      </c>
      <c r="K6" s="109" t="s">
        <v>66</v>
      </c>
      <c r="L6" s="96" t="s">
        <v>67</v>
      </c>
      <c r="M6" s="79" t="s">
        <v>68</v>
      </c>
      <c r="N6" s="109" t="s">
        <v>69</v>
      </c>
      <c r="O6" s="109" t="s">
        <v>71</v>
      </c>
      <c r="P6" s="109" t="s">
        <v>72</v>
      </c>
      <c r="Q6"/>
      <c r="R6"/>
      <c r="S6"/>
      <c r="T6"/>
      <c r="U6"/>
    </row>
    <row r="7" spans="1:21" s="42" customFormat="1" x14ac:dyDescent="0.2">
      <c r="A7" t="s">
        <v>73</v>
      </c>
      <c r="B7">
        <v>0.75</v>
      </c>
      <c r="C7">
        <v>469.7</v>
      </c>
      <c r="D7">
        <v>3.3690000000000002</v>
      </c>
      <c r="E7">
        <v>0.249</v>
      </c>
      <c r="F7" s="50" t="s">
        <v>15</v>
      </c>
      <c r="G7" s="37" t="s">
        <v>15</v>
      </c>
      <c r="H7" s="37" t="s">
        <v>15</v>
      </c>
      <c r="I7" s="106" t="s">
        <v>75</v>
      </c>
      <c r="J7" s="26">
        <f>'Liquid Fugacities'!B7</f>
        <v>0.5</v>
      </c>
      <c r="K7" s="110">
        <f>'Liquid Fugacities'!F16</f>
        <v>1.445384417424038</v>
      </c>
      <c r="L7" s="110">
        <f>B7</f>
        <v>0.75</v>
      </c>
      <c r="M7" s="110">
        <f>F14</f>
        <v>0.97131754481732724</v>
      </c>
      <c r="N7" s="110">
        <f>K7/M7</f>
        <v>1.4880657979835699</v>
      </c>
      <c r="O7" s="110">
        <f>N7*J7</f>
        <v>0.74403289899178493</v>
      </c>
      <c r="P7" s="110">
        <f>O7/O10</f>
        <v>0.75012972506378017</v>
      </c>
      <c r="Q7"/>
      <c r="R7"/>
      <c r="S7"/>
      <c r="T7"/>
      <c r="U7"/>
    </row>
    <row r="8" spans="1:21" s="42" customFormat="1" x14ac:dyDescent="0.2">
      <c r="A8" t="s">
        <v>74</v>
      </c>
      <c r="B8">
        <v>0.25</v>
      </c>
      <c r="C8">
        <v>507.4</v>
      </c>
      <c r="D8">
        <v>3.012</v>
      </c>
      <c r="E8">
        <v>0.30499999999999999</v>
      </c>
      <c r="F8" s="46"/>
      <c r="G8" s="37" t="s">
        <v>15</v>
      </c>
      <c r="H8" s="37" t="s">
        <v>15</v>
      </c>
      <c r="I8" s="106" t="s">
        <v>76</v>
      </c>
      <c r="J8" s="26">
        <f>'Liquid Fugacities'!B8</f>
        <v>0.5</v>
      </c>
      <c r="K8" s="110">
        <f>'Liquid Fugacities'!G16</f>
        <v>0.47580791490533575</v>
      </c>
      <c r="L8" s="110">
        <f>B8</f>
        <v>0.25</v>
      </c>
      <c r="M8" s="110">
        <f>G14</f>
        <v>0.95991853739600641</v>
      </c>
      <c r="N8" s="110">
        <f>K8/M8</f>
        <v>0.49567530615261485</v>
      </c>
      <c r="O8" s="110">
        <f t="shared" ref="O8:O9" si="0">N8*J8</f>
        <v>0.24783765307630742</v>
      </c>
      <c r="P8" s="110">
        <f>O8/O10</f>
        <v>0.24986850825347134</v>
      </c>
      <c r="Q8"/>
      <c r="R8"/>
      <c r="S8"/>
      <c r="T8"/>
      <c r="U8"/>
    </row>
    <row r="9" spans="1:21" s="42" customFormat="1" ht="13.5" thickBot="1" x14ac:dyDescent="0.25">
      <c r="A9" s="89"/>
      <c r="B9" s="112">
        <v>9.9999999999999995E-8</v>
      </c>
      <c r="C9" s="48">
        <v>540.29999999999995</v>
      </c>
      <c r="D9" s="48">
        <v>2.7360000000000002</v>
      </c>
      <c r="E9" s="49">
        <v>0.34899999999999998</v>
      </c>
      <c r="F9" s="47"/>
      <c r="G9" s="48"/>
      <c r="H9" s="63" t="s">
        <v>15</v>
      </c>
      <c r="I9" s="107"/>
      <c r="J9" s="26">
        <f>'Liquid Fugacities'!B9</f>
        <v>1.0000000000000001E-5</v>
      </c>
      <c r="K9" s="110">
        <f>'Liquid Fugacities'!H16</f>
        <v>0.16629381748536998</v>
      </c>
      <c r="L9" s="110">
        <f>B9</f>
        <v>9.9999999999999995E-8</v>
      </c>
      <c r="M9" s="110">
        <f>H14</f>
        <v>0.94899029527971368</v>
      </c>
      <c r="N9" s="110">
        <f>K9/M9</f>
        <v>0.17523236887934149</v>
      </c>
      <c r="O9" s="110">
        <f t="shared" si="0"/>
        <v>1.752323688793415E-6</v>
      </c>
      <c r="P9" s="110">
        <f>O9/O10</f>
        <v>1.7666827484087729E-6</v>
      </c>
      <c r="Q9"/>
      <c r="R9"/>
      <c r="S9"/>
      <c r="T9"/>
      <c r="U9"/>
    </row>
    <row r="10" spans="1:21" ht="13.5" thickBot="1" x14ac:dyDescent="0.25">
      <c r="O10" s="111">
        <f>SUM(O7:O9)</f>
        <v>0.9918723043917812</v>
      </c>
      <c r="P10" s="111">
        <f>SUM(P7:P9)</f>
        <v>0.99999999999999989</v>
      </c>
    </row>
    <row r="11" spans="1:21" ht="13.5" thickBot="1" x14ac:dyDescent="0.25">
      <c r="A11" s="8" t="s">
        <v>16</v>
      </c>
      <c r="B11" s="9"/>
      <c r="C11" s="24" t="s">
        <v>17</v>
      </c>
      <c r="D11" s="25"/>
      <c r="G11" s="13"/>
      <c r="H11" s="13"/>
      <c r="I11" s="13"/>
      <c r="J11" s="13"/>
    </row>
    <row r="12" spans="1:21" ht="13.5" thickTop="1" x14ac:dyDescent="0.2">
      <c r="A12" s="4" t="s">
        <v>18</v>
      </c>
      <c r="B12" s="65">
        <v>315</v>
      </c>
      <c r="C12" s="18" t="s">
        <v>19</v>
      </c>
      <c r="D12" s="19" t="s">
        <v>20</v>
      </c>
      <c r="E12" s="39" t="s">
        <v>21</v>
      </c>
      <c r="F12" s="4" t="s">
        <v>22</v>
      </c>
      <c r="G12" s="22"/>
      <c r="H12" s="5"/>
      <c r="I12" s="4" t="s">
        <v>23</v>
      </c>
      <c r="J12" s="22"/>
      <c r="K12" s="5"/>
      <c r="M12" t="s">
        <v>24</v>
      </c>
      <c r="O12" s="13"/>
    </row>
    <row r="13" spans="1:21" ht="15" thickBot="1" x14ac:dyDescent="0.25">
      <c r="A13" s="6" t="s">
        <v>25</v>
      </c>
      <c r="B13" s="95">
        <v>8.1500000000000003E-2</v>
      </c>
      <c r="C13" s="20"/>
      <c r="D13" s="21" t="s">
        <v>26</v>
      </c>
      <c r="E13" s="40" t="s">
        <v>27</v>
      </c>
      <c r="F13" s="6" t="str">
        <f>A7</f>
        <v>n-PENTANE</v>
      </c>
      <c r="G13" s="23" t="str">
        <f>A8</f>
        <v>n-HEXANE</v>
      </c>
      <c r="H13" s="7">
        <f>A9</f>
        <v>0</v>
      </c>
      <c r="I13" s="6" t="str">
        <f>A7</f>
        <v>n-PENTANE</v>
      </c>
      <c r="J13" s="23" t="str">
        <f>A8</f>
        <v>n-HEXANE</v>
      </c>
      <c r="K13" s="7">
        <f>A9</f>
        <v>0</v>
      </c>
      <c r="M13" s="1" t="s">
        <v>28</v>
      </c>
      <c r="N13" s="12">
        <f t="array" ref="N13">MMULT(MMULT(TRANSPOSE(zi),Amatrix),zi)</f>
        <v>3.4595606231551917E-2</v>
      </c>
      <c r="O13" s="13"/>
    </row>
    <row r="14" spans="1:21" x14ac:dyDescent="0.2">
      <c r="A14" s="28" t="s">
        <v>29</v>
      </c>
      <c r="B14" s="29"/>
      <c r="C14" s="66">
        <f>E36-$A$28/3</f>
        <v>0.96752041825662327</v>
      </c>
      <c r="D14" s="97">
        <f>Z*_R*TK/P</f>
        <v>31090.170534680408</v>
      </c>
      <c r="E14" s="92">
        <f>P*EXP(Z-1-LN(Z-B)-A/B/2.8284*LN((Z+2.4142*B)/(Z-0.4142*B)))</f>
        <v>7.892909525464363E-2</v>
      </c>
      <c r="F14" s="98">
        <f t="array" ref="F14:H14">EXP(TRANSPOSE(Bi)/B*(INDEX(Z,1)-1)-LN(INDEX(Z,1)-B)-A/B/2.8284*LN((INDEX(Z,1)+2.4142*B)/(INDEX(Z,1)-0.4142*B))*(2*MMULT(TRANSPOSE(zi),Amatrix)/A-TRANSPOSE(Bi)/B))</f>
        <v>0.97131754481732724</v>
      </c>
      <c r="G14" s="98">
        <v>0.95991853739600641</v>
      </c>
      <c r="H14" s="98">
        <v>0.94899029527971368</v>
      </c>
      <c r="I14" s="98">
        <f>$B$7*P*F14</f>
        <v>5.9371784926959124E-2</v>
      </c>
      <c r="J14" s="99">
        <f>$B$8*P*G14</f>
        <v>1.9558340199443632E-2</v>
      </c>
      <c r="K14" s="100">
        <f>$B$9*P*H14</f>
        <v>7.7342709065296664E-9</v>
      </c>
      <c r="M14" s="3" t="s">
        <v>30</v>
      </c>
      <c r="N14" s="16">
        <f t="array" ref="N14">SUM(zi*Bi)</f>
        <v>2.9523740557915392E-3</v>
      </c>
    </row>
    <row r="15" spans="1:21" ht="14.25" x14ac:dyDescent="0.2">
      <c r="A15" s="30" t="s">
        <v>31</v>
      </c>
      <c r="B15" s="31"/>
      <c r="C15" s="68">
        <f>F36-$A$28/3</f>
        <v>2.5783211279003238E-2</v>
      </c>
      <c r="D15" s="69">
        <f>Z*_R*TK/P</f>
        <v>828.51423129686339</v>
      </c>
      <c r="E15" s="71"/>
      <c r="F15" s="61"/>
      <c r="G15" s="73"/>
      <c r="H15" s="61"/>
      <c r="I15" s="61"/>
      <c r="J15" s="61"/>
      <c r="K15" s="61"/>
      <c r="M15" s="17" t="s">
        <v>32</v>
      </c>
      <c r="N15" s="17"/>
    </row>
    <row r="16" spans="1:21" ht="13.5" thickBot="1" x14ac:dyDescent="0.25">
      <c r="A16" s="6"/>
      <c r="B16" s="23"/>
      <c r="C16" s="70">
        <f>G36-$A$28/3</f>
        <v>3.7439964085820843E-3</v>
      </c>
      <c r="D16" s="101">
        <f>Z*_R*TK/P</f>
        <v>120.30907526870806</v>
      </c>
      <c r="E16" s="102">
        <f>P*EXP(Z-1-LN(Z-B)-A/B/2.8284*LN((Z+2.4142*B)/(Z-0.4142*B)))</f>
        <v>8.9216658478876026E-2</v>
      </c>
      <c r="F16" s="103">
        <f t="array" ref="F16:H16">EXP(TRANSPOSE(Bi)/B*(INDEX(Z,3)-1)-LN(INDEX(Z,3)-B)-A/B/2.8284*LN((INDEX(Z,3)+2.4142*B)/(INDEX(Z,3)-0.4142*B))*(2*MMULT(TRANSPOSE(zi),Amatrix)/A-TRANSPOSE(Bi)/B))</f>
        <v>1.4448103635935599</v>
      </c>
      <c r="G16" s="103">
        <v>0.47612653421980267</v>
      </c>
      <c r="H16" s="104">
        <v>0.16654374341661698</v>
      </c>
      <c r="I16" s="103">
        <f>$B$7*P*F16</f>
        <v>8.8314033474656342E-2</v>
      </c>
      <c r="J16" s="103">
        <f>$B$8*P*G16</f>
        <v>9.7010781347284802E-3</v>
      </c>
      <c r="K16" s="105">
        <f>$B$9*P*H16</f>
        <v>1.3573315088454286E-9</v>
      </c>
      <c r="M16" s="26">
        <v>8.3140000000000001</v>
      </c>
      <c r="N16" s="10"/>
    </row>
    <row r="17" spans="1:13" ht="13.5" thickBot="1" x14ac:dyDescent="0.25">
      <c r="A17" s="32" t="s">
        <v>33</v>
      </c>
      <c r="B17" s="33"/>
      <c r="C17" s="27" t="e">
        <f>C32-A28/3</f>
        <v>#NUM!</v>
      </c>
      <c r="D17" s="25" t="e">
        <f>Z*_R*TK/P</f>
        <v>#NUM!</v>
      </c>
      <c r="E17" s="41" t="e">
        <f>P*EXP(Z-1-LN(Z-B)-A/B/2.8284*LN((Z+2.4142*B)/(Z-0.4142*B)))</f>
        <v>#NUM!</v>
      </c>
      <c r="F17" s="43" t="e">
        <f t="array" ref="F17:H17">EXP(TRANSPOSE(Bi)/B*(INDEX(Z,4)-1)-LN(INDEX(Z,4)-B)-A/B/2.8284*LN((INDEX(Z,4)+2.4142*B)/(INDEX(Z,4)-0.4142*B))*(2*MMULT(TRANSPOSE(zi),Amatrix)/A-TRANSPOSE(Bi)/B))</f>
        <v>#NUM!</v>
      </c>
      <c r="G17" s="43" t="e">
        <v>#NUM!</v>
      </c>
      <c r="H17" s="43" t="e">
        <v>#NUM!</v>
      </c>
      <c r="I17" s="43" t="e">
        <f>$B$7*P*F17</f>
        <v>#NUM!</v>
      </c>
      <c r="J17" s="43" t="e">
        <f>$B$8*P*G17</f>
        <v>#NUM!</v>
      </c>
      <c r="K17" s="43" t="e">
        <f>$B$9*P*H17</f>
        <v>#NUM!</v>
      </c>
    </row>
    <row r="18" spans="1:13" ht="13.5" thickBot="1" x14ac:dyDescent="0.25"/>
    <row r="19" spans="1:13" x14ac:dyDescent="0.2">
      <c r="A19" s="4"/>
      <c r="B19" s="22"/>
      <c r="C19" s="22"/>
      <c r="D19" s="22"/>
      <c r="E19" s="22"/>
      <c r="F19" s="22"/>
      <c r="G19" s="22"/>
      <c r="H19" s="22"/>
      <c r="I19" s="44"/>
      <c r="J19" s="44"/>
      <c r="K19" s="58" t="s">
        <v>28</v>
      </c>
      <c r="L19" s="59"/>
      <c r="M19" s="60"/>
    </row>
    <row r="20" spans="1:13" x14ac:dyDescent="0.2">
      <c r="A20" s="75"/>
      <c r="B20" s="76" t="s">
        <v>34</v>
      </c>
      <c r="C20" s="76" t="s">
        <v>35</v>
      </c>
      <c r="D20" s="77" t="s">
        <v>36</v>
      </c>
      <c r="E20" s="77" t="s">
        <v>37</v>
      </c>
      <c r="F20" s="76" t="s">
        <v>38</v>
      </c>
      <c r="G20" s="76" t="s">
        <v>37</v>
      </c>
      <c r="H20" s="76" t="s">
        <v>39</v>
      </c>
      <c r="I20" s="78" t="s">
        <v>28</v>
      </c>
      <c r="J20" s="78" t="s">
        <v>30</v>
      </c>
      <c r="K20" s="79" t="str">
        <f>A7</f>
        <v>n-PENTANE</v>
      </c>
      <c r="L20" s="79" t="str">
        <f>A8</f>
        <v>n-HEXANE</v>
      </c>
      <c r="M20" s="55">
        <f>A9</f>
        <v>0</v>
      </c>
    </row>
    <row r="21" spans="1:13" x14ac:dyDescent="0.2">
      <c r="A21" s="75" t="str">
        <f>A7</f>
        <v>n-PENTANE</v>
      </c>
      <c r="B21" s="80">
        <f t="array" ref="B21:B23">TK/Tc</f>
        <v>0.6706408345752608</v>
      </c>
      <c r="C21" s="80">
        <f t="array" ref="C21:C23">P/Pc</f>
        <v>2.4191154645295341E-2</v>
      </c>
      <c r="D21" s="80">
        <f t="array" ref="D21:D23">0.37464+1.54226*w-0.26993*w^2</f>
        <v>0.74192681006999994</v>
      </c>
      <c r="E21" s="80">
        <f t="array" ref="E21:E23">(1+kappa*(1-(Tr)^0.5))^2</f>
        <v>1.2867344581835014</v>
      </c>
      <c r="F21" s="80">
        <f t="array" ref="F21:F23">0.457235529*_R^2*Tc^2/Pc</f>
        <v>2069665.3038256869</v>
      </c>
      <c r="G21" s="80">
        <f t="array" ref="G21:G23">ac*alpha</f>
        <v>2663109.6633393369</v>
      </c>
      <c r="H21" s="81">
        <f t="array" ref="H21:H23">0.077796074*_R*Tc/Pc</f>
        <v>90.175228219990871</v>
      </c>
      <c r="I21" s="82">
        <f t="array" ref="I21:I23">G21:G23*P/_R^2/TK^2</f>
        <v>3.1645029968805097E-2</v>
      </c>
      <c r="J21" s="82">
        <f t="array" ref="J21:J23">H21:H23*P/_R/TK</f>
        <v>2.806236602223542E-3</v>
      </c>
      <c r="K21" s="83">
        <f>I21</f>
        <v>3.1645029968805097E-2</v>
      </c>
      <c r="L21" s="83">
        <f>K22</f>
        <v>3.7414671638182032E-2</v>
      </c>
      <c r="M21" s="56">
        <f>K23</f>
        <v>4.3019259439846406E-2</v>
      </c>
    </row>
    <row r="22" spans="1:13" x14ac:dyDescent="0.2">
      <c r="A22" s="75" t="str">
        <f>A8</f>
        <v>n-HEXANE</v>
      </c>
      <c r="B22" s="80">
        <v>0.62081198265668114</v>
      </c>
      <c r="C22" s="80">
        <v>2.7058432934926959E-2</v>
      </c>
      <c r="D22" s="80">
        <v>0.81991906174999996</v>
      </c>
      <c r="E22" s="80">
        <v>1.3780213176057934</v>
      </c>
      <c r="F22" s="80">
        <v>2701506.1963845929</v>
      </c>
      <c r="G22" s="80">
        <v>3722733.1282621119</v>
      </c>
      <c r="H22" s="81">
        <v>108.95902196425845</v>
      </c>
      <c r="I22" s="82">
        <v>4.4236256220105602E-2</v>
      </c>
      <c r="J22" s="82">
        <v>3.3907848265450373E-3</v>
      </c>
      <c r="K22" s="83">
        <f>SQRT(I21*I22)*(1-F8)</f>
        <v>3.7414671638182032E-2</v>
      </c>
      <c r="L22" s="83">
        <f>I22</f>
        <v>4.4236256220105602E-2</v>
      </c>
      <c r="M22" s="56">
        <f>L23</f>
        <v>5.0862693688274986E-2</v>
      </c>
    </row>
    <row r="23" spans="1:13" ht="13.5" thickBot="1" x14ac:dyDescent="0.25">
      <c r="A23" s="84">
        <f>A9</f>
        <v>0</v>
      </c>
      <c r="B23" s="85">
        <v>0.58300943920044423</v>
      </c>
      <c r="C23" s="85">
        <v>2.9788011695906433E-2</v>
      </c>
      <c r="D23" s="85">
        <v>0.88001099607</v>
      </c>
      <c r="E23" s="85">
        <v>1.4594527388558887</v>
      </c>
      <c r="F23" s="85">
        <v>3372204.097790732</v>
      </c>
      <c r="G23" s="85">
        <v>4921572.5065017352</v>
      </c>
      <c r="H23" s="86">
        <v>127.72813631403905</v>
      </c>
      <c r="I23" s="87">
        <v>5.8481748463412628E-2</v>
      </c>
      <c r="J23" s="87">
        <v>3.9748762307960884E-3</v>
      </c>
      <c r="K23" s="88">
        <f>SQRT(I21*I23)*(1-F9)</f>
        <v>4.3019259439846406E-2</v>
      </c>
      <c r="L23" s="88">
        <f>SQRT(I22*I23)*(1-G9)</f>
        <v>5.0862693688274986E-2</v>
      </c>
      <c r="M23" s="57">
        <f>I23</f>
        <v>5.8481748463412628E-2</v>
      </c>
    </row>
    <row r="24" spans="1:13" x14ac:dyDescent="0.2">
      <c r="A24" s="52"/>
      <c r="B24" s="52"/>
      <c r="C24" s="52"/>
      <c r="D24" s="52"/>
      <c r="E24" s="52"/>
      <c r="F24" s="52"/>
      <c r="G24" s="53"/>
      <c r="H24" s="52"/>
      <c r="I24" s="52"/>
      <c r="J24" s="54"/>
      <c r="K24" s="54"/>
      <c r="L24" s="54"/>
    </row>
    <row r="25" spans="1:13" ht="15.75" x14ac:dyDescent="0.3">
      <c r="A25" t="s">
        <v>40</v>
      </c>
      <c r="C25" t="s">
        <v>41</v>
      </c>
      <c r="F25" s="13"/>
      <c r="G25" s="13"/>
      <c r="H25" s="13"/>
      <c r="I25" s="13"/>
    </row>
    <row r="26" spans="1:13" ht="14.25" x14ac:dyDescent="0.2">
      <c r="F26" s="1" t="s">
        <v>42</v>
      </c>
      <c r="G26" s="11"/>
      <c r="H26" s="11">
        <f>E28^2/4+D28^3/27</f>
        <v>-3.7049345121096134E-6</v>
      </c>
      <c r="I26" s="12"/>
      <c r="K26" s="113">
        <f>I14+J14</f>
        <v>7.8930125126402753E-2</v>
      </c>
      <c r="L26" s="64" t="s">
        <v>77</v>
      </c>
    </row>
    <row r="27" spans="1:13" ht="15.75" x14ac:dyDescent="0.3">
      <c r="A27" s="26" t="s">
        <v>43</v>
      </c>
      <c r="B27" s="26" t="s">
        <v>44</v>
      </c>
      <c r="C27" s="26" t="s">
        <v>45</v>
      </c>
      <c r="D27" s="26" t="s">
        <v>46</v>
      </c>
      <c r="E27" s="26" t="s">
        <v>47</v>
      </c>
      <c r="F27" s="2" t="s">
        <v>48</v>
      </c>
      <c r="G27" s="13"/>
      <c r="H27" s="13"/>
      <c r="I27" s="14"/>
      <c r="K27">
        <f>'Liquid Fugacities'!I16+'Liquid Fugacities'!J16</f>
        <v>7.8288587542421989E-2</v>
      </c>
      <c r="L27" s="64" t="s">
        <v>78</v>
      </c>
    </row>
    <row r="28" spans="1:13" x14ac:dyDescent="0.2">
      <c r="A28" s="17">
        <f>-(1-N14)</f>
        <v>-0.99704762594420848</v>
      </c>
      <c r="B28" s="17">
        <f>N13-3*N14^2-2*N14</f>
        <v>2.8664708582272908E-2</v>
      </c>
      <c r="C28" s="17">
        <f>-(N13*N14-N14^2-N14^3)</f>
        <v>-9.3396923311548188E-5</v>
      </c>
      <c r="D28" s="17">
        <f>(3*B28-A28^2)/3</f>
        <v>-0.30270328088472115</v>
      </c>
      <c r="E28" s="17">
        <f>(2*A28^3-9*A28*B28+27*C28)/27</f>
        <v>-6.3986629756970503E-2</v>
      </c>
      <c r="F28" s="3" t="s">
        <v>49</v>
      </c>
      <c r="G28" s="15"/>
      <c r="H28" s="15"/>
      <c r="I28" s="16"/>
      <c r="K28" s="113">
        <f>E14</f>
        <v>7.892909525464363E-2</v>
      </c>
      <c r="L28" s="64" t="s">
        <v>79</v>
      </c>
    </row>
    <row r="29" spans="1:13" x14ac:dyDescent="0.2">
      <c r="K29">
        <f>'Liquid Fugacities'!E16</f>
        <v>6.7581257573232426E-2</v>
      </c>
      <c r="L29" s="64" t="s">
        <v>80</v>
      </c>
    </row>
    <row r="30" spans="1:13" x14ac:dyDescent="0.2">
      <c r="A30" t="s">
        <v>50</v>
      </c>
    </row>
    <row r="31" spans="1:13" x14ac:dyDescent="0.2">
      <c r="A31" s="17" t="s">
        <v>51</v>
      </c>
      <c r="B31" s="17" t="s">
        <v>52</v>
      </c>
      <c r="C31" s="17" t="s">
        <v>53</v>
      </c>
      <c r="D31" s="17"/>
      <c r="F31" t="s">
        <v>54</v>
      </c>
    </row>
    <row r="32" spans="1:13" x14ac:dyDescent="0.2">
      <c r="A32" s="17" t="e">
        <f>(-$E$28/2+SQRT($H$26))^(1/3)</f>
        <v>#NUM!</v>
      </c>
      <c r="B32" s="17" t="e">
        <f>(-$E$28/2-SQRT($H$26))^(1/3)</f>
        <v>#NUM!</v>
      </c>
      <c r="C32" s="17" t="e">
        <f>A32+B32</f>
        <v>#NUM!</v>
      </c>
      <c r="D32" s="13"/>
      <c r="F32" t="s">
        <v>55</v>
      </c>
    </row>
    <row r="34" spans="1:7" x14ac:dyDescent="0.2">
      <c r="A34" t="s">
        <v>56</v>
      </c>
    </row>
    <row r="35" spans="1:7" ht="15.75" x14ac:dyDescent="0.3">
      <c r="A35" s="17" t="s">
        <v>57</v>
      </c>
      <c r="B35" s="17" t="s">
        <v>58</v>
      </c>
      <c r="C35" s="17" t="s">
        <v>59</v>
      </c>
      <c r="D35" s="34" t="s">
        <v>60</v>
      </c>
      <c r="E35" s="17" t="s">
        <v>61</v>
      </c>
      <c r="F35" s="17"/>
      <c r="G35" s="17"/>
    </row>
    <row r="36" spans="1:7" x14ac:dyDescent="0.2">
      <c r="A36" s="17">
        <f>2*SQRT(-D28/3)</f>
        <v>0.63529864985923079</v>
      </c>
      <c r="B36" s="17">
        <f>3*E28/D28/A36</f>
        <v>0.9981950921755085</v>
      </c>
      <c r="C36" s="17">
        <f>ACOS(B36)</f>
        <v>6.0090781900027146E-2</v>
      </c>
      <c r="D36" s="17">
        <f>C36/3</f>
        <v>2.0030260633342383E-2</v>
      </c>
      <c r="E36" s="17">
        <f>$A$36*COS($D$36)</f>
        <v>0.63517120960855378</v>
      </c>
      <c r="F36" s="17">
        <f>$A$36*COS($D$36+4*PI()/3)</f>
        <v>-0.30656599736906626</v>
      </c>
      <c r="G36" s="17">
        <f>$A$36*COS($D$36+2*PI()/3)</f>
        <v>-0.32860521223948741</v>
      </c>
    </row>
    <row r="39" spans="1:7" x14ac:dyDescent="0.2">
      <c r="A39" s="13"/>
    </row>
  </sheetData>
  <printOptions gridLinesSet="0"/>
  <pageMargins left="0.75" right="0.75" top="1" bottom="1" header="0.5" footer="0.5"/>
  <pageSetup scale="90" orientation="landscape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Instructions</vt:lpstr>
      <vt:lpstr>Liquid Fugacities</vt:lpstr>
      <vt:lpstr>Vapor Fugacities</vt:lpstr>
      <vt:lpstr>'Vapor Fugacities'!_R</vt:lpstr>
      <vt:lpstr>_R</vt:lpstr>
      <vt:lpstr>'Liquid Fugacities'!A</vt:lpstr>
      <vt:lpstr>'Vapor Fugacities'!A</vt:lpstr>
      <vt:lpstr>'Vapor Fugacities'!ac</vt:lpstr>
      <vt:lpstr>ac</vt:lpstr>
      <vt:lpstr>'Vapor Fugacities'!Ai</vt:lpstr>
      <vt:lpstr>Ai</vt:lpstr>
      <vt:lpstr>'Vapor Fugacities'!alpha</vt:lpstr>
      <vt:lpstr>alpha</vt:lpstr>
      <vt:lpstr>'Vapor Fugacities'!Amatrix</vt:lpstr>
      <vt:lpstr>Amatrix</vt:lpstr>
      <vt:lpstr>'Liquid Fugacities'!B</vt:lpstr>
      <vt:lpstr>'Vapor Fugacities'!B</vt:lpstr>
      <vt:lpstr>'Vapor Fugacities'!Bi</vt:lpstr>
      <vt:lpstr>Bi</vt:lpstr>
      <vt:lpstr>'Vapor Fugacities'!kappa</vt:lpstr>
      <vt:lpstr>kappa</vt:lpstr>
      <vt:lpstr>'Liquid Fugacities'!P</vt:lpstr>
      <vt:lpstr>'Vapor Fugacities'!P</vt:lpstr>
      <vt:lpstr>'Vapor Fugacities'!Pc</vt:lpstr>
      <vt:lpstr>Pc</vt:lpstr>
      <vt:lpstr>'Vapor Fugacities'!Pr</vt:lpstr>
      <vt:lpstr>Pr</vt:lpstr>
      <vt:lpstr>'Vapor Fugacities'!q</vt:lpstr>
      <vt:lpstr>q</vt:lpstr>
      <vt:lpstr>'Vapor Fugacities'!Tc</vt:lpstr>
      <vt:lpstr>Tc</vt:lpstr>
      <vt:lpstr>'Vapor Fugacities'!TK</vt:lpstr>
      <vt:lpstr>TK</vt:lpstr>
      <vt:lpstr>'Vapor Fugacities'!Tr</vt:lpstr>
      <vt:lpstr>Tr</vt:lpstr>
      <vt:lpstr>'Vapor Fugacities'!w</vt:lpstr>
      <vt:lpstr>w</vt:lpstr>
      <vt:lpstr>'Liquid Fugacities'!Z</vt:lpstr>
      <vt:lpstr>'Vapor Fugacities'!Z</vt:lpstr>
      <vt:lpstr>'Vapor Fugacities'!zi</vt:lpstr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John L Falconer</cp:lastModifiedBy>
  <cp:lastPrinted>1997-12-15T03:10:37Z</cp:lastPrinted>
  <dcterms:created xsi:type="dcterms:W3CDTF">1999-01-06T02:41:37Z</dcterms:created>
  <dcterms:modified xsi:type="dcterms:W3CDTF">2018-03-08T23:41:59Z</dcterms:modified>
</cp:coreProperties>
</file>