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ch\Google Drive\CU\CU courses\CHEN 3840 Independent Study\thermosheets\"/>
    </mc:Choice>
  </mc:AlternateContent>
  <bookViews>
    <workbookView xWindow="1065" yWindow="0" windowWidth="27735" windowHeight="12840" tabRatio="538"/>
  </bookViews>
  <sheets>
    <sheet name="Fugacities" sheetId="2" r:id="rId1"/>
    <sheet name="Critical Properties" sheetId="3" r:id="rId2"/>
  </sheets>
  <externalReferences>
    <externalReference r:id="rId3"/>
  </externalReferences>
  <definedNames>
    <definedName name="_R" localSheetId="1">#REF!</definedName>
    <definedName name="_R">Fugacities!$N$100</definedName>
    <definedName name="A" localSheetId="0">Fugacities!$O$97</definedName>
    <definedName name="A">#REF!</definedName>
    <definedName name="ac" localSheetId="1">#REF!</definedName>
    <definedName name="ac">Fugacities!$G$105:$G$107</definedName>
    <definedName name="Ai" localSheetId="1">#REF!</definedName>
    <definedName name="Ai">Fugacities!$J$105:$J$107</definedName>
    <definedName name="alpha" localSheetId="1">#REF!</definedName>
    <definedName name="alpha">Fugacities!$F$105:$F$107</definedName>
    <definedName name="Amatrix" localSheetId="1">#REF!</definedName>
    <definedName name="Amatrix">Fugacities!$L$105:$N$107</definedName>
    <definedName name="B" localSheetId="0">Fugacities!$O$98</definedName>
    <definedName name="B">#REF!</definedName>
    <definedName name="Bi" localSheetId="1">#REF!</definedName>
    <definedName name="Bi">Fugacities!$K$105:$K$107</definedName>
    <definedName name="kappa" localSheetId="1">#REF!</definedName>
    <definedName name="kappa">Fugacities!$E$105:$E$107</definedName>
    <definedName name="P" localSheetId="0">Fugacities!$C$97</definedName>
    <definedName name="P">#REF!</definedName>
    <definedName name="Pc" localSheetId="1">#REF!</definedName>
    <definedName name="Pc">Fugacities!$E$91:$E$93</definedName>
    <definedName name="Pr" localSheetId="1">#REF!</definedName>
    <definedName name="Pr">Fugacities!$D$105:$D$107</definedName>
    <definedName name="q" localSheetId="1">#REF!</definedName>
    <definedName name="q">Fugacities!$F$137</definedName>
    <definedName name="solver_adj" localSheetId="0" hidden="1">Fugacities!$C$96</definedName>
    <definedName name="solver_lhs1" localSheetId="0" hidden="1">Fugacities!$C$96</definedName>
    <definedName name="solver_lin" localSheetId="0" hidden="1">0</definedName>
    <definedName name="solver_num" localSheetId="0" hidden="1">1</definedName>
    <definedName name="solver_opt" localSheetId="0" hidden="1">Fugacities!$P$97</definedName>
    <definedName name="solver_rel1" localSheetId="0" hidden="1">1</definedName>
    <definedName name="solver_rhs1" localSheetId="0" hidden="1">Fugacities!#REF!</definedName>
    <definedName name="solver_typ" localSheetId="0" hidden="1">3</definedName>
    <definedName name="solver_val" localSheetId="0" hidden="1">1</definedName>
    <definedName name="Tc" localSheetId="1">#REF!</definedName>
    <definedName name="Tc">Fugacities!$D$91:$D$93</definedName>
    <definedName name="TK" localSheetId="1">#REF!</definedName>
    <definedName name="TK">Fugacities!$C$96</definedName>
    <definedName name="Tr" localSheetId="1">#REF!</definedName>
    <definedName name="Tr">Fugacities!$C$105:$C$107</definedName>
    <definedName name="w" localSheetId="1">#REF!</definedName>
    <definedName name="w">Fugacities!$F$91:$F$93</definedName>
    <definedName name="yi">[1]Fugacities!$N$22:$N$24</definedName>
    <definedName name="Z" localSheetId="0">Fugacities!$D$98:$D$101</definedName>
    <definedName name="Z">#REF!</definedName>
    <definedName name="zi" localSheetId="1">#REF!</definedName>
    <definedName name="zi">Fugacities!$C$91:$C$93</definedName>
  </definedNames>
  <calcPr calcId="171027"/>
</workbook>
</file>

<file path=xl/calcChain.xml><?xml version="1.0" encoding="utf-8"?>
<calcChain xmlns="http://schemas.openxmlformats.org/spreadsheetml/2006/main">
  <c r="D93" i="2" l="1"/>
  <c r="D92" i="2"/>
  <c r="D91" i="2"/>
  <c r="B107" i="2" l="1"/>
  <c r="B106" i="2"/>
  <c r="B105" i="2"/>
  <c r="N104" i="2"/>
  <c r="M104" i="2"/>
  <c r="L104" i="2"/>
  <c r="L97" i="2"/>
  <c r="K97" i="2"/>
  <c r="J97" i="2"/>
  <c r="I97" i="2"/>
  <c r="H97" i="2"/>
  <c r="G97" i="2"/>
  <c r="F93" i="2"/>
  <c r="E93" i="2"/>
  <c r="F92" i="2"/>
  <c r="E92" i="2"/>
  <c r="F91" i="2"/>
  <c r="E91" i="2"/>
  <c r="G5" i="2"/>
  <c r="H5" i="2"/>
  <c r="I5" i="2"/>
  <c r="C93" i="2"/>
  <c r="D105" i="2" l="1" a="1"/>
  <c r="D105" i="2" s="1"/>
  <c r="C105" i="2" a="1"/>
  <c r="C107" i="2" s="1"/>
  <c r="I105" i="2" a="1"/>
  <c r="I107" i="2" s="1"/>
  <c r="G105" i="2" a="1"/>
  <c r="G105" i="2" s="1"/>
  <c r="E105" i="2" a="1"/>
  <c r="E107" i="2" s="1"/>
  <c r="D106" i="2" l="1"/>
  <c r="D107" i="2"/>
  <c r="C106" i="2"/>
  <c r="C105" i="2"/>
  <c r="I105" i="2"/>
  <c r="I106" i="2"/>
  <c r="G106" i="2"/>
  <c r="G107" i="2"/>
  <c r="E105" i="2"/>
  <c r="E106" i="2"/>
  <c r="F105" i="2" l="1" a="1"/>
  <c r="F106" i="2" s="1"/>
  <c r="K105" i="2" a="1"/>
  <c r="K107" i="2" s="1"/>
  <c r="F107" i="2" l="1"/>
  <c r="F105" i="2"/>
  <c r="K105" i="2"/>
  <c r="K106" i="2"/>
  <c r="O98" i="2" l="1" a="1"/>
  <c r="O98" i="2" s="1"/>
  <c r="B137" i="2" s="1"/>
  <c r="H105" i="2" a="1"/>
  <c r="H106" i="2" s="1"/>
  <c r="H105" i="2" l="1"/>
  <c r="H107" i="2"/>
  <c r="J105" i="2" l="1" a="1"/>
  <c r="J106" i="2" s="1"/>
  <c r="M106" i="2" s="1"/>
  <c r="J105" i="2" l="1"/>
  <c r="L105" i="2" s="1"/>
  <c r="J107" i="2"/>
  <c r="N107" i="2" s="1"/>
  <c r="M107" i="2" l="1"/>
  <c r="N106" i="2" s="1"/>
  <c r="L106" i="2"/>
  <c r="M105" i="2" s="1"/>
  <c r="L107" i="2"/>
  <c r="N105" i="2" s="1"/>
  <c r="O97" i="2" l="1" a="1"/>
  <c r="O97" i="2" s="1"/>
  <c r="D137" i="2" s="1"/>
  <c r="C137" i="2" l="1"/>
  <c r="F137" i="2" s="1"/>
  <c r="E137" i="2" l="1"/>
  <c r="B145" i="2" s="1"/>
  <c r="C145" i="2" s="1"/>
  <c r="D145" i="2" s="1"/>
  <c r="E145" i="2" s="1"/>
  <c r="H145" i="2" s="1"/>
  <c r="D100" i="2" s="1"/>
  <c r="F100" i="2" s="1"/>
  <c r="F145" i="2" l="1"/>
  <c r="D98" i="2" s="1"/>
  <c r="E98" i="2" s="1"/>
  <c r="G145" i="2"/>
  <c r="D99" i="2" s="1"/>
  <c r="E99" i="2" s="1"/>
  <c r="I135" i="2"/>
  <c r="C141" i="2" s="1"/>
  <c r="E100" i="2"/>
  <c r="G100" i="2" a="1"/>
  <c r="H100" i="2" s="1"/>
  <c r="K100" i="2" s="1"/>
  <c r="G98" i="2" l="1" a="1"/>
  <c r="G98" i="2" s="1"/>
  <c r="J98" i="2" s="1"/>
  <c r="B141" i="2"/>
  <c r="D141" i="2" s="1"/>
  <c r="D101" i="2" s="1"/>
  <c r="F98" i="2"/>
  <c r="G100" i="2"/>
  <c r="J100" i="2" s="1"/>
  <c r="I100" i="2"/>
  <c r="L100" i="2" s="1"/>
  <c r="I98" i="2" l="1"/>
  <c r="L98" i="2" s="1"/>
  <c r="H98" i="2"/>
  <c r="K98" i="2" s="1"/>
  <c r="F101" i="2"/>
  <c r="G101" i="2" a="1"/>
  <c r="I101" i="2" s="1"/>
  <c r="L101" i="2" s="1"/>
  <c r="E101" i="2"/>
  <c r="G101" i="2" l="1"/>
  <c r="J101" i="2" s="1"/>
  <c r="H101" i="2"/>
  <c r="K101" i="2" s="1"/>
</calcChain>
</file>

<file path=xl/comments1.xml><?xml version="1.0" encoding="utf-8"?>
<comments xmlns="http://schemas.openxmlformats.org/spreadsheetml/2006/main">
  <authors>
    <author>John</author>
    <author>Paul Chrastina</author>
  </authors>
  <commentList>
    <comment ref="H4" authorId="0" shapeId="0">
      <text>
        <r>
          <rPr>
            <sz val="9"/>
            <color indexed="81"/>
            <rFont val="Tahoma"/>
            <family val="2"/>
          </rPr>
          <t>Correction for non-ideal behavior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Enter mole fractions in mixture for first two component; the third mole fraction is calculated.</t>
        </r>
      </text>
    </comment>
    <comment ref="E98" authorId="1" shapeId="0">
      <text>
        <r>
          <rPr>
            <sz val="9"/>
            <color indexed="81"/>
            <rFont val="Tahoma"/>
            <family val="2"/>
          </rPr>
          <t>Green background shows relative magnitude of numbers in column</t>
        </r>
      </text>
    </comment>
  </commentList>
</comments>
</file>

<file path=xl/sharedStrings.xml><?xml version="1.0" encoding="utf-8"?>
<sst xmlns="http://schemas.openxmlformats.org/spreadsheetml/2006/main" count="356" uniqueCount="250">
  <si>
    <t>For use with "An Introduction to Applied Thermodynamics" by J.R. Elliott, C.T. Lira</t>
  </si>
  <si>
    <t>www.egr.msu.edu/~lira/thermtxt.htm</t>
  </si>
  <si>
    <t>kij</t>
  </si>
  <si>
    <t>Component</t>
  </si>
  <si>
    <r>
      <t>z</t>
    </r>
    <r>
      <rPr>
        <vertAlign val="subscript"/>
        <sz val="10"/>
        <rFont val="Arial"/>
        <family val="2"/>
      </rPr>
      <t>i</t>
    </r>
  </si>
  <si>
    <t>Tc (K)</t>
  </si>
  <si>
    <t>Pc (MPa)</t>
  </si>
  <si>
    <t>w</t>
  </si>
  <si>
    <t>n-pentane</t>
  </si>
  <si>
    <t>-</t>
  </si>
  <si>
    <t>n-hexane</t>
  </si>
  <si>
    <t>n-heptane</t>
  </si>
  <si>
    <t>Current State</t>
  </si>
  <si>
    <t>Roots</t>
  </si>
  <si>
    <t>T (K)</t>
  </si>
  <si>
    <t>Z</t>
  </si>
  <si>
    <t>V</t>
  </si>
  <si>
    <t>fugacity</t>
  </si>
  <si>
    <t xml:space="preserve">component fugacity coeff </t>
  </si>
  <si>
    <t>component fugacity(MPa)</t>
  </si>
  <si>
    <t>mixture</t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</si>
  <si>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</si>
  <si>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/gmol</t>
    </r>
  </si>
  <si>
    <t>MPa</t>
  </si>
  <si>
    <t>A</t>
  </si>
  <si>
    <t>answers for three</t>
  </si>
  <si>
    <t>B</t>
  </si>
  <si>
    <t>root region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</si>
  <si>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MPa/molK)</t>
    </r>
  </si>
  <si>
    <t>&amp; for 1 root region</t>
  </si>
  <si>
    <t>Tr</t>
  </si>
  <si>
    <t>Pr</t>
  </si>
  <si>
    <t>k</t>
  </si>
  <si>
    <t>a</t>
  </si>
  <si>
    <t>ac</t>
  </si>
  <si>
    <t>b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</si>
  <si>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</si>
  <si>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</si>
  <si>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</si>
  <si>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</si>
  <si>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</si>
  <si>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</si>
  <si>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</si>
  <si>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</si>
  <si>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</si>
  <si>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</si>
  <si>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</si>
  <si>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</si>
  <si>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</si>
  <si>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</si>
  <si>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</si>
  <si>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</si>
  <si>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</si>
  <si>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</si>
  <si>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</si>
  <si>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</si>
  <si>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</si>
  <si>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</si>
  <si>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>Copyright 1996-2011, Carl Lira</t>
  </si>
  <si>
    <t>PROPERTIES OF SELECTED COMPOUNDS</t>
  </si>
  <si>
    <t xml:space="preserve">Heat capacities are values for vapor at 298 K and should be used for order of </t>
  </si>
  <si>
    <t xml:space="preserve">magnitude calculations only.  See appendices for temperature dependent formulas </t>
  </si>
  <si>
    <t>and constants.</t>
  </si>
  <si>
    <t>Compound</t>
  </si>
  <si>
    <t>Tc(K)</t>
  </si>
  <si>
    <t>Pc(MPa)</t>
  </si>
  <si>
    <t>Zc</t>
  </si>
  <si>
    <t>CP/R</t>
  </si>
  <si>
    <t>Paraffins</t>
  </si>
  <si>
    <t>METHANE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</si>
  <si>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</si>
  <si>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</si>
  <si>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</si>
  <si>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</si>
  <si>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</si>
  <si>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</si>
  <si>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</si>
  <si>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</si>
  <si>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</si>
  <si>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</si>
  <si>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</si>
  <si>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</si>
  <si>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</si>
  <si>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</si>
  <si>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</si>
  <si>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Naphthenes</t>
  </si>
  <si>
    <t>CYCLOPENTANE</t>
  </si>
  <si>
    <t>METHYLCYCLOPENTANE</t>
  </si>
  <si>
    <t>CYCLOHEXANE</t>
  </si>
  <si>
    <t>METHYLCYCLOHEXANE</t>
  </si>
  <si>
    <t>Olefins and Acetylene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</si>
  <si>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</si>
  <si>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</si>
  <si>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</si>
  <si>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</si>
  <si>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</si>
  <si>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</si>
  <si>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</si>
  <si>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</si>
  <si>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Aromatics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</si>
  <si>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</si>
  <si>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</si>
  <si>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</si>
  <si>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</si>
  <si>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</si>
  <si>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</si>
  <si>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</si>
  <si>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</si>
  <si>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</si>
  <si>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</si>
  <si>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</si>
  <si>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</si>
  <si>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Oxygenated</t>
  </si>
  <si>
    <t>Hydrocarbons</t>
  </si>
  <si>
    <t>METHANOL</t>
  </si>
  <si>
    <t>ETHANOL</t>
  </si>
  <si>
    <t>PROPANOL</t>
  </si>
  <si>
    <t>ISOPROPANOL</t>
  </si>
  <si>
    <t>1-BUTANOL</t>
  </si>
  <si>
    <t>ISOBUTANOL</t>
  </si>
  <si>
    <t>THF</t>
  </si>
  <si>
    <t>###</t>
  </si>
  <si>
    <t>DIETHYL ETHER</t>
  </si>
  <si>
    <t>#</t>
  </si>
  <si>
    <t>ETHYLENE OXIDE</t>
  </si>
  <si>
    <t>METHYL ETHYL KETONE</t>
  </si>
  <si>
    <t>Halocarbons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</si>
  <si>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</si>
  <si>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</si>
  <si>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</si>
  <si>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</si>
  <si>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</si>
  <si>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</si>
  <si>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</si>
  <si>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</si>
  <si>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Gases</t>
  </si>
  <si>
    <t>ARGON</t>
  </si>
  <si>
    <t>BROMINE</t>
  </si>
  <si>
    <t>CHLORINE</t>
  </si>
  <si>
    <t>HELIUM-4</t>
  </si>
  <si>
    <t>KRYPTON</t>
  </si>
  <si>
    <t>NEON</t>
  </si>
  <si>
    <t>XENON</t>
  </si>
  <si>
    <t>NITRIC OXIDE</t>
  </si>
  <si>
    <t>NITROUS OXIDE</t>
  </si>
  <si>
    <t>SULFUR DIOXIDE</t>
  </si>
  <si>
    <t>SULFUR TRIOXIDE</t>
  </si>
  <si>
    <t>OXYGEN</t>
  </si>
  <si>
    <t>HYDROGEN</t>
  </si>
  <si>
    <t>NITROGEN</t>
  </si>
  <si>
    <t>CARBON MONOXIDE</t>
  </si>
  <si>
    <t>CARBON DIOXIDE</t>
  </si>
  <si>
    <t>Nasty gases</t>
  </si>
  <si>
    <t>HYDROGEN SULFIDE</t>
  </si>
  <si>
    <t>CARBON DISULFIDE</t>
  </si>
  <si>
    <t>HYDRAZINE(N2H4)</t>
  </si>
  <si>
    <t>HYDROGEN CHLORIDE</t>
  </si>
  <si>
    <t>HYDROGEN CYANIDE</t>
  </si>
  <si>
    <t>Miscellaneous Compounds</t>
  </si>
  <si>
    <t>ACETONE</t>
  </si>
  <si>
    <t>ACETONITRILE</t>
  </si>
  <si>
    <t>ACETIC ACID</t>
  </si>
  <si>
    <t>AMMONIA</t>
  </si>
  <si>
    <t>WATER</t>
  </si>
  <si>
    <t>References:  API Technical Data Book (extant 1988), and Reid,R.C., Prausnitz,J.M., and Sherwood, T.K.,  The  Properties of Liquids   and Gases , 3rd Edition,Mcgraw-Hill, New York (1977)</t>
  </si>
  <si>
    <t>Peng-Robinson Equation of State for Mixture</t>
  </si>
  <si>
    <r>
      <rPr>
        <b/>
        <sz val="10"/>
        <rFont val="Arial"/>
        <family val="2"/>
      </rPr>
      <t>Critical properties</t>
    </r>
    <r>
      <rPr>
        <sz val="10"/>
        <rFont val="Arial"/>
        <family val="2"/>
      </rPr>
      <t xml:space="preserve"> from the endflap.</t>
    </r>
  </si>
  <si>
    <t>Calculates Fugacities for each Component in a Ternary Mixture</t>
  </si>
  <si>
    <t>Modified 2018, Paul JS Chrastina</t>
  </si>
  <si>
    <t>Methane</t>
  </si>
  <si>
    <t>Ethane</t>
  </si>
  <si>
    <t>Propane</t>
  </si>
  <si>
    <t>n-butane</t>
  </si>
  <si>
    <t>Isobutane</t>
  </si>
  <si>
    <t>Isopentane</t>
  </si>
  <si>
    <t>Neopentane</t>
  </si>
  <si>
    <t>n-octane</t>
  </si>
  <si>
    <t>n-nonane</t>
  </si>
  <si>
    <t>n-decane</t>
  </si>
  <si>
    <t>n-dodecane</t>
  </si>
  <si>
    <t>n-tetradecane</t>
  </si>
  <si>
    <t>n-hexadecane</t>
  </si>
  <si>
    <t>Cyclopentane</t>
  </si>
  <si>
    <t>Methylcyclopentane</t>
  </si>
  <si>
    <t>Cyclohexane</t>
  </si>
  <si>
    <t>Methylcyclohexane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</si>
  <si>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</si>
  <si>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</si>
  <si>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</si>
  <si>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</si>
  <si>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</si>
  <si>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</si>
  <si>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</si>
  <si>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</si>
  <si>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</si>
  <si>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</si>
  <si>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</si>
  <si>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</si>
  <si>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</si>
  <si>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</si>
  <si>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</si>
  <si>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</si>
  <si>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</si>
  <si>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</si>
  <si>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</si>
  <si>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</si>
  <si>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Methanol</t>
  </si>
  <si>
    <t>Ethanol</t>
  </si>
  <si>
    <t>Propanol</t>
  </si>
  <si>
    <t>Isopropanol</t>
  </si>
  <si>
    <t>1-butanol</t>
  </si>
  <si>
    <t>Isobutanol</t>
  </si>
  <si>
    <t>Thf</t>
  </si>
  <si>
    <t>Diethyl ether</t>
  </si>
  <si>
    <t>Ethylene oxide</t>
  </si>
  <si>
    <t>Methyl ethyl ketone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</si>
  <si>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</si>
  <si>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</si>
  <si>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</si>
  <si>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</si>
  <si>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</si>
  <si>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</si>
  <si>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</si>
  <si>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</si>
  <si>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Argon</t>
  </si>
  <si>
    <t>Bromine</t>
  </si>
  <si>
    <t>Chlorine</t>
  </si>
  <si>
    <t>Helium-4</t>
  </si>
  <si>
    <t>Krypton</t>
  </si>
  <si>
    <t>Neon</t>
  </si>
  <si>
    <t>Xenon</t>
  </si>
  <si>
    <t>Nitric oxide</t>
  </si>
  <si>
    <t>Nitrous oxide</t>
  </si>
  <si>
    <t>Sulfur dioxide</t>
  </si>
  <si>
    <t>Sulfur trioxide</t>
  </si>
  <si>
    <t>Oxygen</t>
  </si>
  <si>
    <t>Hydrogen</t>
  </si>
  <si>
    <t>Nitrogen</t>
  </si>
  <si>
    <t>Carbon monoxide</t>
  </si>
  <si>
    <t>Carbon dioxide</t>
  </si>
  <si>
    <t>Hydrogen sulfide</t>
  </si>
  <si>
    <t>Carbon disulfide</t>
  </si>
  <si>
    <t>Hydrazine(n2h4)</t>
  </si>
  <si>
    <t>Hydrogen chloride</t>
  </si>
  <si>
    <t>Hydrogen cyanide</t>
  </si>
  <si>
    <t>Acetone</t>
  </si>
  <si>
    <t>Acetonitrile</t>
  </si>
  <si>
    <t>Acetic acid</t>
  </si>
  <si>
    <t>Ammonia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</si>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</sst>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"/>
    <numFmt numFmtId="166" formatCode="0.0000"/>
    <numFmt numFmtId="167" formatCode="0.000000"/>
    <numFmt numFmtId="168" formatCode="0.00000"/>
    <numFmt numFmtId="169" formatCode="#,##0.0"/>
  </numFmts>
  <fonts count="16" x14ac:knownFonts="1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4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00B0F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color rgb="FF3F3F76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6" fillId="2" borderId="1" applyNumberFormat="0" applyAlignment="0" applyProtection="0"/>
    <xf numFmtId="0" fontId="7" fillId="3" borderId="2" applyNumberFormat="0" applyAlignment="0" applyProtection="0"/>
    <xf numFmtId="0" fontId="11" fillId="3" borderId="1" applyNumberFormat="0" applyAlignment="0" applyProtection="0"/>
    <xf numFmtId="0" fontId="5" fillId="4" borderId="3" applyNumberFormat="0" applyFont="0" applyAlignment="0" applyProtection="0"/>
    <xf numFmtId="0" fontId="1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4" borderId="3" xfId="4" applyFont="1" applyAlignment="1">
      <alignment horizontal="centerContinuous"/>
    </xf>
    <xf numFmtId="0" fontId="0" fillId="4" borderId="3" xfId="4" applyFont="1" applyAlignment="1">
      <alignment horizontal="center"/>
    </xf>
    <xf numFmtId="0" fontId="2" fillId="4" borderId="3" xfId="4" applyFont="1" applyAlignment="1">
      <alignment horizontal="center"/>
    </xf>
    <xf numFmtId="165" fontId="11" fillId="3" borderId="1" xfId="3" applyNumberFormat="1" applyAlignment="1" applyProtection="1">
      <alignment horizontal="center"/>
      <protection locked="0"/>
    </xf>
    <xf numFmtId="0" fontId="11" fillId="3" borderId="1" xfId="3" applyAlignment="1">
      <alignment horizontal="center"/>
    </xf>
    <xf numFmtId="0" fontId="6" fillId="2" borderId="1" xfId="1" applyAlignment="1" applyProtection="1">
      <alignment horizontal="center"/>
      <protection locked="0"/>
    </xf>
    <xf numFmtId="0" fontId="0" fillId="4" borderId="3" xfId="4" applyFont="1"/>
    <xf numFmtId="0" fontId="9" fillId="2" borderId="1" xfId="1" applyFont="1" applyProtection="1">
      <protection locked="0"/>
    </xf>
    <xf numFmtId="0" fontId="9" fillId="2" borderId="1" xfId="1" applyNumberFormat="1" applyFont="1" applyProtection="1">
      <protection locked="0"/>
    </xf>
    <xf numFmtId="0" fontId="11" fillId="3" borderId="1" xfId="3"/>
    <xf numFmtId="0" fontId="8" fillId="4" borderId="3" xfId="4" applyFont="1"/>
    <xf numFmtId="164" fontId="11" fillId="3" borderId="1" xfId="3" applyNumberFormat="1" applyAlignment="1">
      <alignment horizontal="center"/>
    </xf>
    <xf numFmtId="0" fontId="2" fillId="4" borderId="3" xfId="4" applyFont="1"/>
    <xf numFmtId="0" fontId="1" fillId="0" borderId="0" xfId="5"/>
    <xf numFmtId="0" fontId="11" fillId="3" borderId="1" xfId="3" applyAlignment="1" applyProtection="1">
      <alignment horizontal="center"/>
    </xf>
    <xf numFmtId="166" fontId="7" fillId="3" borderId="2" xfId="2" applyNumberFormat="1"/>
    <xf numFmtId="2" fontId="7" fillId="3" borderId="2" xfId="2" applyNumberFormat="1"/>
    <xf numFmtId="0" fontId="12" fillId="0" borderId="0" xfId="0" applyFont="1"/>
    <xf numFmtId="0" fontId="13" fillId="0" borderId="0" xfId="0" applyFont="1"/>
    <xf numFmtId="168" fontId="11" fillId="3" borderId="1" xfId="3" applyNumberFormat="1" applyAlignment="1">
      <alignment horizontal="center"/>
    </xf>
    <xf numFmtId="166" fontId="11" fillId="3" borderId="1" xfId="3" applyNumberFormat="1" applyAlignment="1">
      <alignment horizontal="center"/>
    </xf>
    <xf numFmtId="1" fontId="11" fillId="3" borderId="1" xfId="3" applyNumberFormat="1" applyAlignment="1">
      <alignment horizontal="center"/>
    </xf>
    <xf numFmtId="2" fontId="11" fillId="3" borderId="1" xfId="3" applyNumberFormat="1" applyAlignment="1">
      <alignment horizontal="center"/>
    </xf>
    <xf numFmtId="167" fontId="11" fillId="3" borderId="1" xfId="3" applyNumberFormat="1"/>
    <xf numFmtId="166" fontId="11" fillId="3" borderId="1" xfId="3" applyNumberFormat="1"/>
    <xf numFmtId="166" fontId="7" fillId="3" borderId="2" xfId="2" applyNumberFormat="1" applyAlignment="1">
      <alignment horizontal="center"/>
    </xf>
    <xf numFmtId="169" fontId="7" fillId="3" borderId="2" xfId="2" applyNumberFormat="1"/>
    <xf numFmtId="0" fontId="14" fillId="2" borderId="1" xfId="1" applyFont="1" applyAlignment="1" applyProtection="1">
      <alignment horizontal="center"/>
      <protection locked="0"/>
    </xf>
    <xf numFmtId="0" fontId="1" fillId="0" borderId="0" xfId="0" applyFont="1" applyBorder="1"/>
    <xf numFmtId="1" fontId="7" fillId="3" borderId="2" xfId="2" applyNumberFormat="1"/>
    <xf numFmtId="168" fontId="7" fillId="3" borderId="2" xfId="2" applyNumberFormat="1" applyAlignment="1">
      <alignment horizontal="center"/>
    </xf>
  </cellXfs>
  <cellStyles count="6">
    <cellStyle name="Calculation" xfId="3" builtinId="22" customBuiltin="1"/>
    <cellStyle name="Input" xfId="1" builtinId="20"/>
    <cellStyle name="Normal" xfId="0" builtinId="0"/>
    <cellStyle name="Normal 2" xfId="5"/>
    <cellStyle name="Note" xfId="4" builtinId="1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sch/Google%20Drive/CU/CU%20courses/CHEN%203840%20Independent%20Study/PrFug_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ugacities"/>
      <sheetName val="Fugacities (11.3)"/>
      <sheetName val="Crit. Props"/>
    </sheetNames>
    <sheetDataSet>
      <sheetData sheetId="0" refreshError="1"/>
      <sheetData sheetId="1">
        <row r="22">
          <cell r="N22">
            <v>0.5</v>
          </cell>
        </row>
        <row r="23">
          <cell r="N23">
            <v>0.3</v>
          </cell>
        </row>
        <row r="24">
          <cell r="N24">
            <v>0.2</v>
          </cell>
        </row>
      </sheetData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V145"/>
  <sheetViews>
    <sheetView showGridLines="0" tabSelected="1" zoomScaleNormal="100" workbookViewId="0">
      <selection activeCell="A5" sqref="A5"/>
    </sheetView>
  </sheetViews>
  <sheetFormatPr defaultRowHeight="12.75" x14ac:dyDescent="0.2"/>
  <cols>
    <col min="2" max="2" width="21.140625" customWidth="1"/>
    <col min="3" max="3" width="10.5703125" customWidth="1"/>
    <col min="4" max="4" width="9.28515625" bestFit="1" customWidth="1"/>
    <col min="5" max="5" width="10.42578125" bestFit="1" customWidth="1"/>
    <col min="6" max="6" width="11.28515625" customWidth="1"/>
    <col min="7" max="8" width="10.7109375" customWidth="1"/>
    <col min="9" max="9" width="11" customWidth="1"/>
    <col min="10" max="10" width="10.42578125" bestFit="1" customWidth="1"/>
    <col min="11" max="11" width="9.28515625" customWidth="1"/>
    <col min="12" max="12" width="9.85546875" customWidth="1"/>
    <col min="15" max="15" width="10.28515625" customWidth="1"/>
    <col min="16" max="16" width="8.28515625" customWidth="1"/>
    <col min="17" max="17" width="8" customWidth="1"/>
    <col min="19" max="19" width="10" customWidth="1"/>
    <col min="20" max="20" width="10.140625" customWidth="1"/>
    <col min="21" max="21" width="10.28515625" customWidth="1"/>
  </cols>
  <sheetData>
    <row r="2" spans="2:22" ht="15.75" x14ac:dyDescent="0.25">
      <c r="B2" s="24" t="s">
        <v>165</v>
      </c>
    </row>
    <row r="3" spans="2:22" x14ac:dyDescent="0.2">
      <c r="B3" s="34" t="s">
        <v>167</v>
      </c>
      <c r="C3" s="1"/>
    </row>
    <row r="4" spans="2:22" x14ac:dyDescent="0.2">
      <c r="G4" s="6" t="s">
        <v>2</v>
      </c>
      <c r="H4" s="6"/>
      <c r="I4" s="6"/>
    </row>
    <row r="5" spans="2:22" s="2" customFormat="1" ht="15.75" x14ac:dyDescent="0.3"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7" t="str">
        <f>B91</f>
        <v>n-pentane</v>
      </c>
      <c r="H5" s="7" t="str">
        <f>B92</f>
        <v>n-hexane</v>
      </c>
      <c r="I5" s="7" t="str">
        <f>B93</f>
        <v>n-heptane</v>
      </c>
      <c r="J5"/>
      <c r="K5"/>
      <c r="L5"/>
      <c r="M5"/>
      <c r="N5"/>
      <c r="O5"/>
      <c r="P5"/>
      <c r="Q5"/>
      <c r="R5"/>
      <c r="S5"/>
      <c r="T5"/>
      <c r="U5"/>
      <c r="V5"/>
    </row>
    <row r="6" spans="2:22" s="2" customFormat="1" hidden="1" x14ac:dyDescent="0.2">
      <c r="B6" s="7" t="s">
        <v>169</v>
      </c>
      <c r="C6" s="7"/>
      <c r="D6" s="7"/>
      <c r="E6" s="7"/>
      <c r="F6" s="8"/>
      <c r="G6" s="7"/>
      <c r="H6" s="7"/>
      <c r="I6" s="7"/>
      <c r="J6"/>
      <c r="K6"/>
      <c r="L6"/>
      <c r="M6"/>
      <c r="N6"/>
      <c r="O6"/>
      <c r="P6"/>
      <c r="Q6"/>
      <c r="R6"/>
      <c r="S6"/>
      <c r="T6"/>
      <c r="U6"/>
      <c r="V6"/>
    </row>
    <row r="7" spans="2:22" s="2" customFormat="1" hidden="1" x14ac:dyDescent="0.2">
      <c r="B7" s="7" t="s">
        <v>170</v>
      </c>
      <c r="C7" s="7"/>
      <c r="D7" s="7"/>
      <c r="E7" s="7"/>
      <c r="F7" s="8"/>
      <c r="G7" s="7"/>
      <c r="H7" s="7"/>
      <c r="I7" s="7"/>
      <c r="J7"/>
      <c r="K7"/>
      <c r="L7"/>
      <c r="M7"/>
      <c r="N7"/>
      <c r="O7"/>
      <c r="P7"/>
      <c r="Q7"/>
      <c r="R7"/>
      <c r="S7"/>
      <c r="T7"/>
      <c r="U7"/>
      <c r="V7"/>
    </row>
    <row r="8" spans="2:22" s="2" customFormat="1" hidden="1" x14ac:dyDescent="0.2">
      <c r="B8" s="7" t="s">
        <v>171</v>
      </c>
      <c r="C8" s="7"/>
      <c r="D8" s="7"/>
      <c r="E8" s="7"/>
      <c r="F8" s="8"/>
      <c r="G8" s="7"/>
      <c r="H8" s="7"/>
      <c r="I8" s="7"/>
      <c r="J8"/>
      <c r="K8"/>
      <c r="L8"/>
      <c r="M8"/>
      <c r="N8"/>
      <c r="O8"/>
      <c r="P8"/>
      <c r="Q8"/>
      <c r="R8"/>
      <c r="S8"/>
      <c r="T8"/>
      <c r="U8"/>
      <c r="V8"/>
    </row>
    <row r="9" spans="2:22" s="2" customFormat="1" hidden="1" x14ac:dyDescent="0.2">
      <c r="B9" s="7" t="s">
        <v>172</v>
      </c>
      <c r="C9" s="7"/>
      <c r="D9" s="7"/>
      <c r="E9" s="7"/>
      <c r="F9" s="8"/>
      <c r="G9" s="7"/>
      <c r="H9" s="7"/>
      <c r="I9" s="7"/>
      <c r="J9"/>
      <c r="K9"/>
      <c r="L9"/>
      <c r="M9"/>
      <c r="N9"/>
      <c r="O9"/>
      <c r="P9"/>
      <c r="Q9"/>
      <c r="R9"/>
      <c r="S9"/>
      <c r="T9"/>
      <c r="U9"/>
      <c r="V9"/>
    </row>
    <row r="10" spans="2:22" s="2" customFormat="1" hidden="1" x14ac:dyDescent="0.2">
      <c r="B10" s="7" t="s">
        <v>173</v>
      </c>
      <c r="C10" s="7"/>
      <c r="D10" s="7"/>
      <c r="E10" s="7"/>
      <c r="F10" s="8"/>
      <c r="G10" s="7"/>
      <c r="H10" s="7"/>
      <c r="I10" s="7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2:22" s="2" customFormat="1" hidden="1" x14ac:dyDescent="0.2">
      <c r="B11" s="7" t="s">
        <v>8</v>
      </c>
      <c r="C11" s="7"/>
      <c r="D11" s="7"/>
      <c r="E11" s="7"/>
      <c r="F11" s="8"/>
      <c r="G11" s="7"/>
      <c r="H11" s="7"/>
      <c r="I11" s="7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2:22" s="2" customFormat="1" hidden="1" x14ac:dyDescent="0.2">
      <c r="B12" s="7" t="s">
        <v>174</v>
      </c>
      <c r="C12" s="7"/>
      <c r="D12" s="7"/>
      <c r="E12" s="7"/>
      <c r="F12" s="8"/>
      <c r="G12" s="7"/>
      <c r="H12" s="7"/>
      <c r="I12" s="7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2:22" s="2" customFormat="1" hidden="1" x14ac:dyDescent="0.2">
      <c r="B13" s="7" t="s">
        <v>175</v>
      </c>
      <c r="C13" s="7"/>
      <c r="D13" s="7"/>
      <c r="E13" s="7"/>
      <c r="F13" s="8"/>
      <c r="G13" s="7"/>
      <c r="H13" s="7"/>
      <c r="I13" s="7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2:22" s="2" customFormat="1" hidden="1" x14ac:dyDescent="0.2">
      <c r="B14" s="7" t="s">
        <v>10</v>
      </c>
      <c r="C14" s="7"/>
      <c r="D14" s="7"/>
      <c r="E14" s="7"/>
      <c r="F14" s="8"/>
      <c r="G14" s="7"/>
      <c r="H14" s="7"/>
      <c r="I14" s="7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2:22" s="2" customFormat="1" hidden="1" x14ac:dyDescent="0.2">
      <c r="B15" s="7" t="s">
        <v>11</v>
      </c>
      <c r="C15" s="7"/>
      <c r="D15" s="7"/>
      <c r="E15" s="7"/>
      <c r="F15" s="8"/>
      <c r="G15" s="7"/>
      <c r="H15" s="7"/>
      <c r="I15" s="7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2:22" s="2" customFormat="1" hidden="1" x14ac:dyDescent="0.2">
      <c r="B16" s="7" t="s">
        <v>176</v>
      </c>
      <c r="C16" s="7"/>
      <c r="D16" s="7"/>
      <c r="E16" s="7"/>
      <c r="F16" s="8"/>
      <c r="G16" s="7"/>
      <c r="H16" s="7"/>
      <c r="I16" s="7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2:22" s="2" customFormat="1" hidden="1" x14ac:dyDescent="0.2">
      <c r="B17" s="7" t="s">
        <v>177</v>
      </c>
      <c r="C17" s="7"/>
      <c r="D17" s="7"/>
      <c r="E17" s="7"/>
      <c r="F17" s="8"/>
      <c r="G17" s="7"/>
      <c r="H17" s="7"/>
      <c r="I17" s="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2:22" s="2" customFormat="1" hidden="1" x14ac:dyDescent="0.2">
      <c r="B18" s="7" t="s">
        <v>178</v>
      </c>
      <c r="C18" s="7"/>
      <c r="D18" s="7"/>
      <c r="E18" s="7"/>
      <c r="F18" s="8"/>
      <c r="G18" s="7"/>
      <c r="H18" s="7"/>
      <c r="I18" s="7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2:22" s="2" customFormat="1" hidden="1" x14ac:dyDescent="0.2">
      <c r="B19" s="7" t="s">
        <v>179</v>
      </c>
      <c r="C19" s="7"/>
      <c r="D19" s="7"/>
      <c r="E19" s="7"/>
      <c r="F19" s="8"/>
      <c r="G19" s="7"/>
      <c r="H19" s="7"/>
      <c r="I19" s="7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2:22" s="2" customFormat="1" hidden="1" x14ac:dyDescent="0.2">
      <c r="B20" s="7" t="s">
        <v>180</v>
      </c>
      <c r="C20" s="7"/>
      <c r="D20" s="7"/>
      <c r="E20" s="7"/>
      <c r="F20" s="8"/>
      <c r="G20" s="7"/>
      <c r="H20" s="7"/>
      <c r="I20" s="7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2:22" s="2" customFormat="1" hidden="1" x14ac:dyDescent="0.2">
      <c r="B21" s="7" t="s">
        <v>181</v>
      </c>
      <c r="C21" s="7"/>
      <c r="D21" s="7"/>
      <c r="E21" s="7"/>
      <c r="F21" s="8"/>
      <c r="G21" s="7"/>
      <c r="H21" s="7"/>
      <c r="I21" s="7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2:22" s="2" customFormat="1" hidden="1" x14ac:dyDescent="0.2">
      <c r="B22" s="7" t="s">
        <v>182</v>
      </c>
      <c r="C22" s="7"/>
      <c r="D22" s="7"/>
      <c r="E22" s="7"/>
      <c r="F22" s="8"/>
      <c r="G22" s="7"/>
      <c r="H22" s="7"/>
      <c r="I22" s="7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2:22" s="2" customFormat="1" hidden="1" x14ac:dyDescent="0.2">
      <c r="B23" s="7" t="s">
        <v>183</v>
      </c>
      <c r="C23" s="7"/>
      <c r="D23" s="7"/>
      <c r="E23" s="7"/>
      <c r="F23" s="8"/>
      <c r="G23" s="7"/>
      <c r="H23" s="7"/>
      <c r="I23" s="7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2:22" s="2" customFormat="1" hidden="1" x14ac:dyDescent="0.2">
      <c r="B24" s="7" t="s">
        <v>184</v>
      </c>
      <c r="C24" s="7"/>
      <c r="D24" s="7"/>
      <c r="E24" s="7"/>
      <c r="F24" s="8"/>
      <c r="G24" s="7"/>
      <c r="H24" s="7"/>
      <c r="I24" s="7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2:22" s="2" customFormat="1" hidden="1" x14ac:dyDescent="0.2">
      <c r="B25" s="7" t="s">
        <v>185</v>
      </c>
      <c r="C25" s="7"/>
      <c r="D25" s="7"/>
      <c r="E25" s="7"/>
      <c r="F25" s="8"/>
      <c r="G25" s="7"/>
      <c r="H25" s="7"/>
      <c r="I25" s="7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2:22" s="2" customFormat="1" hidden="1" x14ac:dyDescent="0.2">
      <c r="B26" s="7" t="s">
        <v>186</v>
      </c>
      <c r="C26" s="7"/>
      <c r="D26" s="7"/>
      <c r="E26" s="7"/>
      <c r="F26" s="8"/>
      <c r="G26" s="7"/>
      <c r="H26" s="7"/>
      <c r="I26" s="7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2:22" s="2" customFormat="1" hidden="1" x14ac:dyDescent="0.2">
      <c r="B27" s="7" t="s">
        <v>187</v>
      </c>
      <c r="C27" s="7"/>
      <c r="D27" s="7"/>
      <c r="E27" s="7"/>
      <c r="F27" s="8"/>
      <c r="G27" s="7"/>
      <c r="H27" s="7"/>
      <c r="I27" s="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2:22" s="2" customFormat="1" hidden="1" x14ac:dyDescent="0.2">
      <c r="B28" s="7" t="s">
        <v>188</v>
      </c>
      <c r="C28" s="7"/>
      <c r="D28" s="7"/>
      <c r="E28" s="7"/>
      <c r="F28" s="8"/>
      <c r="G28" s="7"/>
      <c r="H28" s="7"/>
      <c r="I28" s="7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2:22" s="2" customFormat="1" hidden="1" x14ac:dyDescent="0.2">
      <c r="B29" s="7" t="s">
        <v>189</v>
      </c>
      <c r="C29" s="7"/>
      <c r="D29" s="7"/>
      <c r="E29" s="7"/>
      <c r="F29" s="8"/>
      <c r="G29" s="7"/>
      <c r="H29" s="7"/>
      <c r="I29" s="7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2:22" s="2" customFormat="1" hidden="1" x14ac:dyDescent="0.2">
      <c r="B30" s="7" t="s">
        <v>190</v>
      </c>
      <c r="C30" s="7"/>
      <c r="D30" s="7"/>
      <c r="E30" s="7"/>
      <c r="F30" s="8"/>
      <c r="G30" s="7"/>
      <c r="H30" s="7"/>
      <c r="I30" s="7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2:22" s="2" customFormat="1" hidden="1" x14ac:dyDescent="0.2">
      <c r="B31" s="7" t="s">
        <v>191</v>
      </c>
      <c r="C31" s="7"/>
      <c r="D31" s="7"/>
      <c r="E31" s="7"/>
      <c r="F31" s="8"/>
      <c r="G31" s="7"/>
      <c r="H31" s="7"/>
      <c r="I31" s="7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2:22" s="2" customFormat="1" hidden="1" x14ac:dyDescent="0.2">
      <c r="B32" s="7" t="s">
        <v>192</v>
      </c>
      <c r="C32" s="7"/>
      <c r="D32" s="7"/>
      <c r="E32" s="7"/>
      <c r="F32" s="8"/>
      <c r="G32" s="7"/>
      <c r="H32" s="7"/>
      <c r="I32" s="7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s="2" customFormat="1" hidden="1" x14ac:dyDescent="0.2">
      <c r="B33" s="7" t="s">
        <v>193</v>
      </c>
      <c r="C33" s="7"/>
      <c r="D33" s="7"/>
      <c r="E33" s="7"/>
      <c r="F33" s="8"/>
      <c r="G33" s="7"/>
      <c r="H33" s="7"/>
      <c r="I33" s="7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s="2" customFormat="1" hidden="1" x14ac:dyDescent="0.2">
      <c r="B34" s="7" t="s">
        <v>194</v>
      </c>
      <c r="C34" s="7"/>
      <c r="D34" s="7"/>
      <c r="E34" s="7"/>
      <c r="F34" s="8"/>
      <c r="G34" s="7"/>
      <c r="H34" s="7"/>
      <c r="I34" s="7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s="2" customFormat="1" hidden="1" x14ac:dyDescent="0.2">
      <c r="B35" s="7" t="s">
        <v>195</v>
      </c>
      <c r="C35" s="7"/>
      <c r="D35" s="7"/>
      <c r="E35" s="7"/>
      <c r="F35" s="8"/>
      <c r="G35" s="7"/>
      <c r="H35" s="7"/>
      <c r="I35" s="7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2:22" s="2" customFormat="1" hidden="1" x14ac:dyDescent="0.2">
      <c r="B36" s="7" t="s">
        <v>196</v>
      </c>
      <c r="C36" s="7"/>
      <c r="D36" s="7"/>
      <c r="E36" s="7"/>
      <c r="F36" s="8"/>
      <c r="G36" s="7"/>
      <c r="H36" s="7"/>
      <c r="I36" s="7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2:22" s="2" customFormat="1" hidden="1" x14ac:dyDescent="0.2">
      <c r="B37" s="7" t="s">
        <v>197</v>
      </c>
      <c r="C37" s="7"/>
      <c r="D37" s="7"/>
      <c r="E37" s="7"/>
      <c r="F37" s="8"/>
      <c r="G37" s="7"/>
      <c r="H37" s="7"/>
      <c r="I37" s="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2" s="2" customFormat="1" hidden="1" x14ac:dyDescent="0.2">
      <c r="B38" s="7" t="s">
        <v>198</v>
      </c>
      <c r="C38" s="7"/>
      <c r="D38" s="7"/>
      <c r="E38" s="7"/>
      <c r="F38" s="8"/>
      <c r="G38" s="7"/>
      <c r="H38" s="7"/>
      <c r="I38" s="7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2" s="2" customFormat="1" hidden="1" x14ac:dyDescent="0.2">
      <c r="B39" s="7" t="s">
        <v>199</v>
      </c>
      <c r="C39" s="7"/>
      <c r="D39" s="7"/>
      <c r="E39" s="7"/>
      <c r="F39" s="8"/>
      <c r="G39" s="7"/>
      <c r="H39" s="7"/>
      <c r="I39" s="7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2" s="2" customFormat="1" hidden="1" x14ac:dyDescent="0.2">
      <c r="B40" s="7" t="s">
        <v>200</v>
      </c>
      <c r="C40" s="7"/>
      <c r="D40" s="7"/>
      <c r="E40" s="7"/>
      <c r="F40" s="8"/>
      <c r="G40" s="7"/>
      <c r="H40" s="7"/>
      <c r="I40" s="7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2:22" s="2" customFormat="1" hidden="1" x14ac:dyDescent="0.2">
      <c r="B41" s="7" t="s">
        <v>201</v>
      </c>
      <c r="C41" s="7"/>
      <c r="D41" s="7"/>
      <c r="E41" s="7"/>
      <c r="F41" s="8"/>
      <c r="G41" s="7"/>
      <c r="H41" s="7"/>
      <c r="I41" s="7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2:22" s="2" customFormat="1" hidden="1" x14ac:dyDescent="0.2">
      <c r="B42" s="7" t="s">
        <v>202</v>
      </c>
      <c r="C42" s="7"/>
      <c r="D42" s="7"/>
      <c r="E42" s="7"/>
      <c r="F42" s="8"/>
      <c r="G42" s="7"/>
      <c r="H42" s="7"/>
      <c r="I42" s="7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2:22" s="2" customFormat="1" hidden="1" x14ac:dyDescent="0.2">
      <c r="B43" s="7" t="s">
        <v>203</v>
      </c>
      <c r="C43" s="7"/>
      <c r="D43" s="7"/>
      <c r="E43" s="7"/>
      <c r="F43" s="8"/>
      <c r="G43" s="7"/>
      <c r="H43" s="7"/>
      <c r="I43" s="7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2:22" s="2" customFormat="1" hidden="1" x14ac:dyDescent="0.2">
      <c r="B44" s="7" t="s">
        <v>204</v>
      </c>
      <c r="C44" s="7"/>
      <c r="D44" s="7"/>
      <c r="E44" s="7"/>
      <c r="F44" s="8"/>
      <c r="G44" s="7"/>
      <c r="H44" s="7"/>
      <c r="I44" s="7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2:22" s="2" customFormat="1" hidden="1" x14ac:dyDescent="0.2">
      <c r="B45" s="7" t="s">
        <v>205</v>
      </c>
      <c r="C45" s="7"/>
      <c r="D45" s="7"/>
      <c r="E45" s="7"/>
      <c r="F45" s="8"/>
      <c r="G45" s="7"/>
      <c r="H45" s="7"/>
      <c r="I45" s="7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2:22" s="2" customFormat="1" hidden="1" x14ac:dyDescent="0.2">
      <c r="B46" s="7" t="s">
        <v>113</v>
      </c>
      <c r="C46" s="7"/>
      <c r="D46" s="7"/>
      <c r="E46" s="7"/>
      <c r="F46" s="8"/>
      <c r="G46" s="7"/>
      <c r="H46" s="7"/>
      <c r="I46" s="7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2:22" s="2" customFormat="1" hidden="1" x14ac:dyDescent="0.2">
      <c r="B47" s="7" t="s">
        <v>206</v>
      </c>
      <c r="C47" s="7"/>
      <c r="D47" s="7"/>
      <c r="E47" s="7"/>
      <c r="F47" s="8"/>
      <c r="G47" s="7"/>
      <c r="H47" s="7"/>
      <c r="I47" s="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2:22" s="2" customFormat="1" hidden="1" x14ac:dyDescent="0.2">
      <c r="B48" s="7" t="s">
        <v>207</v>
      </c>
      <c r="C48" s="7"/>
      <c r="D48" s="7"/>
      <c r="E48" s="7"/>
      <c r="F48" s="8"/>
      <c r="G48" s="7"/>
      <c r="H48" s="7"/>
      <c r="I48" s="7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2:22" s="2" customFormat="1" hidden="1" x14ac:dyDescent="0.2">
      <c r="B49" s="7" t="s">
        <v>208</v>
      </c>
      <c r="C49" s="7"/>
      <c r="D49" s="7"/>
      <c r="E49" s="7"/>
      <c r="F49" s="8"/>
      <c r="G49" s="7"/>
      <c r="H49" s="7"/>
      <c r="I49" s="7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2:22" s="2" customFormat="1" hidden="1" x14ac:dyDescent="0.2">
      <c r="B50" s="7" t="s">
        <v>209</v>
      </c>
      <c r="C50" s="7"/>
      <c r="D50" s="7"/>
      <c r="E50" s="7"/>
      <c r="F50" s="8"/>
      <c r="G50" s="7"/>
      <c r="H50" s="7"/>
      <c r="I50" s="7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2:22" s="2" customFormat="1" hidden="1" x14ac:dyDescent="0.2">
      <c r="B51" s="7" t="s">
        <v>210</v>
      </c>
      <c r="C51" s="7"/>
      <c r="D51" s="7"/>
      <c r="E51" s="7"/>
      <c r="F51" s="8"/>
      <c r="G51" s="7"/>
      <c r="H51" s="7"/>
      <c r="I51" s="7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2:22" s="2" customFormat="1" hidden="1" x14ac:dyDescent="0.2">
      <c r="B52" s="7" t="s">
        <v>211</v>
      </c>
      <c r="C52" s="7"/>
      <c r="D52" s="7"/>
      <c r="E52" s="7"/>
      <c r="F52" s="8"/>
      <c r="G52" s="7"/>
      <c r="H52" s="7"/>
      <c r="I52" s="7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2:22" s="2" customFormat="1" hidden="1" x14ac:dyDescent="0.2">
      <c r="B53" s="7" t="s">
        <v>212</v>
      </c>
      <c r="C53" s="7"/>
      <c r="D53" s="7"/>
      <c r="E53" s="7"/>
      <c r="F53" s="8"/>
      <c r="G53" s="7"/>
      <c r="H53" s="7"/>
      <c r="I53" s="7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2:22" s="2" customFormat="1" hidden="1" x14ac:dyDescent="0.2">
      <c r="B54" s="7" t="s">
        <v>213</v>
      </c>
      <c r="C54" s="7"/>
      <c r="D54" s="7"/>
      <c r="E54" s="7"/>
      <c r="F54" s="8"/>
      <c r="G54" s="7"/>
      <c r="H54" s="7"/>
      <c r="I54" s="7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2:22" s="2" customFormat="1" hidden="1" x14ac:dyDescent="0.2">
      <c r="B55" s="7" t="s">
        <v>214</v>
      </c>
      <c r="C55" s="7"/>
      <c r="D55" s="7"/>
      <c r="E55" s="7"/>
      <c r="F55" s="8"/>
      <c r="G55" s="7"/>
      <c r="H55" s="7"/>
      <c r="I55" s="7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2:22" s="2" customFormat="1" hidden="1" x14ac:dyDescent="0.2">
      <c r="B56" s="7" t="s">
        <v>215</v>
      </c>
      <c r="C56" s="7"/>
      <c r="D56" s="7"/>
      <c r="E56" s="7"/>
      <c r="F56" s="8"/>
      <c r="G56" s="7"/>
      <c r="H56" s="7"/>
      <c r="I56" s="7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2:22" s="2" customFormat="1" hidden="1" x14ac:dyDescent="0.2">
      <c r="B57" s="7" t="s">
        <v>216</v>
      </c>
      <c r="C57" s="7"/>
      <c r="D57" s="7"/>
      <c r="E57" s="7"/>
      <c r="F57" s="8"/>
      <c r="G57" s="7"/>
      <c r="H57" s="7"/>
      <c r="I57" s="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2:22" s="2" customFormat="1" hidden="1" x14ac:dyDescent="0.2">
      <c r="B58" s="7" t="s">
        <v>217</v>
      </c>
      <c r="C58" s="7"/>
      <c r="D58" s="7"/>
      <c r="E58" s="7"/>
      <c r="F58" s="8"/>
      <c r="G58" s="7"/>
      <c r="H58" s="7"/>
      <c r="I58" s="7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2:22" s="2" customFormat="1" hidden="1" x14ac:dyDescent="0.2">
      <c r="B59" s="7" t="s">
        <v>218</v>
      </c>
      <c r="C59" s="7"/>
      <c r="D59" s="7"/>
      <c r="E59" s="7"/>
      <c r="F59" s="8"/>
      <c r="G59" s="7"/>
      <c r="H59" s="7"/>
      <c r="I59" s="7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2:22" s="2" customFormat="1" hidden="1" x14ac:dyDescent="0.2">
      <c r="B60" s="7" t="s">
        <v>219</v>
      </c>
      <c r="C60" s="7"/>
      <c r="D60" s="7"/>
      <c r="E60" s="7"/>
      <c r="F60" s="8"/>
      <c r="G60" s="7"/>
      <c r="H60" s="7"/>
      <c r="I60" s="7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2:22" s="2" customFormat="1" hidden="1" x14ac:dyDescent="0.2">
      <c r="B61" s="7" t="s">
        <v>220</v>
      </c>
      <c r="C61" s="7"/>
      <c r="D61" s="7"/>
      <c r="E61" s="7"/>
      <c r="F61" s="8"/>
      <c r="G61" s="7"/>
      <c r="H61" s="7"/>
      <c r="I61" s="7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2:22" s="2" customFormat="1" hidden="1" x14ac:dyDescent="0.2">
      <c r="B62" s="7" t="s">
        <v>221</v>
      </c>
      <c r="C62" s="7"/>
      <c r="D62" s="7"/>
      <c r="E62" s="7"/>
      <c r="F62" s="8"/>
      <c r="G62" s="7"/>
      <c r="H62" s="7"/>
      <c r="I62" s="7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2:22" s="2" customFormat="1" hidden="1" x14ac:dyDescent="0.2">
      <c r="B63" s="7" t="s">
        <v>222</v>
      </c>
      <c r="C63" s="7"/>
      <c r="D63" s="7"/>
      <c r="E63" s="7"/>
      <c r="F63" s="8"/>
      <c r="G63" s="7"/>
      <c r="H63" s="7"/>
      <c r="I63" s="7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2:22" s="2" customFormat="1" hidden="1" x14ac:dyDescent="0.2">
      <c r="B64" s="7" t="s">
        <v>223</v>
      </c>
      <c r="C64" s="7"/>
      <c r="D64" s="7"/>
      <c r="E64" s="7"/>
      <c r="F64" s="8"/>
      <c r="G64" s="7"/>
      <c r="H64" s="7"/>
      <c r="I64" s="7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2:22" s="2" customFormat="1" hidden="1" x14ac:dyDescent="0.2">
      <c r="B65" s="7" t="s">
        <v>224</v>
      </c>
      <c r="C65" s="7"/>
      <c r="D65" s="7"/>
      <c r="E65" s="7"/>
      <c r="F65" s="8"/>
      <c r="G65" s="7"/>
      <c r="H65" s="7"/>
      <c r="I65" s="7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2:22" s="2" customFormat="1" hidden="1" x14ac:dyDescent="0.2">
      <c r="B66" s="7" t="s">
        <v>225</v>
      </c>
      <c r="C66" s="7"/>
      <c r="D66" s="7"/>
      <c r="E66" s="7"/>
      <c r="F66" s="8"/>
      <c r="G66" s="7"/>
      <c r="H66" s="7"/>
      <c r="I66" s="7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2:22" s="2" customFormat="1" hidden="1" x14ac:dyDescent="0.2">
      <c r="B67" s="7" t="s">
        <v>226</v>
      </c>
      <c r="C67" s="7"/>
      <c r="D67" s="7"/>
      <c r="E67" s="7"/>
      <c r="F67" s="8"/>
      <c r="G67" s="7"/>
      <c r="H67" s="7"/>
      <c r="I67" s="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2:22" s="2" customFormat="1" hidden="1" x14ac:dyDescent="0.2">
      <c r="B68" s="7" t="s">
        <v>227</v>
      </c>
      <c r="C68" s="7"/>
      <c r="D68" s="7"/>
      <c r="E68" s="7"/>
      <c r="F68" s="8"/>
      <c r="G68" s="7"/>
      <c r="H68" s="7"/>
      <c r="I68" s="7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2:22" s="2" customFormat="1" hidden="1" x14ac:dyDescent="0.2">
      <c r="B69" s="7" t="s">
        <v>228</v>
      </c>
      <c r="C69" s="7"/>
      <c r="D69" s="7"/>
      <c r="E69" s="7"/>
      <c r="F69" s="8"/>
      <c r="G69" s="7"/>
      <c r="H69" s="7"/>
      <c r="I69" s="7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2:22" s="2" customFormat="1" hidden="1" x14ac:dyDescent="0.2">
      <c r="B70" s="7" t="s">
        <v>229</v>
      </c>
      <c r="C70" s="7"/>
      <c r="D70" s="7"/>
      <c r="E70" s="7"/>
      <c r="F70" s="8"/>
      <c r="G70" s="7"/>
      <c r="H70" s="7"/>
      <c r="I70" s="7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2:22" s="2" customFormat="1" hidden="1" x14ac:dyDescent="0.2">
      <c r="B71" s="7" t="s">
        <v>230</v>
      </c>
      <c r="C71" s="7"/>
      <c r="D71" s="7"/>
      <c r="E71" s="7"/>
      <c r="F71" s="8"/>
      <c r="G71" s="7"/>
      <c r="H71" s="7"/>
      <c r="I71" s="7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2:22" s="2" customFormat="1" hidden="1" x14ac:dyDescent="0.2">
      <c r="B72" s="7" t="s">
        <v>231</v>
      </c>
      <c r="C72" s="7"/>
      <c r="D72" s="7"/>
      <c r="E72" s="7"/>
      <c r="F72" s="8"/>
      <c r="G72" s="7"/>
      <c r="H72" s="7"/>
      <c r="I72" s="7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2:22" s="2" customFormat="1" hidden="1" x14ac:dyDescent="0.2">
      <c r="B73" s="7" t="s">
        <v>232</v>
      </c>
      <c r="C73" s="7"/>
      <c r="D73" s="7"/>
      <c r="E73" s="7"/>
      <c r="F73" s="8"/>
      <c r="G73" s="7"/>
      <c r="H73" s="7"/>
      <c r="I73" s="7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2:22" s="2" customFormat="1" hidden="1" x14ac:dyDescent="0.2">
      <c r="B74" s="7" t="s">
        <v>233</v>
      </c>
      <c r="C74" s="7"/>
      <c r="D74" s="7"/>
      <c r="E74" s="7"/>
      <c r="F74" s="8"/>
      <c r="G74" s="7"/>
      <c r="H74" s="7"/>
      <c r="I74" s="7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2:22" s="2" customFormat="1" hidden="1" x14ac:dyDescent="0.2">
      <c r="B75" s="7" t="s">
        <v>234</v>
      </c>
      <c r="C75" s="7"/>
      <c r="D75" s="7"/>
      <c r="E75" s="7"/>
      <c r="F75" s="8"/>
      <c r="G75" s="7"/>
      <c r="H75" s="7"/>
      <c r="I75" s="7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2:22" s="2" customFormat="1" hidden="1" x14ac:dyDescent="0.2">
      <c r="B76" s="7" t="s">
        <v>235</v>
      </c>
      <c r="C76" s="7"/>
      <c r="D76" s="7"/>
      <c r="E76" s="7"/>
      <c r="F76" s="8"/>
      <c r="G76" s="7"/>
      <c r="H76" s="7"/>
      <c r="I76" s="7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2:22" s="2" customFormat="1" hidden="1" x14ac:dyDescent="0.2">
      <c r="B77" s="7" t="s">
        <v>236</v>
      </c>
      <c r="C77" s="7"/>
      <c r="D77" s="7"/>
      <c r="E77" s="7"/>
      <c r="F77" s="8"/>
      <c r="G77" s="7"/>
      <c r="H77" s="7"/>
      <c r="I77" s="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2:22" s="2" customFormat="1" hidden="1" x14ac:dyDescent="0.2">
      <c r="B78" s="7" t="s">
        <v>237</v>
      </c>
      <c r="C78" s="7"/>
      <c r="D78" s="7"/>
      <c r="E78" s="7"/>
      <c r="F78" s="8"/>
      <c r="G78" s="7"/>
      <c r="H78" s="7"/>
      <c r="I78" s="7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2:22" s="2" customFormat="1" hidden="1" x14ac:dyDescent="0.2">
      <c r="B79" s="7" t="s">
        <v>238</v>
      </c>
      <c r="C79" s="7"/>
      <c r="D79" s="7"/>
      <c r="E79" s="7"/>
      <c r="F79" s="8"/>
      <c r="G79" s="7"/>
      <c r="H79" s="7"/>
      <c r="I79" s="7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2:22" s="2" customFormat="1" hidden="1" x14ac:dyDescent="0.2">
      <c r="B80" s="7" t="s">
        <v>239</v>
      </c>
      <c r="C80" s="7"/>
      <c r="D80" s="7"/>
      <c r="E80" s="7"/>
      <c r="F80" s="8"/>
      <c r="G80" s="7"/>
      <c r="H80" s="7"/>
      <c r="I80" s="7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2:22" s="2" customFormat="1" hidden="1" x14ac:dyDescent="0.2">
      <c r="B81" s="7" t="s">
        <v>240</v>
      </c>
      <c r="C81" s="7"/>
      <c r="D81" s="7"/>
      <c r="E81" s="7"/>
      <c r="F81" s="8"/>
      <c r="G81" s="7"/>
      <c r="H81" s="7"/>
      <c r="I81" s="7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2:22" s="2" customFormat="1" hidden="1" x14ac:dyDescent="0.2">
      <c r="B82" s="7" t="s">
        <v>241</v>
      </c>
      <c r="C82" s="7"/>
      <c r="D82" s="7"/>
      <c r="E82" s="7"/>
      <c r="F82" s="8"/>
      <c r="G82" s="7"/>
      <c r="H82" s="7"/>
      <c r="I82" s="7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2:22" s="2" customFormat="1" hidden="1" x14ac:dyDescent="0.2">
      <c r="B83" s="7" t="s">
        <v>242</v>
      </c>
      <c r="C83" s="7"/>
      <c r="D83" s="7"/>
      <c r="E83" s="7"/>
      <c r="F83" s="8"/>
      <c r="G83" s="7"/>
      <c r="H83" s="7"/>
      <c r="I83" s="7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2:22" s="2" customFormat="1" hidden="1" x14ac:dyDescent="0.2">
      <c r="B84" s="7" t="s">
        <v>243</v>
      </c>
      <c r="C84" s="7"/>
      <c r="D84" s="7"/>
      <c r="E84" s="7"/>
      <c r="F84" s="8"/>
      <c r="G84" s="7"/>
      <c r="H84" s="7"/>
      <c r="I84" s="7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2:22" s="2" customFormat="1" hidden="1" x14ac:dyDescent="0.2">
      <c r="B85" s="7" t="s">
        <v>244</v>
      </c>
      <c r="C85" s="7"/>
      <c r="D85" s="7"/>
      <c r="E85" s="7"/>
      <c r="F85" s="8"/>
      <c r="G85" s="7"/>
      <c r="H85" s="7"/>
      <c r="I85" s="7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2:22" s="2" customFormat="1" hidden="1" x14ac:dyDescent="0.2">
      <c r="B86" s="7" t="s">
        <v>245</v>
      </c>
      <c r="C86" s="7"/>
      <c r="D86" s="7"/>
      <c r="E86" s="7"/>
      <c r="F86" s="8"/>
      <c r="G86" s="7"/>
      <c r="H86" s="7"/>
      <c r="I86" s="7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2:22" s="2" customFormat="1" hidden="1" x14ac:dyDescent="0.2">
      <c r="B87" s="7" t="s">
        <v>246</v>
      </c>
      <c r="C87" s="7"/>
      <c r="D87" s="7"/>
      <c r="E87" s="7"/>
      <c r="F87" s="8"/>
      <c r="G87" s="7"/>
      <c r="H87" s="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2:22" s="2" customFormat="1" hidden="1" x14ac:dyDescent="0.2">
      <c r="B88" s="7" t="s">
        <v>247</v>
      </c>
      <c r="C88" s="7"/>
      <c r="D88" s="7"/>
      <c r="E88" s="7"/>
      <c r="F88" s="8"/>
      <c r="G88" s="7"/>
      <c r="H88" s="7"/>
      <c r="I88" s="7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2:22" s="2" customFormat="1" hidden="1" x14ac:dyDescent="0.2">
      <c r="B89" s="7" t="s">
        <v>248</v>
      </c>
      <c r="C89" s="7"/>
      <c r="D89" s="7"/>
      <c r="E89" s="7"/>
      <c r="F89" s="8"/>
      <c r="G89" s="7"/>
      <c r="H89" s="7"/>
      <c r="I89" s="7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2:22" s="2" customFormat="1" hidden="1" x14ac:dyDescent="0.2">
      <c r="B90" s="7" t="s">
        <v>249</v>
      </c>
      <c r="C90" s="7"/>
      <c r="D90" s="7"/>
      <c r="E90" s="7"/>
      <c r="F90" s="8"/>
      <c r="G90" s="7"/>
      <c r="H90" s="7"/>
      <c r="I90" s="7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2:22" s="2" customFormat="1" ht="15.75" x14ac:dyDescent="0.25">
      <c r="B91" s="33" t="s">
        <v>8</v>
      </c>
      <c r="C91" s="33">
        <v>0.81679999999999997</v>
      </c>
      <c r="D91" s="9">
        <f ca="1">IFERROR(OFFSET('Critical Properties'!$C$8,MATCH($B91,'Critical Properties'!$C$9:$C$100,0),1),IF(B91="","","No data"))</f>
        <v>469.7</v>
      </c>
      <c r="E91" s="9">
        <f ca="1">OFFSET('Critical Properties'!$C$8,MATCH($B91,'Critical Properties'!$C$9:$C$100,0),2)</f>
        <v>3.3690000000000002</v>
      </c>
      <c r="F91" s="9">
        <f ca="1">OFFSET('Critical Properties'!$C$8,MATCH($B91,'Critical Properties'!$C$9:$C$100,0),3)</f>
        <v>0.249</v>
      </c>
      <c r="G91" s="10" t="s">
        <v>9</v>
      </c>
      <c r="H91" s="10" t="s">
        <v>9</v>
      </c>
      <c r="I91" s="10" t="s">
        <v>9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2:22" s="2" customFormat="1" ht="15.75" x14ac:dyDescent="0.25">
      <c r="B92" s="33" t="s">
        <v>10</v>
      </c>
      <c r="C92" s="33">
        <v>0.15010000000000001</v>
      </c>
      <c r="D92" s="9">
        <f ca="1">IFERROR(OFFSET('Critical Properties'!$C$8,MATCH($B92,'Critical Properties'!$C$9:$C$100,0),1),IF(B92="","","No data"))</f>
        <v>507.4</v>
      </c>
      <c r="E92" s="9">
        <f ca="1">OFFSET('Critical Properties'!$C$8,MATCH($B92,'Critical Properties'!$C$9:$C$100,0),2)</f>
        <v>3.012</v>
      </c>
      <c r="F92" s="9">
        <f ca="1">OFFSET('Critical Properties'!$C$8,MATCH($B92,'Critical Properties'!$C$9:$C$100,0),3)</f>
        <v>0.30499999999999999</v>
      </c>
      <c r="G92" s="11"/>
      <c r="H92" s="10"/>
      <c r="I92" s="10" t="s">
        <v>9</v>
      </c>
      <c r="J92"/>
      <c r="K92"/>
      <c r="L92"/>
      <c r="M92"/>
      <c r="N92"/>
      <c r="O92"/>
      <c r="P92"/>
      <c r="Q92"/>
      <c r="R92"/>
      <c r="T92"/>
      <c r="U92"/>
      <c r="V92"/>
    </row>
    <row r="93" spans="2:22" s="2" customFormat="1" ht="15.75" x14ac:dyDescent="0.25">
      <c r="B93" s="33" t="s">
        <v>11</v>
      </c>
      <c r="C93" s="20">
        <f>1-C92-C91</f>
        <v>3.3100000000000018E-2</v>
      </c>
      <c r="D93" s="9">
        <f ca="1">IFERROR(OFFSET('Critical Properties'!$C$8,MATCH($B93,'Critical Properties'!$C$9:$C$100,0),1),IF(B93="","","No data"))</f>
        <v>540.29999999999995</v>
      </c>
      <c r="E93" s="9">
        <f ca="1">OFFSET('Critical Properties'!$C$8,MATCH($B93,'Critical Properties'!$C$9:$C$100,0),2)</f>
        <v>2.7360000000000002</v>
      </c>
      <c r="F93" s="9">
        <f ca="1">OFFSET('Critical Properties'!$C$8,MATCH($B93,'Critical Properties'!$C$9:$C$100,0),3)</f>
        <v>0.34899999999999998</v>
      </c>
      <c r="G93" s="11"/>
      <c r="H93" s="11"/>
      <c r="I93" s="10" t="s">
        <v>9</v>
      </c>
      <c r="J93"/>
      <c r="K93"/>
      <c r="L93"/>
      <c r="M93"/>
      <c r="N93"/>
      <c r="O93"/>
      <c r="P93"/>
      <c r="Q93"/>
      <c r="R93"/>
      <c r="T93"/>
      <c r="U93"/>
      <c r="V93"/>
    </row>
    <row r="95" spans="2:22" x14ac:dyDescent="0.2">
      <c r="B95" s="12" t="s">
        <v>12</v>
      </c>
      <c r="C95" s="12"/>
      <c r="D95" s="12" t="s">
        <v>13</v>
      </c>
      <c r="E95" s="12"/>
      <c r="H95" s="1"/>
      <c r="I95" s="1"/>
      <c r="J95" s="1"/>
      <c r="K95" s="1"/>
    </row>
    <row r="96" spans="2:22" ht="18.75" x14ac:dyDescent="0.3">
      <c r="B96" s="12" t="s">
        <v>14</v>
      </c>
      <c r="C96" s="13">
        <v>300</v>
      </c>
      <c r="D96" s="7" t="s">
        <v>15</v>
      </c>
      <c r="E96" s="7" t="s">
        <v>16</v>
      </c>
      <c r="F96" s="7" t="s">
        <v>17</v>
      </c>
      <c r="G96" s="12" t="s">
        <v>18</v>
      </c>
      <c r="H96" s="12"/>
      <c r="I96" s="12"/>
      <c r="J96" s="12" t="s">
        <v>19</v>
      </c>
      <c r="K96" s="12"/>
      <c r="L96" s="12"/>
      <c r="N96" t="s">
        <v>20</v>
      </c>
      <c r="P96" s="1"/>
    </row>
    <row r="97" spans="2:16" ht="18.75" x14ac:dyDescent="0.3">
      <c r="B97" s="12" t="s">
        <v>21</v>
      </c>
      <c r="C97" s="14">
        <v>0.3</v>
      </c>
      <c r="D97" s="12"/>
      <c r="E97" s="12" t="s">
        <v>22</v>
      </c>
      <c r="F97" s="7" t="s">
        <v>23</v>
      </c>
      <c r="G97" s="12" t="str">
        <f>B91</f>
        <v>n-pentane</v>
      </c>
      <c r="H97" s="12" t="str">
        <f>B92</f>
        <v>n-hexane</v>
      </c>
      <c r="I97" s="12" t="str">
        <f>B93</f>
        <v>n-heptane</v>
      </c>
      <c r="J97" s="12" t="str">
        <f>B91</f>
        <v>n-pentane</v>
      </c>
      <c r="K97" s="12" t="str">
        <f>B92</f>
        <v>n-hexane</v>
      </c>
      <c r="L97" s="12" t="str">
        <f>B93</f>
        <v>n-heptane</v>
      </c>
      <c r="N97" s="12" t="s">
        <v>24</v>
      </c>
      <c r="O97" s="30">
        <f t="array" aca="1" ref="O97" ca="1">MMULT(MMULT(TRANSPOSE(zi),Amatrix),zi)</f>
        <v>0.14233453379173722</v>
      </c>
      <c r="P97" s="1"/>
    </row>
    <row r="98" spans="2:16" x14ac:dyDescent="0.2">
      <c r="B98" s="6" t="s">
        <v>25</v>
      </c>
      <c r="C98" s="6"/>
      <c r="D98" s="31">
        <f ca="1">F145-$B$137/3</f>
        <v>0.85046384999151559</v>
      </c>
      <c r="E98" s="32">
        <f ca="1">Z*_R*TK/P</f>
        <v>7070.7564488294611</v>
      </c>
      <c r="F98" s="31">
        <f ca="1">P*EXP(Z-1-LN(Z-B)-A/B/2.8284*LN((Z+2.4142*B)/(Z-0.4142*B)))</f>
        <v>0.26098376997007389</v>
      </c>
      <c r="G98" s="31">
        <f t="array" aca="1" ref="G98:I98" ca="1">EXP(TRANSPOSE(Bi)/B*(INDEX(Z,1)-1)-LN(INDEX(Z,1)-B)-A/B/2.8284*LN((INDEX(Z,1)+2.4142*B)/(INDEX(Z,1)-0.4142*B))*(2*MMULT(TRANSPOSE(zi),Amatrix)/A-TRANSPOSE(Bi)/B))</f>
        <v>0.88030067270836443</v>
      </c>
      <c r="H98" s="31">
        <f ca="1"/>
        <v>0.83322042888585479</v>
      </c>
      <c r="I98" s="31">
        <f ca="1"/>
        <v>0.79000539220222321</v>
      </c>
      <c r="J98" s="36">
        <f ca="1">$C$91*P*G98</f>
        <v>0.21570887684045761</v>
      </c>
      <c r="K98" s="36">
        <f ca="1">$C$92*P*H98</f>
        <v>3.7519915912730038E-2</v>
      </c>
      <c r="L98" s="36">
        <f ca="1">$C$93*P*I98</f>
        <v>7.844753544568081E-3</v>
      </c>
      <c r="N98" s="12" t="s">
        <v>26</v>
      </c>
      <c r="O98" s="29">
        <f t="array" aca="1" ref="O98" ca="1">SUM(zi*Bi)</f>
        <v>1.1334818008048884E-2</v>
      </c>
    </row>
    <row r="99" spans="2:16" ht="14.25" x14ac:dyDescent="0.2">
      <c r="B99" s="6" t="s">
        <v>27</v>
      </c>
      <c r="C99" s="6"/>
      <c r="D99" s="31">
        <f ca="1">G145-$B$137/3</f>
        <v>0.12415223683073137</v>
      </c>
      <c r="E99" s="35">
        <f ca="1">Z*_R*TK/P</f>
        <v>1032.2016970107006</v>
      </c>
      <c r="F99" s="31"/>
      <c r="G99" s="31"/>
      <c r="H99" s="31"/>
      <c r="I99" s="31"/>
      <c r="J99" s="31"/>
      <c r="K99" s="31"/>
      <c r="L99" s="31"/>
      <c r="N99" s="12" t="s">
        <v>28</v>
      </c>
      <c r="O99" s="16"/>
    </row>
    <row r="100" spans="2:16" x14ac:dyDescent="0.2">
      <c r="B100" s="12"/>
      <c r="C100" s="12"/>
      <c r="D100" s="31">
        <f ca="1">H145-$B$137/3</f>
        <v>1.4049095169704262E-2</v>
      </c>
      <c r="E100" s="22">
        <f ca="1">Z*_R*TK/P</f>
        <v>116.80417724092123</v>
      </c>
      <c r="F100" s="31">
        <f ca="1">P*EXP(Z-1-LN(Z-B)-A/B/2.8284*LN((Z+2.4142*B)/(Z-0.4142*B)))</f>
        <v>5.5797700307392811E-2</v>
      </c>
      <c r="G100" s="31">
        <f t="array" aca="1" ref="G100:I100" ca="1">EXP(TRANSPOSE(Bi)/B*(INDEX(Z,3)-1)-LN(INDEX(Z,3)-B)-A/B/2.8284*LN((INDEX(Z,3)+2.4142*B)/(INDEX(Z,3)-0.4142*B))*(2*MMULT(TRANSPOSE(zi),Amatrix)/A-TRANSPOSE(Bi)/B))</f>
        <v>0.24071104991934211</v>
      </c>
      <c r="H100" s="31">
        <f ca="1"/>
        <v>7.231155089994136E-2</v>
      </c>
      <c r="I100" s="31">
        <f ca="1"/>
        <v>2.3239357124352888E-2</v>
      </c>
      <c r="J100" s="36">
        <f ca="1">$C$91*P*G100</f>
        <v>5.8983835672235585E-2</v>
      </c>
      <c r="K100" s="36">
        <f ca="1">$C$92*P*H100</f>
        <v>3.2561891370243594E-3</v>
      </c>
      <c r="L100" s="36">
        <f ca="1">$C$93*P*I100</f>
        <v>2.3076681624482429E-4</v>
      </c>
      <c r="N100" s="10">
        <v>8.3140000000000001</v>
      </c>
    </row>
    <row r="101" spans="2:16" x14ac:dyDescent="0.2">
      <c r="B101" s="6" t="s">
        <v>29</v>
      </c>
      <c r="C101" s="6"/>
      <c r="D101" s="21" t="e">
        <f ca="1">D141-B137/3</f>
        <v>#NUM!</v>
      </c>
      <c r="E101" s="22" t="e">
        <f ca="1">Z*_R*TK/P</f>
        <v>#NUM!</v>
      </c>
      <c r="F101" s="21" t="e">
        <f ca="1">P*EXP(Z-1-LN(Z-B)-A/B/2.8284*LN((Z+2.4142*B)/(Z-0.4142*B)))</f>
        <v>#NUM!</v>
      </c>
      <c r="G101" s="21" t="e">
        <f t="array" aca="1" ref="G101:I101" ca="1">EXP(TRANSPOSE(Bi)/B*(INDEX(Z,4)-1)-LN(INDEX(Z,4)-B)-A/B/2.8284*LN((INDEX(Z,4)+2.4142*B)/(INDEX(Z,4)-0.4142*B))*(2*MMULT(TRANSPOSE(zi),Amatrix)/A-TRANSPOSE(Bi)/B))</f>
        <v>#NUM!</v>
      </c>
      <c r="H101" s="21" t="e">
        <f ca="1"/>
        <v>#NUM!</v>
      </c>
      <c r="I101" s="21" t="e">
        <f ca="1"/>
        <v>#NUM!</v>
      </c>
      <c r="J101" s="21" t="e">
        <f ca="1">$C$91*P*G101</f>
        <v>#NUM!</v>
      </c>
      <c r="K101" s="21" t="e">
        <f ca="1">$C$92*P*H101</f>
        <v>#NUM!</v>
      </c>
      <c r="L101" s="21" t="e">
        <f ca="1">$C$93*P*I101</f>
        <v>#NUM!</v>
      </c>
    </row>
    <row r="103" spans="2:16" x14ac:dyDescent="0.2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 t="s">
        <v>24</v>
      </c>
      <c r="M103" s="6"/>
      <c r="N103" s="6"/>
    </row>
    <row r="104" spans="2:16" x14ac:dyDescent="0.2">
      <c r="B104" s="12"/>
      <c r="C104" s="7" t="s">
        <v>30</v>
      </c>
      <c r="D104" s="7" t="s">
        <v>31</v>
      </c>
      <c r="E104" s="8" t="s">
        <v>32</v>
      </c>
      <c r="F104" s="8" t="s">
        <v>33</v>
      </c>
      <c r="G104" s="7" t="s">
        <v>34</v>
      </c>
      <c r="H104" s="7" t="s">
        <v>33</v>
      </c>
      <c r="I104" s="7" t="s">
        <v>35</v>
      </c>
      <c r="J104" s="7" t="s">
        <v>24</v>
      </c>
      <c r="K104" s="7" t="s">
        <v>26</v>
      </c>
      <c r="L104" s="7" t="str">
        <f>B91</f>
        <v>n-pentane</v>
      </c>
      <c r="M104" s="7" t="str">
        <f>B92</f>
        <v>n-hexane</v>
      </c>
      <c r="N104" s="7" t="str">
        <f>B93</f>
        <v>n-heptane</v>
      </c>
    </row>
    <row r="105" spans="2:16" x14ac:dyDescent="0.2">
      <c r="B105" s="12" t="str">
        <f>B91</f>
        <v>n-pentane</v>
      </c>
      <c r="C105" s="17">
        <f t="array" aca="1" ref="C105:C107" ca="1">TK/Tc</f>
        <v>0.63870555673834362</v>
      </c>
      <c r="D105" s="26">
        <f t="array" aca="1" ref="D105:D107" ca="1">P/Pc</f>
        <v>8.9047195013357075E-2</v>
      </c>
      <c r="E105" s="17">
        <f t="array" aca="1" ref="E105:E107" ca="1">0.37464+1.54226*w-0.26993*w^2</f>
        <v>0.74192681006999994</v>
      </c>
      <c r="F105" s="26">
        <f t="array" aca="1" ref="F105:F107" ca="1">(1+kappa*(1-(Tr)^0.5))^2</f>
        <v>1.3201686091468652</v>
      </c>
      <c r="G105" s="27">
        <f t="array" aca="1" ref="G105:G107" ca="1">0.457235529*_R^2*Tc^2/Pc</f>
        <v>2069665.3038256869</v>
      </c>
      <c r="H105" s="27">
        <f t="array" aca="1" ref="H105:H107" ca="1">ac*alpha</f>
        <v>2732307.1655510813</v>
      </c>
      <c r="I105" s="28">
        <f t="array" aca="1" ref="I105:I107" ca="1">0.077796074*_R*Tc/Pc</f>
        <v>90.175228219990871</v>
      </c>
      <c r="J105" s="26">
        <f t="array" aca="1" ref="J105:J107" ca="1">H105:H107*P/_R^2/TK^2</f>
        <v>0.13176140768551195</v>
      </c>
      <c r="K105" s="25">
        <f t="array" aca="1" ref="K105:K107" ca="1">I105:I107*P/_R/TK</f>
        <v>1.0846190548471357E-2</v>
      </c>
      <c r="L105" s="30">
        <f ca="1">J105</f>
        <v>0.13176140768551195</v>
      </c>
      <c r="M105" s="30">
        <f ca="1">L106</f>
        <v>0.15583914716752556</v>
      </c>
      <c r="N105" s="30">
        <f ca="1">L107</f>
        <v>0.1792083266384405</v>
      </c>
    </row>
    <row r="106" spans="2:16" x14ac:dyDescent="0.2">
      <c r="B106" s="12" t="str">
        <f>B92</f>
        <v>n-hexane</v>
      </c>
      <c r="C106" s="17">
        <f ca="1"/>
        <v>0.59124950729207726</v>
      </c>
      <c r="D106" s="26">
        <f ca="1"/>
        <v>9.9601593625498003E-2</v>
      </c>
      <c r="E106" s="17">
        <f ca="1"/>
        <v>0.81991906174999996</v>
      </c>
      <c r="F106" s="26">
        <f ca="1"/>
        <v>1.4148168606725693</v>
      </c>
      <c r="G106" s="27">
        <f ca="1"/>
        <v>2701506.1963845929</v>
      </c>
      <c r="H106" s="27">
        <f ca="1"/>
        <v>3822136.5158563433</v>
      </c>
      <c r="I106" s="28">
        <f ca="1"/>
        <v>108.95902196425845</v>
      </c>
      <c r="J106" s="26">
        <f ca="1"/>
        <v>0.18431679060280776</v>
      </c>
      <c r="K106" s="25">
        <f ca="1"/>
        <v>1.3105487366401063E-2</v>
      </c>
      <c r="L106" s="30">
        <f ca="1">SQRT(J105*J106)*(1-G92)</f>
        <v>0.15583914716752556</v>
      </c>
      <c r="M106" s="30">
        <f ca="1">J106</f>
        <v>0.18431679060280776</v>
      </c>
      <c r="N106" s="30">
        <f ca="1">M107</f>
        <v>0.21195639359979876</v>
      </c>
    </row>
    <row r="107" spans="2:16" x14ac:dyDescent="0.2">
      <c r="B107" s="12" t="str">
        <f>B93</f>
        <v>n-heptane</v>
      </c>
      <c r="C107" s="17">
        <f ca="1"/>
        <v>0.55524708495280406</v>
      </c>
      <c r="D107" s="26">
        <f ca="1"/>
        <v>0.10964912280701754</v>
      </c>
      <c r="E107" s="17">
        <f ca="1"/>
        <v>0.88001099607</v>
      </c>
      <c r="F107" s="26">
        <f ca="1"/>
        <v>1.4988410759560902</v>
      </c>
      <c r="G107" s="27">
        <f ca="1"/>
        <v>3372204.097790732</v>
      </c>
      <c r="H107" s="27">
        <f ca="1"/>
        <v>5054398.0182761969</v>
      </c>
      <c r="I107" s="28">
        <f ca="1"/>
        <v>127.72813631403905</v>
      </c>
      <c r="J107" s="26">
        <f ca="1"/>
        <v>0.2437407500472637</v>
      </c>
      <c r="K107" s="25">
        <f ca="1"/>
        <v>1.5363018560745614E-2</v>
      </c>
      <c r="L107" s="30">
        <f ca="1">SQRT(J105*J107)*(1-G93)</f>
        <v>0.1792083266384405</v>
      </c>
      <c r="M107" s="30">
        <f ca="1">SQRT(J106*J107)*(1-H93)</f>
        <v>0.21195639359979876</v>
      </c>
      <c r="N107" s="30">
        <f ca="1">J107</f>
        <v>0.2437407500472637</v>
      </c>
    </row>
    <row r="108" spans="2:16" x14ac:dyDescent="0.2">
      <c r="B108" s="3"/>
      <c r="C108" s="3"/>
      <c r="D108" s="3"/>
      <c r="E108" s="3"/>
      <c r="F108" s="3"/>
      <c r="G108" s="3"/>
      <c r="H108" s="4"/>
      <c r="I108" s="3"/>
      <c r="J108" s="3"/>
      <c r="K108" s="5"/>
      <c r="L108" s="5"/>
      <c r="M108" s="5"/>
    </row>
    <row r="109" spans="2:16" x14ac:dyDescent="0.2">
      <c r="J109" s="1"/>
    </row>
    <row r="110" spans="2:16" x14ac:dyDescent="0.2">
      <c r="J110" s="23" t="s">
        <v>58</v>
      </c>
    </row>
    <row r="111" spans="2:16" x14ac:dyDescent="0.2">
      <c r="J111" s="23" t="s">
        <v>0</v>
      </c>
    </row>
    <row r="112" spans="2:16" x14ac:dyDescent="0.2">
      <c r="J112" s="23" t="s">
        <v>1</v>
      </c>
    </row>
    <row r="113" spans="2:10" x14ac:dyDescent="0.2">
      <c r="J113" s="23" t="s">
        <v>168</v>
      </c>
    </row>
    <row r="123" spans="2:10" x14ac:dyDescent="0.2">
      <c r="B123" s="1"/>
    </row>
    <row r="134" spans="2:9" ht="15.75" x14ac:dyDescent="0.3">
      <c r="B134" t="s">
        <v>36</v>
      </c>
      <c r="D134" t="s">
        <v>37</v>
      </c>
      <c r="G134" s="1"/>
      <c r="H134" s="1"/>
      <c r="I134" s="1"/>
    </row>
    <row r="135" spans="2:9" ht="14.25" x14ac:dyDescent="0.2">
      <c r="G135" s="12" t="s">
        <v>38</v>
      </c>
      <c r="H135" s="12"/>
      <c r="I135" s="15">
        <f ca="1">F137^2/4+E137^3/27</f>
        <v>-4.1425238193277484E-5</v>
      </c>
    </row>
    <row r="136" spans="2:9" ht="15.75" x14ac:dyDescent="0.3">
      <c r="B136" s="7" t="s">
        <v>39</v>
      </c>
      <c r="C136" s="7" t="s">
        <v>40</v>
      </c>
      <c r="D136" s="7" t="s">
        <v>41</v>
      </c>
      <c r="E136" s="7" t="s">
        <v>42</v>
      </c>
      <c r="F136" s="7" t="s">
        <v>43</v>
      </c>
      <c r="G136" s="12" t="s">
        <v>44</v>
      </c>
      <c r="H136" s="12"/>
      <c r="I136" s="12"/>
    </row>
    <row r="137" spans="2:9" x14ac:dyDescent="0.2">
      <c r="B137" s="15">
        <f ca="1">-(1-O98)</f>
        <v>-0.98866518199195108</v>
      </c>
      <c r="C137" s="15">
        <f ca="1">O97-3*O98^2-2*O98</f>
        <v>0.11927946347781267</v>
      </c>
      <c r="D137" s="15">
        <f ca="1">-(O97*O98-O98^2-O98^3)</f>
        <v>-1.4834016616409272E-3</v>
      </c>
      <c r="E137" s="15">
        <f ca="1">(3*C137-B137^2)/3</f>
        <v>-0.20654015054991326</v>
      </c>
      <c r="F137" s="15">
        <f ca="1">(2*B137^3-9*B137*C137+27*D137)/27</f>
        <v>-3.375791928352493E-2</v>
      </c>
      <c r="G137" s="12" t="s">
        <v>45</v>
      </c>
      <c r="H137" s="12"/>
    </row>
    <row r="139" spans="2:9" x14ac:dyDescent="0.2">
      <c r="B139" t="s">
        <v>46</v>
      </c>
    </row>
    <row r="140" spans="2:9" x14ac:dyDescent="0.2">
      <c r="B140" s="12" t="s">
        <v>47</v>
      </c>
      <c r="C140" s="12" t="s">
        <v>48</v>
      </c>
      <c r="D140" s="12" t="s">
        <v>49</v>
      </c>
      <c r="E140" s="12"/>
      <c r="G140" t="s">
        <v>50</v>
      </c>
    </row>
    <row r="141" spans="2:9" x14ac:dyDescent="0.2">
      <c r="B141" s="15" t="e">
        <f ca="1">(-$F$137/2+SQRT($I$135))^(1/3)</f>
        <v>#NUM!</v>
      </c>
      <c r="C141" s="15" t="e">
        <f ca="1">(-$F$137/2-SQRT($I$135))^(1/3)</f>
        <v>#NUM!</v>
      </c>
      <c r="D141" s="15" t="e">
        <f ca="1">B141+C141</f>
        <v>#NUM!</v>
      </c>
      <c r="E141" s="1"/>
      <c r="G141" t="s">
        <v>51</v>
      </c>
    </row>
    <row r="143" spans="2:9" x14ac:dyDescent="0.2">
      <c r="B143" t="s">
        <v>52</v>
      </c>
    </row>
    <row r="144" spans="2:9" ht="15.75" x14ac:dyDescent="0.3">
      <c r="B144" s="12" t="s">
        <v>53</v>
      </c>
      <c r="C144" s="12" t="s">
        <v>54</v>
      </c>
      <c r="D144" s="12" t="s">
        <v>55</v>
      </c>
      <c r="E144" s="18" t="s">
        <v>56</v>
      </c>
      <c r="F144" s="12" t="s">
        <v>57</v>
      </c>
      <c r="G144" s="12"/>
    </row>
    <row r="145" spans="2:8" x14ac:dyDescent="0.2">
      <c r="B145" s="15">
        <f ca="1">2*SQRT(-E137/3)</f>
        <v>0.52477315804058078</v>
      </c>
      <c r="C145" s="15">
        <f ca="1">3*F137/E137/B145</f>
        <v>0.93437416731541179</v>
      </c>
      <c r="D145" s="15">
        <f ca="1">ACOS(C145)</f>
        <v>0.36429783739088517</v>
      </c>
      <c r="E145" s="15">
        <f ca="1">D145/3</f>
        <v>0.12143261246362839</v>
      </c>
      <c r="F145" s="15">
        <f ca="1">$B$145*COS($E$145)</f>
        <v>0.52090878932753182</v>
      </c>
      <c r="G145" s="15">
        <f ca="1">$B$145*COS($E$145+4*PI()/3)</f>
        <v>-0.20540282383325234</v>
      </c>
      <c r="H145" s="15">
        <f ca="1">$B$145*COS($E$145+2*PI()/3)</f>
        <v>-0.31550596549427945</v>
      </c>
    </row>
  </sheetData>
  <conditionalFormatting sqref="F98:F10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{316C9034-B84F-4A3C-B611-35C5BD5E6FD5}</x14:id>
        </ext>
      </extLst>
    </cfRule>
  </conditionalFormatting>
  <conditionalFormatting sqref="E98:E10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{44809C82-31F4-46D2-9902-DC94B075188B}</x14:id>
        </ext>
      </extLst>
    </cfRule>
  </conditionalFormatting>
  <printOptions gridLinesSet="0"/>
  <pageMargins left="0.75" right="0.75" top="1" bottom="1" header="0.5" footer="0.5"/>
  <pageSetup scale="90" orientation="landscape" horizontalDpi="300" verticalDpi="300" r:id="rId1"/>
  <headerFooter alignWithMargins="0">
    <oddHeader>&amp;A</oddHeader>
    <oddFooter>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6C9034-B84F-4A3C-B611-35C5BD5E6F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F98:F100</xm:sqref>
        </x14:conditionalFormatting>
        <x14:conditionalFormatting xmlns:xm="http://schemas.microsoft.com/office/excel/2006/main">
          <x14:cfRule type="dataBar" id="{44809C82-31F4-46D2-9902-DC94B07518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E98:E100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mpound" prompt="Type compound name or select from dropdown list.">
          <x14:formula1>
            <xm:f>'Critical Properties'!$AA$9:$AA$93</xm:f>
          </x14:formula1>
          <xm:sqref>B91:B93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7"/>
  <sheetViews>
    <sheetView topLeftCell="B1" workbookViewId="0">
      <pane ySplit="7" topLeftCell="A54" activePane="bottomLeft" state="frozen"/>
      <selection pane="bottomLeft"/>
    </sheetView>
  </sheetViews>
  <sheetFormatPr defaultRowHeight="12.75" x14ac:dyDescent="0.2"/>
  <cols>
    <col min="1" max="1" width="9.140625" style="19"/>
    <col min="2" max="2" width="12.140625" style="19" customWidth="1"/>
    <col min="3" max="3" width="20.7109375" style="19" customWidth="1"/>
    <col min="4" max="16384" width="9.140625" style="19"/>
  </cols>
  <sheetData>
    <row r="1" spans="2:27" x14ac:dyDescent="0.2">
      <c r="B1" s="19" t="s">
        <v>166</v>
      </c>
    </row>
    <row r="2" spans="2:27" x14ac:dyDescent="0.2">
      <c r="B2" s="19" t="s">
        <v>59</v>
      </c>
    </row>
    <row r="3" spans="2:27" x14ac:dyDescent="0.2">
      <c r="B3" s="19" t="s">
        <v>60</v>
      </c>
    </row>
    <row r="4" spans="2:27" x14ac:dyDescent="0.2">
      <c r="B4" s="19" t="s">
        <v>61</v>
      </c>
    </row>
    <row r="5" spans="2:27" x14ac:dyDescent="0.2">
      <c r="B5" s="19" t="s">
        <v>62</v>
      </c>
    </row>
    <row r="7" spans="2:27" x14ac:dyDescent="0.2">
      <c r="C7" s="19" t="s">
        <v>63</v>
      </c>
      <c r="D7" s="19" t="s">
        <v>64</v>
      </c>
      <c r="E7" s="19" t="s">
        <v>65</v>
      </c>
      <c r="F7" s="19" t="s">
        <v>7</v>
      </c>
      <c r="G7" s="19" t="s">
        <v>66</v>
      </c>
      <c r="H7" s="19" t="s">
        <v>67</v>
      </c>
    </row>
    <row r="8" spans="2:27" x14ac:dyDescent="0.2">
      <c r="B8" s="19" t="s">
        <v>68</v>
      </c>
    </row>
    <row r="9" spans="2:27" x14ac:dyDescent="0.2">
      <c r="B9" s="19">
        <v>1</v>
      </c>
      <c r="C9" s="19" t="s">
        <v>69</v>
      </c>
      <c r="D9" s="19">
        <v>190.6</v>
      </c>
      <c r="E9" s="19">
        <v>4.6040000000000001</v>
      </c>
      <c r="F9" s="19">
        <v>1.0999999999999999E-2</v>
      </c>
      <c r="G9" s="19">
        <v>0.28799999999999998</v>
      </c>
      <c r="H9" s="19">
        <v>4.298</v>
      </c>
      <c r="AA9" s="19" t="s">
        <v>169</v>
      </c>
    </row>
    <row r="10" spans="2:27" x14ac:dyDescent="0.2">
      <c r="B10" s="19">
        <v>2</v>
      </c>
      <c r="C10" s="19" t="s">
        <v>70</v>
      </c>
      <c r="D10" s="19">
        <v>305.39999999999998</v>
      </c>
      <c r="E10" s="19">
        <v>4.88</v>
      </c>
      <c r="F10" s="19">
        <v>9.9000000000000005E-2</v>
      </c>
      <c r="G10" s="19">
        <v>0.28399999999999997</v>
      </c>
      <c r="H10" s="19">
        <v>6.3120000000000003</v>
      </c>
      <c r="AA10" s="19" t="s">
        <v>170</v>
      </c>
    </row>
    <row r="11" spans="2:27" x14ac:dyDescent="0.2">
      <c r="B11" s="19">
        <v>3</v>
      </c>
      <c r="C11" s="19" t="s">
        <v>71</v>
      </c>
      <c r="D11" s="19">
        <v>369.8</v>
      </c>
      <c r="E11" s="19">
        <v>4.2489999999999997</v>
      </c>
      <c r="F11" s="19">
        <v>0.152</v>
      </c>
      <c r="G11" s="19">
        <v>0.28100000000000003</v>
      </c>
      <c r="H11" s="19">
        <v>8.8510000000000009</v>
      </c>
      <c r="AA11" s="19" t="s">
        <v>171</v>
      </c>
    </row>
    <row r="12" spans="2:27" x14ac:dyDescent="0.2">
      <c r="B12" s="19">
        <v>4</v>
      </c>
      <c r="C12" s="19" t="s">
        <v>72</v>
      </c>
      <c r="D12" s="19">
        <v>425.2</v>
      </c>
      <c r="E12" s="19">
        <v>3.7970000000000002</v>
      </c>
      <c r="F12" s="19">
        <v>0.193</v>
      </c>
      <c r="G12" s="19">
        <v>0.27400000000000002</v>
      </c>
      <c r="H12" s="19">
        <v>11.89</v>
      </c>
      <c r="AA12" s="19" t="s">
        <v>172</v>
      </c>
    </row>
    <row r="13" spans="2:27" x14ac:dyDescent="0.2">
      <c r="B13" s="19">
        <v>5</v>
      </c>
      <c r="C13" s="19" t="s">
        <v>73</v>
      </c>
      <c r="D13" s="19">
        <v>408.1</v>
      </c>
      <c r="E13" s="19">
        <v>3.6480000000000001</v>
      </c>
      <c r="F13" s="19">
        <v>0.17699999999999999</v>
      </c>
      <c r="G13" s="19">
        <v>0.28199999999999997</v>
      </c>
      <c r="H13" s="19">
        <v>11.695</v>
      </c>
      <c r="AA13" s="19" t="s">
        <v>173</v>
      </c>
    </row>
    <row r="14" spans="2:27" x14ac:dyDescent="0.2">
      <c r="B14" s="19">
        <v>7</v>
      </c>
      <c r="C14" s="19" t="s">
        <v>74</v>
      </c>
      <c r="D14" s="19">
        <v>469.7</v>
      </c>
      <c r="E14" s="19">
        <v>3.3690000000000002</v>
      </c>
      <c r="F14" s="19">
        <v>0.249</v>
      </c>
      <c r="G14" s="19">
        <v>0.26900000000000002</v>
      </c>
      <c r="H14" s="19">
        <v>14.446</v>
      </c>
      <c r="AA14" s="19" t="s">
        <v>8</v>
      </c>
    </row>
    <row r="15" spans="2:27" x14ac:dyDescent="0.2">
      <c r="B15" s="19">
        <v>8</v>
      </c>
      <c r="C15" s="19" t="s">
        <v>75</v>
      </c>
      <c r="D15" s="19">
        <v>460.4</v>
      </c>
      <c r="E15" s="19">
        <v>3.3809999999999998</v>
      </c>
      <c r="F15" s="19">
        <v>0.22800000000000001</v>
      </c>
      <c r="G15" s="19">
        <v>0.27</v>
      </c>
      <c r="AA15" s="19" t="s">
        <v>174</v>
      </c>
    </row>
    <row r="16" spans="2:27" x14ac:dyDescent="0.2">
      <c r="B16" s="19">
        <v>9</v>
      </c>
      <c r="C16" s="19" t="s">
        <v>76</v>
      </c>
      <c r="D16" s="19">
        <v>433.8</v>
      </c>
      <c r="E16" s="19">
        <v>3.1989999999999998</v>
      </c>
      <c r="F16" s="19">
        <v>0.19600000000000001</v>
      </c>
      <c r="G16" s="19">
        <v>0.26900000000000002</v>
      </c>
      <c r="AA16" s="19" t="s">
        <v>175</v>
      </c>
    </row>
    <row r="17" spans="2:27" x14ac:dyDescent="0.2">
      <c r="B17" s="19">
        <v>11</v>
      </c>
      <c r="C17" s="19" t="s">
        <v>77</v>
      </c>
      <c r="D17" s="19">
        <v>507.4</v>
      </c>
      <c r="E17" s="19">
        <v>3.012</v>
      </c>
      <c r="F17" s="19">
        <v>0.30499999999999999</v>
      </c>
      <c r="G17" s="19">
        <v>0.26400000000000001</v>
      </c>
      <c r="H17" s="19">
        <v>17.212</v>
      </c>
      <c r="AA17" s="19" t="s">
        <v>10</v>
      </c>
    </row>
    <row r="18" spans="2:27" x14ac:dyDescent="0.2">
      <c r="B18" s="19">
        <v>17</v>
      </c>
      <c r="C18" s="19" t="s">
        <v>78</v>
      </c>
      <c r="D18" s="19">
        <v>540.29999999999995</v>
      </c>
      <c r="E18" s="19">
        <v>2.7360000000000002</v>
      </c>
      <c r="F18" s="19">
        <v>0.34899999999999998</v>
      </c>
      <c r="G18" s="19">
        <v>0.26300000000000001</v>
      </c>
      <c r="H18" s="19">
        <v>19.954000000000001</v>
      </c>
      <c r="AA18" s="19" t="s">
        <v>11</v>
      </c>
    </row>
    <row r="19" spans="2:27" x14ac:dyDescent="0.2">
      <c r="B19" s="19">
        <v>27</v>
      </c>
      <c r="C19" s="19" t="s">
        <v>79</v>
      </c>
      <c r="D19" s="19">
        <v>568.79999999999995</v>
      </c>
      <c r="E19" s="19">
        <v>2.4860000000000002</v>
      </c>
      <c r="F19" s="19">
        <v>0.39600000000000002</v>
      </c>
      <c r="G19" s="19">
        <v>0.25900000000000001</v>
      </c>
      <c r="H19" s="19">
        <v>22.696999999999999</v>
      </c>
      <c r="AA19" s="19" t="s">
        <v>176</v>
      </c>
    </row>
    <row r="20" spans="2:27" x14ac:dyDescent="0.2">
      <c r="B20" s="19">
        <v>46</v>
      </c>
      <c r="C20" s="19" t="s">
        <v>80</v>
      </c>
      <c r="D20" s="19">
        <v>595.70000000000005</v>
      </c>
      <c r="E20" s="19">
        <v>2.306</v>
      </c>
      <c r="F20" s="19">
        <v>0.437</v>
      </c>
      <c r="G20" s="19">
        <v>0.255</v>
      </c>
      <c r="H20" s="19">
        <v>25.451000000000001</v>
      </c>
      <c r="AA20" s="19" t="s">
        <v>177</v>
      </c>
    </row>
    <row r="21" spans="2:27" x14ac:dyDescent="0.2">
      <c r="B21" s="19">
        <v>56</v>
      </c>
      <c r="C21" s="19" t="s">
        <v>81</v>
      </c>
      <c r="D21" s="19">
        <v>618.5</v>
      </c>
      <c r="E21" s="19">
        <v>2.1230000000000002</v>
      </c>
      <c r="F21" s="19">
        <v>0.48399999999999999</v>
      </c>
      <c r="G21" s="19">
        <v>0.249</v>
      </c>
      <c r="H21" s="19">
        <v>28.216999999999999</v>
      </c>
      <c r="AA21" s="19" t="s">
        <v>178</v>
      </c>
    </row>
    <row r="22" spans="2:27" x14ac:dyDescent="0.2">
      <c r="B22" s="19">
        <v>64</v>
      </c>
      <c r="C22" s="19" t="s">
        <v>82</v>
      </c>
      <c r="D22" s="19">
        <v>658.2</v>
      </c>
      <c r="E22" s="19">
        <v>1.8240000000000001</v>
      </c>
      <c r="F22" s="19">
        <v>0.57499999999999996</v>
      </c>
      <c r="G22" s="19">
        <v>0.23799999999999999</v>
      </c>
      <c r="AA22" s="19" t="s">
        <v>179</v>
      </c>
    </row>
    <row r="23" spans="2:27" x14ac:dyDescent="0.2">
      <c r="B23" s="19">
        <v>66</v>
      </c>
      <c r="C23" s="19" t="s">
        <v>83</v>
      </c>
      <c r="D23" s="19">
        <v>696.9</v>
      </c>
      <c r="E23" s="19">
        <v>1.4379999999999999</v>
      </c>
      <c r="F23" s="19">
        <v>0.56999999999999995</v>
      </c>
      <c r="G23" s="19">
        <v>0.20300000000000001</v>
      </c>
      <c r="AA23" s="19" t="s">
        <v>180</v>
      </c>
    </row>
    <row r="24" spans="2:27" x14ac:dyDescent="0.2">
      <c r="B24" s="19">
        <v>68</v>
      </c>
      <c r="C24" s="19" t="s">
        <v>84</v>
      </c>
      <c r="D24" s="19">
        <v>720.6</v>
      </c>
      <c r="E24" s="19">
        <v>1.419</v>
      </c>
      <c r="F24" s="19">
        <v>0.747</v>
      </c>
      <c r="G24" s="19">
        <v>0.22</v>
      </c>
      <c r="H24" s="19">
        <v>44.539000000000001</v>
      </c>
      <c r="AA24" s="19" t="s">
        <v>181</v>
      </c>
    </row>
    <row r="25" spans="2:27" x14ac:dyDescent="0.2">
      <c r="B25" s="19" t="s">
        <v>85</v>
      </c>
      <c r="AA25" s="19" t="s">
        <v>182</v>
      </c>
    </row>
    <row r="26" spans="2:27" x14ac:dyDescent="0.2">
      <c r="B26" s="19">
        <v>104</v>
      </c>
      <c r="C26" s="19" t="s">
        <v>86</v>
      </c>
      <c r="D26" s="19">
        <v>511.8</v>
      </c>
      <c r="E26" s="19">
        <v>4.5019999999999998</v>
      </c>
      <c r="F26" s="19">
        <v>0.19400000000000001</v>
      </c>
      <c r="G26" s="19">
        <v>0.27300000000000002</v>
      </c>
      <c r="H26" s="19">
        <v>9.9740000000000002</v>
      </c>
      <c r="AA26" s="19" t="s">
        <v>183</v>
      </c>
    </row>
    <row r="27" spans="2:27" x14ac:dyDescent="0.2">
      <c r="B27" s="19">
        <v>105</v>
      </c>
      <c r="C27" s="19" t="s">
        <v>87</v>
      </c>
      <c r="D27" s="19">
        <v>532.79999999999995</v>
      </c>
      <c r="E27" s="19">
        <v>3.7850000000000001</v>
      </c>
      <c r="F27" s="19">
        <v>0.23</v>
      </c>
      <c r="G27" s="19">
        <v>0.27200000000000002</v>
      </c>
      <c r="AA27" s="19" t="s">
        <v>184</v>
      </c>
    </row>
    <row r="28" spans="2:27" x14ac:dyDescent="0.2">
      <c r="B28" s="19">
        <v>137</v>
      </c>
      <c r="C28" s="19" t="s">
        <v>88</v>
      </c>
      <c r="D28" s="19">
        <v>553.5</v>
      </c>
      <c r="E28" s="19">
        <v>4.0750000000000002</v>
      </c>
      <c r="F28" s="19">
        <v>0.215</v>
      </c>
      <c r="G28" s="19">
        <v>0.27300000000000002</v>
      </c>
      <c r="H28" s="19">
        <v>12.738</v>
      </c>
      <c r="AA28" s="19" t="s">
        <v>185</v>
      </c>
    </row>
    <row r="29" spans="2:27" x14ac:dyDescent="0.2">
      <c r="B29" s="19">
        <v>138</v>
      </c>
      <c r="C29" s="19" t="s">
        <v>89</v>
      </c>
      <c r="D29" s="19">
        <v>572.20000000000005</v>
      </c>
      <c r="E29" s="19">
        <v>3.4710000000000001</v>
      </c>
      <c r="F29" s="19">
        <v>0.23499999999999999</v>
      </c>
      <c r="G29" s="19">
        <v>0.26900000000000002</v>
      </c>
      <c r="H29" s="19">
        <v>16.25</v>
      </c>
      <c r="AA29" s="19" t="s">
        <v>186</v>
      </c>
    </row>
    <row r="30" spans="2:27" x14ac:dyDescent="0.2">
      <c r="B30" s="19" t="s">
        <v>90</v>
      </c>
      <c r="AA30" s="19" t="s">
        <v>187</v>
      </c>
    </row>
    <row r="31" spans="2:27" x14ac:dyDescent="0.2">
      <c r="B31" s="19">
        <v>201</v>
      </c>
      <c r="C31" s="19" t="s">
        <v>91</v>
      </c>
      <c r="D31" s="19">
        <v>282.39999999999998</v>
      </c>
      <c r="E31" s="19">
        <v>5.032</v>
      </c>
      <c r="F31" s="19">
        <v>8.5000000000000006E-2</v>
      </c>
      <c r="G31" s="19">
        <v>0.27700000000000002</v>
      </c>
      <c r="H31" s="19">
        <v>5.26</v>
      </c>
      <c r="AA31" s="19" t="s">
        <v>188</v>
      </c>
    </row>
    <row r="32" spans="2:27" x14ac:dyDescent="0.2">
      <c r="B32" s="19">
        <v>202</v>
      </c>
      <c r="C32" s="19" t="s">
        <v>92</v>
      </c>
      <c r="D32" s="19">
        <v>364.8</v>
      </c>
      <c r="E32" s="19">
        <v>4.6130000000000004</v>
      </c>
      <c r="F32" s="19">
        <v>0.14199999999999999</v>
      </c>
      <c r="G32" s="19">
        <v>0.27500000000000002</v>
      </c>
      <c r="H32" s="19">
        <v>7.6879999999999997</v>
      </c>
      <c r="AA32" s="19" t="s">
        <v>189</v>
      </c>
    </row>
    <row r="33" spans="2:27" x14ac:dyDescent="0.2">
      <c r="B33" s="19">
        <v>204</v>
      </c>
      <c r="C33" s="19" t="s">
        <v>93</v>
      </c>
      <c r="D33" s="19">
        <v>419.6</v>
      </c>
      <c r="E33" s="19">
        <v>4.0199999999999996</v>
      </c>
      <c r="F33" s="19">
        <v>0.187</v>
      </c>
      <c r="G33" s="19">
        <v>0.27600000000000002</v>
      </c>
      <c r="H33" s="19">
        <v>10.305999999999999</v>
      </c>
      <c r="AA33" s="19" t="s">
        <v>190</v>
      </c>
    </row>
    <row r="34" spans="2:27" x14ac:dyDescent="0.2">
      <c r="B34" s="19">
        <v>207</v>
      </c>
      <c r="C34" s="19" t="s">
        <v>94</v>
      </c>
      <c r="D34" s="19">
        <v>417.9</v>
      </c>
      <c r="E34" s="19">
        <v>3.9990000000000001</v>
      </c>
      <c r="F34" s="19">
        <v>0.189</v>
      </c>
      <c r="G34" s="19">
        <v>0.27500000000000002</v>
      </c>
      <c r="H34" s="19">
        <v>10.724</v>
      </c>
      <c r="AA34" s="19" t="s">
        <v>191</v>
      </c>
    </row>
    <row r="35" spans="2:27" x14ac:dyDescent="0.2">
      <c r="B35" s="19">
        <v>209</v>
      </c>
      <c r="C35" s="19" t="s">
        <v>95</v>
      </c>
      <c r="D35" s="19">
        <v>464.8</v>
      </c>
      <c r="E35" s="19">
        <v>3.5289999999999999</v>
      </c>
      <c r="F35" s="19">
        <v>0.23300000000000001</v>
      </c>
      <c r="G35" s="19">
        <v>0.27</v>
      </c>
      <c r="AA35" s="19" t="s">
        <v>192</v>
      </c>
    </row>
    <row r="36" spans="2:27" x14ac:dyDescent="0.2">
      <c r="B36" s="19">
        <v>401</v>
      </c>
      <c r="C36" s="19" t="s">
        <v>96</v>
      </c>
      <c r="D36" s="19">
        <v>308.3</v>
      </c>
      <c r="E36" s="19">
        <v>6.1390000000000002</v>
      </c>
      <c r="F36" s="19">
        <v>0.187</v>
      </c>
      <c r="G36" s="19">
        <v>0.27100000000000002</v>
      </c>
      <c r="H36" s="19">
        <v>5.32</v>
      </c>
      <c r="AA36" s="19" t="s">
        <v>193</v>
      </c>
    </row>
    <row r="37" spans="2:27" x14ac:dyDescent="0.2">
      <c r="B37" s="19">
        <v>303</v>
      </c>
      <c r="C37" s="19" t="s">
        <v>97</v>
      </c>
      <c r="D37" s="19">
        <v>425.4</v>
      </c>
      <c r="E37" s="19">
        <v>4.33</v>
      </c>
      <c r="F37" s="19">
        <v>0.193</v>
      </c>
      <c r="G37" s="19">
        <v>0.27</v>
      </c>
      <c r="H37" s="19">
        <v>9.56</v>
      </c>
      <c r="AA37" s="19" t="s">
        <v>194</v>
      </c>
    </row>
    <row r="38" spans="2:27" x14ac:dyDescent="0.2">
      <c r="B38" s="19">
        <v>309</v>
      </c>
      <c r="C38" s="19" t="s">
        <v>98</v>
      </c>
      <c r="D38" s="19">
        <v>484</v>
      </c>
      <c r="E38" s="19">
        <v>3.85</v>
      </c>
      <c r="F38" s="19">
        <v>0.158</v>
      </c>
      <c r="G38" s="19">
        <v>0.26400000000000001</v>
      </c>
      <c r="AA38" s="19" t="s">
        <v>195</v>
      </c>
    </row>
    <row r="39" spans="2:27" x14ac:dyDescent="0.2">
      <c r="B39" s="19" t="s">
        <v>99</v>
      </c>
      <c r="AA39" s="19" t="s">
        <v>196</v>
      </c>
    </row>
    <row r="40" spans="2:27" x14ac:dyDescent="0.2">
      <c r="B40" s="19">
        <v>501</v>
      </c>
      <c r="C40" s="19" t="s">
        <v>100</v>
      </c>
      <c r="D40" s="19">
        <v>562.20000000000005</v>
      </c>
      <c r="E40" s="19">
        <v>4.8979999999999997</v>
      </c>
      <c r="F40" s="19">
        <v>0.21099999999999999</v>
      </c>
      <c r="G40" s="19">
        <v>0.27100000000000002</v>
      </c>
      <c r="H40" s="19">
        <v>9.8219999999999992</v>
      </c>
      <c r="AA40" s="19" t="s">
        <v>197</v>
      </c>
    </row>
    <row r="41" spans="2:27" x14ac:dyDescent="0.2">
      <c r="B41" s="19">
        <v>502</v>
      </c>
      <c r="C41" s="19" t="s">
        <v>101</v>
      </c>
      <c r="D41" s="19">
        <v>591.79999999999995</v>
      </c>
      <c r="E41" s="19">
        <v>4.109</v>
      </c>
      <c r="F41" s="19">
        <v>0.26400000000000001</v>
      </c>
      <c r="G41" s="19">
        <v>0.26400000000000001</v>
      </c>
      <c r="H41" s="19">
        <v>12.484999999999999</v>
      </c>
      <c r="AA41" s="19" t="s">
        <v>198</v>
      </c>
    </row>
    <row r="42" spans="2:27" x14ac:dyDescent="0.2">
      <c r="B42" s="19">
        <v>504</v>
      </c>
      <c r="C42" s="19" t="s">
        <v>102</v>
      </c>
      <c r="D42" s="19">
        <v>617.20000000000005</v>
      </c>
      <c r="E42" s="19">
        <v>3.609</v>
      </c>
      <c r="F42" s="19">
        <v>0.30399999999999999</v>
      </c>
      <c r="G42" s="19">
        <v>0.26300000000000001</v>
      </c>
      <c r="H42" s="19">
        <v>15.444000000000001</v>
      </c>
      <c r="AA42" s="19" t="s">
        <v>199</v>
      </c>
    </row>
    <row r="43" spans="2:27" x14ac:dyDescent="0.2">
      <c r="B43" s="19">
        <v>505</v>
      </c>
      <c r="C43" s="19" t="s">
        <v>103</v>
      </c>
      <c r="D43" s="19">
        <v>630.4</v>
      </c>
      <c r="E43" s="19">
        <v>3.734</v>
      </c>
      <c r="F43" s="19">
        <v>0.313</v>
      </c>
      <c r="G43" s="19">
        <v>0.26300000000000001</v>
      </c>
      <c r="H43" s="19">
        <v>16.033000000000001</v>
      </c>
      <c r="AA43" s="19" t="s">
        <v>200</v>
      </c>
    </row>
    <row r="44" spans="2:27" x14ac:dyDescent="0.2">
      <c r="B44" s="19">
        <v>506</v>
      </c>
      <c r="C44" s="19" t="s">
        <v>104</v>
      </c>
      <c r="D44" s="19">
        <v>617.1</v>
      </c>
      <c r="E44" s="19">
        <v>3.5409999999999999</v>
      </c>
      <c r="F44" s="19">
        <v>0.32600000000000001</v>
      </c>
      <c r="G44" s="19">
        <v>0.25900000000000001</v>
      </c>
      <c r="H44" s="19">
        <v>15.348000000000001</v>
      </c>
      <c r="AA44" s="19" t="s">
        <v>201</v>
      </c>
    </row>
    <row r="45" spans="2:27" x14ac:dyDescent="0.2">
      <c r="B45" s="19">
        <v>507</v>
      </c>
      <c r="C45" s="19" t="s">
        <v>105</v>
      </c>
      <c r="D45" s="19">
        <v>616.29999999999995</v>
      </c>
      <c r="E45" s="19">
        <v>3.5110000000000001</v>
      </c>
      <c r="F45" s="19">
        <v>0.32600000000000001</v>
      </c>
      <c r="G45" s="19">
        <v>0.26</v>
      </c>
      <c r="H45" s="19">
        <v>15.263</v>
      </c>
      <c r="AA45" s="19" t="s">
        <v>202</v>
      </c>
    </row>
    <row r="46" spans="2:27" x14ac:dyDescent="0.2">
      <c r="B46" s="19">
        <v>510</v>
      </c>
      <c r="C46" s="19" t="s">
        <v>106</v>
      </c>
      <c r="D46" s="19">
        <v>631.20000000000005</v>
      </c>
      <c r="E46" s="19">
        <v>3.2090000000000001</v>
      </c>
      <c r="F46" s="19">
        <v>0.33800000000000002</v>
      </c>
      <c r="G46" s="19">
        <v>0.26200000000000001</v>
      </c>
      <c r="H46" s="19">
        <v>18.245999999999999</v>
      </c>
      <c r="AA46" s="19" t="s">
        <v>203</v>
      </c>
    </row>
    <row r="47" spans="2:27" x14ac:dyDescent="0.2">
      <c r="B47" s="19">
        <v>558</v>
      </c>
      <c r="C47" s="19" t="s">
        <v>107</v>
      </c>
      <c r="D47" s="19">
        <v>789.3</v>
      </c>
      <c r="E47" s="19">
        <v>3.847</v>
      </c>
      <c r="F47" s="19">
        <v>0.36599999999999999</v>
      </c>
      <c r="G47" s="19">
        <v>0.29399999999999998</v>
      </c>
      <c r="H47" s="19">
        <v>19.521000000000001</v>
      </c>
      <c r="AA47" s="19" t="s">
        <v>204</v>
      </c>
    </row>
    <row r="48" spans="2:27" x14ac:dyDescent="0.2">
      <c r="B48" s="19">
        <v>563</v>
      </c>
      <c r="C48" s="19" t="s">
        <v>108</v>
      </c>
      <c r="D48" s="19">
        <v>768</v>
      </c>
      <c r="E48" s="19">
        <v>2.92</v>
      </c>
      <c r="F48" s="19">
        <v>0.46100000000000002</v>
      </c>
      <c r="G48" s="19">
        <v>0.25</v>
      </c>
      <c r="AA48" s="19" t="s">
        <v>205</v>
      </c>
    </row>
    <row r="49" spans="2:27" x14ac:dyDescent="0.2">
      <c r="B49" s="19">
        <v>701</v>
      </c>
      <c r="C49" s="19" t="s">
        <v>109</v>
      </c>
      <c r="D49" s="19">
        <v>748.4</v>
      </c>
      <c r="E49" s="19">
        <v>4.0510000000000002</v>
      </c>
      <c r="F49" s="19">
        <v>0.30199999999999999</v>
      </c>
      <c r="G49" s="19">
        <v>0.26900000000000002</v>
      </c>
      <c r="H49" s="19">
        <v>16.033000000000001</v>
      </c>
      <c r="AA49" s="19" t="s">
        <v>113</v>
      </c>
    </row>
    <row r="50" spans="2:27" x14ac:dyDescent="0.2">
      <c r="B50" s="19">
        <v>702</v>
      </c>
      <c r="C50" s="19" t="s">
        <v>110</v>
      </c>
      <c r="D50" s="19">
        <v>772</v>
      </c>
      <c r="E50" s="19">
        <v>3.65</v>
      </c>
      <c r="F50" s="19">
        <v>0.29199999999999998</v>
      </c>
      <c r="G50" s="19">
        <v>0.29699999999999999</v>
      </c>
      <c r="AA50" s="19" t="s">
        <v>206</v>
      </c>
    </row>
    <row r="51" spans="2:27" x14ac:dyDescent="0.2">
      <c r="B51" s="19">
        <v>706</v>
      </c>
      <c r="C51" s="19" t="s">
        <v>111</v>
      </c>
      <c r="D51" s="19">
        <v>720.2</v>
      </c>
      <c r="E51" s="19">
        <v>3.3</v>
      </c>
      <c r="F51" s="19">
        <v>0.28599999999999998</v>
      </c>
      <c r="G51" s="19">
        <v>0.24299999999999999</v>
      </c>
      <c r="H51" s="19">
        <v>18.631</v>
      </c>
      <c r="AA51" s="19" t="s">
        <v>207</v>
      </c>
    </row>
    <row r="52" spans="2:27" x14ac:dyDescent="0.2">
      <c r="B52" s="19" t="s">
        <v>112</v>
      </c>
      <c r="C52" s="19" t="s">
        <v>113</v>
      </c>
      <c r="AA52" s="19" t="s">
        <v>208</v>
      </c>
    </row>
    <row r="53" spans="2:27" x14ac:dyDescent="0.2">
      <c r="B53" s="19">
        <v>1101</v>
      </c>
      <c r="C53" s="19" t="s">
        <v>114</v>
      </c>
      <c r="D53" s="19">
        <v>512.6</v>
      </c>
      <c r="E53" s="19">
        <v>8.0960000000000001</v>
      </c>
      <c r="F53" s="19">
        <v>0.56599999999999995</v>
      </c>
      <c r="G53" s="19">
        <v>0.224</v>
      </c>
      <c r="H53" s="19">
        <v>5.2830000000000004</v>
      </c>
      <c r="AA53" s="19" t="s">
        <v>209</v>
      </c>
    </row>
    <row r="54" spans="2:27" x14ac:dyDescent="0.2">
      <c r="B54" s="19">
        <v>1102</v>
      </c>
      <c r="C54" s="19" t="s">
        <v>115</v>
      </c>
      <c r="D54" s="19">
        <v>516.4</v>
      </c>
      <c r="E54" s="19">
        <v>6.3840000000000003</v>
      </c>
      <c r="F54" s="19">
        <v>0.63700000000000001</v>
      </c>
      <c r="G54" s="19">
        <v>0.248</v>
      </c>
      <c r="H54" s="19">
        <v>7.8789999999999996</v>
      </c>
      <c r="AA54" s="19" t="s">
        <v>210</v>
      </c>
    </row>
    <row r="55" spans="2:27" x14ac:dyDescent="0.2">
      <c r="B55" s="19">
        <v>1103</v>
      </c>
      <c r="C55" s="19" t="s">
        <v>116</v>
      </c>
      <c r="D55" s="19">
        <v>536.70000000000005</v>
      </c>
      <c r="E55" s="19">
        <v>5.17</v>
      </c>
      <c r="F55" s="19">
        <v>0.628</v>
      </c>
      <c r="G55" s="19">
        <v>0.253</v>
      </c>
      <c r="H55" s="19">
        <v>10.496</v>
      </c>
      <c r="AA55" s="19" t="s">
        <v>211</v>
      </c>
    </row>
    <row r="56" spans="2:27" x14ac:dyDescent="0.2">
      <c r="B56" s="19">
        <v>1104</v>
      </c>
      <c r="C56" s="19" t="s">
        <v>117</v>
      </c>
      <c r="D56" s="19">
        <v>508.3</v>
      </c>
      <c r="E56" s="19">
        <v>4.7640000000000002</v>
      </c>
      <c r="F56" s="19">
        <v>0.66900000000000004</v>
      </c>
      <c r="G56" s="19">
        <v>0.248</v>
      </c>
      <c r="H56" s="19">
        <v>10.69</v>
      </c>
      <c r="AA56" s="19" t="s">
        <v>212</v>
      </c>
    </row>
    <row r="57" spans="2:27" x14ac:dyDescent="0.2">
      <c r="B57" s="19">
        <v>1105</v>
      </c>
      <c r="C57" s="19" t="s">
        <v>118</v>
      </c>
      <c r="D57" s="19">
        <v>562.9</v>
      </c>
      <c r="E57" s="19">
        <v>4.4119999999999999</v>
      </c>
      <c r="F57" s="19">
        <v>0.59399999999999997</v>
      </c>
      <c r="G57" s="19">
        <v>0.25900000000000001</v>
      </c>
      <c r="AA57" s="19" t="s">
        <v>213</v>
      </c>
    </row>
    <row r="58" spans="2:27" x14ac:dyDescent="0.2">
      <c r="B58" s="19">
        <v>1107</v>
      </c>
      <c r="C58" s="19" t="s">
        <v>119</v>
      </c>
      <c r="D58" s="19">
        <v>547.70000000000005</v>
      </c>
      <c r="E58" s="19">
        <v>4.2949999999999999</v>
      </c>
      <c r="F58" s="19">
        <v>0.58899999999999997</v>
      </c>
      <c r="G58" s="19">
        <v>0.25700000000000001</v>
      </c>
      <c r="AA58" s="19" t="s">
        <v>214</v>
      </c>
    </row>
    <row r="59" spans="2:27" x14ac:dyDescent="0.2">
      <c r="B59" s="19">
        <v>1479</v>
      </c>
      <c r="C59" s="19" t="s">
        <v>120</v>
      </c>
      <c r="D59" s="19">
        <v>501.1</v>
      </c>
      <c r="E59" s="19">
        <v>5.19</v>
      </c>
      <c r="F59" s="19">
        <v>0.217</v>
      </c>
      <c r="G59" s="19">
        <v>0.25900000000000001</v>
      </c>
      <c r="AA59" s="19" t="s">
        <v>215</v>
      </c>
    </row>
    <row r="60" spans="2:27" x14ac:dyDescent="0.2">
      <c r="B60" s="19" t="s">
        <v>121</v>
      </c>
      <c r="C60" s="19" t="s">
        <v>122</v>
      </c>
      <c r="D60" s="19">
        <v>466.7</v>
      </c>
      <c r="E60" s="19">
        <v>3.59</v>
      </c>
      <c r="F60" s="19">
        <v>0.28100000000000003</v>
      </c>
      <c r="G60" s="19">
        <v>0.26200000000000001</v>
      </c>
      <c r="H60" s="19">
        <v>13.531000000000001</v>
      </c>
      <c r="AA60" s="19" t="s">
        <v>216</v>
      </c>
    </row>
    <row r="61" spans="2:27" x14ac:dyDescent="0.2">
      <c r="B61" s="19" t="s">
        <v>123</v>
      </c>
      <c r="C61" s="19" t="s">
        <v>124</v>
      </c>
      <c r="D61" s="19">
        <v>469</v>
      </c>
      <c r="E61" s="19">
        <v>7.1</v>
      </c>
      <c r="F61" s="19">
        <v>0.2</v>
      </c>
      <c r="G61" s="19">
        <v>0.25800000000000001</v>
      </c>
      <c r="AA61" s="19" t="s">
        <v>217</v>
      </c>
    </row>
    <row r="62" spans="2:27" x14ac:dyDescent="0.2">
      <c r="B62" s="19" t="s">
        <v>121</v>
      </c>
      <c r="C62" s="19" t="s">
        <v>125</v>
      </c>
      <c r="D62" s="19">
        <v>535.6</v>
      </c>
      <c r="E62" s="19">
        <v>4.0999999999999996</v>
      </c>
      <c r="F62" s="19">
        <v>0.32900000000000001</v>
      </c>
      <c r="G62" s="19">
        <v>0.249</v>
      </c>
      <c r="H62" s="19">
        <v>12.557</v>
      </c>
      <c r="AA62" s="19" t="s">
        <v>218</v>
      </c>
    </row>
    <row r="63" spans="2:27" x14ac:dyDescent="0.2">
      <c r="B63" s="19" t="s">
        <v>126</v>
      </c>
      <c r="AA63" s="19" t="s">
        <v>219</v>
      </c>
    </row>
    <row r="64" spans="2:27" x14ac:dyDescent="0.2">
      <c r="C64" s="19" t="s">
        <v>127</v>
      </c>
      <c r="D64" s="19">
        <v>385</v>
      </c>
      <c r="E64" s="19">
        <v>4.07</v>
      </c>
      <c r="F64" s="19">
        <v>0.17599999999999999</v>
      </c>
      <c r="G64" s="19">
        <v>0.28000000000000003</v>
      </c>
      <c r="AA64" s="19" t="s">
        <v>220</v>
      </c>
    </row>
    <row r="65" spans="2:27" x14ac:dyDescent="0.2">
      <c r="C65" s="19" t="s">
        <v>128</v>
      </c>
      <c r="D65" s="19">
        <v>369.8</v>
      </c>
      <c r="E65" s="19">
        <v>4.97</v>
      </c>
      <c r="F65" s="19">
        <v>0.221</v>
      </c>
      <c r="G65" s="19">
        <v>0.26800000000000002</v>
      </c>
      <c r="AA65" s="19" t="s">
        <v>221</v>
      </c>
    </row>
    <row r="66" spans="2:27" x14ac:dyDescent="0.2">
      <c r="C66" s="19" t="s">
        <v>129</v>
      </c>
      <c r="D66" s="19">
        <v>471.2</v>
      </c>
      <c r="E66" s="19">
        <v>4.3499999999999996</v>
      </c>
      <c r="F66" s="19">
        <v>0.188</v>
      </c>
      <c r="G66" s="19">
        <v>0.27900000000000003</v>
      </c>
      <c r="AA66" s="19" t="s">
        <v>222</v>
      </c>
    </row>
    <row r="67" spans="2:27" x14ac:dyDescent="0.2">
      <c r="C67" s="19" t="s">
        <v>130</v>
      </c>
      <c r="D67" s="19">
        <v>487.2</v>
      </c>
      <c r="E67" s="19">
        <v>3.37</v>
      </c>
      <c r="F67" s="19">
        <v>0.252</v>
      </c>
      <c r="G67" s="19">
        <v>0.25600000000000001</v>
      </c>
      <c r="AA67" s="19" t="s">
        <v>223</v>
      </c>
    </row>
    <row r="68" spans="2:27" x14ac:dyDescent="0.2">
      <c r="C68" s="19" t="s">
        <v>131</v>
      </c>
      <c r="D68" s="19">
        <v>416.3</v>
      </c>
      <c r="E68" s="19">
        <v>6.59</v>
      </c>
      <c r="F68" s="19">
        <v>0.156</v>
      </c>
      <c r="G68" s="19">
        <v>0.26800000000000002</v>
      </c>
      <c r="AA68" s="19" t="s">
        <v>224</v>
      </c>
    </row>
    <row r="69" spans="2:27" x14ac:dyDescent="0.2">
      <c r="C69" s="19" t="s">
        <v>132</v>
      </c>
      <c r="D69" s="19">
        <v>536.4</v>
      </c>
      <c r="E69" s="19">
        <v>5.4</v>
      </c>
      <c r="F69" s="19">
        <v>0.216</v>
      </c>
      <c r="G69" s="19">
        <v>0.29299999999999998</v>
      </c>
      <c r="AA69" s="19" t="s">
        <v>225</v>
      </c>
    </row>
    <row r="70" spans="2:27" x14ac:dyDescent="0.2">
      <c r="C70" s="19" t="s">
        <v>133</v>
      </c>
      <c r="D70" s="19">
        <v>556.4</v>
      </c>
      <c r="E70" s="19">
        <v>4.5</v>
      </c>
      <c r="F70" s="19">
        <v>0.19400000000000001</v>
      </c>
      <c r="G70" s="19">
        <v>0.27200000000000002</v>
      </c>
      <c r="AA70" s="19" t="s">
        <v>226</v>
      </c>
    </row>
    <row r="71" spans="2:27" x14ac:dyDescent="0.2">
      <c r="C71" s="19" t="s">
        <v>134</v>
      </c>
      <c r="D71" s="19">
        <v>632.4</v>
      </c>
      <c r="E71" s="19">
        <v>4.46</v>
      </c>
      <c r="F71" s="19">
        <v>0.249</v>
      </c>
      <c r="G71" s="19">
        <v>0.26500000000000001</v>
      </c>
      <c r="AA71" s="19" t="s">
        <v>227</v>
      </c>
    </row>
    <row r="72" spans="2:27" x14ac:dyDescent="0.2">
      <c r="B72" s="19" t="s">
        <v>135</v>
      </c>
      <c r="AA72" s="19" t="s">
        <v>228</v>
      </c>
    </row>
    <row r="73" spans="2:27" x14ac:dyDescent="0.2">
      <c r="B73" s="19">
        <v>914</v>
      </c>
      <c r="C73" s="19" t="s">
        <v>136</v>
      </c>
      <c r="D73" s="19">
        <v>150.9</v>
      </c>
      <c r="E73" s="19">
        <v>4.8979999999999997</v>
      </c>
      <c r="F73" s="19">
        <v>-4.0000000000000001E-3</v>
      </c>
      <c r="G73" s="19">
        <v>0.29099999999999998</v>
      </c>
      <c r="H73" s="19">
        <v>2.4990000000000001</v>
      </c>
      <c r="AA73" s="19" t="s">
        <v>229</v>
      </c>
    </row>
    <row r="74" spans="2:27" x14ac:dyDescent="0.2">
      <c r="B74" s="19">
        <v>922</v>
      </c>
      <c r="C74" s="19" t="s">
        <v>137</v>
      </c>
      <c r="D74" s="19">
        <v>584.20000000000005</v>
      </c>
      <c r="E74" s="19">
        <v>10.335000000000001</v>
      </c>
      <c r="F74" s="19">
        <v>0.11899999999999999</v>
      </c>
      <c r="G74" s="19">
        <v>0.28699999999999998</v>
      </c>
      <c r="AA74" s="19" t="s">
        <v>230</v>
      </c>
    </row>
    <row r="75" spans="2:27" x14ac:dyDescent="0.2">
      <c r="B75" s="19">
        <v>918</v>
      </c>
      <c r="C75" s="19" t="s">
        <v>138</v>
      </c>
      <c r="D75" s="19">
        <v>417.2</v>
      </c>
      <c r="E75" s="19">
        <v>7.7110000000000003</v>
      </c>
      <c r="F75" s="19">
        <v>6.9000000000000006E-2</v>
      </c>
      <c r="G75" s="19">
        <v>0.27500000000000002</v>
      </c>
      <c r="AA75" s="19" t="s">
        <v>231</v>
      </c>
    </row>
    <row r="76" spans="2:27" x14ac:dyDescent="0.2">
      <c r="B76" s="19">
        <v>913</v>
      </c>
      <c r="C76" s="19" t="s">
        <v>139</v>
      </c>
      <c r="D76" s="19">
        <v>5.2</v>
      </c>
      <c r="E76" s="19">
        <v>0.22800000000000001</v>
      </c>
      <c r="F76" s="19">
        <v>0</v>
      </c>
      <c r="G76" s="19">
        <v>0.30199999999999999</v>
      </c>
      <c r="H76" s="19">
        <v>2.5009999999999999</v>
      </c>
      <c r="AA76" s="19" t="s">
        <v>232</v>
      </c>
    </row>
    <row r="77" spans="2:27" x14ac:dyDescent="0.2">
      <c r="B77" s="19">
        <v>920</v>
      </c>
      <c r="C77" s="19" t="s">
        <v>140</v>
      </c>
      <c r="D77" s="19">
        <v>209.4</v>
      </c>
      <c r="E77" s="19">
        <v>5.5019999999999998</v>
      </c>
      <c r="F77" s="19">
        <v>1E-3</v>
      </c>
      <c r="G77" s="19">
        <v>0.28799999999999998</v>
      </c>
      <c r="AA77" s="19" t="s">
        <v>233</v>
      </c>
    </row>
    <row r="78" spans="2:27" x14ac:dyDescent="0.2">
      <c r="B78" s="19">
        <v>919</v>
      </c>
      <c r="C78" s="19" t="s">
        <v>141</v>
      </c>
      <c r="D78" s="19">
        <v>44.4</v>
      </c>
      <c r="E78" s="19">
        <v>2.653</v>
      </c>
      <c r="F78" s="19">
        <v>-4.1000000000000002E-2</v>
      </c>
      <c r="G78" s="19">
        <v>0.3</v>
      </c>
      <c r="AA78" s="19" t="s">
        <v>234</v>
      </c>
    </row>
    <row r="79" spans="2:27" x14ac:dyDescent="0.2">
      <c r="B79" s="19">
        <v>959</v>
      </c>
      <c r="C79" s="19" t="s">
        <v>142</v>
      </c>
      <c r="D79" s="19">
        <v>289.7</v>
      </c>
      <c r="E79" s="19">
        <v>5.84</v>
      </c>
      <c r="F79" s="19">
        <v>1.2E-2</v>
      </c>
      <c r="G79" s="19">
        <v>0.28599999999999998</v>
      </c>
      <c r="AA79" s="19" t="s">
        <v>235</v>
      </c>
    </row>
    <row r="80" spans="2:27" x14ac:dyDescent="0.2">
      <c r="B80" s="19">
        <v>912</v>
      </c>
      <c r="C80" s="19" t="s">
        <v>143</v>
      </c>
      <c r="D80" s="19">
        <v>180.2</v>
      </c>
      <c r="E80" s="19">
        <v>6.4850000000000003</v>
      </c>
      <c r="F80" s="19">
        <v>0.58499999999999996</v>
      </c>
      <c r="G80" s="19">
        <v>0.25</v>
      </c>
      <c r="H80" s="19">
        <v>3.5880000000000001</v>
      </c>
      <c r="AA80" s="19" t="s">
        <v>236</v>
      </c>
    </row>
    <row r="81" spans="2:27" x14ac:dyDescent="0.2">
      <c r="B81" s="19">
        <v>899</v>
      </c>
      <c r="C81" s="19" t="s">
        <v>144</v>
      </c>
      <c r="D81" s="19">
        <v>309.60000000000002</v>
      </c>
      <c r="E81" s="19">
        <v>7.2450000000000001</v>
      </c>
      <c r="F81" s="19">
        <v>0.14199999999999999</v>
      </c>
      <c r="G81" s="19">
        <v>0.27400000000000002</v>
      </c>
      <c r="H81" s="19">
        <v>4.633</v>
      </c>
      <c r="AA81" s="19" t="s">
        <v>237</v>
      </c>
    </row>
    <row r="82" spans="2:27" x14ac:dyDescent="0.2">
      <c r="B82" s="19">
        <v>910</v>
      </c>
      <c r="C82" s="19" t="s">
        <v>145</v>
      </c>
      <c r="D82" s="19">
        <v>430.8</v>
      </c>
      <c r="E82" s="19">
        <v>7.8840000000000003</v>
      </c>
      <c r="F82" s="19">
        <v>0.245</v>
      </c>
      <c r="G82" s="19">
        <v>0.26900000000000002</v>
      </c>
      <c r="H82" s="19">
        <v>4.7960000000000003</v>
      </c>
      <c r="AA82" s="19" t="s">
        <v>238</v>
      </c>
    </row>
    <row r="83" spans="2:27" x14ac:dyDescent="0.2">
      <c r="B83" s="19">
        <v>911</v>
      </c>
      <c r="C83" s="19" t="s">
        <v>146</v>
      </c>
      <c r="D83" s="19">
        <v>490.9</v>
      </c>
      <c r="E83" s="19">
        <v>8.2070000000000007</v>
      </c>
      <c r="F83" s="19">
        <v>0.42199999999999999</v>
      </c>
      <c r="G83" s="19">
        <v>0.25600000000000001</v>
      </c>
      <c r="H83" s="19">
        <v>6.1109999999999998</v>
      </c>
      <c r="AA83" s="19" t="s">
        <v>239</v>
      </c>
    </row>
    <row r="84" spans="2:27" x14ac:dyDescent="0.2">
      <c r="B84" s="19">
        <v>901</v>
      </c>
      <c r="C84" s="19" t="s">
        <v>147</v>
      </c>
      <c r="D84" s="19">
        <v>154.6</v>
      </c>
      <c r="E84" s="19">
        <v>5.0430000000000001</v>
      </c>
      <c r="F84" s="19">
        <v>2.1999999999999999E-2</v>
      </c>
      <c r="G84" s="19">
        <v>0.28799999999999998</v>
      </c>
      <c r="H84" s="19">
        <v>3.5289999999999999</v>
      </c>
      <c r="AA84" s="19" t="s">
        <v>240</v>
      </c>
    </row>
    <row r="85" spans="2:27" x14ac:dyDescent="0.2">
      <c r="B85" s="19">
        <v>902</v>
      </c>
      <c r="C85" s="19" t="s">
        <v>148</v>
      </c>
      <c r="D85" s="19">
        <v>33.299999999999997</v>
      </c>
      <c r="E85" s="19">
        <v>1.2969999999999999</v>
      </c>
      <c r="F85" s="19">
        <v>-0.215</v>
      </c>
      <c r="G85" s="19">
        <v>0.3</v>
      </c>
      <c r="H85" s="19">
        <v>3.5070000000000001</v>
      </c>
      <c r="AA85" s="19" t="s">
        <v>241</v>
      </c>
    </row>
    <row r="86" spans="2:27" x14ac:dyDescent="0.2">
      <c r="B86" s="19">
        <v>905</v>
      </c>
      <c r="C86" s="19" t="s">
        <v>149</v>
      </c>
      <c r="D86" s="19">
        <v>126.1</v>
      </c>
      <c r="E86" s="19">
        <v>3.3940000000000001</v>
      </c>
      <c r="F86" s="19">
        <v>0.04</v>
      </c>
      <c r="G86" s="19">
        <v>0.29199999999999998</v>
      </c>
      <c r="H86" s="19">
        <v>3.5</v>
      </c>
      <c r="AA86" s="19" t="s">
        <v>242</v>
      </c>
    </row>
    <row r="87" spans="2:27" x14ac:dyDescent="0.2">
      <c r="B87" s="19">
        <v>908</v>
      </c>
      <c r="C87" s="19" t="s">
        <v>150</v>
      </c>
      <c r="D87" s="19">
        <v>132.9</v>
      </c>
      <c r="E87" s="19">
        <v>3.4990000000000001</v>
      </c>
      <c r="F87" s="19">
        <v>6.6000000000000003E-2</v>
      </c>
      <c r="G87" s="19">
        <v>0.29499999999999998</v>
      </c>
      <c r="H87" s="19">
        <v>3.5049999999999999</v>
      </c>
      <c r="AA87" s="19" t="s">
        <v>243</v>
      </c>
    </row>
    <row r="88" spans="2:27" x14ac:dyDescent="0.2">
      <c r="B88" s="19">
        <v>909</v>
      </c>
      <c r="C88" s="19" t="s">
        <v>151</v>
      </c>
      <c r="D88" s="19">
        <v>304.2</v>
      </c>
      <c r="E88" s="19">
        <v>7.3819999999999997</v>
      </c>
      <c r="F88" s="19">
        <v>0.22800000000000001</v>
      </c>
      <c r="G88" s="19">
        <v>0.27400000000000002</v>
      </c>
      <c r="H88" s="19">
        <v>4.4560000000000004</v>
      </c>
      <c r="AA88" s="19" t="s">
        <v>244</v>
      </c>
    </row>
    <row r="89" spans="2:27" x14ac:dyDescent="0.2">
      <c r="B89" s="19" t="s">
        <v>152</v>
      </c>
      <c r="AA89" s="19" t="s">
        <v>245</v>
      </c>
    </row>
    <row r="90" spans="2:27" x14ac:dyDescent="0.2">
      <c r="B90" s="19">
        <v>1922</v>
      </c>
      <c r="C90" s="19" t="s">
        <v>153</v>
      </c>
      <c r="D90" s="19">
        <v>373.5</v>
      </c>
      <c r="E90" s="19">
        <v>8.9369999999999994</v>
      </c>
      <c r="F90" s="19">
        <v>8.1000000000000003E-2</v>
      </c>
      <c r="G90" s="19">
        <v>0.28299999999999997</v>
      </c>
      <c r="AA90" s="19" t="s">
        <v>246</v>
      </c>
    </row>
    <row r="91" spans="2:27" x14ac:dyDescent="0.2">
      <c r="B91" s="19" t="s">
        <v>121</v>
      </c>
      <c r="C91" s="19" t="s">
        <v>154</v>
      </c>
      <c r="D91" s="19">
        <v>552</v>
      </c>
      <c r="E91" s="19">
        <v>7.8</v>
      </c>
      <c r="F91" s="19">
        <v>0.115</v>
      </c>
      <c r="G91" s="19">
        <v>0.29299999999999998</v>
      </c>
      <c r="H91" s="19">
        <v>4.109</v>
      </c>
      <c r="AA91" s="19" t="s">
        <v>247</v>
      </c>
    </row>
    <row r="92" spans="2:27" x14ac:dyDescent="0.2">
      <c r="B92" s="19" t="s">
        <v>121</v>
      </c>
      <c r="C92" s="19" t="s">
        <v>155</v>
      </c>
      <c r="D92" s="19">
        <v>653</v>
      </c>
      <c r="E92" s="19">
        <v>14.5</v>
      </c>
      <c r="F92" s="19">
        <v>0.32800000000000001</v>
      </c>
      <c r="G92" s="19">
        <v>0.26</v>
      </c>
      <c r="H92" s="19">
        <v>5.47</v>
      </c>
      <c r="AA92" s="19" t="s">
        <v>248</v>
      </c>
    </row>
    <row r="93" spans="2:27" x14ac:dyDescent="0.2">
      <c r="B93" s="19" t="s">
        <v>121</v>
      </c>
      <c r="C93" s="19" t="s">
        <v>156</v>
      </c>
      <c r="D93" s="19">
        <v>324.60000000000002</v>
      </c>
      <c r="E93" s="19">
        <v>8.1999999999999993</v>
      </c>
      <c r="F93" s="19">
        <v>0.12</v>
      </c>
      <c r="G93" s="19">
        <v>0.249</v>
      </c>
      <c r="AA93" s="19" t="s">
        <v>249</v>
      </c>
    </row>
    <row r="94" spans="2:27" x14ac:dyDescent="0.2">
      <c r="B94" s="19" t="s">
        <v>121</v>
      </c>
      <c r="C94" s="19" t="s">
        <v>157</v>
      </c>
      <c r="D94" s="19">
        <v>456.8</v>
      </c>
      <c r="E94" s="19">
        <v>5.32</v>
      </c>
      <c r="F94" s="19">
        <v>0.40699999999999997</v>
      </c>
      <c r="G94" s="19">
        <v>0.19700000000000001</v>
      </c>
    </row>
    <row r="95" spans="2:27" x14ac:dyDescent="0.2">
      <c r="B95" s="19" t="s">
        <v>158</v>
      </c>
      <c r="AA95"/>
    </row>
    <row r="96" spans="2:27" x14ac:dyDescent="0.2">
      <c r="B96" s="19">
        <v>1051</v>
      </c>
      <c r="C96" s="19" t="s">
        <v>159</v>
      </c>
      <c r="D96" s="19">
        <v>508.2</v>
      </c>
      <c r="E96" s="19">
        <v>4.7009999999999996</v>
      </c>
      <c r="F96" s="19">
        <v>0.30599999999999999</v>
      </c>
      <c r="G96" s="19">
        <v>0.23300000000000001</v>
      </c>
      <c r="H96" s="19">
        <v>8.9600000000000009</v>
      </c>
      <c r="AA96"/>
    </row>
    <row r="97" spans="2:27" x14ac:dyDescent="0.2">
      <c r="B97" s="19">
        <v>1772</v>
      </c>
      <c r="C97" s="19" t="s">
        <v>160</v>
      </c>
      <c r="D97" s="19">
        <v>545.5</v>
      </c>
      <c r="E97" s="19">
        <v>4.8330000000000002</v>
      </c>
      <c r="F97" s="19">
        <v>0.35299999999999998</v>
      </c>
      <c r="G97" s="19">
        <v>0.184</v>
      </c>
      <c r="AA97"/>
    </row>
    <row r="98" spans="2:27" x14ac:dyDescent="0.2">
      <c r="B98" s="19">
        <v>1251</v>
      </c>
      <c r="C98" s="19" t="s">
        <v>161</v>
      </c>
      <c r="D98" s="19">
        <v>592.70000000000005</v>
      </c>
      <c r="E98" s="19">
        <v>5.7859999999999996</v>
      </c>
      <c r="F98" s="19">
        <v>0.46200000000000002</v>
      </c>
      <c r="G98" s="19">
        <v>0.2</v>
      </c>
      <c r="H98" s="19">
        <v>15.010999999999999</v>
      </c>
      <c r="AA98"/>
    </row>
    <row r="99" spans="2:27" x14ac:dyDescent="0.2">
      <c r="B99" s="19">
        <v>1911</v>
      </c>
      <c r="C99" s="19" t="s">
        <v>162</v>
      </c>
      <c r="D99" s="19">
        <v>406.6</v>
      </c>
      <c r="E99" s="19">
        <v>11.27</v>
      </c>
      <c r="F99" s="19">
        <v>0.252</v>
      </c>
      <c r="G99" s="19">
        <v>0.24199999999999999</v>
      </c>
      <c r="H99" s="19">
        <v>4.2889999999999997</v>
      </c>
      <c r="AA99"/>
    </row>
    <row r="100" spans="2:27" x14ac:dyDescent="0.2">
      <c r="B100" s="19">
        <v>1921</v>
      </c>
      <c r="C100" s="19" t="s">
        <v>163</v>
      </c>
      <c r="D100" s="19">
        <v>647.29999999999995</v>
      </c>
      <c r="E100" s="19">
        <v>22.12</v>
      </c>
      <c r="F100" s="19">
        <v>0.34399999999999997</v>
      </c>
      <c r="G100" s="19">
        <v>0.23300000000000001</v>
      </c>
      <c r="H100" s="19">
        <v>4.0410000000000004</v>
      </c>
      <c r="AA100"/>
    </row>
    <row r="103" spans="2:27" x14ac:dyDescent="0.2">
      <c r="B103" s="19" t="s">
        <v>164</v>
      </c>
    </row>
    <row r="105" spans="2:27" x14ac:dyDescent="0.2">
      <c r="C105" s="23" t="s">
        <v>58</v>
      </c>
    </row>
    <row r="106" spans="2:27" x14ac:dyDescent="0.2">
      <c r="C106" s="23" t="s">
        <v>0</v>
      </c>
    </row>
    <row r="107" spans="2:27" x14ac:dyDescent="0.2">
      <c r="C107" s="23" t="s">
        <v>1</v>
      </c>
    </row>
  </sheetData>
  <printOptions gridLines="1" gridLinesSet="0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Fugacities</vt:lpstr>
      <vt:lpstr>Critical Properties</vt:lpstr>
      <vt:lpstr>_R</vt:lpstr>
      <vt:lpstr>Fugacities!A</vt:lpstr>
      <vt:lpstr>ac</vt:lpstr>
      <vt:lpstr>Ai</vt:lpstr>
      <vt:lpstr>alpha</vt:lpstr>
      <vt:lpstr>Amatrix</vt:lpstr>
      <vt:lpstr>Fugacities!B</vt:lpstr>
      <vt:lpstr>Bi</vt:lpstr>
      <vt:lpstr>kappa</vt:lpstr>
      <vt:lpstr>Fugacities!P</vt:lpstr>
      <vt:lpstr>Pc</vt:lpstr>
      <vt:lpstr>Pr</vt:lpstr>
      <vt:lpstr>q</vt:lpstr>
      <vt:lpstr>Tc</vt:lpstr>
      <vt:lpstr>TK</vt:lpstr>
      <vt:lpstr>Tr</vt:lpstr>
      <vt:lpstr>w</vt:lpstr>
      <vt:lpstr>Fugacities!Z</vt:lpstr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Paul Chrastina</cp:lastModifiedBy>
  <cp:lastPrinted>1997-12-15T03:10:37Z</cp:lastPrinted>
  <dcterms:created xsi:type="dcterms:W3CDTF">1999-01-06T02:41:37Z</dcterms:created>
  <dcterms:modified xsi:type="dcterms:W3CDTF">2018-02-21T17:07:04Z</dcterms:modified>
</cp:coreProperties>
</file>