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jsch\Google Drive\CU\CU courses\CHEN 3840 Independent Study\thermosheets\"/>
    </mc:Choice>
  </mc:AlternateContent>
  <bookViews>
    <workbookView xWindow="2130" yWindow="0" windowWidth="27735" windowHeight="12840" tabRatio="799"/>
  </bookViews>
  <sheets>
    <sheet name="EOS Lookup" sheetId="3" r:id="rId1"/>
    <sheet name="Reference State" sheetId="4" r:id="rId2"/>
    <sheet name="Critical Properties" sheetId="5" r:id="rId3"/>
  </sheets>
  <definedNames>
    <definedName name="_a" localSheetId="0">'EOS Lookup'!$J$129</definedName>
    <definedName name="_a">'Reference State'!$J$29</definedName>
    <definedName name="_b" localSheetId="0">'EOS Lookup'!$J$131</definedName>
    <definedName name="_b">'Reference State'!$J$31</definedName>
    <definedName name="_R">'Reference State'!$J$27</definedName>
    <definedName name="A" localSheetId="0">'EOS Lookup'!$K$132</definedName>
    <definedName name="A">'Reference State'!$K$32</definedName>
    <definedName name="alpha" localSheetId="0">'EOS Lookup'!$I$131</definedName>
    <definedName name="alpha">'Reference State'!$I$31</definedName>
    <definedName name="B" localSheetId="0">'EOS Lookup'!$K$133</definedName>
    <definedName name="B">'Reference State'!$K$33</definedName>
    <definedName name="CPA">'EOS Lookup'!$F$86</definedName>
    <definedName name="CPB">'EOS Lookup'!$G$86</definedName>
    <definedName name="CPC">'EOS Lookup'!$H$86</definedName>
    <definedName name="CPD">'EOS Lookup'!$I$86</definedName>
    <definedName name="fugratio">#REF!</definedName>
    <definedName name="igrflag">'Reference State'!$B$13</definedName>
    <definedName name="index">'Reference State'!$B$16</definedName>
    <definedName name="kappa" localSheetId="0">'EOS Lookup'!$I$130</definedName>
    <definedName name="kappa">'Reference State'!$I$30</definedName>
    <definedName name="P" localSheetId="0">'EOS Lookup'!$C$90</definedName>
    <definedName name="P">'Reference State'!$C$9</definedName>
    <definedName name="Pr" localSheetId="0">'EOS Lookup'!$I$129</definedName>
    <definedName name="Pr">'Reference State'!$I$29</definedName>
    <definedName name="PREF">'Reference State'!$C$9</definedName>
    <definedName name="q" localSheetId="0">'EOS Lookup'!$F$124</definedName>
    <definedName name="q">'Reference State'!$F$24</definedName>
    <definedName name="solver_adj" localSheetId="0" hidden="1">'EOS Lookup'!$C$89,'EOS Lookup'!$I$95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'EOS Lookup'!$I$96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'EOS Lookup'!$F$96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-11498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</definedName>
    <definedName name="solver_ver" localSheetId="0" hidden="1">3</definedName>
    <definedName name="Tc">'EOS Lookup'!$C$86</definedName>
    <definedName name="TK" localSheetId="0">'EOS Lookup'!$C$89</definedName>
    <definedName name="TK">'Reference State'!$C$8</definedName>
    <definedName name="Tr" localSheetId="0">'EOS Lookup'!$I$128</definedName>
    <definedName name="Tr">'Reference State'!$I$28</definedName>
    <definedName name="TREF">'Reference State'!$C$8</definedName>
    <definedName name="uhflag">'Reference State'!$B$11</definedName>
    <definedName name="Z" localSheetId="0">'EOS Lookup'!$D$91:$D$94</definedName>
    <definedName name="Z">'Reference State'!$F$10:$F$13</definedName>
  </definedNames>
  <calcPr calcId="171027"/>
</workbook>
</file>

<file path=xl/calcChain.xml><?xml version="1.0" encoding="utf-8"?>
<calcChain xmlns="http://schemas.openxmlformats.org/spreadsheetml/2006/main">
  <c r="C86" i="3" l="1"/>
  <c r="D86" i="3"/>
  <c r="E86" i="3"/>
  <c r="I86" i="3"/>
  <c r="H86" i="3"/>
  <c r="G86" i="3"/>
  <c r="F86" i="3"/>
  <c r="J27" i="4"/>
  <c r="I45" i="5" l="1"/>
  <c r="B5" i="4" l="1"/>
  <c r="K86" i="3" l="1"/>
  <c r="I130" i="3"/>
  <c r="I128" i="3"/>
  <c r="J131" i="3"/>
  <c r="K133" i="3" s="1"/>
  <c r="B124" i="3" s="1"/>
  <c r="E138" i="3"/>
  <c r="E137" i="3"/>
  <c r="C139" i="3"/>
  <c r="C138" i="3"/>
  <c r="C137" i="3"/>
  <c r="I129" i="3"/>
  <c r="C5" i="4"/>
  <c r="I28" i="4" s="1"/>
  <c r="D5" i="4"/>
  <c r="I29" i="4" s="1"/>
  <c r="E5" i="4"/>
  <c r="I30" i="4" s="1"/>
  <c r="I131" i="3" l="1"/>
  <c r="J129" i="3" s="1"/>
  <c r="K132" i="3" s="1"/>
  <c r="C124" i="3" s="1"/>
  <c r="I31" i="4"/>
  <c r="J29" i="4" s="1"/>
  <c r="K32" i="4" s="1"/>
  <c r="L86" i="3"/>
  <c r="J31" i="4"/>
  <c r="K33" i="4" s="1"/>
  <c r="B24" i="4" s="1"/>
  <c r="M86" i="3"/>
  <c r="E124" i="3" l="1"/>
  <c r="B134" i="3" s="1"/>
  <c r="D124" i="3"/>
  <c r="F124" i="3" s="1"/>
  <c r="C24" i="4"/>
  <c r="E24" i="4" s="1"/>
  <c r="B34" i="4" s="1"/>
  <c r="D24" i="4"/>
  <c r="C134" i="3" l="1"/>
  <c r="D134" i="3" s="1"/>
  <c r="E134" i="3" s="1"/>
  <c r="H134" i="3" s="1"/>
  <c r="D93" i="3" s="1"/>
  <c r="F93" i="3" s="1"/>
  <c r="F24" i="4"/>
  <c r="I22" i="4" s="1"/>
  <c r="C30" i="4" s="1"/>
  <c r="I122" i="3"/>
  <c r="C130" i="3" s="1"/>
  <c r="F134" i="3" l="1"/>
  <c r="D91" i="3" s="1"/>
  <c r="E91" i="3" s="1"/>
  <c r="G134" i="3"/>
  <c r="D92" i="3" s="1"/>
  <c r="E92" i="3" s="1"/>
  <c r="L93" i="3"/>
  <c r="J93" i="3"/>
  <c r="K93" i="3" s="1"/>
  <c r="E93" i="3"/>
  <c r="C34" i="4"/>
  <c r="D34" i="4" s="1"/>
  <c r="E34" i="4" s="1"/>
  <c r="H34" i="4" s="1"/>
  <c r="F12" i="4" s="1"/>
  <c r="H12" i="4" s="1"/>
  <c r="B130" i="3"/>
  <c r="D130" i="3" s="1"/>
  <c r="D94" i="3" s="1"/>
  <c r="F94" i="3" s="1"/>
  <c r="B30" i="4"/>
  <c r="D30" i="4" s="1"/>
  <c r="F13" i="4" s="1"/>
  <c r="F91" i="3" l="1"/>
  <c r="F96" i="3" s="1"/>
  <c r="L91" i="3"/>
  <c r="J91" i="3"/>
  <c r="K91" i="3" s="1"/>
  <c r="J92" i="3"/>
  <c r="K92" i="3" s="1"/>
  <c r="L92" i="3"/>
  <c r="G34" i="4"/>
  <c r="F11" i="4" s="1"/>
  <c r="G11" i="4" s="1"/>
  <c r="I12" i="4"/>
  <c r="J12" i="4" s="1"/>
  <c r="G12" i="4"/>
  <c r="K12" i="4"/>
  <c r="F34" i="4"/>
  <c r="F10" i="4" s="1"/>
  <c r="H10" i="4" s="1"/>
  <c r="J94" i="3"/>
  <c r="K94" i="3" s="1"/>
  <c r="L94" i="3"/>
  <c r="E94" i="3"/>
  <c r="G13" i="4"/>
  <c r="K13" i="4"/>
  <c r="H13" i="4"/>
  <c r="I13" i="4"/>
  <c r="J13" i="4" s="1"/>
  <c r="I10" i="4" l="1"/>
  <c r="J10" i="4" s="1"/>
  <c r="F20" i="4" s="1"/>
  <c r="D19" i="4"/>
  <c r="F19" i="4" s="1"/>
  <c r="K10" i="4"/>
  <c r="G20" i="4" s="1"/>
  <c r="G10" i="4"/>
  <c r="E20" i="4" l="1"/>
  <c r="E19" i="4"/>
  <c r="I93" i="3"/>
  <c r="I91" i="3"/>
  <c r="I92" i="3"/>
  <c r="I94" i="3"/>
  <c r="G91" i="3" l="1"/>
  <c r="G93" i="3"/>
  <c r="G92" i="3"/>
  <c r="H92" i="3" s="1"/>
  <c r="G94" i="3"/>
  <c r="H94" i="3" s="1"/>
  <c r="H91" i="3" l="1"/>
  <c r="H93" i="3"/>
</calcChain>
</file>

<file path=xl/comments1.xml><?xml version="1.0" encoding="utf-8"?>
<comments xmlns="http://schemas.openxmlformats.org/spreadsheetml/2006/main">
  <authors>
    <author>Paul Chrastina</author>
  </authors>
  <commentList>
    <comment ref="B86" authorId="0" shapeId="0">
      <text>
        <r>
          <rPr>
            <sz val="8"/>
            <color indexed="81"/>
            <rFont val="Tahoma"/>
            <family val="2"/>
          </rPr>
          <t xml:space="preserve">Type compound name here (case-insensitive) and Tc, Pc, </t>
        </r>
        <r>
          <rPr>
            <sz val="8"/>
            <color indexed="81"/>
            <rFont val="Symbol"/>
            <family val="1"/>
            <charset val="2"/>
          </rPr>
          <t xml:space="preserve">w </t>
        </r>
        <r>
          <rPr>
            <sz val="8"/>
            <color indexed="81"/>
            <rFont val="Tahoma"/>
            <family val="2"/>
          </rPr>
          <t xml:space="preserve">and heat capacity constants entered on right and into reference state spreadsheet. Compounds available on Critical Properties sheet </t>
        </r>
      </text>
    </comment>
    <comment ref="E91" authorId="0" shapeId="0">
      <text>
        <r>
          <rPr>
            <sz val="9"/>
            <color indexed="81"/>
            <rFont val="Tahoma"/>
            <family val="2"/>
          </rPr>
          <t>Green background indicates relative magnitude of numbers in column</t>
        </r>
      </text>
    </comment>
  </commentList>
</comments>
</file>

<file path=xl/sharedStrings.xml><?xml version="1.0" encoding="utf-8"?>
<sst xmlns="http://schemas.openxmlformats.org/spreadsheetml/2006/main" count="436" uniqueCount="283">
  <si>
    <t>Critical properties will be transferred automatically to the "Ref State" worksheet.</t>
  </si>
  <si>
    <t>Heat capacity constants are from the appendix or from Reid, Prausnitz and Poling.</t>
  </si>
  <si>
    <t xml:space="preserve">real fluid reference states may be chosen, and the user may specify whether to set H = 0 or </t>
  </si>
  <si>
    <t>U = 0 in the reference state.  The entropy is arbitrarily set to zero at the reference state.</t>
  </si>
  <si>
    <t>Properties</t>
  </si>
  <si>
    <t>Gas</t>
  </si>
  <si>
    <r>
      <t>T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(K)</t>
    </r>
  </si>
  <si>
    <r>
      <t>P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(MPa)</t>
    </r>
  </si>
  <si>
    <t>w</t>
  </si>
  <si>
    <t>METHANE</t>
  </si>
  <si>
    <t>Intermediate Calculations</t>
  </si>
  <si>
    <t>Current State</t>
  </si>
  <si>
    <t>Roots</t>
  </si>
  <si>
    <r>
      <t>R(cm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MPa/molK)</t>
    </r>
  </si>
  <si>
    <t>T (K)</t>
  </si>
  <si>
    <t>Z</t>
  </si>
  <si>
    <t>V</t>
  </si>
  <si>
    <t>fugacity</t>
  </si>
  <si>
    <r>
      <t>T</t>
    </r>
    <r>
      <rPr>
        <vertAlign val="subscript"/>
        <sz val="10"/>
        <rFont val="Arial"/>
        <family val="2"/>
      </rPr>
      <t>r</t>
    </r>
  </si>
  <si>
    <r>
      <t>a (MPa cm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/gmol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</si>
  <si>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P (MPa)</t>
  </si>
  <si>
    <r>
      <t>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/gmol</t>
    </r>
  </si>
  <si>
    <t>MPa</t>
  </si>
  <si>
    <r>
      <t>P</t>
    </r>
    <r>
      <rPr>
        <vertAlign val="subscript"/>
        <sz val="10"/>
        <rFont val="Arial"/>
        <family val="2"/>
      </rPr>
      <t>r</t>
    </r>
  </si>
  <si>
    <t>answers for three</t>
  </si>
  <si>
    <t>k</t>
  </si>
  <si>
    <r>
      <t>b (cm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/gmol)</t>
    </r>
  </si>
  <si>
    <t>root region</t>
  </si>
  <si>
    <t>a</t>
  </si>
  <si>
    <t>A</t>
  </si>
  <si>
    <t>&amp; for 1 root region</t>
  </si>
  <si>
    <t>B</t>
  </si>
  <si>
    <t>Stable Root has a lower fugacity</t>
  </si>
  <si>
    <t>Solution to Cubic</t>
  </si>
  <si>
    <r>
      <t>Z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+ a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+ a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Z + a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=0</t>
    </r>
  </si>
  <si>
    <r>
      <t>R = q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/4 + p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/27 =</t>
    </r>
  </si>
  <si>
    <r>
      <t>a</t>
    </r>
    <r>
      <rPr>
        <vertAlign val="subscript"/>
        <sz val="10"/>
        <rFont val="Arial"/>
        <family val="2"/>
      </rPr>
      <t>2</t>
    </r>
  </si>
  <si>
    <r>
      <t>a</t>
    </r>
    <r>
      <rPr>
        <vertAlign val="subscript"/>
        <sz val="10"/>
        <rFont val="Arial"/>
        <family val="2"/>
      </rPr>
      <t>1</t>
    </r>
  </si>
  <si>
    <r>
      <t>a</t>
    </r>
    <r>
      <rPr>
        <vertAlign val="subscript"/>
        <sz val="10"/>
        <rFont val="Arial"/>
        <family val="2"/>
      </rPr>
      <t>0</t>
    </r>
  </si>
  <si>
    <t>p</t>
  </si>
  <si>
    <t>q</t>
  </si>
  <si>
    <t>If Negative, three unequal real roots,</t>
  </si>
  <si>
    <t>If Positive, one real root</t>
  </si>
  <si>
    <t>Method 1 - For region with one real root</t>
  </si>
  <si>
    <t>P</t>
  </si>
  <si>
    <t>Q</t>
  </si>
  <si>
    <t>Root to equation in x</t>
  </si>
  <si>
    <t>Method 2 - For region with three real roots</t>
  </si>
  <si>
    <t>m</t>
  </si>
  <si>
    <t>3q/pm</t>
  </si>
  <si>
    <r>
      <t>3*</t>
    </r>
    <r>
      <rPr>
        <sz val="10"/>
        <rFont val="Symbol"/>
        <family val="1"/>
        <charset val="2"/>
      </rPr>
      <t>q</t>
    </r>
    <r>
      <rPr>
        <vertAlign val="subscript"/>
        <sz val="10"/>
        <rFont val="Arial"/>
        <family val="2"/>
      </rPr>
      <t>1</t>
    </r>
  </si>
  <si>
    <r>
      <t>q</t>
    </r>
    <r>
      <rPr>
        <vertAlign val="subscript"/>
        <sz val="10"/>
        <rFont val="Arial"/>
        <family val="2"/>
      </rPr>
      <t>1</t>
    </r>
  </si>
  <si>
    <t>Roots to equation in x</t>
  </si>
  <si>
    <t>Heat Capacity constants from Appendix</t>
  </si>
  <si>
    <t>ideal gas</t>
  </si>
  <si>
    <r>
      <t>H</t>
    </r>
    <r>
      <rPr>
        <vertAlign val="superscript"/>
        <sz val="10"/>
        <rFont val="Arial"/>
        <family val="2"/>
      </rPr>
      <t>ig</t>
    </r>
    <r>
      <rPr>
        <sz val="10"/>
        <rFont val="Arial"/>
        <family val="2"/>
      </rPr>
      <t xml:space="preserve"> - H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ig</t>
    </r>
  </si>
  <si>
    <r>
      <t>U</t>
    </r>
    <r>
      <rPr>
        <vertAlign val="superscript"/>
        <sz val="10"/>
        <rFont val="Arial"/>
        <family val="2"/>
      </rPr>
      <t>ig</t>
    </r>
    <r>
      <rPr>
        <sz val="10"/>
        <rFont val="Arial"/>
        <family val="2"/>
      </rPr>
      <t xml:space="preserve"> - U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ig</t>
    </r>
  </si>
  <si>
    <r>
      <t>S</t>
    </r>
    <r>
      <rPr>
        <vertAlign val="superscript"/>
        <sz val="10"/>
        <rFont val="Arial"/>
        <family val="2"/>
      </rPr>
      <t>ig</t>
    </r>
    <r>
      <rPr>
        <sz val="10"/>
        <rFont val="Arial"/>
        <family val="2"/>
      </rPr>
      <t xml:space="preserve"> -S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ig</t>
    </r>
  </si>
  <si>
    <t>C</t>
  </si>
  <si>
    <t>D</t>
  </si>
  <si>
    <t>values</t>
  </si>
  <si>
    <t>J/mol</t>
  </si>
  <si>
    <t>J/molK</t>
  </si>
  <si>
    <t>H</t>
  </si>
  <si>
    <t>U</t>
  </si>
  <si>
    <t>S</t>
  </si>
  <si>
    <r>
      <t>H-H</t>
    </r>
    <r>
      <rPr>
        <vertAlign val="superscript"/>
        <sz val="10"/>
        <rFont val="Arial"/>
        <family val="2"/>
      </rPr>
      <t>ig</t>
    </r>
  </si>
  <si>
    <r>
      <t>U-U</t>
    </r>
    <r>
      <rPr>
        <vertAlign val="superscript"/>
        <sz val="10"/>
        <rFont val="Arial"/>
        <family val="2"/>
      </rPr>
      <t>ig</t>
    </r>
  </si>
  <si>
    <r>
      <t>S-S</t>
    </r>
    <r>
      <rPr>
        <vertAlign val="superscript"/>
        <sz val="10"/>
        <rFont val="Arial"/>
        <family val="2"/>
      </rPr>
      <t>ig</t>
    </r>
  </si>
  <si>
    <t>fugratio</t>
  </si>
  <si>
    <t xml:space="preserve">  If thermodynamic property calculations give a #NUM! error for both root regions in the</t>
  </si>
  <si>
    <t xml:space="preserve">   table above, fix the "reference state index indentifier" on "Ref State" page.</t>
  </si>
  <si>
    <t>Reference State Info from 'Ref State' (enter data on Worksheet 'Ref State')</t>
  </si>
  <si>
    <t>T=</t>
  </si>
  <si>
    <t>igrflag=</t>
  </si>
  <si>
    <t>P=</t>
  </si>
  <si>
    <t>uhflag=</t>
  </si>
  <si>
    <t>index=</t>
  </si>
  <si>
    <t>Reference State</t>
  </si>
  <si>
    <t>For real fluid</t>
  </si>
  <si>
    <t>reference state</t>
  </si>
  <si>
    <t>identifier index</t>
  </si>
  <si>
    <r>
      <t>0 for H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= 0, 1 for U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= 0</t>
    </r>
  </si>
  <si>
    <t>0 for ig, 1 for real fluid ref</t>
  </si>
  <si>
    <t>Identifier Index for reference state row to use from Row 9 - Row 12 (Enter 1, 2, or 3)</t>
  </si>
  <si>
    <t>YOU MUST CHOOSE A ROW  WITH CALCULABLE NUMBERS, NOT ONE WITH #NUM!</t>
  </si>
  <si>
    <t>H(J/mol)</t>
  </si>
  <si>
    <t>U(J/mol)</t>
  </si>
  <si>
    <t>S(J/molK)</t>
  </si>
  <si>
    <t>Reference State Values</t>
  </si>
  <si>
    <t>Ref State Departures</t>
  </si>
  <si>
    <t>PROPERTIES OF SELECTED COMPOUNDS</t>
  </si>
  <si>
    <t xml:space="preserve">Heat capacities are values for vapor at 298 K and should be used for order of </t>
  </si>
  <si>
    <t xml:space="preserve">magnitude calculations only.  See appendices for temperature dependent formulas </t>
  </si>
  <si>
    <t>and constants.</t>
  </si>
  <si>
    <t>Compound</t>
  </si>
  <si>
    <t>Tc(K)</t>
  </si>
  <si>
    <t>Pc(MPa)</t>
  </si>
  <si>
    <t>Zc</t>
  </si>
  <si>
    <t>CP/R</t>
  </si>
  <si>
    <t>Paraffins</t>
  </si>
  <si>
    <t>ETHANE</t>
  </si>
  <si>
    <t>PROPANE</t>
  </si>
  <si>
    <t>n-BUTANE</t>
  </si>
  <si>
    <t>ISOBUTANE</t>
  </si>
  <si>
    <t>n-PENTANE</t>
  </si>
  <si>
    <t>ISOPENTANE</t>
  </si>
  <si>
    <t>NEOPENTANE</t>
  </si>
  <si>
    <t>n-HEXANE</t>
  </si>
  <si>
    <t>n-HEPTANE</t>
  </si>
  <si>
    <t>n-OCTANE</t>
  </si>
  <si>
    <t>n-NONANE</t>
  </si>
  <si>
    <t>n-DECANE</t>
  </si>
  <si>
    <t>n-DODECANE</t>
  </si>
  <si>
    <t>n-TETRADECANE</t>
  </si>
  <si>
    <t>n-HEXADECANE</t>
  </si>
  <si>
    <t>Naphthenes</t>
  </si>
  <si>
    <t>CYCLOPENTANE</t>
  </si>
  <si>
    <t>METHYLCYCLOPENTANE</t>
  </si>
  <si>
    <t>CYCLOHEXANE</t>
  </si>
  <si>
    <t>METHYLCYCLOHEXANE</t>
  </si>
  <si>
    <t>Olefins and Acetylene</t>
  </si>
  <si>
    <t>ETHYLENE</t>
  </si>
  <si>
    <t>PROPYLENE</t>
  </si>
  <si>
    <t>1-BUTENE</t>
  </si>
  <si>
    <t>ISOBUTENE</t>
  </si>
  <si>
    <t>1-PENTENE</t>
  </si>
  <si>
    <t>ACETYLENE</t>
  </si>
  <si>
    <t>1,3-BUTADIENE</t>
  </si>
  <si>
    <t>ISOPRENE</t>
  </si>
  <si>
    <t>Aromatics</t>
  </si>
  <si>
    <t>BENZENE</t>
  </si>
  <si>
    <t>TOLUENE</t>
  </si>
  <si>
    <t>ETHYLBENZENE</t>
  </si>
  <si>
    <t>o-XYLENE</t>
  </si>
  <si>
    <t>m-XYLENE</t>
  </si>
  <si>
    <t>p-XYLENE</t>
  </si>
  <si>
    <t>CUMENE</t>
  </si>
  <si>
    <t>BIPHENYL</t>
  </si>
  <si>
    <t>NAPHTHALENE</t>
  </si>
  <si>
    <t>1-METHYLNAPHTHALENE</t>
  </si>
  <si>
    <t>METHANOL</t>
  </si>
  <si>
    <t>ETHANOL</t>
  </si>
  <si>
    <t>PROPANOL</t>
  </si>
  <si>
    <t>ISOPROPANOL</t>
  </si>
  <si>
    <t>1-BUTANOL</t>
  </si>
  <si>
    <t>ISOBUTANOL</t>
  </si>
  <si>
    <t>###</t>
  </si>
  <si>
    <t>DIETHYL ETHER</t>
  </si>
  <si>
    <t>#</t>
  </si>
  <si>
    <t>ETHYLENE OXIDE</t>
  </si>
  <si>
    <t>Halocarbons</t>
  </si>
  <si>
    <t>FREON-12(CCl2F2)</t>
  </si>
  <si>
    <t>FREON-22(CClF2)</t>
  </si>
  <si>
    <t>FREON-11(CCl3F)</t>
  </si>
  <si>
    <t>FREON-113(C2Cl3F3)</t>
  </si>
  <si>
    <t>METHYL CHLORIDE</t>
  </si>
  <si>
    <t>CARBON TETRACHLORIDE</t>
  </si>
  <si>
    <t>CHLOROBENZENE</t>
  </si>
  <si>
    <t>Gases</t>
  </si>
  <si>
    <t>ARGON</t>
  </si>
  <si>
    <t>BROMINE</t>
  </si>
  <si>
    <t>CHLORINE</t>
  </si>
  <si>
    <t>HELIUM-4</t>
  </si>
  <si>
    <t>KRYPTON</t>
  </si>
  <si>
    <t>NEON</t>
  </si>
  <si>
    <t>XENON</t>
  </si>
  <si>
    <t>NITRIC OXIDE</t>
  </si>
  <si>
    <t>NITROUS OXIDE</t>
  </si>
  <si>
    <t>SULFUR DIOXIDE</t>
  </si>
  <si>
    <t>SULFUR TRIOXIDE</t>
  </si>
  <si>
    <t>OXYGEN</t>
  </si>
  <si>
    <t>HYDROGEN</t>
  </si>
  <si>
    <t>NITROGEN</t>
  </si>
  <si>
    <t>CARBON MONOXIDE</t>
  </si>
  <si>
    <t>CARBON DIOXIDE</t>
  </si>
  <si>
    <t>Nasty gases</t>
  </si>
  <si>
    <t>HYDROGEN SULFIDE</t>
  </si>
  <si>
    <t>CARBON DISULFIDE</t>
  </si>
  <si>
    <t>HYDROGEN CHLORIDE</t>
  </si>
  <si>
    <t>HYDROGEN CYANIDE</t>
  </si>
  <si>
    <t>Miscellaneous Compounds</t>
  </si>
  <si>
    <t>ACETONITRILE</t>
  </si>
  <si>
    <t>AMMONIA</t>
  </si>
  <si>
    <t>WATER</t>
  </si>
  <si>
    <t>References:  API Technical Data Book (extant 1988), and Reid,R.C., Prausnitz,J.M., and Sherwood, T.K.,  The  Properties of Liquids   and Gases , 3rd Edition,Mcgraw-Hill, New York (1977)</t>
  </si>
  <si>
    <t>Oxygenated Hydrocarbons</t>
  </si>
  <si>
    <t>Copyright 1996-2013, Carl Lira</t>
  </si>
  <si>
    <t>chethermo.net</t>
  </si>
  <si>
    <t>For use with "An Introduction to Applied Thermodynamics" 2nd. ed, by J.R. Elliott, C.T. Lira</t>
  </si>
  <si>
    <t>This worksheet calculates enthalpy, internal energy, entropy and their departure functions and fugacities.</t>
  </si>
  <si>
    <t xml:space="preserve">This worksheet specifies the reference state for the "Properties" calculations.  Both ideal and </t>
  </si>
  <si>
    <t>are automatically entered into this spreadsheet</t>
  </si>
  <si>
    <t>Reference State for Properties Calculation of Pure Fluid using Peng-Robinson Equation of State</t>
  </si>
  <si>
    <r>
      <rPr>
        <b/>
        <sz val="10"/>
        <rFont val="Arial"/>
        <family val="2"/>
      </rPr>
      <t xml:space="preserve">Critical properties </t>
    </r>
    <r>
      <rPr>
        <sz val="10"/>
        <rFont val="Arial"/>
        <family val="2"/>
      </rPr>
      <t>from the endflap.</t>
    </r>
  </si>
  <si>
    <t>Enthalpy, Internal Energy, and Entropy for Pure Fluid</t>
  </si>
  <si>
    <t>using Peng-Robinson Equation of State</t>
  </si>
  <si>
    <t xml:space="preserve">Enter Name and Critical properties on "Properties" worksheet and critical properties  </t>
  </si>
  <si>
    <t>Modified 2018, Paul JS Chrastina</t>
  </si>
  <si>
    <t>TETRAHYDROFURAN</t>
  </si>
  <si>
    <t>Heat Capacity constants</t>
  </si>
  <si>
    <t>methane</t>
  </si>
  <si>
    <t>Methane</t>
  </si>
  <si>
    <t>Ethane</t>
  </si>
  <si>
    <t>Propane</t>
  </si>
  <si>
    <t>n-butane</t>
  </si>
  <si>
    <t>Isobutane</t>
  </si>
  <si>
    <t>n-pentane</t>
  </si>
  <si>
    <t>Isopentane</t>
  </si>
  <si>
    <t>Neopentane</t>
  </si>
  <si>
    <t>n-hexane</t>
  </si>
  <si>
    <t>n-heptane</t>
  </si>
  <si>
    <t>n-octane</t>
  </si>
  <si>
    <t>n-nonane</t>
  </si>
  <si>
    <t>n-decane</t>
  </si>
  <si>
    <t>n-dodecane</t>
  </si>
  <si>
    <t>n-tetradecane</t>
  </si>
  <si>
    <t>n-hexadecane</t>
  </si>
  <si>
    <t>Cyclopentane</t>
  </si>
  <si>
    <t>Methylcyclopentane</t>
  </si>
  <si>
    <t>Cyclohexane</t>
  </si>
  <si>
    <t>Methylcyclohexane</t>
  </si>
  <si>
    <t>Ethylene</t>
  </si>
  <si>
    <t>Propylene</t>
  </si>
  <si>
    <t>1-butene</t>
  </si>
  <si>
    <t>Isobutene</t>
  </si>
  <si>
    <t>1-pentene</t>
  </si>
  <si>
    <t>1,3-butadiene</t>
  </si>
  <si>
    <t>Isoprene</t>
  </si>
  <si>
    <t>Acetylene</t>
  </si>
  <si>
    <t>Benzene</t>
  </si>
  <si>
    <t>Toluene</t>
  </si>
  <si>
    <t>Ethylbenzene</t>
  </si>
  <si>
    <t>o-xylene</t>
  </si>
  <si>
    <t>m-xylene</t>
  </si>
  <si>
    <t>p-xylene</t>
  </si>
  <si>
    <t>Cumene</t>
  </si>
  <si>
    <t>Biphenyl</t>
  </si>
  <si>
    <t>Naphthalene</t>
  </si>
  <si>
    <t>1-methylnaphthalene</t>
  </si>
  <si>
    <t>Methanol</t>
  </si>
  <si>
    <t>Ethanol</t>
  </si>
  <si>
    <t>Propanol</t>
  </si>
  <si>
    <t>Isopropanol</t>
  </si>
  <si>
    <t>1-butanol</t>
  </si>
  <si>
    <t>Isobutanol</t>
  </si>
  <si>
    <t>Tetrahydrofuran</t>
  </si>
  <si>
    <t>Diethyl ether</t>
  </si>
  <si>
    <t>Ethylene oxide</t>
  </si>
  <si>
    <t>Carbon tetrachloride</t>
  </si>
  <si>
    <t>Methyl chloride</t>
  </si>
  <si>
    <t>Chlorobenzene</t>
  </si>
  <si>
    <t>Nitrous oxide</t>
  </si>
  <si>
    <t>Oxygen</t>
  </si>
  <si>
    <t>Hydrogen</t>
  </si>
  <si>
    <t>Nitrogen</t>
  </si>
  <si>
    <t>Carbon monoxide</t>
  </si>
  <si>
    <t>Carbon dioxide</t>
  </si>
  <si>
    <t>Sulfur dioxide</t>
  </si>
  <si>
    <t>Sulfur trioxide</t>
  </si>
  <si>
    <t>Nitric oxide</t>
  </si>
  <si>
    <t>Helium-4</t>
  </si>
  <si>
    <t>Argon</t>
  </si>
  <si>
    <t>Chlorine</t>
  </si>
  <si>
    <t>Neon</t>
  </si>
  <si>
    <t>Krypton</t>
  </si>
  <si>
    <t>Bromine</t>
  </si>
  <si>
    <t>Xenon</t>
  </si>
  <si>
    <t>Hydrogen chloride</t>
  </si>
  <si>
    <t>Hydrogen sulfide</t>
  </si>
  <si>
    <t>Carbon disulfide</t>
  </si>
  <si>
    <t>Hydrogen cyanide</t>
  </si>
  <si>
    <t>Acetonitrile</t>
  </si>
  <si>
    <t>Ammonia</t>
  </si>
  <si>
    <t>Water</t>
  </si>
  <si>
    <t>Freon-12(CCl2F2)</t>
  </si>
  <si>
    <t>Freon-22(CClF2)</t>
  </si>
  <si>
    <t>Freon-11(CCl3F)</t>
  </si>
  <si>
    <t>Freon-113(C2Cl3F3)</t>
  </si>
  <si>
    <t>Hydrazine</t>
  </si>
  <si>
    <t>Chloroform</t>
  </si>
  <si>
    <t>HYDRAZINE</t>
  </si>
  <si>
    <t>CHLOROFORM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</si>
</sst>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00"/>
    <numFmt numFmtId="166" formatCode="0.000"/>
    <numFmt numFmtId="167" formatCode="0.0"/>
    <numFmt numFmtId="168" formatCode="#,##0.0"/>
  </numFmts>
  <fonts count="19" x14ac:knownFonts="1">
    <font>
      <sz val="10"/>
      <name val="Arial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sz val="10"/>
      <color indexed="3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4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10"/>
      <color rgb="FF00B0F0"/>
      <name val="Calibri"/>
      <family val="2"/>
      <scheme val="minor"/>
    </font>
    <font>
      <b/>
      <sz val="10"/>
      <name val="Arial"/>
      <family val="2"/>
    </font>
    <font>
      <sz val="12"/>
      <color rgb="FF3F3F76"/>
      <name val="Calibri"/>
      <family val="2"/>
      <scheme val="minor"/>
    </font>
    <font>
      <sz val="8"/>
      <color indexed="81"/>
      <name val="Tahoma"/>
      <family val="2"/>
    </font>
    <font>
      <sz val="8"/>
      <color indexed="8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8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B2B2B2"/>
      </bottom>
      <diagonal/>
    </border>
    <border>
      <left style="medium">
        <color indexed="64"/>
      </left>
      <right/>
      <top style="thin">
        <color rgb="FFB2B2B2"/>
      </top>
      <bottom style="medium">
        <color indexed="64"/>
      </bottom>
      <diagonal/>
    </border>
    <border>
      <left style="thin">
        <color rgb="FFB2B2B2"/>
      </left>
      <right/>
      <top style="medium">
        <color indexed="64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medium">
        <color indexed="64"/>
      </bottom>
      <diagonal/>
    </border>
    <border>
      <left/>
      <right style="thin">
        <color rgb="FFB2B2B2"/>
      </right>
      <top style="medium">
        <color indexed="64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medium">
        <color indexed="64"/>
      </bottom>
      <diagonal/>
    </border>
    <border>
      <left/>
      <right style="thin">
        <color rgb="FF3F3F3F"/>
      </right>
      <top style="medium">
        <color indexed="64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/>
      <bottom style="medium">
        <color indexed="64"/>
      </bottom>
      <diagonal/>
    </border>
    <border>
      <left style="thin">
        <color rgb="FFB2B2B2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3F3F3F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medium">
        <color indexed="64"/>
      </bottom>
      <diagonal/>
    </border>
    <border>
      <left/>
      <right style="thin">
        <color rgb="FF3F3F3F"/>
      </right>
      <top/>
      <bottom style="medium">
        <color indexed="64"/>
      </bottom>
      <diagonal/>
    </border>
    <border>
      <left style="thin">
        <color rgb="FF3F3F3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B2B2B2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</borders>
  <cellStyleXfs count="5">
    <xf numFmtId="0" fontId="0" fillId="0" borderId="0"/>
    <xf numFmtId="0" fontId="10" fillId="2" borderId="12" applyNumberFormat="0" applyAlignment="0" applyProtection="0"/>
    <xf numFmtId="0" fontId="14" fillId="3" borderId="12" applyNumberFormat="0" applyAlignment="0" applyProtection="0"/>
    <xf numFmtId="0" fontId="9" fillId="4" borderId="13" applyNumberFormat="0" applyFont="0" applyAlignment="0" applyProtection="0"/>
    <xf numFmtId="0" fontId="11" fillId="3" borderId="14" applyNumberFormat="0" applyAlignment="0" applyProtection="0"/>
  </cellStyleXfs>
  <cellXfs count="14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/>
    </xf>
    <xf numFmtId="0" fontId="7" fillId="0" borderId="3" xfId="0" applyFont="1" applyBorder="1"/>
    <xf numFmtId="0" fontId="7" fillId="0" borderId="1" xfId="0" applyFont="1" applyBorder="1"/>
    <xf numFmtId="0" fontId="7" fillId="0" borderId="2" xfId="0" applyFont="1" applyBorder="1"/>
    <xf numFmtId="0" fontId="0" fillId="0" borderId="0" xfId="0" applyNumberFormat="1"/>
    <xf numFmtId="0" fontId="7" fillId="0" borderId="0" xfId="0" applyFont="1" applyBorder="1"/>
    <xf numFmtId="11" fontId="0" fillId="0" borderId="0" xfId="0" applyNumberFormat="1"/>
    <xf numFmtId="0" fontId="6" fillId="0" borderId="0" xfId="0" applyFont="1"/>
    <xf numFmtId="0" fontId="0" fillId="0" borderId="0" xfId="0" applyFill="1" applyBorder="1"/>
    <xf numFmtId="0" fontId="0" fillId="4" borderId="13" xfId="3" applyFont="1"/>
    <xf numFmtId="0" fontId="1" fillId="4" borderId="13" xfId="3" applyFont="1"/>
    <xf numFmtId="0" fontId="0" fillId="4" borderId="13" xfId="3" applyFont="1" applyAlignment="1">
      <alignment horizontal="center"/>
    </xf>
    <xf numFmtId="0" fontId="14" fillId="3" borderId="12" xfId="2"/>
    <xf numFmtId="0" fontId="14" fillId="3" borderId="12" xfId="2" applyAlignment="1">
      <alignment horizontal="center"/>
    </xf>
    <xf numFmtId="0" fontId="4" fillId="4" borderId="13" xfId="3" applyFont="1"/>
    <xf numFmtId="0" fontId="0" fillId="4" borderId="16" xfId="3" applyFont="1" applyBorder="1" applyAlignment="1">
      <alignment horizontal="centerContinuous"/>
    </xf>
    <xf numFmtId="0" fontId="0" fillId="4" borderId="26" xfId="3" applyFont="1" applyBorder="1" applyAlignment="1">
      <alignment horizontal="centerContinuous"/>
    </xf>
    <xf numFmtId="0" fontId="0" fillId="4" borderId="27" xfId="3" applyFont="1" applyBorder="1" applyAlignment="1">
      <alignment horizontal="centerContinuous"/>
    </xf>
    <xf numFmtId="0" fontId="0" fillId="4" borderId="28" xfId="3" applyFont="1" applyBorder="1" applyAlignment="1">
      <alignment horizontal="centerContinuous"/>
    </xf>
    <xf numFmtId="0" fontId="0" fillId="4" borderId="29" xfId="3" applyFont="1" applyBorder="1" applyAlignment="1">
      <alignment horizontal="centerContinuous"/>
    </xf>
    <xf numFmtId="0" fontId="0" fillId="4" borderId="30" xfId="3" applyFont="1" applyBorder="1" applyAlignment="1">
      <alignment horizontal="centerContinuous"/>
    </xf>
    <xf numFmtId="0" fontId="0" fillId="4" borderId="31" xfId="3" applyFont="1" applyBorder="1" applyAlignment="1">
      <alignment horizontal="centerContinuous"/>
    </xf>
    <xf numFmtId="0" fontId="0" fillId="4" borderId="26" xfId="3" applyFont="1" applyBorder="1"/>
    <xf numFmtId="0" fontId="0" fillId="4" borderId="30" xfId="3" applyFont="1" applyBorder="1"/>
    <xf numFmtId="0" fontId="0" fillId="4" borderId="26" xfId="3" applyFont="1" applyBorder="1" applyAlignment="1">
      <alignment horizontal="center"/>
    </xf>
    <xf numFmtId="0" fontId="0" fillId="4" borderId="34" xfId="3" applyFont="1" applyBorder="1" applyAlignment="1">
      <alignment horizontal="center"/>
    </xf>
    <xf numFmtId="0" fontId="0" fillId="4" borderId="27" xfId="3" applyFont="1" applyBorder="1" applyAlignment="1">
      <alignment horizontal="center"/>
    </xf>
    <xf numFmtId="0" fontId="0" fillId="4" borderId="35" xfId="3" applyFont="1" applyBorder="1"/>
    <xf numFmtId="0" fontId="0" fillId="4" borderId="35" xfId="3" applyFont="1" applyBorder="1" applyAlignment="1">
      <alignment horizontal="center"/>
    </xf>
    <xf numFmtId="0" fontId="0" fillId="4" borderId="31" xfId="3" applyFont="1" applyBorder="1" applyAlignment="1">
      <alignment horizontal="center"/>
    </xf>
    <xf numFmtId="0" fontId="0" fillId="4" borderId="36" xfId="3" applyFont="1" applyBorder="1"/>
    <xf numFmtId="0" fontId="0" fillId="4" borderId="37" xfId="3" applyFont="1" applyBorder="1"/>
    <xf numFmtId="0" fontId="0" fillId="4" borderId="38" xfId="3" applyFont="1" applyBorder="1"/>
    <xf numFmtId="0" fontId="0" fillId="4" borderId="39" xfId="3" applyFont="1" applyBorder="1"/>
    <xf numFmtId="0" fontId="0" fillId="4" borderId="40" xfId="3" applyFont="1" applyBorder="1"/>
    <xf numFmtId="0" fontId="0" fillId="4" borderId="41" xfId="3" applyFont="1" applyBorder="1" applyAlignment="1">
      <alignment horizontal="centerContinuous"/>
    </xf>
    <xf numFmtId="0" fontId="0" fillId="4" borderId="43" xfId="3" applyFont="1" applyBorder="1" applyAlignment="1">
      <alignment horizontal="center"/>
    </xf>
    <xf numFmtId="0" fontId="0" fillId="4" borderId="44" xfId="3" applyFont="1" applyBorder="1" applyAlignment="1">
      <alignment horizontal="center"/>
    </xf>
    <xf numFmtId="0" fontId="0" fillId="4" borderId="47" xfId="3" applyFont="1" applyBorder="1" applyAlignment="1">
      <alignment horizontal="centerContinuous"/>
    </xf>
    <xf numFmtId="0" fontId="0" fillId="4" borderId="48" xfId="3" applyFont="1" applyBorder="1" applyAlignment="1">
      <alignment horizontal="centerContinuous"/>
    </xf>
    <xf numFmtId="0" fontId="12" fillId="2" borderId="53" xfId="1" applyFont="1" applyBorder="1" applyProtection="1">
      <protection locked="0"/>
    </xf>
    <xf numFmtId="0" fontId="12" fillId="2" borderId="54" xfId="1" applyNumberFormat="1" applyFont="1" applyBorder="1" applyProtection="1">
      <protection locked="0"/>
    </xf>
    <xf numFmtId="0" fontId="0" fillId="4" borderId="31" xfId="3" applyFont="1" applyBorder="1"/>
    <xf numFmtId="0" fontId="0" fillId="4" borderId="42" xfId="3" applyFont="1" applyBorder="1"/>
    <xf numFmtId="0" fontId="0" fillId="4" borderId="55" xfId="3" applyFont="1" applyBorder="1"/>
    <xf numFmtId="0" fontId="14" fillId="3" borderId="56" xfId="2" applyBorder="1" applyAlignment="1" applyProtection="1">
      <alignment horizontal="center"/>
      <protection locked="0"/>
    </xf>
    <xf numFmtId="0" fontId="14" fillId="3" borderId="57" xfId="2" applyBorder="1" applyAlignment="1" applyProtection="1">
      <alignment horizontal="center"/>
      <protection locked="0"/>
    </xf>
    <xf numFmtId="0" fontId="14" fillId="3" borderId="59" xfId="2" applyBorder="1"/>
    <xf numFmtId="0" fontId="14" fillId="3" borderId="57" xfId="2" applyBorder="1"/>
    <xf numFmtId="0" fontId="14" fillId="3" borderId="58" xfId="2" applyBorder="1"/>
    <xf numFmtId="0" fontId="0" fillId="4" borderId="34" xfId="3" applyFont="1" applyBorder="1"/>
    <xf numFmtId="0" fontId="0" fillId="4" borderId="27" xfId="3" applyFont="1" applyBorder="1"/>
    <xf numFmtId="0" fontId="0" fillId="4" borderId="30" xfId="3" applyFont="1" applyBorder="1" applyAlignment="1">
      <alignment horizontal="center"/>
    </xf>
    <xf numFmtId="0" fontId="0" fillId="4" borderId="60" xfId="3" applyFont="1" applyBorder="1"/>
    <xf numFmtId="0" fontId="0" fillId="4" borderId="61" xfId="3" applyFont="1" applyBorder="1"/>
    <xf numFmtId="0" fontId="0" fillId="4" borderId="62" xfId="3" applyFont="1" applyBorder="1"/>
    <xf numFmtId="0" fontId="1" fillId="4" borderId="63" xfId="3" applyFont="1" applyBorder="1"/>
    <xf numFmtId="0" fontId="14" fillId="3" borderId="59" xfId="2" applyBorder="1" applyAlignment="1" applyProtection="1">
      <alignment horizontal="center"/>
      <protection locked="0"/>
    </xf>
    <xf numFmtId="0" fontId="14" fillId="3" borderId="58" xfId="2" applyBorder="1" applyAlignment="1" applyProtection="1">
      <alignment horizontal="center"/>
      <protection locked="0"/>
    </xf>
    <xf numFmtId="0" fontId="0" fillId="4" borderId="64" xfId="3" applyFont="1" applyBorder="1"/>
    <xf numFmtId="0" fontId="0" fillId="4" borderId="65" xfId="3" applyFont="1" applyBorder="1"/>
    <xf numFmtId="0" fontId="0" fillId="4" borderId="15" xfId="3" applyFont="1" applyBorder="1"/>
    <xf numFmtId="0" fontId="14" fillId="3" borderId="59" xfId="2" applyBorder="1" applyAlignment="1" applyProtection="1">
      <alignment horizontal="center"/>
    </xf>
    <xf numFmtId="0" fontId="14" fillId="3" borderId="57" xfId="2" applyBorder="1" applyAlignment="1" applyProtection="1">
      <alignment horizontal="center"/>
    </xf>
    <xf numFmtId="0" fontId="14" fillId="3" borderId="58" xfId="2" applyBorder="1" applyAlignment="1" applyProtection="1">
      <alignment horizontal="center"/>
    </xf>
    <xf numFmtId="0" fontId="1" fillId="4" borderId="38" xfId="3" applyFont="1" applyBorder="1"/>
    <xf numFmtId="0" fontId="0" fillId="4" borderId="67" xfId="3" applyFont="1" applyBorder="1"/>
    <xf numFmtId="0" fontId="14" fillId="3" borderId="68" xfId="2" applyBorder="1" applyAlignment="1" applyProtection="1">
      <alignment horizontal="centerContinuous"/>
    </xf>
    <xf numFmtId="0" fontId="14" fillId="3" borderId="32" xfId="2" applyBorder="1" applyAlignment="1">
      <alignment horizontal="centerContinuous"/>
    </xf>
    <xf numFmtId="0" fontId="14" fillId="3" borderId="72" xfId="2" applyBorder="1" applyAlignment="1" applyProtection="1">
      <alignment horizontal="centerContinuous"/>
    </xf>
    <xf numFmtId="0" fontId="14" fillId="3" borderId="33" xfId="2" applyBorder="1" applyAlignment="1">
      <alignment horizontal="centerContinuous"/>
    </xf>
    <xf numFmtId="0" fontId="14" fillId="3" borderId="59" xfId="2" applyBorder="1" applyAlignment="1" applyProtection="1">
      <alignment horizontal="centerContinuous"/>
    </xf>
    <xf numFmtId="0" fontId="14" fillId="3" borderId="58" xfId="2" applyBorder="1" applyAlignment="1">
      <alignment horizontal="centerContinuous"/>
    </xf>
    <xf numFmtId="0" fontId="0" fillId="4" borderId="36" xfId="3" applyFont="1" applyBorder="1" applyAlignment="1">
      <alignment horizontal="centerContinuous"/>
    </xf>
    <xf numFmtId="0" fontId="0" fillId="4" borderId="38" xfId="3" applyFont="1" applyBorder="1" applyAlignment="1">
      <alignment horizontal="centerContinuous"/>
    </xf>
    <xf numFmtId="0" fontId="5" fillId="4" borderId="28" xfId="3" applyFont="1" applyBorder="1" applyAlignment="1" applyProtection="1">
      <protection locked="0"/>
    </xf>
    <xf numFmtId="0" fontId="5" fillId="4" borderId="36" xfId="3" applyFont="1" applyBorder="1" applyAlignment="1" applyProtection="1">
      <protection locked="0"/>
    </xf>
    <xf numFmtId="0" fontId="12" fillId="2" borderId="15" xfId="1" applyFont="1" applyBorder="1" applyAlignment="1" applyProtection="1">
      <protection locked="0"/>
    </xf>
    <xf numFmtId="164" fontId="11" fillId="3" borderId="18" xfId="4" applyNumberFormat="1" applyBorder="1"/>
    <xf numFmtId="164" fontId="11" fillId="3" borderId="21" xfId="4" applyNumberFormat="1" applyBorder="1"/>
    <xf numFmtId="164" fontId="11" fillId="3" borderId="23" xfId="4" applyNumberFormat="1" applyBorder="1"/>
    <xf numFmtId="2" fontId="11" fillId="3" borderId="19" xfId="4" applyNumberFormat="1" applyBorder="1"/>
    <xf numFmtId="2" fontId="11" fillId="3" borderId="14" xfId="4" applyNumberFormat="1" applyBorder="1"/>
    <xf numFmtId="2" fontId="11" fillId="3" borderId="24" xfId="4" applyNumberFormat="1" applyBorder="1"/>
    <xf numFmtId="164" fontId="11" fillId="3" borderId="45" xfId="4" applyNumberFormat="1" applyBorder="1"/>
    <xf numFmtId="164" fontId="11" fillId="3" borderId="17" xfId="4" applyNumberFormat="1" applyBorder="1"/>
    <xf numFmtId="164" fontId="11" fillId="3" borderId="46" xfId="4" applyNumberFormat="1" applyBorder="1"/>
    <xf numFmtId="164" fontId="11" fillId="3" borderId="49" xfId="4" applyNumberFormat="1" applyBorder="1"/>
    <xf numFmtId="164" fontId="11" fillId="3" borderId="51" xfId="4" applyNumberFormat="1" applyBorder="1"/>
    <xf numFmtId="2" fontId="11" fillId="3" borderId="20" xfId="4" applyNumberFormat="1" applyBorder="1"/>
    <xf numFmtId="2" fontId="11" fillId="3" borderId="22" xfId="4" applyNumberFormat="1" applyBorder="1"/>
    <xf numFmtId="2" fontId="11" fillId="3" borderId="25" xfId="4" applyNumberFormat="1" applyBorder="1"/>
    <xf numFmtId="2" fontId="11" fillId="3" borderId="52" xfId="4" applyNumberFormat="1" applyBorder="1"/>
    <xf numFmtId="2" fontId="11" fillId="3" borderId="50" xfId="4" applyNumberFormat="1" applyBorder="1"/>
    <xf numFmtId="164" fontId="11" fillId="3" borderId="66" xfId="4" applyNumberFormat="1" applyBorder="1"/>
    <xf numFmtId="0" fontId="15" fillId="0" borderId="0" xfId="0" applyFont="1"/>
    <xf numFmtId="0" fontId="8" fillId="0" borderId="0" xfId="0" applyFont="1"/>
    <xf numFmtId="0" fontId="16" fillId="2" borderId="15" xfId="1" applyFont="1" applyBorder="1" applyAlignment="1" applyProtection="1">
      <alignment horizontal="left"/>
      <protection locked="0"/>
    </xf>
    <xf numFmtId="165" fontId="14" fillId="3" borderId="68" xfId="2" applyNumberFormat="1" applyBorder="1"/>
    <xf numFmtId="165" fontId="14" fillId="3" borderId="70" xfId="2" applyNumberFormat="1" applyBorder="1"/>
    <xf numFmtId="165" fontId="14" fillId="3" borderId="72" xfId="2" applyNumberFormat="1" applyBorder="1"/>
    <xf numFmtId="167" fontId="14" fillId="3" borderId="69" xfId="2" applyNumberFormat="1" applyBorder="1"/>
    <xf numFmtId="167" fontId="14" fillId="3" borderId="12" xfId="2" applyNumberFormat="1" applyBorder="1"/>
    <xf numFmtId="167" fontId="14" fillId="3" borderId="73" xfId="2" applyNumberFormat="1" applyBorder="1"/>
    <xf numFmtId="167" fontId="14" fillId="3" borderId="69" xfId="2" applyNumberFormat="1" applyBorder="1" applyAlignment="1">
      <alignment horizontal="center"/>
    </xf>
    <xf numFmtId="166" fontId="14" fillId="3" borderId="32" xfId="2" applyNumberFormat="1" applyBorder="1" applyAlignment="1">
      <alignment horizontal="center"/>
    </xf>
    <xf numFmtId="167" fontId="14" fillId="3" borderId="12" xfId="2" applyNumberFormat="1" applyBorder="1" applyAlignment="1">
      <alignment horizontal="center"/>
    </xf>
    <xf numFmtId="166" fontId="14" fillId="3" borderId="71" xfId="2" applyNumberFormat="1" applyBorder="1" applyAlignment="1">
      <alignment horizontal="center"/>
    </xf>
    <xf numFmtId="167" fontId="14" fillId="3" borderId="73" xfId="2" applyNumberFormat="1" applyBorder="1" applyAlignment="1">
      <alignment horizontal="center"/>
    </xf>
    <xf numFmtId="166" fontId="14" fillId="3" borderId="33" xfId="2" applyNumberFormat="1" applyBorder="1" applyAlignment="1">
      <alignment horizontal="center"/>
    </xf>
    <xf numFmtId="164" fontId="14" fillId="3" borderId="69" xfId="2" applyNumberFormat="1" applyBorder="1" applyAlignment="1">
      <alignment horizontal="center"/>
    </xf>
    <xf numFmtId="164" fontId="14" fillId="3" borderId="12" xfId="2" applyNumberFormat="1" applyBorder="1" applyAlignment="1">
      <alignment horizontal="center"/>
    </xf>
    <xf numFmtId="164" fontId="14" fillId="3" borderId="73" xfId="2" applyNumberFormat="1" applyBorder="1" applyAlignment="1">
      <alignment horizontal="center"/>
    </xf>
    <xf numFmtId="3" fontId="11" fillId="3" borderId="19" xfId="4" applyNumberFormat="1" applyBorder="1"/>
    <xf numFmtId="3" fontId="11" fillId="3" borderId="14" xfId="4" applyNumberFormat="1" applyBorder="1"/>
    <xf numFmtId="3" fontId="11" fillId="3" borderId="24" xfId="4" applyNumberFormat="1" applyBorder="1"/>
    <xf numFmtId="1" fontId="11" fillId="3" borderId="22" xfId="4" applyNumberFormat="1" applyBorder="1"/>
    <xf numFmtId="168" fontId="11" fillId="3" borderId="20" xfId="4" applyNumberFormat="1" applyBorder="1"/>
    <xf numFmtId="164" fontId="14" fillId="3" borderId="12" xfId="2" applyNumberFormat="1"/>
    <xf numFmtId="0" fontId="12" fillId="2" borderId="53" xfId="1" applyFont="1" applyBorder="1" applyAlignment="1" applyProtection="1">
      <alignment horizontal="center"/>
      <protection locked="0"/>
    </xf>
    <xf numFmtId="0" fontId="12" fillId="2" borderId="54" xfId="1" applyNumberFormat="1" applyFont="1" applyBorder="1" applyAlignment="1" applyProtection="1">
      <alignment horizontal="center"/>
      <protection locked="0"/>
    </xf>
    <xf numFmtId="0" fontId="14" fillId="3" borderId="74" xfId="2" applyBorder="1" applyAlignment="1">
      <alignment horizontal="center"/>
    </xf>
    <xf numFmtId="0" fontId="14" fillId="3" borderId="75" xfId="2" applyBorder="1" applyAlignment="1">
      <alignment horizontal="center"/>
    </xf>
    <xf numFmtId="0" fontId="0" fillId="0" borderId="0" xfId="0" applyAlignment="1">
      <alignment horizontal="center"/>
    </xf>
    <xf numFmtId="0" fontId="0" fillId="4" borderId="76" xfId="3" applyFont="1" applyBorder="1"/>
    <xf numFmtId="0" fontId="0" fillId="4" borderId="77" xfId="3" applyFont="1" applyBorder="1"/>
    <xf numFmtId="0" fontId="1" fillId="4" borderId="78" xfId="3" applyFont="1" applyBorder="1"/>
    <xf numFmtId="0" fontId="0" fillId="4" borderId="10" xfId="3" applyFont="1" applyBorder="1" applyAlignment="1">
      <alignment horizontal="center"/>
    </xf>
    <xf numFmtId="0" fontId="0" fillId="4" borderId="79" xfId="3" applyFont="1" applyBorder="1"/>
    <xf numFmtId="0" fontId="0" fillId="4" borderId="3" xfId="3" applyFont="1" applyBorder="1" applyAlignment="1">
      <alignment horizontal="center"/>
    </xf>
    <xf numFmtId="0" fontId="0" fillId="4" borderId="4" xfId="3" applyFont="1" applyBorder="1" applyAlignment="1">
      <alignment horizontal="center"/>
    </xf>
  </cellXfs>
  <cellStyles count="5">
    <cellStyle name="Calculation" xfId="2" builtinId="22" customBuiltin="1"/>
    <cellStyle name="Input" xfId="1" builtinId="20"/>
    <cellStyle name="Normal" xfId="0" builtinId="0"/>
    <cellStyle name="Note" xfId="3" builtinId="10"/>
    <cellStyle name="Output" xfId="4" builtinId="2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B1:N139"/>
  <sheetViews>
    <sheetView showGridLines="0" tabSelected="1" zoomScale="120" zoomScaleNormal="120" workbookViewId="0">
      <selection activeCell="B86" sqref="B86"/>
    </sheetView>
  </sheetViews>
  <sheetFormatPr defaultRowHeight="12.75" x14ac:dyDescent="0.2"/>
  <cols>
    <col min="2" max="2" width="20.7109375" customWidth="1"/>
    <col min="3" max="3" width="11.42578125" customWidth="1"/>
    <col min="4" max="4" width="10" customWidth="1"/>
    <col min="5" max="5" width="10.28515625" customWidth="1"/>
    <col min="6" max="6" width="9.42578125" bestFit="1" customWidth="1"/>
    <col min="7" max="12" width="9.42578125" customWidth="1"/>
  </cols>
  <sheetData>
    <row r="1" spans="2:13" x14ac:dyDescent="0.2">
      <c r="B1" s="105" t="s">
        <v>195</v>
      </c>
      <c r="G1" s="106" t="s">
        <v>190</v>
      </c>
    </row>
    <row r="2" spans="2:13" x14ac:dyDescent="0.2">
      <c r="B2" s="105" t="s">
        <v>196</v>
      </c>
      <c r="G2" s="106" t="s">
        <v>0</v>
      </c>
    </row>
    <row r="3" spans="2:13" x14ac:dyDescent="0.2">
      <c r="G3" s="106" t="s">
        <v>1</v>
      </c>
    </row>
    <row r="4" spans="2:13" ht="13.5" thickBot="1" x14ac:dyDescent="0.25"/>
    <row r="5" spans="2:13" ht="16.5" thickBot="1" x14ac:dyDescent="0.35">
      <c r="B5" s="40" t="s">
        <v>4</v>
      </c>
      <c r="C5" s="42"/>
      <c r="F5" s="32" t="s">
        <v>53</v>
      </c>
      <c r="G5" s="60"/>
      <c r="H5" s="60"/>
      <c r="I5" s="61"/>
      <c r="J5" s="43" t="s">
        <v>54</v>
      </c>
      <c r="K5" s="32" t="s">
        <v>55</v>
      </c>
      <c r="L5" s="60" t="s">
        <v>56</v>
      </c>
      <c r="M5" s="61" t="s">
        <v>57</v>
      </c>
    </row>
    <row r="6" spans="2:13" ht="16.5" thickBot="1" x14ac:dyDescent="0.35">
      <c r="B6" s="63" t="s">
        <v>5</v>
      </c>
      <c r="C6" s="64" t="s">
        <v>6</v>
      </c>
      <c r="D6" s="65" t="s">
        <v>7</v>
      </c>
      <c r="E6" s="66" t="s">
        <v>8</v>
      </c>
      <c r="F6" s="62" t="s">
        <v>29</v>
      </c>
      <c r="G6" s="38" t="s">
        <v>31</v>
      </c>
      <c r="H6" s="38" t="s">
        <v>58</v>
      </c>
      <c r="I6" s="39" t="s">
        <v>59</v>
      </c>
      <c r="J6" s="69" t="s">
        <v>60</v>
      </c>
      <c r="K6" s="62" t="s">
        <v>61</v>
      </c>
      <c r="L6" s="38" t="s">
        <v>61</v>
      </c>
      <c r="M6" s="39" t="s">
        <v>62</v>
      </c>
    </row>
    <row r="7" spans="2:13" ht="13.5" hidden="1" thickBot="1" x14ac:dyDescent="0.25">
      <c r="B7" s="63" t="s">
        <v>202</v>
      </c>
      <c r="C7" s="134"/>
      <c r="D7" s="135"/>
      <c r="E7" s="136"/>
      <c r="F7" s="137"/>
      <c r="G7" s="137"/>
      <c r="H7" s="137"/>
      <c r="I7" s="137"/>
      <c r="J7" s="138"/>
      <c r="K7" s="139"/>
      <c r="L7" s="137"/>
      <c r="M7" s="140"/>
    </row>
    <row r="8" spans="2:13" ht="13.5" hidden="1" thickBot="1" x14ac:dyDescent="0.25">
      <c r="B8" s="63" t="s">
        <v>203</v>
      </c>
      <c r="C8" s="134"/>
      <c r="D8" s="135"/>
      <c r="E8" s="136"/>
      <c r="F8" s="137"/>
      <c r="G8" s="137"/>
      <c r="H8" s="137"/>
      <c r="I8" s="137"/>
      <c r="J8" s="138"/>
      <c r="K8" s="139"/>
      <c r="L8" s="137"/>
      <c r="M8" s="140"/>
    </row>
    <row r="9" spans="2:13" ht="13.5" hidden="1" thickBot="1" x14ac:dyDescent="0.25">
      <c r="B9" s="63" t="s">
        <v>204</v>
      </c>
      <c r="C9" s="134"/>
      <c r="D9" s="135"/>
      <c r="E9" s="136"/>
      <c r="F9" s="137"/>
      <c r="G9" s="137"/>
      <c r="H9" s="137"/>
      <c r="I9" s="137"/>
      <c r="J9" s="138"/>
      <c r="K9" s="139"/>
      <c r="L9" s="137"/>
      <c r="M9" s="140"/>
    </row>
    <row r="10" spans="2:13" ht="13.5" hidden="1" thickBot="1" x14ac:dyDescent="0.25">
      <c r="B10" s="63" t="s">
        <v>205</v>
      </c>
      <c r="C10" s="134"/>
      <c r="D10" s="135"/>
      <c r="E10" s="136"/>
      <c r="F10" s="137"/>
      <c r="G10" s="137"/>
      <c r="H10" s="137"/>
      <c r="I10" s="137"/>
      <c r="J10" s="138"/>
      <c r="K10" s="139"/>
      <c r="L10" s="137"/>
      <c r="M10" s="140"/>
    </row>
    <row r="11" spans="2:13" ht="13.5" hidden="1" thickBot="1" x14ac:dyDescent="0.25">
      <c r="B11" s="63" t="s">
        <v>206</v>
      </c>
      <c r="C11" s="134"/>
      <c r="D11" s="135"/>
      <c r="E11" s="136"/>
      <c r="F11" s="137"/>
      <c r="G11" s="137"/>
      <c r="H11" s="137"/>
      <c r="I11" s="137"/>
      <c r="J11" s="138"/>
      <c r="K11" s="139"/>
      <c r="L11" s="137"/>
      <c r="M11" s="140"/>
    </row>
    <row r="12" spans="2:13" ht="13.5" hidden="1" thickBot="1" x14ac:dyDescent="0.25">
      <c r="B12" s="63" t="s">
        <v>207</v>
      </c>
      <c r="C12" s="134"/>
      <c r="D12" s="135"/>
      <c r="E12" s="136"/>
      <c r="F12" s="137"/>
      <c r="G12" s="137"/>
      <c r="H12" s="137"/>
      <c r="I12" s="137"/>
      <c r="J12" s="138"/>
      <c r="K12" s="139"/>
      <c r="L12" s="137"/>
      <c r="M12" s="140"/>
    </row>
    <row r="13" spans="2:13" ht="13.5" hidden="1" thickBot="1" x14ac:dyDescent="0.25">
      <c r="B13" s="63" t="s">
        <v>208</v>
      </c>
      <c r="C13" s="134"/>
      <c r="D13" s="135"/>
      <c r="E13" s="136"/>
      <c r="F13" s="137"/>
      <c r="G13" s="137"/>
      <c r="H13" s="137"/>
      <c r="I13" s="137"/>
      <c r="J13" s="138"/>
      <c r="K13" s="139"/>
      <c r="L13" s="137"/>
      <c r="M13" s="140"/>
    </row>
    <row r="14" spans="2:13" ht="13.5" hidden="1" thickBot="1" x14ac:dyDescent="0.25">
      <c r="B14" s="63" t="s">
        <v>209</v>
      </c>
      <c r="C14" s="134"/>
      <c r="D14" s="135"/>
      <c r="E14" s="136"/>
      <c r="F14" s="137"/>
      <c r="G14" s="137"/>
      <c r="H14" s="137"/>
      <c r="I14" s="137"/>
      <c r="J14" s="138"/>
      <c r="K14" s="139"/>
      <c r="L14" s="137"/>
      <c r="M14" s="140"/>
    </row>
    <row r="15" spans="2:13" ht="13.5" hidden="1" thickBot="1" x14ac:dyDescent="0.25">
      <c r="B15" s="63" t="s">
        <v>210</v>
      </c>
      <c r="C15" s="134"/>
      <c r="D15" s="135"/>
      <c r="E15" s="136"/>
      <c r="F15" s="137"/>
      <c r="G15" s="137"/>
      <c r="H15" s="137"/>
      <c r="I15" s="137"/>
      <c r="J15" s="138"/>
      <c r="K15" s="139"/>
      <c r="L15" s="137"/>
      <c r="M15" s="140"/>
    </row>
    <row r="16" spans="2:13" ht="13.5" hidden="1" thickBot="1" x14ac:dyDescent="0.25">
      <c r="B16" s="63" t="s">
        <v>211</v>
      </c>
      <c r="C16" s="134"/>
      <c r="D16" s="135"/>
      <c r="E16" s="136"/>
      <c r="F16" s="137"/>
      <c r="G16" s="137"/>
      <c r="H16" s="137"/>
      <c r="I16" s="137"/>
      <c r="J16" s="138"/>
      <c r="K16" s="139"/>
      <c r="L16" s="137"/>
      <c r="M16" s="140"/>
    </row>
    <row r="17" spans="2:13" ht="13.5" hidden="1" thickBot="1" x14ac:dyDescent="0.25">
      <c r="B17" s="63" t="s">
        <v>212</v>
      </c>
      <c r="C17" s="134"/>
      <c r="D17" s="135"/>
      <c r="E17" s="136"/>
      <c r="F17" s="137"/>
      <c r="G17" s="137"/>
      <c r="H17" s="137"/>
      <c r="I17" s="137"/>
      <c r="J17" s="138"/>
      <c r="K17" s="139"/>
      <c r="L17" s="137"/>
      <c r="M17" s="140"/>
    </row>
    <row r="18" spans="2:13" ht="13.5" hidden="1" thickBot="1" x14ac:dyDescent="0.25">
      <c r="B18" s="63" t="s">
        <v>213</v>
      </c>
      <c r="C18" s="134"/>
      <c r="D18" s="135"/>
      <c r="E18" s="136"/>
      <c r="F18" s="137"/>
      <c r="G18" s="137"/>
      <c r="H18" s="137"/>
      <c r="I18" s="137"/>
      <c r="J18" s="138"/>
      <c r="K18" s="139"/>
      <c r="L18" s="137"/>
      <c r="M18" s="140"/>
    </row>
    <row r="19" spans="2:13" ht="13.5" hidden="1" thickBot="1" x14ac:dyDescent="0.25">
      <c r="B19" s="63" t="s">
        <v>214</v>
      </c>
      <c r="C19" s="134"/>
      <c r="D19" s="135"/>
      <c r="E19" s="136"/>
      <c r="F19" s="137"/>
      <c r="G19" s="137"/>
      <c r="H19" s="137"/>
      <c r="I19" s="137"/>
      <c r="J19" s="138"/>
      <c r="K19" s="139"/>
      <c r="L19" s="137"/>
      <c r="M19" s="140"/>
    </row>
    <row r="20" spans="2:13" ht="13.5" hidden="1" thickBot="1" x14ac:dyDescent="0.25">
      <c r="B20" s="63" t="s">
        <v>215</v>
      </c>
      <c r="C20" s="134"/>
      <c r="D20" s="135"/>
      <c r="E20" s="136"/>
      <c r="F20" s="137"/>
      <c r="G20" s="137"/>
      <c r="H20" s="137"/>
      <c r="I20" s="137"/>
      <c r="J20" s="138"/>
      <c r="K20" s="139"/>
      <c r="L20" s="137"/>
      <c r="M20" s="140"/>
    </row>
    <row r="21" spans="2:13" ht="13.5" hidden="1" thickBot="1" x14ac:dyDescent="0.25">
      <c r="B21" s="63" t="s">
        <v>216</v>
      </c>
      <c r="C21" s="134"/>
      <c r="D21" s="135"/>
      <c r="E21" s="136"/>
      <c r="F21" s="137"/>
      <c r="G21" s="137"/>
      <c r="H21" s="137"/>
      <c r="I21" s="137"/>
      <c r="J21" s="138"/>
      <c r="K21" s="139"/>
      <c r="L21" s="137"/>
      <c r="M21" s="140"/>
    </row>
    <row r="22" spans="2:13" ht="13.5" hidden="1" thickBot="1" x14ac:dyDescent="0.25">
      <c r="B22" s="63" t="s">
        <v>217</v>
      </c>
      <c r="C22" s="134"/>
      <c r="D22" s="135"/>
      <c r="E22" s="136"/>
      <c r="F22" s="137"/>
      <c r="G22" s="137"/>
      <c r="H22" s="137"/>
      <c r="I22" s="137"/>
      <c r="J22" s="138"/>
      <c r="K22" s="139"/>
      <c r="L22" s="137"/>
      <c r="M22" s="140"/>
    </row>
    <row r="23" spans="2:13" ht="13.5" hidden="1" thickBot="1" x14ac:dyDescent="0.25">
      <c r="B23" s="63" t="s">
        <v>218</v>
      </c>
      <c r="C23" s="134"/>
      <c r="D23" s="135"/>
      <c r="E23" s="136"/>
      <c r="F23" s="137"/>
      <c r="G23" s="137"/>
      <c r="H23" s="137"/>
      <c r="I23" s="137"/>
      <c r="J23" s="138"/>
      <c r="K23" s="139"/>
      <c r="L23" s="137"/>
      <c r="M23" s="140"/>
    </row>
    <row r="24" spans="2:13" ht="13.5" hidden="1" thickBot="1" x14ac:dyDescent="0.25">
      <c r="B24" s="63" t="s">
        <v>219</v>
      </c>
      <c r="C24" s="134"/>
      <c r="D24" s="135"/>
      <c r="E24" s="136"/>
      <c r="F24" s="137"/>
      <c r="G24" s="137"/>
      <c r="H24" s="137"/>
      <c r="I24" s="137"/>
      <c r="J24" s="138"/>
      <c r="K24" s="139"/>
      <c r="L24" s="137"/>
      <c r="M24" s="140"/>
    </row>
    <row r="25" spans="2:13" ht="13.5" hidden="1" thickBot="1" x14ac:dyDescent="0.25">
      <c r="B25" s="63" t="s">
        <v>220</v>
      </c>
      <c r="C25" s="134"/>
      <c r="D25" s="135"/>
      <c r="E25" s="136"/>
      <c r="F25" s="137"/>
      <c r="G25" s="137"/>
      <c r="H25" s="137"/>
      <c r="I25" s="137"/>
      <c r="J25" s="138"/>
      <c r="K25" s="139"/>
      <c r="L25" s="137"/>
      <c r="M25" s="140"/>
    </row>
    <row r="26" spans="2:13" ht="13.5" hidden="1" thickBot="1" x14ac:dyDescent="0.25">
      <c r="B26" s="63" t="s">
        <v>221</v>
      </c>
      <c r="C26" s="134"/>
      <c r="D26" s="135"/>
      <c r="E26" s="136"/>
      <c r="F26" s="137"/>
      <c r="G26" s="137"/>
      <c r="H26" s="137"/>
      <c r="I26" s="137"/>
      <c r="J26" s="138"/>
      <c r="K26" s="139"/>
      <c r="L26" s="137"/>
      <c r="M26" s="140"/>
    </row>
    <row r="27" spans="2:13" ht="13.5" hidden="1" thickBot="1" x14ac:dyDescent="0.25">
      <c r="B27" s="63" t="s">
        <v>222</v>
      </c>
      <c r="C27" s="134"/>
      <c r="D27" s="135"/>
      <c r="E27" s="136"/>
      <c r="F27" s="137"/>
      <c r="G27" s="137"/>
      <c r="H27" s="137"/>
      <c r="I27" s="137"/>
      <c r="J27" s="138"/>
      <c r="K27" s="139"/>
      <c r="L27" s="137"/>
      <c r="M27" s="140"/>
    </row>
    <row r="28" spans="2:13" ht="13.5" hidden="1" thickBot="1" x14ac:dyDescent="0.25">
      <c r="B28" s="63" t="s">
        <v>223</v>
      </c>
      <c r="C28" s="134"/>
      <c r="D28" s="135"/>
      <c r="E28" s="136"/>
      <c r="F28" s="137"/>
      <c r="G28" s="137"/>
      <c r="H28" s="137"/>
      <c r="I28" s="137"/>
      <c r="J28" s="138"/>
      <c r="K28" s="139"/>
      <c r="L28" s="137"/>
      <c r="M28" s="140"/>
    </row>
    <row r="29" spans="2:13" ht="13.5" hidden="1" thickBot="1" x14ac:dyDescent="0.25">
      <c r="B29" s="63" t="s">
        <v>224</v>
      </c>
      <c r="C29" s="134"/>
      <c r="D29" s="135"/>
      <c r="E29" s="136"/>
      <c r="F29" s="137"/>
      <c r="G29" s="137"/>
      <c r="H29" s="137"/>
      <c r="I29" s="137"/>
      <c r="J29" s="138"/>
      <c r="K29" s="139"/>
      <c r="L29" s="137"/>
      <c r="M29" s="140"/>
    </row>
    <row r="30" spans="2:13" ht="13.5" hidden="1" thickBot="1" x14ac:dyDescent="0.25">
      <c r="B30" s="63" t="s">
        <v>225</v>
      </c>
      <c r="C30" s="134"/>
      <c r="D30" s="135"/>
      <c r="E30" s="136"/>
      <c r="F30" s="137"/>
      <c r="G30" s="137"/>
      <c r="H30" s="137"/>
      <c r="I30" s="137"/>
      <c r="J30" s="138"/>
      <c r="K30" s="139"/>
      <c r="L30" s="137"/>
      <c r="M30" s="140"/>
    </row>
    <row r="31" spans="2:13" ht="13.5" hidden="1" thickBot="1" x14ac:dyDescent="0.25">
      <c r="B31" s="63" t="s">
        <v>226</v>
      </c>
      <c r="C31" s="134"/>
      <c r="D31" s="135"/>
      <c r="E31" s="136"/>
      <c r="F31" s="137"/>
      <c r="G31" s="137"/>
      <c r="H31" s="137"/>
      <c r="I31" s="137"/>
      <c r="J31" s="138"/>
      <c r="K31" s="139"/>
      <c r="L31" s="137"/>
      <c r="M31" s="140"/>
    </row>
    <row r="32" spans="2:13" ht="13.5" hidden="1" thickBot="1" x14ac:dyDescent="0.25">
      <c r="B32" s="63" t="s">
        <v>227</v>
      </c>
      <c r="C32" s="134"/>
      <c r="D32" s="135"/>
      <c r="E32" s="136"/>
      <c r="F32" s="137"/>
      <c r="G32" s="137"/>
      <c r="H32" s="137"/>
      <c r="I32" s="137"/>
      <c r="J32" s="138"/>
      <c r="K32" s="139"/>
      <c r="L32" s="137"/>
      <c r="M32" s="140"/>
    </row>
    <row r="33" spans="2:13" ht="13.5" hidden="1" thickBot="1" x14ac:dyDescent="0.25">
      <c r="B33" s="63" t="s">
        <v>228</v>
      </c>
      <c r="C33" s="134"/>
      <c r="D33" s="135"/>
      <c r="E33" s="136"/>
      <c r="F33" s="137"/>
      <c r="G33" s="137"/>
      <c r="H33" s="137"/>
      <c r="I33" s="137"/>
      <c r="J33" s="138"/>
      <c r="K33" s="139"/>
      <c r="L33" s="137"/>
      <c r="M33" s="140"/>
    </row>
    <row r="34" spans="2:13" ht="13.5" hidden="1" thickBot="1" x14ac:dyDescent="0.25">
      <c r="B34" s="63" t="s">
        <v>229</v>
      </c>
      <c r="C34" s="134"/>
      <c r="D34" s="135"/>
      <c r="E34" s="136"/>
      <c r="F34" s="137"/>
      <c r="G34" s="137"/>
      <c r="H34" s="137"/>
      <c r="I34" s="137"/>
      <c r="J34" s="138"/>
      <c r="K34" s="139"/>
      <c r="L34" s="137"/>
      <c r="M34" s="140"/>
    </row>
    <row r="35" spans="2:13" ht="13.5" hidden="1" thickBot="1" x14ac:dyDescent="0.25">
      <c r="B35" s="63" t="s">
        <v>230</v>
      </c>
      <c r="C35" s="134"/>
      <c r="D35" s="135"/>
      <c r="E35" s="136"/>
      <c r="F35" s="137"/>
      <c r="G35" s="137"/>
      <c r="H35" s="137"/>
      <c r="I35" s="137"/>
      <c r="J35" s="138"/>
      <c r="K35" s="139"/>
      <c r="L35" s="137"/>
      <c r="M35" s="140"/>
    </row>
    <row r="36" spans="2:13" ht="13.5" hidden="1" thickBot="1" x14ac:dyDescent="0.25">
      <c r="B36" s="63" t="s">
        <v>231</v>
      </c>
      <c r="C36" s="134"/>
      <c r="D36" s="135"/>
      <c r="E36" s="136"/>
      <c r="F36" s="137"/>
      <c r="G36" s="137"/>
      <c r="H36" s="137"/>
      <c r="I36" s="137"/>
      <c r="J36" s="138"/>
      <c r="K36" s="139"/>
      <c r="L36" s="137"/>
      <c r="M36" s="140"/>
    </row>
    <row r="37" spans="2:13" ht="13.5" hidden="1" thickBot="1" x14ac:dyDescent="0.25">
      <c r="B37" s="63" t="s">
        <v>232</v>
      </c>
      <c r="C37" s="134"/>
      <c r="D37" s="135"/>
      <c r="E37" s="136"/>
      <c r="F37" s="137"/>
      <c r="G37" s="137"/>
      <c r="H37" s="137"/>
      <c r="I37" s="137"/>
      <c r="J37" s="138"/>
      <c r="K37" s="139"/>
      <c r="L37" s="137"/>
      <c r="M37" s="140"/>
    </row>
    <row r="38" spans="2:13" ht="13.5" hidden="1" thickBot="1" x14ac:dyDescent="0.25">
      <c r="B38" s="63" t="s">
        <v>233</v>
      </c>
      <c r="C38" s="134"/>
      <c r="D38" s="135"/>
      <c r="E38" s="136"/>
      <c r="F38" s="137"/>
      <c r="G38" s="137"/>
      <c r="H38" s="137"/>
      <c r="I38" s="137"/>
      <c r="J38" s="138"/>
      <c r="K38" s="139"/>
      <c r="L38" s="137"/>
      <c r="M38" s="140"/>
    </row>
    <row r="39" spans="2:13" ht="13.5" hidden="1" thickBot="1" x14ac:dyDescent="0.25">
      <c r="B39" s="63" t="s">
        <v>234</v>
      </c>
      <c r="C39" s="134"/>
      <c r="D39" s="135"/>
      <c r="E39" s="136"/>
      <c r="F39" s="137"/>
      <c r="G39" s="137"/>
      <c r="H39" s="137"/>
      <c r="I39" s="137"/>
      <c r="J39" s="138"/>
      <c r="K39" s="139"/>
      <c r="L39" s="137"/>
      <c r="M39" s="140"/>
    </row>
    <row r="40" spans="2:13" ht="13.5" hidden="1" thickBot="1" x14ac:dyDescent="0.25">
      <c r="B40" s="63" t="s">
        <v>235</v>
      </c>
      <c r="C40" s="134"/>
      <c r="D40" s="135"/>
      <c r="E40" s="136"/>
      <c r="F40" s="137"/>
      <c r="G40" s="137"/>
      <c r="H40" s="137"/>
      <c r="I40" s="137"/>
      <c r="J40" s="138"/>
      <c r="K40" s="139"/>
      <c r="L40" s="137"/>
      <c r="M40" s="140"/>
    </row>
    <row r="41" spans="2:13" ht="13.5" hidden="1" thickBot="1" x14ac:dyDescent="0.25">
      <c r="B41" s="63" t="s">
        <v>236</v>
      </c>
      <c r="C41" s="134"/>
      <c r="D41" s="135"/>
      <c r="E41" s="136"/>
      <c r="F41" s="137"/>
      <c r="G41" s="137"/>
      <c r="H41" s="137"/>
      <c r="I41" s="137"/>
      <c r="J41" s="138"/>
      <c r="K41" s="139"/>
      <c r="L41" s="137"/>
      <c r="M41" s="140"/>
    </row>
    <row r="42" spans="2:13" ht="13.5" hidden="1" thickBot="1" x14ac:dyDescent="0.25">
      <c r="B42" s="63" t="s">
        <v>237</v>
      </c>
      <c r="C42" s="134"/>
      <c r="D42" s="135"/>
      <c r="E42" s="136"/>
      <c r="F42" s="137"/>
      <c r="G42" s="137"/>
      <c r="H42" s="137"/>
      <c r="I42" s="137"/>
      <c r="J42" s="138"/>
      <c r="K42" s="139"/>
      <c r="L42" s="137"/>
      <c r="M42" s="140"/>
    </row>
    <row r="43" spans="2:13" ht="13.5" hidden="1" thickBot="1" x14ac:dyDescent="0.25">
      <c r="B43" s="63" t="s">
        <v>238</v>
      </c>
      <c r="C43" s="134"/>
      <c r="D43" s="135"/>
      <c r="E43" s="136"/>
      <c r="F43" s="137"/>
      <c r="G43" s="137"/>
      <c r="H43" s="137"/>
      <c r="I43" s="137"/>
      <c r="J43" s="138"/>
      <c r="K43" s="139"/>
      <c r="L43" s="137"/>
      <c r="M43" s="140"/>
    </row>
    <row r="44" spans="2:13" ht="13.5" hidden="1" thickBot="1" x14ac:dyDescent="0.25">
      <c r="B44" s="63" t="s">
        <v>239</v>
      </c>
      <c r="C44" s="134"/>
      <c r="D44" s="135"/>
      <c r="E44" s="136"/>
      <c r="F44" s="137"/>
      <c r="G44" s="137"/>
      <c r="H44" s="137"/>
      <c r="I44" s="137"/>
      <c r="J44" s="138"/>
      <c r="K44" s="139"/>
      <c r="L44" s="137"/>
      <c r="M44" s="140"/>
    </row>
    <row r="45" spans="2:13" ht="13.5" hidden="1" thickBot="1" x14ac:dyDescent="0.25">
      <c r="B45" s="63" t="s">
        <v>240</v>
      </c>
      <c r="C45" s="134"/>
      <c r="D45" s="135"/>
      <c r="E45" s="136"/>
      <c r="F45" s="137"/>
      <c r="G45" s="137"/>
      <c r="H45" s="137"/>
      <c r="I45" s="137"/>
      <c r="J45" s="138"/>
      <c r="K45" s="139"/>
      <c r="L45" s="137"/>
      <c r="M45" s="140"/>
    </row>
    <row r="46" spans="2:13" ht="13.5" hidden="1" thickBot="1" x14ac:dyDescent="0.25">
      <c r="B46" s="63" t="s">
        <v>241</v>
      </c>
      <c r="C46" s="134"/>
      <c r="D46" s="135"/>
      <c r="E46" s="136"/>
      <c r="F46" s="137"/>
      <c r="G46" s="137"/>
      <c r="H46" s="137"/>
      <c r="I46" s="137"/>
      <c r="J46" s="138"/>
      <c r="K46" s="139"/>
      <c r="L46" s="137"/>
      <c r="M46" s="140"/>
    </row>
    <row r="47" spans="2:13" ht="13.5" hidden="1" thickBot="1" x14ac:dyDescent="0.25">
      <c r="B47" s="63" t="s">
        <v>242</v>
      </c>
      <c r="C47" s="134"/>
      <c r="D47" s="135"/>
      <c r="E47" s="136"/>
      <c r="F47" s="137"/>
      <c r="G47" s="137"/>
      <c r="H47" s="137"/>
      <c r="I47" s="137"/>
      <c r="J47" s="138"/>
      <c r="K47" s="139"/>
      <c r="L47" s="137"/>
      <c r="M47" s="140"/>
    </row>
    <row r="48" spans="2:13" ht="13.5" hidden="1" thickBot="1" x14ac:dyDescent="0.25">
      <c r="B48" s="63" t="s">
        <v>243</v>
      </c>
      <c r="C48" s="134"/>
      <c r="D48" s="135"/>
      <c r="E48" s="136"/>
      <c r="F48" s="137"/>
      <c r="G48" s="137"/>
      <c r="H48" s="137"/>
      <c r="I48" s="137"/>
      <c r="J48" s="138"/>
      <c r="K48" s="139"/>
      <c r="L48" s="137"/>
      <c r="M48" s="140"/>
    </row>
    <row r="49" spans="2:13" ht="13.5" hidden="1" thickBot="1" x14ac:dyDescent="0.25">
      <c r="B49" s="63" t="s">
        <v>244</v>
      </c>
      <c r="C49" s="134"/>
      <c r="D49" s="135"/>
      <c r="E49" s="136"/>
      <c r="F49" s="137"/>
      <c r="G49" s="137"/>
      <c r="H49" s="137"/>
      <c r="I49" s="137"/>
      <c r="J49" s="138"/>
      <c r="K49" s="139"/>
      <c r="L49" s="137"/>
      <c r="M49" s="140"/>
    </row>
    <row r="50" spans="2:13" ht="13.5" hidden="1" thickBot="1" x14ac:dyDescent="0.25">
      <c r="B50" s="63" t="s">
        <v>245</v>
      </c>
      <c r="C50" s="134"/>
      <c r="D50" s="135"/>
      <c r="E50" s="136"/>
      <c r="F50" s="137"/>
      <c r="G50" s="137"/>
      <c r="H50" s="137"/>
      <c r="I50" s="137"/>
      <c r="J50" s="138"/>
      <c r="K50" s="139"/>
      <c r="L50" s="137"/>
      <c r="M50" s="140"/>
    </row>
    <row r="51" spans="2:13" ht="13.5" hidden="1" thickBot="1" x14ac:dyDescent="0.25">
      <c r="B51" s="63" t="s">
        <v>246</v>
      </c>
      <c r="C51" s="134"/>
      <c r="D51" s="135"/>
      <c r="E51" s="136"/>
      <c r="F51" s="137"/>
      <c r="G51" s="137"/>
      <c r="H51" s="137"/>
      <c r="I51" s="137"/>
      <c r="J51" s="138"/>
      <c r="K51" s="139"/>
      <c r="L51" s="137"/>
      <c r="M51" s="140"/>
    </row>
    <row r="52" spans="2:13" ht="13.5" hidden="1" thickBot="1" x14ac:dyDescent="0.25">
      <c r="B52" s="63" t="s">
        <v>247</v>
      </c>
      <c r="C52" s="134"/>
      <c r="D52" s="135"/>
      <c r="E52" s="136"/>
      <c r="F52" s="137"/>
      <c r="G52" s="137"/>
      <c r="H52" s="137"/>
      <c r="I52" s="137"/>
      <c r="J52" s="138"/>
      <c r="K52" s="139"/>
      <c r="L52" s="137"/>
      <c r="M52" s="140"/>
    </row>
    <row r="53" spans="2:13" ht="13.5" hidden="1" thickBot="1" x14ac:dyDescent="0.25">
      <c r="B53" s="63" t="s">
        <v>248</v>
      </c>
      <c r="C53" s="134"/>
      <c r="D53" s="135"/>
      <c r="E53" s="136"/>
      <c r="F53" s="137"/>
      <c r="G53" s="137"/>
      <c r="H53" s="137"/>
      <c r="I53" s="137"/>
      <c r="J53" s="138"/>
      <c r="K53" s="139"/>
      <c r="L53" s="137"/>
      <c r="M53" s="140"/>
    </row>
    <row r="54" spans="2:13" ht="13.5" hidden="1" thickBot="1" x14ac:dyDescent="0.25">
      <c r="B54" s="63" t="s">
        <v>249</v>
      </c>
      <c r="C54" s="134"/>
      <c r="D54" s="135"/>
      <c r="E54" s="136"/>
      <c r="F54" s="137"/>
      <c r="G54" s="137"/>
      <c r="H54" s="137"/>
      <c r="I54" s="137"/>
      <c r="J54" s="138"/>
      <c r="K54" s="139"/>
      <c r="L54" s="137"/>
      <c r="M54" s="140"/>
    </row>
    <row r="55" spans="2:13" ht="13.5" hidden="1" thickBot="1" x14ac:dyDescent="0.25">
      <c r="B55" s="63" t="s">
        <v>250</v>
      </c>
      <c r="C55" s="134"/>
      <c r="D55" s="135"/>
      <c r="E55" s="136"/>
      <c r="F55" s="137"/>
      <c r="G55" s="137"/>
      <c r="H55" s="137"/>
      <c r="I55" s="137"/>
      <c r="J55" s="138"/>
      <c r="K55" s="139"/>
      <c r="L55" s="137"/>
      <c r="M55" s="140"/>
    </row>
    <row r="56" spans="2:13" ht="13.5" hidden="1" thickBot="1" x14ac:dyDescent="0.25">
      <c r="B56" s="63" t="s">
        <v>280</v>
      </c>
      <c r="C56" s="134"/>
      <c r="D56" s="135"/>
      <c r="E56" s="136"/>
      <c r="F56" s="137"/>
      <c r="G56" s="137"/>
      <c r="H56" s="137"/>
      <c r="I56" s="137"/>
      <c r="J56" s="138"/>
      <c r="K56" s="139"/>
      <c r="L56" s="137"/>
      <c r="M56" s="140"/>
    </row>
    <row r="57" spans="2:13" ht="13.5" hidden="1" thickBot="1" x14ac:dyDescent="0.25">
      <c r="B57" s="63" t="s">
        <v>251</v>
      </c>
      <c r="C57" s="134"/>
      <c r="D57" s="135"/>
      <c r="E57" s="136"/>
      <c r="F57" s="137"/>
      <c r="G57" s="137"/>
      <c r="H57" s="137"/>
      <c r="I57" s="137"/>
      <c r="J57" s="138"/>
      <c r="K57" s="139"/>
      <c r="L57" s="137"/>
      <c r="M57" s="140"/>
    </row>
    <row r="58" spans="2:13" ht="13.5" hidden="1" thickBot="1" x14ac:dyDescent="0.25">
      <c r="B58" s="63" t="s">
        <v>275</v>
      </c>
      <c r="C58" s="134"/>
      <c r="D58" s="135"/>
      <c r="E58" s="136"/>
      <c r="F58" s="137"/>
      <c r="G58" s="137"/>
      <c r="H58" s="137"/>
      <c r="I58" s="137"/>
      <c r="J58" s="138"/>
      <c r="K58" s="139"/>
      <c r="L58" s="137"/>
      <c r="M58" s="140"/>
    </row>
    <row r="59" spans="2:13" ht="13.5" hidden="1" thickBot="1" x14ac:dyDescent="0.25">
      <c r="B59" s="63" t="s">
        <v>276</v>
      </c>
      <c r="C59" s="134"/>
      <c r="D59" s="135"/>
      <c r="E59" s="136"/>
      <c r="F59" s="137"/>
      <c r="G59" s="137"/>
      <c r="H59" s="137"/>
      <c r="I59" s="137"/>
      <c r="J59" s="138"/>
      <c r="K59" s="139"/>
      <c r="L59" s="137"/>
      <c r="M59" s="140"/>
    </row>
    <row r="60" spans="2:13" ht="13.5" hidden="1" thickBot="1" x14ac:dyDescent="0.25">
      <c r="B60" s="63" t="s">
        <v>277</v>
      </c>
      <c r="C60" s="134"/>
      <c r="D60" s="135"/>
      <c r="E60" s="136"/>
      <c r="F60" s="137"/>
      <c r="G60" s="137"/>
      <c r="H60" s="137"/>
      <c r="I60" s="137"/>
      <c r="J60" s="138"/>
      <c r="K60" s="139"/>
      <c r="L60" s="137"/>
      <c r="M60" s="140"/>
    </row>
    <row r="61" spans="2:13" ht="13.5" hidden="1" thickBot="1" x14ac:dyDescent="0.25">
      <c r="B61" s="63" t="s">
        <v>278</v>
      </c>
      <c r="C61" s="134"/>
      <c r="D61" s="135"/>
      <c r="E61" s="136"/>
      <c r="F61" s="137"/>
      <c r="G61" s="137"/>
      <c r="H61" s="137"/>
      <c r="I61" s="137"/>
      <c r="J61" s="138"/>
      <c r="K61" s="139"/>
      <c r="L61" s="137"/>
      <c r="M61" s="140"/>
    </row>
    <row r="62" spans="2:13" ht="13.5" hidden="1" thickBot="1" x14ac:dyDescent="0.25">
      <c r="B62" s="63" t="s">
        <v>252</v>
      </c>
      <c r="C62" s="134"/>
      <c r="D62" s="135"/>
      <c r="E62" s="136"/>
      <c r="F62" s="137"/>
      <c r="G62" s="137"/>
      <c r="H62" s="137"/>
      <c r="I62" s="137"/>
      <c r="J62" s="138"/>
      <c r="K62" s="139"/>
      <c r="L62" s="137"/>
      <c r="M62" s="140"/>
    </row>
    <row r="63" spans="2:13" ht="13.5" hidden="1" thickBot="1" x14ac:dyDescent="0.25">
      <c r="B63" s="63" t="s">
        <v>253</v>
      </c>
      <c r="C63" s="134"/>
      <c r="D63" s="135"/>
      <c r="E63" s="136"/>
      <c r="F63" s="137"/>
      <c r="G63" s="137"/>
      <c r="H63" s="137"/>
      <c r="I63" s="137"/>
      <c r="J63" s="138"/>
      <c r="K63" s="139"/>
      <c r="L63" s="137"/>
      <c r="M63" s="140"/>
    </row>
    <row r="64" spans="2:13" ht="13.5" hidden="1" thickBot="1" x14ac:dyDescent="0.25">
      <c r="B64" s="63" t="s">
        <v>254</v>
      </c>
      <c r="C64" s="134"/>
      <c r="D64" s="135"/>
      <c r="E64" s="136"/>
      <c r="F64" s="137"/>
      <c r="G64" s="137"/>
      <c r="H64" s="137"/>
      <c r="I64" s="137"/>
      <c r="J64" s="138"/>
      <c r="K64" s="139"/>
      <c r="L64" s="137"/>
      <c r="M64" s="140"/>
    </row>
    <row r="65" spans="2:13" ht="13.5" hidden="1" thickBot="1" x14ac:dyDescent="0.25">
      <c r="B65" s="63" t="s">
        <v>255</v>
      </c>
      <c r="C65" s="134"/>
      <c r="D65" s="135"/>
      <c r="E65" s="136"/>
      <c r="F65" s="137"/>
      <c r="G65" s="137"/>
      <c r="H65" s="137"/>
      <c r="I65" s="137"/>
      <c r="J65" s="138"/>
      <c r="K65" s="139"/>
      <c r="L65" s="137"/>
      <c r="M65" s="140"/>
    </row>
    <row r="66" spans="2:13" ht="13.5" hidden="1" thickBot="1" x14ac:dyDescent="0.25">
      <c r="B66" s="63" t="s">
        <v>256</v>
      </c>
      <c r="C66" s="134"/>
      <c r="D66" s="135"/>
      <c r="E66" s="136"/>
      <c r="F66" s="137"/>
      <c r="G66" s="137"/>
      <c r="H66" s="137"/>
      <c r="I66" s="137"/>
      <c r="J66" s="138"/>
      <c r="K66" s="139"/>
      <c r="L66" s="137"/>
      <c r="M66" s="140"/>
    </row>
    <row r="67" spans="2:13" ht="13.5" hidden="1" thickBot="1" x14ac:dyDescent="0.25">
      <c r="B67" s="63" t="s">
        <v>257</v>
      </c>
      <c r="C67" s="134"/>
      <c r="D67" s="135"/>
      <c r="E67" s="136"/>
      <c r="F67" s="137"/>
      <c r="G67" s="137"/>
      <c r="H67" s="137"/>
      <c r="I67" s="137"/>
      <c r="J67" s="138"/>
      <c r="K67" s="139"/>
      <c r="L67" s="137"/>
      <c r="M67" s="140"/>
    </row>
    <row r="68" spans="2:13" ht="13.5" hidden="1" thickBot="1" x14ac:dyDescent="0.25">
      <c r="B68" s="63" t="s">
        <v>258</v>
      </c>
      <c r="C68" s="134"/>
      <c r="D68" s="135"/>
      <c r="E68" s="136"/>
      <c r="F68" s="137"/>
      <c r="G68" s="137"/>
      <c r="H68" s="137"/>
      <c r="I68" s="137"/>
      <c r="J68" s="138"/>
      <c r="K68" s="139"/>
      <c r="L68" s="137"/>
      <c r="M68" s="140"/>
    </row>
    <row r="69" spans="2:13" ht="13.5" hidden="1" thickBot="1" x14ac:dyDescent="0.25">
      <c r="B69" s="63" t="s">
        <v>259</v>
      </c>
      <c r="C69" s="134"/>
      <c r="D69" s="135"/>
      <c r="E69" s="136"/>
      <c r="F69" s="137"/>
      <c r="G69" s="137"/>
      <c r="H69" s="137"/>
      <c r="I69" s="137"/>
      <c r="J69" s="138"/>
      <c r="K69" s="139"/>
      <c r="L69" s="137"/>
      <c r="M69" s="140"/>
    </row>
    <row r="70" spans="2:13" ht="13.5" hidden="1" thickBot="1" x14ac:dyDescent="0.25">
      <c r="B70" s="63" t="s">
        <v>260</v>
      </c>
      <c r="C70" s="134"/>
      <c r="D70" s="135"/>
      <c r="E70" s="136"/>
      <c r="F70" s="137"/>
      <c r="G70" s="137"/>
      <c r="H70" s="137"/>
      <c r="I70" s="137"/>
      <c r="J70" s="138"/>
      <c r="K70" s="139"/>
      <c r="L70" s="137"/>
      <c r="M70" s="140"/>
    </row>
    <row r="71" spans="2:13" ht="13.5" hidden="1" thickBot="1" x14ac:dyDescent="0.25">
      <c r="B71" s="63" t="s">
        <v>261</v>
      </c>
      <c r="C71" s="134"/>
      <c r="D71" s="135"/>
      <c r="E71" s="136"/>
      <c r="F71" s="137"/>
      <c r="G71" s="137"/>
      <c r="H71" s="137"/>
      <c r="I71" s="137"/>
      <c r="J71" s="138"/>
      <c r="K71" s="139"/>
      <c r="L71" s="137"/>
      <c r="M71" s="140"/>
    </row>
    <row r="72" spans="2:13" ht="13.5" hidden="1" thickBot="1" x14ac:dyDescent="0.25">
      <c r="B72" s="63" t="s">
        <v>262</v>
      </c>
      <c r="C72" s="134"/>
      <c r="D72" s="135"/>
      <c r="E72" s="136"/>
      <c r="F72" s="137"/>
      <c r="G72" s="137"/>
      <c r="H72" s="137"/>
      <c r="I72" s="137"/>
      <c r="J72" s="138"/>
      <c r="K72" s="139"/>
      <c r="L72" s="137"/>
      <c r="M72" s="140"/>
    </row>
    <row r="73" spans="2:13" ht="13.5" hidden="1" thickBot="1" x14ac:dyDescent="0.25">
      <c r="B73" s="63" t="s">
        <v>263</v>
      </c>
      <c r="C73" s="134"/>
      <c r="D73" s="135"/>
      <c r="E73" s="136"/>
      <c r="F73" s="137"/>
      <c r="G73" s="137"/>
      <c r="H73" s="137"/>
      <c r="I73" s="137"/>
      <c r="J73" s="138"/>
      <c r="K73" s="139"/>
      <c r="L73" s="137"/>
      <c r="M73" s="140"/>
    </row>
    <row r="74" spans="2:13" ht="13.5" hidden="1" thickBot="1" x14ac:dyDescent="0.25">
      <c r="B74" s="63" t="s">
        <v>264</v>
      </c>
      <c r="C74" s="134"/>
      <c r="D74" s="135"/>
      <c r="E74" s="136"/>
      <c r="F74" s="137"/>
      <c r="G74" s="137"/>
      <c r="H74" s="137"/>
      <c r="I74" s="137"/>
      <c r="J74" s="138"/>
      <c r="K74" s="139"/>
      <c r="L74" s="137"/>
      <c r="M74" s="140"/>
    </row>
    <row r="75" spans="2:13" ht="13.5" hidden="1" thickBot="1" x14ac:dyDescent="0.25">
      <c r="B75" s="63" t="s">
        <v>265</v>
      </c>
      <c r="C75" s="134"/>
      <c r="D75" s="135"/>
      <c r="E75" s="136"/>
      <c r="F75" s="137"/>
      <c r="G75" s="137"/>
      <c r="H75" s="137"/>
      <c r="I75" s="137"/>
      <c r="J75" s="138"/>
      <c r="K75" s="139"/>
      <c r="L75" s="137"/>
      <c r="M75" s="140"/>
    </row>
    <row r="76" spans="2:13" ht="13.5" hidden="1" thickBot="1" x14ac:dyDescent="0.25">
      <c r="B76" s="63" t="s">
        <v>266</v>
      </c>
      <c r="C76" s="134"/>
      <c r="D76" s="135"/>
      <c r="E76" s="136"/>
      <c r="F76" s="137"/>
      <c r="G76" s="137"/>
      <c r="H76" s="137"/>
      <c r="I76" s="137"/>
      <c r="J76" s="138"/>
      <c r="K76" s="139"/>
      <c r="L76" s="137"/>
      <c r="M76" s="140"/>
    </row>
    <row r="77" spans="2:13" ht="13.5" hidden="1" thickBot="1" x14ac:dyDescent="0.25">
      <c r="B77" s="63" t="s">
        <v>267</v>
      </c>
      <c r="C77" s="134"/>
      <c r="D77" s="135"/>
      <c r="E77" s="136"/>
      <c r="F77" s="137"/>
      <c r="G77" s="137"/>
      <c r="H77" s="137"/>
      <c r="I77" s="137"/>
      <c r="J77" s="138"/>
      <c r="K77" s="139"/>
      <c r="L77" s="137"/>
      <c r="M77" s="140"/>
    </row>
    <row r="78" spans="2:13" ht="13.5" hidden="1" thickBot="1" x14ac:dyDescent="0.25">
      <c r="B78" s="63" t="s">
        <v>268</v>
      </c>
      <c r="C78" s="134"/>
      <c r="D78" s="135"/>
      <c r="E78" s="136"/>
      <c r="F78" s="137"/>
      <c r="G78" s="137"/>
      <c r="H78" s="137"/>
      <c r="I78" s="137"/>
      <c r="J78" s="138"/>
      <c r="K78" s="139"/>
      <c r="L78" s="137"/>
      <c r="M78" s="140"/>
    </row>
    <row r="79" spans="2:13" ht="13.5" hidden="1" thickBot="1" x14ac:dyDescent="0.25">
      <c r="B79" s="63" t="s">
        <v>269</v>
      </c>
      <c r="C79" s="134"/>
      <c r="D79" s="135"/>
      <c r="E79" s="136"/>
      <c r="F79" s="137"/>
      <c r="G79" s="137"/>
      <c r="H79" s="137"/>
      <c r="I79" s="137"/>
      <c r="J79" s="138"/>
      <c r="K79" s="139"/>
      <c r="L79" s="137"/>
      <c r="M79" s="140"/>
    </row>
    <row r="80" spans="2:13" ht="13.5" hidden="1" thickBot="1" x14ac:dyDescent="0.25">
      <c r="B80" s="63" t="s">
        <v>270</v>
      </c>
      <c r="C80" s="134"/>
      <c r="D80" s="135"/>
      <c r="E80" s="136"/>
      <c r="F80" s="137"/>
      <c r="G80" s="137"/>
      <c r="H80" s="137"/>
      <c r="I80" s="137"/>
      <c r="J80" s="138"/>
      <c r="K80" s="139"/>
      <c r="L80" s="137"/>
      <c r="M80" s="140"/>
    </row>
    <row r="81" spans="2:13" ht="13.5" hidden="1" thickBot="1" x14ac:dyDescent="0.25">
      <c r="B81" s="63" t="s">
        <v>279</v>
      </c>
      <c r="C81" s="134"/>
      <c r="D81" s="135"/>
      <c r="E81" s="136"/>
      <c r="F81" s="137"/>
      <c r="G81" s="137"/>
      <c r="H81" s="137"/>
      <c r="I81" s="137"/>
      <c r="J81" s="138"/>
      <c r="K81" s="139"/>
      <c r="L81" s="137"/>
      <c r="M81" s="140"/>
    </row>
    <row r="82" spans="2:13" ht="13.5" hidden="1" thickBot="1" x14ac:dyDescent="0.25">
      <c r="B82" s="63" t="s">
        <v>271</v>
      </c>
      <c r="C82" s="134"/>
      <c r="D82" s="135"/>
      <c r="E82" s="136"/>
      <c r="F82" s="137"/>
      <c r="G82" s="137"/>
      <c r="H82" s="137"/>
      <c r="I82" s="137"/>
      <c r="J82" s="138"/>
      <c r="K82" s="139"/>
      <c r="L82" s="137"/>
      <c r="M82" s="140"/>
    </row>
    <row r="83" spans="2:13" ht="13.5" hidden="1" thickBot="1" x14ac:dyDescent="0.25">
      <c r="B83" s="63" t="s">
        <v>272</v>
      </c>
      <c r="C83" s="134"/>
      <c r="D83" s="135"/>
      <c r="E83" s="136"/>
      <c r="F83" s="137"/>
      <c r="G83" s="137"/>
      <c r="H83" s="137"/>
      <c r="I83" s="137"/>
      <c r="J83" s="138"/>
      <c r="K83" s="139"/>
      <c r="L83" s="137"/>
      <c r="M83" s="140"/>
    </row>
    <row r="84" spans="2:13" ht="13.5" hidden="1" thickBot="1" x14ac:dyDescent="0.25">
      <c r="B84" s="63" t="s">
        <v>273</v>
      </c>
      <c r="C84" s="134"/>
      <c r="D84" s="135"/>
      <c r="E84" s="136"/>
      <c r="F84" s="137"/>
      <c r="G84" s="137"/>
      <c r="H84" s="137"/>
      <c r="I84" s="137"/>
      <c r="J84" s="138"/>
      <c r="K84" s="139"/>
      <c r="L84" s="137"/>
      <c r="M84" s="140"/>
    </row>
    <row r="85" spans="2:13" ht="13.5" hidden="1" thickBot="1" x14ac:dyDescent="0.25">
      <c r="B85" s="63" t="s">
        <v>274</v>
      </c>
      <c r="C85" s="134"/>
      <c r="D85" s="135"/>
      <c r="E85" s="136"/>
      <c r="F85" s="137"/>
      <c r="G85" s="137"/>
      <c r="H85" s="137"/>
      <c r="I85" s="137"/>
      <c r="J85" s="138"/>
      <c r="K85" s="139"/>
      <c r="L85" s="137"/>
      <c r="M85" s="140"/>
    </row>
    <row r="86" spans="2:13" ht="16.5" thickBot="1" x14ac:dyDescent="0.3">
      <c r="B86" s="107" t="s">
        <v>201</v>
      </c>
      <c r="C86" s="67">
        <f ca="1">IFERROR(OFFSET('Critical Properties'!$C$8,MATCH($B$86,'Critical Properties'!$C$9:$C$499,0),1),IF(B86="","","No data"))</f>
        <v>190.6</v>
      </c>
      <c r="D86" s="56">
        <f ca="1">OFFSET('Critical Properties'!$C$8,MATCH($B$86,'Critical Properties'!$C$9:$C$499,0),2)</f>
        <v>4.6040000000000001</v>
      </c>
      <c r="E86" s="68">
        <f ca="1">OFFSET('Critical Properties'!$C$8,MATCH($B$86,'Critical Properties'!$C$9:$C$499,0),3)</f>
        <v>1.0999999999999999E-2</v>
      </c>
      <c r="F86" s="55">
        <f ca="1">OFFSET('Critical Properties'!$C$8,MATCH($B$86,'Critical Properties'!$C$9:$C$499,0),6)</f>
        <v>19.25</v>
      </c>
      <c r="G86" s="55">
        <f ca="1">OFFSET('Critical Properties'!$C$8,MATCH($B$86,'Critical Properties'!$C$9:$C$499,0),7)</f>
        <v>5.2130000000000003E-2</v>
      </c>
      <c r="H86" s="55">
        <f ca="1">OFFSET('Critical Properties'!$C$8,MATCH($B$86,'Critical Properties'!$C$9:$C$499,0),8)</f>
        <v>1.1970000000000001E-5</v>
      </c>
      <c r="I86" s="55">
        <f ca="1">OFFSET('Critical Properties'!$C$8,MATCH($B$86,'Critical Properties'!$C$9:$C$499,0),9)</f>
        <v>-1.132E-8</v>
      </c>
      <c r="J86" s="44"/>
      <c r="K86" s="57">
        <f ca="1">CPA*(TK-TREF)+CPB/2*(TK^2-TREF^2)+CPC/3*(TK^3-TREF^3)+CPD/4*(TK^4-TREF^4)</f>
        <v>-3214.4561864027196</v>
      </c>
      <c r="L86" s="58">
        <f ca="1">K86-_R*(TK-TREF)</f>
        <v>-2399.6379304027196</v>
      </c>
      <c r="M86" s="59">
        <f ca="1">CPA*LN(TK/TREF)+CPB*(TK-TREF)+CPC/2*(TK^2-TREF^2)+CPD/3*(TK^3-TREF^3)-_R*LN(P/PREF)</f>
        <v>6.1371763212837305</v>
      </c>
    </row>
    <row r="87" spans="2:13" ht="13.5" thickBot="1" x14ac:dyDescent="0.25"/>
    <row r="88" spans="2:13" ht="13.5" thickBot="1" x14ac:dyDescent="0.25">
      <c r="B88" s="40" t="s">
        <v>11</v>
      </c>
      <c r="C88" s="54"/>
      <c r="D88" s="40" t="s">
        <v>12</v>
      </c>
      <c r="E88" s="42"/>
      <c r="F88" t="s">
        <v>32</v>
      </c>
    </row>
    <row r="89" spans="2:13" ht="18.75" x14ac:dyDescent="0.3">
      <c r="B89" s="43" t="s">
        <v>14</v>
      </c>
      <c r="C89" s="129">
        <v>200</v>
      </c>
      <c r="D89" s="34" t="s">
        <v>15</v>
      </c>
      <c r="E89" s="36" t="s">
        <v>16</v>
      </c>
      <c r="F89" s="46" t="s">
        <v>17</v>
      </c>
      <c r="G89" s="35" t="s">
        <v>63</v>
      </c>
      <c r="H89" s="35" t="s">
        <v>64</v>
      </c>
      <c r="I89" s="35" t="s">
        <v>65</v>
      </c>
      <c r="J89" s="35" t="s">
        <v>66</v>
      </c>
      <c r="K89" s="35" t="s">
        <v>67</v>
      </c>
      <c r="L89" s="36" t="s">
        <v>68</v>
      </c>
    </row>
    <row r="90" spans="2:13" ht="19.5" thickBot="1" x14ac:dyDescent="0.35">
      <c r="B90" s="44" t="s">
        <v>20</v>
      </c>
      <c r="C90" s="130">
        <v>0.01</v>
      </c>
      <c r="D90" s="33"/>
      <c r="E90" s="52" t="s">
        <v>21</v>
      </c>
      <c r="F90" s="47" t="s">
        <v>22</v>
      </c>
      <c r="G90" s="38" t="s">
        <v>61</v>
      </c>
      <c r="H90" s="38" t="s">
        <v>61</v>
      </c>
      <c r="I90" s="38" t="s">
        <v>62</v>
      </c>
      <c r="J90" s="38" t="s">
        <v>61</v>
      </c>
      <c r="K90" s="38" t="s">
        <v>61</v>
      </c>
      <c r="L90" s="39" t="s">
        <v>62</v>
      </c>
    </row>
    <row r="91" spans="2:13" x14ac:dyDescent="0.2">
      <c r="B91" s="26" t="s">
        <v>24</v>
      </c>
      <c r="C91" s="45"/>
      <c r="D91" s="88" t="e">
        <f ca="1">F134-$B$124/3</f>
        <v>#NUM!</v>
      </c>
      <c r="E91" s="127" t="e">
        <f ca="1">D91*$J$127*$C$89/$C$90</f>
        <v>#NUM!</v>
      </c>
      <c r="F91" s="94" t="e">
        <f ca="1">P*EXP(Z-1-LN(Z-B)-A/B/2.8284*LN((Z+2.4142*B)/(Z-0.4142*B)))</f>
        <v>#NUM!</v>
      </c>
      <c r="G91" s="123" t="e">
        <f ca="1">J91+$K$86-'Reference State'!$E$20+'Reference State'!$E$19</f>
        <v>#NUM!</v>
      </c>
      <c r="H91" s="123" t="e">
        <f ca="1">G91-Z*_R*TK</f>
        <v>#NUM!</v>
      </c>
      <c r="I91" s="91" t="e">
        <f ca="1">L91+$M$86-'Reference State'!$G$20+'Reference State'!$G$19</f>
        <v>#NUM!</v>
      </c>
      <c r="J91" s="123" t="e">
        <f ca="1">_R*TK*(Z-1-A/B/2.8284*(1+kappa*SQRT(Tr/alpha))*LN((Z+2.4142*B)/(Z-0.4142*B)))</f>
        <v>#NUM!</v>
      </c>
      <c r="K91" s="123" t="e">
        <f ca="1">J91-(Z-1)*_R*TK</f>
        <v>#NUM!</v>
      </c>
      <c r="L91" s="99" t="e">
        <f ca="1">_R*LN(Z-B)-A*_R/B/2.8284*kappa*SQRT(Tr/alpha)*LN((Z+2.4142*B)/(Z-0.4142*B))</f>
        <v>#NUM!</v>
      </c>
    </row>
    <row r="92" spans="2:13" x14ac:dyDescent="0.2">
      <c r="B92" s="28" t="s">
        <v>27</v>
      </c>
      <c r="C92" s="25"/>
      <c r="D92" s="89" t="e">
        <f ca="1">G134-$B$124/3</f>
        <v>#NUM!</v>
      </c>
      <c r="E92" s="126" t="e">
        <f ca="1">D92*$J$127*$C$89/$C$90</f>
        <v>#NUM!</v>
      </c>
      <c r="F92" s="95"/>
      <c r="G92" s="124" t="e">
        <f ca="1">J92+$K$86-'Reference State'!$E$20+'Reference State'!$E$19</f>
        <v>#NUM!</v>
      </c>
      <c r="H92" s="124" t="e">
        <f ca="1">G92-Z*_R*TK</f>
        <v>#NUM!</v>
      </c>
      <c r="I92" s="92" t="e">
        <f ca="1">L92+$M$86-'Reference State'!$G$20+'Reference State'!$G$19</f>
        <v>#NUM!</v>
      </c>
      <c r="J92" s="124" t="e">
        <f ca="1">_R*TK*(Z-1-A/B/2.8284*(1+kappa*SQRT(Tr/alpha))*LN((Z+2.4142*B)/(Z-0.4142*B)))</f>
        <v>#NUM!</v>
      </c>
      <c r="K92" s="124" t="e">
        <f ca="1">J92-(Z-1)*_R*TK</f>
        <v>#NUM!</v>
      </c>
      <c r="L92" s="100" t="e">
        <f ca="1">_R*LN(Z-B)-A*_R/B/2.8284*kappa*SQRT(Tr/alpha)*LN((Z+2.4142*B)/(Z-0.4142*B))</f>
        <v>#NUM!</v>
      </c>
    </row>
    <row r="93" spans="2:13" ht="13.5" thickBot="1" x14ac:dyDescent="0.25">
      <c r="B93" s="33"/>
      <c r="C93" s="53"/>
      <c r="D93" s="90" t="e">
        <f ca="1">H134-$B$124/3</f>
        <v>#NUM!</v>
      </c>
      <c r="E93" s="101" t="e">
        <f ca="1">D93*$J$127*$C$89/$C$90</f>
        <v>#NUM!</v>
      </c>
      <c r="F93" s="96" t="e">
        <f ca="1">P*EXP(Z-1-LN(Z-B)-A/B/2.8284*LN((Z+2.4142*B)/(Z-0.4142*B)))</f>
        <v>#NUM!</v>
      </c>
      <c r="G93" s="125" t="e">
        <f ca="1">J93+$K$86-'Reference State'!$E$20+'Reference State'!$E$19</f>
        <v>#NUM!</v>
      </c>
      <c r="H93" s="125" t="e">
        <f ca="1">G93-Z*_R*TK</f>
        <v>#NUM!</v>
      </c>
      <c r="I93" s="93" t="e">
        <f ca="1">L93+$M$86-'Reference State'!$G$20+'Reference State'!$G$19</f>
        <v>#NUM!</v>
      </c>
      <c r="J93" s="125" t="e">
        <f ca="1">_R*TK*(Z-1-A/B/2.8284*(1+kappa*SQRT(Tr/alpha))*LN((Z+2.4142*B)/(Z-0.4142*B)))</f>
        <v>#NUM!</v>
      </c>
      <c r="K93" s="125" t="e">
        <f ca="1">J93-(Z-1)*_R*TK</f>
        <v>#NUM!</v>
      </c>
      <c r="L93" s="101" t="e">
        <f ca="1">_R*LN(Z-B)-A*_R/B/2.8284*kappa*SQRT(Tr/alpha)*LN((Z+2.4142*B)/(Z-0.4142*B))</f>
        <v>#NUM!</v>
      </c>
    </row>
    <row r="94" spans="2:13" ht="13.5" thickBot="1" x14ac:dyDescent="0.25">
      <c r="B94" s="48" t="s">
        <v>30</v>
      </c>
      <c r="C94" s="49"/>
      <c r="D94" s="97">
        <f ca="1">D130-B124/3</f>
        <v>0.99927598001713958</v>
      </c>
      <c r="E94" s="102">
        <f ca="1">D94*$J$127*$C$89/$C$90</f>
        <v>166169.04312250135</v>
      </c>
      <c r="F94" s="98">
        <f ca="1">P*EXP(Z-1-LN(Z-B)-A/B/2.8284*LN((Z+2.4142*B)/(Z-0.4142*B)))</f>
        <v>9.9927634860233362E-3</v>
      </c>
      <c r="G94" s="103" t="e">
        <f ca="1">J94+$K$86-'Reference State'!$E$20+'Reference State'!$E$19</f>
        <v>#NUM!</v>
      </c>
      <c r="H94" s="103" t="e">
        <f ca="1">G94-Z*_R*TK</f>
        <v>#NUM!</v>
      </c>
      <c r="I94" s="103" t="e">
        <f ca="1">L94+$M$86-'Reference State'!$G$20+'Reference State'!$G$19</f>
        <v>#NUM!</v>
      </c>
      <c r="J94" s="103">
        <f ca="1">_R*TK*(Z-1-A/B/2.8284*(1+kappa*SQRT(Tr/alpha))*LN((Z+2.4142*B)/(Z-0.4142*B)))</f>
        <v>-3.2724071218650659</v>
      </c>
      <c r="K94" s="103">
        <f ca="1">J94-(Z-1)*_R*TK</f>
        <v>-2.06843834687837</v>
      </c>
      <c r="L94" s="102">
        <f ca="1">_R*LN(Z-B)-A*_R/B/2.8284*kappa*SQRT(Tr/alpha)*LN((Z+2.4142*B)/(Z-0.4142*B))</f>
        <v>-1.0343078249456362E-2</v>
      </c>
    </row>
    <row r="95" spans="2:13" ht="13.5" thickBot="1" x14ac:dyDescent="0.25">
      <c r="B95" s="4"/>
      <c r="C95" s="4"/>
      <c r="F95" s="71" t="s">
        <v>69</v>
      </c>
      <c r="G95" s="4"/>
      <c r="H95" s="4"/>
      <c r="I95" s="4"/>
      <c r="J95" s="18"/>
    </row>
    <row r="96" spans="2:13" ht="13.5" thickBot="1" x14ac:dyDescent="0.25">
      <c r="D96" s="4"/>
      <c r="E96" s="4"/>
      <c r="F96" s="104" t="e">
        <f ca="1">F91/F93</f>
        <v>#NUM!</v>
      </c>
      <c r="G96" s="4"/>
      <c r="H96" s="4"/>
    </row>
    <row r="97" spans="2:14" x14ac:dyDescent="0.2">
      <c r="B97" s="12" t="s">
        <v>70</v>
      </c>
      <c r="C97" s="2"/>
      <c r="D97" s="2"/>
      <c r="E97" s="2"/>
      <c r="F97" s="4"/>
      <c r="G97" s="2"/>
      <c r="H97" s="2"/>
      <c r="I97" s="3"/>
    </row>
    <row r="98" spans="2:14" x14ac:dyDescent="0.2">
      <c r="B98" s="13" t="s">
        <v>71</v>
      </c>
      <c r="C98" s="5"/>
      <c r="D98" s="5"/>
      <c r="E98" s="5"/>
      <c r="F98" s="5"/>
      <c r="G98" s="5"/>
      <c r="H98" s="5"/>
      <c r="I98" s="6"/>
    </row>
    <row r="99" spans="2:14" x14ac:dyDescent="0.2">
      <c r="B99" s="10"/>
      <c r="C99" s="10"/>
      <c r="D99" s="15"/>
      <c r="E99" s="4"/>
      <c r="F99" s="4"/>
      <c r="G99" s="4"/>
      <c r="H99" s="4"/>
      <c r="I99" s="4"/>
    </row>
    <row r="100" spans="2:14" x14ac:dyDescent="0.2">
      <c r="B100" s="10"/>
      <c r="C100" s="10"/>
      <c r="D100" s="15"/>
      <c r="E100" s="4"/>
      <c r="F100" s="4"/>
      <c r="G100" s="4"/>
      <c r="H100" s="4"/>
      <c r="I100" s="4"/>
    </row>
    <row r="101" spans="2:14" x14ac:dyDescent="0.2">
      <c r="J101" s="17" t="s">
        <v>187</v>
      </c>
      <c r="M101" s="14"/>
      <c r="N101" s="14"/>
    </row>
    <row r="102" spans="2:14" x14ac:dyDescent="0.2">
      <c r="J102" s="17" t="s">
        <v>189</v>
      </c>
      <c r="M102" s="14"/>
      <c r="N102" s="14"/>
    </row>
    <row r="103" spans="2:14" x14ac:dyDescent="0.2">
      <c r="J103" s="17" t="s">
        <v>188</v>
      </c>
      <c r="M103" s="14"/>
      <c r="N103" s="14"/>
    </row>
    <row r="104" spans="2:14" x14ac:dyDescent="0.2">
      <c r="J104" s="17" t="s">
        <v>198</v>
      </c>
      <c r="M104" s="14"/>
      <c r="N104" s="14"/>
    </row>
    <row r="105" spans="2:14" x14ac:dyDescent="0.2">
      <c r="M105" s="14"/>
      <c r="N105" s="14"/>
    </row>
    <row r="106" spans="2:14" x14ac:dyDescent="0.2">
      <c r="N106" s="14"/>
    </row>
    <row r="107" spans="2:14" x14ac:dyDescent="0.2">
      <c r="M107" s="4"/>
      <c r="N107" s="14"/>
    </row>
    <row r="108" spans="2:14" x14ac:dyDescent="0.2">
      <c r="M108" s="14"/>
      <c r="N108" s="14"/>
    </row>
    <row r="109" spans="2:14" x14ac:dyDescent="0.2">
      <c r="M109" s="14"/>
      <c r="N109" s="14"/>
    </row>
    <row r="110" spans="2:14" x14ac:dyDescent="0.2">
      <c r="M110" s="14"/>
      <c r="N110" s="14"/>
    </row>
    <row r="111" spans="2:14" x14ac:dyDescent="0.2">
      <c r="M111" s="14"/>
      <c r="N111" s="14"/>
    </row>
    <row r="112" spans="2:14" x14ac:dyDescent="0.2">
      <c r="M112" s="14"/>
      <c r="N112" s="14"/>
    </row>
    <row r="113" spans="2:14" x14ac:dyDescent="0.2">
      <c r="M113" s="14"/>
      <c r="N113" s="14"/>
    </row>
    <row r="114" spans="2:14" x14ac:dyDescent="0.2">
      <c r="M114" s="14"/>
      <c r="N114" s="14"/>
    </row>
    <row r="115" spans="2:14" x14ac:dyDescent="0.2">
      <c r="M115" s="14"/>
      <c r="N115" s="14"/>
    </row>
    <row r="116" spans="2:14" x14ac:dyDescent="0.2">
      <c r="M116" s="14"/>
      <c r="N116" s="14"/>
    </row>
    <row r="117" spans="2:14" x14ac:dyDescent="0.2">
      <c r="M117" s="14"/>
      <c r="N117" s="14"/>
    </row>
    <row r="118" spans="2:14" x14ac:dyDescent="0.2">
      <c r="M118" s="14"/>
      <c r="N118" s="14"/>
    </row>
    <row r="119" spans="2:14" x14ac:dyDescent="0.2">
      <c r="M119" s="14"/>
      <c r="N119" s="14"/>
    </row>
    <row r="120" spans="2:14" x14ac:dyDescent="0.2">
      <c r="M120" s="14"/>
      <c r="N120" s="14"/>
    </row>
    <row r="121" spans="2:14" x14ac:dyDescent="0.2">
      <c r="M121" s="14"/>
      <c r="N121" s="14"/>
    </row>
    <row r="122" spans="2:14" ht="15.75" x14ac:dyDescent="0.3">
      <c r="B122" t="s">
        <v>33</v>
      </c>
      <c r="D122" t="s">
        <v>34</v>
      </c>
      <c r="G122" s="19" t="s">
        <v>35</v>
      </c>
      <c r="H122" s="19"/>
      <c r="I122" s="22">
        <f ca="1">F124^2/4+E124^3/27</f>
        <v>1.3795710895273677E-9</v>
      </c>
      <c r="M122" s="14"/>
      <c r="N122" s="14"/>
    </row>
    <row r="123" spans="2:14" ht="15.75" x14ac:dyDescent="0.3">
      <c r="B123" s="21" t="s">
        <v>36</v>
      </c>
      <c r="C123" s="21" t="s">
        <v>37</v>
      </c>
      <c r="D123" s="21" t="s">
        <v>38</v>
      </c>
      <c r="E123" s="21" t="s">
        <v>39</v>
      </c>
      <c r="F123" s="21" t="s">
        <v>40</v>
      </c>
      <c r="G123" s="19" t="s">
        <v>41</v>
      </c>
      <c r="H123" s="19"/>
      <c r="I123" s="4"/>
      <c r="M123" s="14"/>
      <c r="N123" s="14"/>
    </row>
    <row r="124" spans="2:14" x14ac:dyDescent="0.2">
      <c r="B124" s="22">
        <f ca="1">-(1-K133)</f>
        <v>-0.99983896685832607</v>
      </c>
      <c r="C124" s="22">
        <f ca="1">K132-3*K133^2-2*K133</f>
        <v>5.6269586461842481E-4</v>
      </c>
      <c r="D124" s="22">
        <f ca="1">-(K132*K133-K133^2-K133^3)</f>
        <v>-1.1655270732130589E-7</v>
      </c>
      <c r="E124" s="22">
        <f ca="1">(3*C124-B124^2)/3</f>
        <v>-0.3326632906848232</v>
      </c>
      <c r="F124" s="22">
        <f ca="1">(2*B124^3-9*B124*C124+27*D124)/27</f>
        <v>-7.3850876162493292E-2</v>
      </c>
      <c r="G124" s="19" t="s">
        <v>42</v>
      </c>
      <c r="H124" s="19"/>
      <c r="M124" s="14"/>
      <c r="N124" s="14"/>
    </row>
    <row r="126" spans="2:14" x14ac:dyDescent="0.2">
      <c r="B126" s="4"/>
      <c r="C126" s="4"/>
      <c r="D126" s="4"/>
      <c r="E126" s="4"/>
      <c r="F126" s="4"/>
      <c r="G126" s="4"/>
      <c r="H126" s="19" t="s">
        <v>10</v>
      </c>
      <c r="I126" s="19"/>
    </row>
    <row r="127" spans="2:14" ht="14.25" x14ac:dyDescent="0.2">
      <c r="H127" s="19" t="s">
        <v>13</v>
      </c>
      <c r="I127" s="19"/>
      <c r="J127" s="23">
        <v>8.3144720000000003</v>
      </c>
    </row>
    <row r="128" spans="2:14" ht="15.75" x14ac:dyDescent="0.3">
      <c r="B128" t="s">
        <v>43</v>
      </c>
      <c r="H128" s="19" t="s">
        <v>18</v>
      </c>
      <c r="I128" s="22">
        <f ca="1">TK/C86</f>
        <v>1.0493179433368311</v>
      </c>
      <c r="J128" s="19" t="s">
        <v>19</v>
      </c>
      <c r="K128" s="19"/>
    </row>
    <row r="129" spans="2:11" ht="15.75" x14ac:dyDescent="0.3">
      <c r="B129" s="19" t="s">
        <v>44</v>
      </c>
      <c r="C129" s="19" t="s">
        <v>45</v>
      </c>
      <c r="D129" s="19" t="s">
        <v>46</v>
      </c>
      <c r="E129" s="19"/>
      <c r="H129" s="19" t="s">
        <v>23</v>
      </c>
      <c r="I129" s="22">
        <f ca="1">P/D86</f>
        <v>2.1720243266724589E-3</v>
      </c>
      <c r="J129" s="22">
        <f ca="1">0.4572355289*(C86*J127)^2*I131/D86</f>
        <v>244677.5147707088</v>
      </c>
    </row>
    <row r="130" spans="2:11" ht="14.25" x14ac:dyDescent="0.2">
      <c r="B130" s="22">
        <f ca="1">(-$F$124/2+SQRT($I$122))^(1/3)</f>
        <v>0.33310981435081449</v>
      </c>
      <c r="C130" s="22">
        <f ca="1">(-$F$124/2-SQRT($I$122))^(1/3)</f>
        <v>0.33288651004688302</v>
      </c>
      <c r="D130" s="22">
        <f ca="1">B130+C130</f>
        <v>0.66599632439769751</v>
      </c>
      <c r="E130" s="4"/>
      <c r="H130" s="20" t="s">
        <v>25</v>
      </c>
      <c r="I130" s="22">
        <f ca="1">0.37464+1.54226*E86-0.26992*E86^2</f>
        <v>0.39157219967999995</v>
      </c>
      <c r="J130" s="19" t="s">
        <v>26</v>
      </c>
      <c r="K130" s="19"/>
    </row>
    <row r="131" spans="2:11" x14ac:dyDescent="0.2">
      <c r="H131" s="20" t="s">
        <v>28</v>
      </c>
      <c r="I131" s="22">
        <f ca="1">(1+kappa*(1-SQRT(Tr)))^2</f>
        <v>0.98101187267212997</v>
      </c>
      <c r="J131" s="22">
        <f ca="1">0.0777960739*J127*C86/D86</f>
        <v>26.778110950406653</v>
      </c>
    </row>
    <row r="132" spans="2:11" x14ac:dyDescent="0.2">
      <c r="B132" t="s">
        <v>47</v>
      </c>
      <c r="J132" s="19" t="s">
        <v>29</v>
      </c>
      <c r="K132" s="22">
        <f ca="1">J129*C90/(J127*C89)^2</f>
        <v>8.8483994298453519E-4</v>
      </c>
    </row>
    <row r="133" spans="2:11" ht="15.75" x14ac:dyDescent="0.3">
      <c r="B133" s="19" t="s">
        <v>48</v>
      </c>
      <c r="C133" s="19" t="s">
        <v>49</v>
      </c>
      <c r="D133" s="19" t="s">
        <v>50</v>
      </c>
      <c r="E133" s="24" t="s">
        <v>51</v>
      </c>
      <c r="F133" s="19" t="s">
        <v>52</v>
      </c>
      <c r="G133" s="19"/>
      <c r="H133" s="19"/>
      <c r="J133" s="19" t="s">
        <v>31</v>
      </c>
      <c r="K133" s="22">
        <f ca="1">J131*C90/J127/C89</f>
        <v>1.6103314167397912E-4</v>
      </c>
    </row>
    <row r="134" spans="2:11" x14ac:dyDescent="0.2">
      <c r="B134" s="22">
        <f ca="1">2*SQRT(-E124/3)</f>
        <v>0.66599628696144464</v>
      </c>
      <c r="C134" s="22">
        <f ca="1">3*F124/E124/B134</f>
        <v>1.0000005058981667</v>
      </c>
      <c r="D134" s="22" t="e">
        <f ca="1">ACOS(C134)</f>
        <v>#NUM!</v>
      </c>
      <c r="E134" s="22" t="e">
        <f ca="1">D134/3</f>
        <v>#NUM!</v>
      </c>
      <c r="F134" s="22" t="e">
        <f ca="1">$B$134*COS($E$134)</f>
        <v>#NUM!</v>
      </c>
      <c r="G134" s="22" t="e">
        <f ca="1">$B$134*COS($E$134+4*PI()/3)</f>
        <v>#NUM!</v>
      </c>
      <c r="H134" s="22" t="e">
        <f ca="1">$B$134*COS($E$134+2*PI()/3)</f>
        <v>#NUM!</v>
      </c>
    </row>
    <row r="136" spans="2:11" x14ac:dyDescent="0.2">
      <c r="B136" s="19" t="s">
        <v>72</v>
      </c>
      <c r="C136" s="19"/>
      <c r="D136" s="19"/>
      <c r="E136" s="19"/>
      <c r="F136" s="19"/>
      <c r="G136" s="19"/>
      <c r="H136" s="19"/>
    </row>
    <row r="137" spans="2:11" x14ac:dyDescent="0.2">
      <c r="B137" s="19" t="s">
        <v>73</v>
      </c>
      <c r="C137" s="22">
        <f>'Reference State'!C8</f>
        <v>298</v>
      </c>
      <c r="D137" s="19" t="s">
        <v>74</v>
      </c>
      <c r="E137" s="22">
        <f>'Reference State'!B13</f>
        <v>1</v>
      </c>
    </row>
    <row r="138" spans="2:11" x14ac:dyDescent="0.2">
      <c r="B138" s="19" t="s">
        <v>75</v>
      </c>
      <c r="C138" s="22">
        <f>'Reference State'!C9</f>
        <v>0.1</v>
      </c>
      <c r="D138" s="19" t="s">
        <v>76</v>
      </c>
      <c r="E138" s="22">
        <f>'Reference State'!B13</f>
        <v>1</v>
      </c>
    </row>
    <row r="139" spans="2:11" x14ac:dyDescent="0.2">
      <c r="B139" s="19" t="s">
        <v>77</v>
      </c>
      <c r="C139" s="22">
        <f>'Reference State'!B16</f>
        <v>1</v>
      </c>
    </row>
  </sheetData>
  <phoneticPr fontId="8" type="noConversion"/>
  <conditionalFormatting sqref="F91:F9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{B2D7CADA-1865-403C-B01F-5E8A261253AF}</x14:id>
        </ext>
      </extLst>
    </cfRule>
  </conditionalFormatting>
  <conditionalFormatting sqref="E91:E9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{C347891A-0BCB-4F30-B437-CE2543FAE3DF}</x14:id>
        </ext>
      </extLst>
    </cfRule>
  </conditionalFormatting>
  <printOptions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D7CADA-1865-403C-B01F-5E8A261253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F91:F93</xm:sqref>
        </x14:conditionalFormatting>
        <x14:conditionalFormatting xmlns:xm="http://schemas.microsoft.com/office/excel/2006/main">
          <x14:cfRule type="dataBar" id="{C347891A-0BCB-4F30-B437-CE2543FAE3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E91:E93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ompound name" prompt="Type compound name or select from dropdown list.">
          <x14:formula1>
            <xm:f>'Critical Properties'!$C$101:$C$179</xm:f>
          </x14:formula1>
          <xm:sqref>B86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M41"/>
  <sheetViews>
    <sheetView showGridLines="0" zoomScale="115" zoomScaleNormal="115" workbookViewId="0">
      <selection activeCell="B5" sqref="B5"/>
    </sheetView>
  </sheetViews>
  <sheetFormatPr defaultRowHeight="12.75" x14ac:dyDescent="0.2"/>
  <cols>
    <col min="2" max="2" width="16.28515625" customWidth="1"/>
    <col min="3" max="3" width="11.42578125" customWidth="1"/>
    <col min="4" max="4" width="12.42578125" bestFit="1" customWidth="1"/>
    <col min="5" max="6" width="10" bestFit="1" customWidth="1"/>
    <col min="9" max="9" width="10.140625" customWidth="1"/>
    <col min="10" max="10" width="9.5703125" customWidth="1"/>
    <col min="11" max="11" width="9.140625" customWidth="1"/>
  </cols>
  <sheetData>
    <row r="1" spans="2:13" x14ac:dyDescent="0.2">
      <c r="B1" s="105" t="s">
        <v>193</v>
      </c>
    </row>
    <row r="2" spans="2:13" ht="13.5" thickBot="1" x14ac:dyDescent="0.25">
      <c r="B2" s="105"/>
    </row>
    <row r="3" spans="2:13" ht="13.5" thickBot="1" x14ac:dyDescent="0.25">
      <c r="B3" s="71" t="s">
        <v>4</v>
      </c>
    </row>
    <row r="4" spans="2:13" ht="16.5" thickBot="1" x14ac:dyDescent="0.35">
      <c r="B4" s="40" t="s">
        <v>5</v>
      </c>
      <c r="C4" s="41" t="s">
        <v>6</v>
      </c>
      <c r="D4" s="41" t="s">
        <v>7</v>
      </c>
      <c r="E4" s="75" t="s">
        <v>8</v>
      </c>
      <c r="H4" s="17" t="s">
        <v>197</v>
      </c>
    </row>
    <row r="5" spans="2:13" ht="13.5" thickBot="1" x14ac:dyDescent="0.25">
      <c r="B5" s="72" t="str">
        <f>'EOS Lookup'!B86</f>
        <v>methane</v>
      </c>
      <c r="C5" s="73">
        <f ca="1">'EOS Lookup'!C86</f>
        <v>190.6</v>
      </c>
      <c r="D5" s="73">
        <f ca="1">'EOS Lookup'!D86</f>
        <v>4.6040000000000001</v>
      </c>
      <c r="E5" s="74">
        <f ca="1">'EOS Lookup'!E86</f>
        <v>1.0999999999999999E-2</v>
      </c>
      <c r="H5" s="17" t="s">
        <v>192</v>
      </c>
    </row>
    <row r="6" spans="2:13" ht="13.5" thickBot="1" x14ac:dyDescent="0.25"/>
    <row r="7" spans="2:13" ht="13.5" thickBot="1" x14ac:dyDescent="0.25">
      <c r="B7" s="40" t="s">
        <v>78</v>
      </c>
      <c r="C7" s="42"/>
      <c r="D7" s="26" t="s">
        <v>79</v>
      </c>
      <c r="E7" s="27"/>
      <c r="F7" s="71" t="s">
        <v>12</v>
      </c>
    </row>
    <row r="8" spans="2:13" ht="18.75" x14ac:dyDescent="0.3">
      <c r="B8" s="70" t="s">
        <v>14</v>
      </c>
      <c r="C8" s="50">
        <v>298</v>
      </c>
      <c r="D8" s="28" t="s">
        <v>80</v>
      </c>
      <c r="E8" s="29"/>
      <c r="F8" s="34" t="s">
        <v>15</v>
      </c>
      <c r="G8" s="35" t="s">
        <v>16</v>
      </c>
      <c r="H8" s="35" t="s">
        <v>17</v>
      </c>
      <c r="I8" s="35" t="s">
        <v>66</v>
      </c>
      <c r="J8" s="35" t="s">
        <v>67</v>
      </c>
      <c r="K8" s="36" t="s">
        <v>68</v>
      </c>
    </row>
    <row r="9" spans="2:13" ht="19.5" thickBot="1" x14ac:dyDescent="0.35">
      <c r="B9" s="76" t="s">
        <v>20</v>
      </c>
      <c r="C9" s="51">
        <v>0.1</v>
      </c>
      <c r="D9" s="30" t="s">
        <v>81</v>
      </c>
      <c r="E9" s="31"/>
      <c r="F9" s="33"/>
      <c r="G9" s="37" t="s">
        <v>21</v>
      </c>
      <c r="H9" s="38" t="s">
        <v>22</v>
      </c>
      <c r="I9" s="38" t="s">
        <v>61</v>
      </c>
      <c r="J9" s="38" t="s">
        <v>61</v>
      </c>
      <c r="K9" s="39" t="s">
        <v>62</v>
      </c>
    </row>
    <row r="10" spans="2:13" ht="15.75" x14ac:dyDescent="0.3">
      <c r="B10" s="32" t="s">
        <v>82</v>
      </c>
      <c r="C10" s="61"/>
      <c r="D10" s="77">
        <v>1</v>
      </c>
      <c r="E10" s="78"/>
      <c r="F10" s="108" t="e">
        <f ca="1">F34-$B$24/3</f>
        <v>#NUM!</v>
      </c>
      <c r="G10" s="111" t="e">
        <f ca="1">F10*$J$27*$C$8/$C$9</f>
        <v>#NUM!</v>
      </c>
      <c r="H10" s="120" t="e">
        <f ca="1">P*EXP(Z-1-LN(Z-B)-A/B/2.8284*LN((Z+2.414*B)/(Z-0.414*B)))</f>
        <v>#NUM!</v>
      </c>
      <c r="I10" s="114" t="e">
        <f ca="1">_R*TK*(Z-1-A/B/2.8284*(1+kappa*SQRT(Tr/alpha))*LN((Z+2.4142*B)/(Z-0.4142*B)))</f>
        <v>#NUM!</v>
      </c>
      <c r="J10" s="114" t="e">
        <f ca="1">I10-(Z-1)*_R*TK</f>
        <v>#NUM!</v>
      </c>
      <c r="K10" s="115" t="e">
        <f ca="1">_R*LN(Z-B)-A*_R/B/2.8284*kappa*SQRT(Tr/alpha)*LN((Z+2.4142*B)/(Z-0.4142*B))</f>
        <v>#NUM!</v>
      </c>
      <c r="L10" s="26" t="s">
        <v>24</v>
      </c>
      <c r="M10" s="27"/>
    </row>
    <row r="11" spans="2:13" x14ac:dyDescent="0.2">
      <c r="B11" s="85">
        <v>0</v>
      </c>
      <c r="C11" s="29"/>
      <c r="D11" s="131"/>
      <c r="E11" s="132"/>
      <c r="F11" s="109" t="e">
        <f ca="1">G34-$B$24/3</f>
        <v>#NUM!</v>
      </c>
      <c r="G11" s="112" t="e">
        <f ca="1">F11*$J$27*$C$8/$C$9</f>
        <v>#NUM!</v>
      </c>
      <c r="H11" s="121"/>
      <c r="I11" s="116"/>
      <c r="J11" s="116"/>
      <c r="K11" s="117"/>
      <c r="L11" s="28" t="s">
        <v>27</v>
      </c>
      <c r="M11" s="29"/>
    </row>
    <row r="12" spans="2:13" ht="13.5" thickBot="1" x14ac:dyDescent="0.25">
      <c r="B12" s="33" t="s">
        <v>83</v>
      </c>
      <c r="C12" s="52"/>
      <c r="D12" s="79">
        <v>2</v>
      </c>
      <c r="E12" s="80"/>
      <c r="F12" s="110" t="e">
        <f ca="1">H34-$B$24/3</f>
        <v>#NUM!</v>
      </c>
      <c r="G12" s="113" t="e">
        <f ca="1">F12*$J$27*$C$8/$C$9</f>
        <v>#NUM!</v>
      </c>
      <c r="H12" s="122" t="e">
        <f ca="1">P*EXP(Z-1-LN(Z-B)-A/B/2.8284*LN((Z+2.414*B)/(Z-0.414*B)))</f>
        <v>#NUM!</v>
      </c>
      <c r="I12" s="118" t="e">
        <f ca="1">_R*TK*(Z-1-A/B/2.8284*(1+kappa*SQRT(Tr/alpha))*LN((Z+2.4142*B)/(Z-0.4142*B)))</f>
        <v>#NUM!</v>
      </c>
      <c r="J12" s="118" t="e">
        <f ca="1">I12-(Z-1)*_R*TK</f>
        <v>#NUM!</v>
      </c>
      <c r="K12" s="119" t="e">
        <f ca="1">_R*LN(Z-B)-A*_R/B/2.8284*kappa*SQRT(Tr/alpha)*LN((Z+2.4142*B)/(Z-0.4142*B))</f>
        <v>#NUM!</v>
      </c>
      <c r="L12" s="33"/>
      <c r="M12" s="52"/>
    </row>
    <row r="13" spans="2:13" ht="13.5" thickBot="1" x14ac:dyDescent="0.25">
      <c r="B13" s="86">
        <v>1</v>
      </c>
      <c r="C13" s="84"/>
      <c r="D13" s="81">
        <v>3</v>
      </c>
      <c r="E13" s="82"/>
      <c r="F13" s="57">
        <f ca="1">D30-B24/3</f>
        <v>0.99777903135336354</v>
      </c>
      <c r="G13" s="58">
        <f ca="1">F13*$J$27*$C$8/$C$9</f>
        <v>24722.097338756495</v>
      </c>
      <c r="H13" s="58">
        <f ca="1">P*EXP(Z-1-LN(Z-B)-A/B/2.8284*LN((Z+2.414*B)/(Z-0.414*B)))</f>
        <v>9.9778027405684588E-2</v>
      </c>
      <c r="I13" s="58">
        <f ca="1">_R*TK*(Z-1-A/B/2.8284*(1+kappa*SQRT(Tr/alpha))*LN((Z+2.4142*B)/(Z-0.4142*B)))</f>
        <v>-18.151866010418306</v>
      </c>
      <c r="J13" s="58">
        <f ca="1">I13-(Z-1)*_R*TK</f>
        <v>-12.648943886067967</v>
      </c>
      <c r="K13" s="59">
        <f ca="1">_R*LN(Z-B)-A*_R/B/2.8284*kappa*SQRT(Tr/alpha)*LN((Z+2.4142*B)/(Z-0.4142*B))</f>
        <v>-4.2432048246834324E-2</v>
      </c>
      <c r="L13" s="83" t="s">
        <v>30</v>
      </c>
      <c r="M13" s="84"/>
    </row>
    <row r="14" spans="2:13" x14ac:dyDescent="0.2">
      <c r="B14" s="9" t="s">
        <v>84</v>
      </c>
      <c r="C14" s="4"/>
      <c r="D14" s="4"/>
      <c r="E14" s="4"/>
      <c r="F14" s="4"/>
      <c r="G14" s="4"/>
      <c r="H14" s="4"/>
      <c r="I14" s="7"/>
    </row>
    <row r="15" spans="2:13" ht="13.5" thickBot="1" x14ac:dyDescent="0.25">
      <c r="B15" s="11" t="s">
        <v>85</v>
      </c>
      <c r="C15" s="8"/>
      <c r="D15" s="8"/>
      <c r="E15" s="8"/>
      <c r="F15" s="8"/>
      <c r="G15" s="8"/>
      <c r="H15" s="8"/>
      <c r="I15" s="1"/>
    </row>
    <row r="16" spans="2:13" ht="19.5" thickBot="1" x14ac:dyDescent="0.35">
      <c r="B16" s="87">
        <v>1</v>
      </c>
    </row>
    <row r="17" spans="2:11" x14ac:dyDescent="0.2">
      <c r="I17" s="106" t="s">
        <v>191</v>
      </c>
      <c r="J17" s="106"/>
    </row>
    <row r="18" spans="2:11" x14ac:dyDescent="0.2">
      <c r="D18" s="21" t="s">
        <v>15</v>
      </c>
      <c r="E18" s="21" t="s">
        <v>86</v>
      </c>
      <c r="F18" s="21" t="s">
        <v>87</v>
      </c>
      <c r="G18" s="21" t="s">
        <v>88</v>
      </c>
      <c r="I18" s="106" t="s">
        <v>2</v>
      </c>
      <c r="J18" s="106"/>
    </row>
    <row r="19" spans="2:11" x14ac:dyDescent="0.2">
      <c r="B19" s="19" t="s">
        <v>89</v>
      </c>
      <c r="C19" s="19"/>
      <c r="D19" s="22" t="e">
        <f ca="1">IF(igrflag=0,1,CHOOSE(index,F10,F12,F13))</f>
        <v>#NUM!</v>
      </c>
      <c r="E19" s="22" t="e">
        <f ca="1">uhflag*$D$19*_R*TK</f>
        <v>#NUM!</v>
      </c>
      <c r="F19" s="22" t="e">
        <f ca="1">(uhflag-1)*$D$19*_R*TK</f>
        <v>#NUM!</v>
      </c>
      <c r="G19" s="22">
        <v>0</v>
      </c>
      <c r="I19" s="106" t="s">
        <v>3</v>
      </c>
      <c r="J19" s="106"/>
    </row>
    <row r="20" spans="2:11" x14ac:dyDescent="0.2">
      <c r="B20" s="19" t="s">
        <v>90</v>
      </c>
      <c r="C20" s="19"/>
      <c r="D20" s="22"/>
      <c r="E20" s="22" t="e">
        <f ca="1">igrflag*CHOOSE(index,I10,I12,I13)</f>
        <v>#NUM!</v>
      </c>
      <c r="F20" s="22" t="e">
        <f ca="1">igrflag*CHOOSE(index,J10,J12,J13)</f>
        <v>#NUM!</v>
      </c>
      <c r="G20" s="22" t="e">
        <f ca="1">igrflag*CHOOSE(index,K10,K12,K13)</f>
        <v>#NUM!</v>
      </c>
      <c r="H20" s="4"/>
      <c r="I20" s="4"/>
      <c r="J20" s="4"/>
    </row>
    <row r="21" spans="2:11" x14ac:dyDescent="0.2">
      <c r="B21" s="4"/>
      <c r="C21" s="4"/>
      <c r="G21" s="4"/>
      <c r="H21" s="4"/>
      <c r="I21" s="4"/>
      <c r="J21" s="4"/>
    </row>
    <row r="22" spans="2:11" ht="15.75" x14ac:dyDescent="0.3">
      <c r="B22" t="s">
        <v>33</v>
      </c>
      <c r="D22" t="s">
        <v>34</v>
      </c>
      <c r="G22" s="19" t="s">
        <v>35</v>
      </c>
      <c r="H22" s="19"/>
      <c r="I22" s="22">
        <f ca="1">F24^2/4+E24^3/27</f>
        <v>7.6292665144618577E-8</v>
      </c>
    </row>
    <row r="23" spans="2:11" ht="15.75" x14ac:dyDescent="0.3">
      <c r="B23" s="21" t="s">
        <v>36</v>
      </c>
      <c r="C23" s="21" t="s">
        <v>37</v>
      </c>
      <c r="D23" s="21" t="s">
        <v>38</v>
      </c>
      <c r="E23" s="21" t="s">
        <v>39</v>
      </c>
      <c r="F23" s="21" t="s">
        <v>40</v>
      </c>
      <c r="G23" s="19" t="s">
        <v>41</v>
      </c>
      <c r="H23" s="19"/>
      <c r="I23" s="19"/>
    </row>
    <row r="24" spans="2:11" x14ac:dyDescent="0.2">
      <c r="B24" s="128">
        <f ca="1">-(1-K33)</f>
        <v>-0.99891924065990623</v>
      </c>
      <c r="C24" s="128">
        <f ca="1">K32-3*K33^2-2*K33</f>
        <v>1.1400850086878273E-3</v>
      </c>
      <c r="D24" s="128">
        <f ca="1">-(K32*K33-K33^2-K33^3)</f>
        <v>-2.4027230147432813E-6</v>
      </c>
      <c r="E24" s="128">
        <f ca="1">(3*C24-B24^2)/3</f>
        <v>-0.33147313144483342</v>
      </c>
      <c r="F24" s="128">
        <f ca="1">(2*B24^3-9*B24*C24+27*D24)/27</f>
        <v>-7.3456949908892788E-2</v>
      </c>
      <c r="G24" s="19" t="s">
        <v>42</v>
      </c>
      <c r="H24" s="19"/>
      <c r="I24" s="19"/>
    </row>
    <row r="26" spans="2:11" x14ac:dyDescent="0.2">
      <c r="B26" s="4"/>
      <c r="C26" s="4"/>
      <c r="D26" s="4"/>
      <c r="E26" s="4"/>
      <c r="F26" s="4"/>
      <c r="G26" s="4"/>
      <c r="H26" s="19" t="s">
        <v>10</v>
      </c>
      <c r="I26" s="19"/>
    </row>
    <row r="27" spans="2:11" ht="14.25" x14ac:dyDescent="0.2">
      <c r="H27" s="19" t="s">
        <v>13</v>
      </c>
      <c r="I27" s="19"/>
      <c r="J27" s="23">
        <f>'EOS Lookup'!J127</f>
        <v>8.3144720000000003</v>
      </c>
    </row>
    <row r="28" spans="2:11" ht="15.75" x14ac:dyDescent="0.3">
      <c r="B28" t="s">
        <v>43</v>
      </c>
      <c r="H28" s="19" t="s">
        <v>18</v>
      </c>
      <c r="I28" s="22">
        <f ca="1">TK/C5</f>
        <v>1.5634837355718783</v>
      </c>
      <c r="J28" s="19" t="s">
        <v>19</v>
      </c>
      <c r="K28" s="19"/>
    </row>
    <row r="29" spans="2:11" ht="15.75" x14ac:dyDescent="0.3">
      <c r="B29" s="19" t="s">
        <v>44</v>
      </c>
      <c r="C29" s="19" t="s">
        <v>45</v>
      </c>
      <c r="D29" s="19" t="s">
        <v>46</v>
      </c>
      <c r="E29" s="19"/>
      <c r="H29" s="19" t="s">
        <v>23</v>
      </c>
      <c r="I29" s="22">
        <f ca="1">P/D5</f>
        <v>2.1720243266724587E-2</v>
      </c>
      <c r="J29" s="22">
        <f ca="1">0.4572355289*(C5*J27)^2*I31/D5</f>
        <v>202902.55177837631</v>
      </c>
    </row>
    <row r="30" spans="2:11" ht="14.25" x14ac:dyDescent="0.2">
      <c r="B30" s="22">
        <f ca="1">(-$F$24/2+SQRT($I$22))^(1/3)</f>
        <v>0.33323625262143203</v>
      </c>
      <c r="C30" s="22">
        <f ca="1">(-$F$24/2-SQRT($I$22))^(1/3)</f>
        <v>0.33156969851196277</v>
      </c>
      <c r="D30" s="22">
        <f ca="1">B30+C30</f>
        <v>0.6648059511333948</v>
      </c>
      <c r="E30" s="4"/>
      <c r="H30" s="20" t="s">
        <v>25</v>
      </c>
      <c r="I30" s="22">
        <f ca="1">0.37464+1.54226*E5-0.26992*E5^2</f>
        <v>0.39157219967999995</v>
      </c>
      <c r="J30" s="19" t="s">
        <v>26</v>
      </c>
      <c r="K30" s="19"/>
    </row>
    <row r="31" spans="2:11" x14ac:dyDescent="0.2">
      <c r="H31" s="20" t="s">
        <v>28</v>
      </c>
      <c r="I31" s="22">
        <f ca="1">(1+kappa*(1-SQRT(Tr)))^2</f>
        <v>0.81351902105345275</v>
      </c>
      <c r="J31" s="22">
        <f ca="1">0.0777960739*J27*C5/D5</f>
        <v>26.778110950406653</v>
      </c>
    </row>
    <row r="32" spans="2:11" x14ac:dyDescent="0.2">
      <c r="B32" t="s">
        <v>47</v>
      </c>
      <c r="J32" s="19" t="s">
        <v>29</v>
      </c>
      <c r="K32" s="22">
        <f ca="1">J29*C9/(J27*C8)^2</f>
        <v>3.305107811129067E-3</v>
      </c>
    </row>
    <row r="33" spans="2:11" ht="15.75" x14ac:dyDescent="0.3">
      <c r="B33" s="19" t="s">
        <v>48</v>
      </c>
      <c r="C33" s="19" t="s">
        <v>49</v>
      </c>
      <c r="D33" s="19" t="s">
        <v>50</v>
      </c>
      <c r="E33" s="24" t="s">
        <v>51</v>
      </c>
      <c r="F33" s="19" t="s">
        <v>52</v>
      </c>
      <c r="G33" s="19"/>
      <c r="J33" s="19" t="s">
        <v>31</v>
      </c>
      <c r="K33" s="22">
        <f ca="1">J31*C9/J27/C8</f>
        <v>1.0807593400938198E-3</v>
      </c>
    </row>
    <row r="34" spans="2:11" x14ac:dyDescent="0.2">
      <c r="B34" s="22">
        <f ca="1">2*SQRT(-E24/3)</f>
        <v>0.66480386224793997</v>
      </c>
      <c r="C34" s="22">
        <f ca="1">3*F24/E24/B34</f>
        <v>1.0000282790894026</v>
      </c>
      <c r="D34" s="22" t="e">
        <f ca="1">ACOS(C34)</f>
        <v>#NUM!</v>
      </c>
      <c r="E34" s="22" t="e">
        <f ca="1">D34/3</f>
        <v>#NUM!</v>
      </c>
      <c r="F34" s="22" t="e">
        <f ca="1">$B$34*COS($E$34)</f>
        <v>#NUM!</v>
      </c>
      <c r="G34" s="22" t="e">
        <f ca="1">$B$34*COS($E$34+4*PI()/3)</f>
        <v>#NUM!</v>
      </c>
      <c r="H34" s="22" t="e">
        <f ca="1">$B$34*COS($E$34+2*PI()/3)</f>
        <v>#NUM!</v>
      </c>
    </row>
    <row r="39" spans="2:11" x14ac:dyDescent="0.2">
      <c r="H39" s="106" t="s">
        <v>187</v>
      </c>
    </row>
    <row r="40" spans="2:11" x14ac:dyDescent="0.2">
      <c r="H40" s="106" t="s">
        <v>189</v>
      </c>
    </row>
    <row r="41" spans="2:11" x14ac:dyDescent="0.2">
      <c r="H41" s="106" t="s">
        <v>188</v>
      </c>
    </row>
  </sheetData>
  <mergeCells count="1">
    <mergeCell ref="D11:E11"/>
  </mergeCells>
  <phoneticPr fontId="8" type="noConversion"/>
  <printOptions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179"/>
  <sheetViews>
    <sheetView workbookViewId="0">
      <pane ySplit="7" topLeftCell="A140" activePane="bottomLeft" state="frozen"/>
      <selection pane="bottomLeft" activeCell="C101" sqref="C101:C179"/>
    </sheetView>
  </sheetViews>
  <sheetFormatPr defaultRowHeight="12.75" x14ac:dyDescent="0.2"/>
  <cols>
    <col min="2" max="2" width="12.140625" customWidth="1"/>
    <col min="3" max="3" width="25.42578125" customWidth="1"/>
    <col min="9" max="9" width="10.140625" customWidth="1"/>
  </cols>
  <sheetData>
    <row r="1" spans="2:13" x14ac:dyDescent="0.2">
      <c r="B1" s="17" t="s">
        <v>194</v>
      </c>
    </row>
    <row r="2" spans="2:13" x14ac:dyDescent="0.2">
      <c r="B2" t="s">
        <v>91</v>
      </c>
      <c r="M2" s="106" t="s">
        <v>187</v>
      </c>
    </row>
    <row r="3" spans="2:13" x14ac:dyDescent="0.2">
      <c r="B3" t="s">
        <v>92</v>
      </c>
      <c r="M3" s="106" t="s">
        <v>189</v>
      </c>
    </row>
    <row r="4" spans="2:13" x14ac:dyDescent="0.2">
      <c r="B4" t="s">
        <v>93</v>
      </c>
      <c r="M4" s="106" t="s">
        <v>188</v>
      </c>
    </row>
    <row r="5" spans="2:13" x14ac:dyDescent="0.2">
      <c r="B5" t="s">
        <v>94</v>
      </c>
    </row>
    <row r="6" spans="2:13" x14ac:dyDescent="0.2">
      <c r="I6" s="133" t="s">
        <v>200</v>
      </c>
      <c r="J6" s="133"/>
      <c r="K6" s="133"/>
      <c r="L6" s="133"/>
    </row>
    <row r="7" spans="2:13" s="105" customFormat="1" x14ac:dyDescent="0.2">
      <c r="C7" s="105" t="s">
        <v>95</v>
      </c>
      <c r="D7" s="105" t="s">
        <v>96</v>
      </c>
      <c r="E7" s="105" t="s">
        <v>97</v>
      </c>
      <c r="F7" s="105" t="s">
        <v>8</v>
      </c>
      <c r="G7" s="105" t="s">
        <v>98</v>
      </c>
      <c r="H7" s="105" t="s">
        <v>99</v>
      </c>
      <c r="I7" s="105" t="s">
        <v>29</v>
      </c>
      <c r="J7" s="105" t="s">
        <v>31</v>
      </c>
      <c r="K7" s="105" t="s">
        <v>58</v>
      </c>
      <c r="L7" s="105" t="s">
        <v>59</v>
      </c>
    </row>
    <row r="8" spans="2:13" s="105" customFormat="1" x14ac:dyDescent="0.2">
      <c r="B8" s="105" t="s">
        <v>100</v>
      </c>
    </row>
    <row r="9" spans="2:13" x14ac:dyDescent="0.2">
      <c r="B9">
        <v>1</v>
      </c>
      <c r="C9" t="s">
        <v>9</v>
      </c>
      <c r="D9">
        <v>190.6</v>
      </c>
      <c r="E9">
        <v>4.6040000000000001</v>
      </c>
      <c r="F9">
        <v>1.0999999999999999E-2</v>
      </c>
      <c r="G9">
        <v>0.28799999999999998</v>
      </c>
      <c r="H9">
        <v>4.298</v>
      </c>
      <c r="I9">
        <v>19.25</v>
      </c>
      <c r="J9" s="16">
        <v>5.2130000000000003E-2</v>
      </c>
      <c r="K9" s="16">
        <v>1.1970000000000001E-5</v>
      </c>
      <c r="L9" s="16">
        <v>-1.132E-8</v>
      </c>
    </row>
    <row r="10" spans="2:13" x14ac:dyDescent="0.2">
      <c r="B10">
        <v>2</v>
      </c>
      <c r="C10" t="s">
        <v>101</v>
      </c>
      <c r="D10">
        <v>305.39999999999998</v>
      </c>
      <c r="E10">
        <v>4.88</v>
      </c>
      <c r="F10">
        <v>9.9000000000000005E-2</v>
      </c>
      <c r="G10">
        <v>0.28399999999999997</v>
      </c>
      <c r="H10">
        <v>6.3120000000000003</v>
      </c>
      <c r="I10">
        <v>5.4089999999999998</v>
      </c>
      <c r="J10" s="16">
        <v>0.17810000000000001</v>
      </c>
      <c r="K10" s="16">
        <v>-6.9380000000000003E-5</v>
      </c>
      <c r="L10" s="16">
        <v>8.713E-9</v>
      </c>
    </row>
    <row r="11" spans="2:13" x14ac:dyDescent="0.2">
      <c r="B11">
        <v>3</v>
      </c>
      <c r="C11" t="s">
        <v>102</v>
      </c>
      <c r="D11">
        <v>369.8</v>
      </c>
      <c r="E11">
        <v>4.2489999999999997</v>
      </c>
      <c r="F11">
        <v>0.152</v>
      </c>
      <c r="G11">
        <v>0.28100000000000003</v>
      </c>
      <c r="H11">
        <v>8.8510000000000009</v>
      </c>
      <c r="I11">
        <v>-4.2240000000000002</v>
      </c>
      <c r="J11" s="16">
        <v>0.30630000000000002</v>
      </c>
      <c r="K11" s="16">
        <v>-1.5860000000000001E-4</v>
      </c>
      <c r="L11" s="16">
        <v>3.215E-8</v>
      </c>
    </row>
    <row r="12" spans="2:13" x14ac:dyDescent="0.2">
      <c r="B12">
        <v>4</v>
      </c>
      <c r="C12" t="s">
        <v>103</v>
      </c>
      <c r="D12">
        <v>425.2</v>
      </c>
      <c r="E12">
        <v>3.7970000000000002</v>
      </c>
      <c r="F12">
        <v>0.193</v>
      </c>
      <c r="G12">
        <v>0.27400000000000002</v>
      </c>
      <c r="H12">
        <v>11.89</v>
      </c>
      <c r="I12">
        <v>9.4870000000000001</v>
      </c>
      <c r="J12" s="16">
        <v>0.33129999999999998</v>
      </c>
      <c r="K12" s="16">
        <v>-1.108E-4</v>
      </c>
      <c r="L12" s="16">
        <v>-2.822E-9</v>
      </c>
    </row>
    <row r="13" spans="2:13" x14ac:dyDescent="0.2">
      <c r="B13">
        <v>5</v>
      </c>
      <c r="C13" t="s">
        <v>104</v>
      </c>
      <c r="D13">
        <v>408.1</v>
      </c>
      <c r="E13">
        <v>3.6480000000000001</v>
      </c>
      <c r="F13">
        <v>0.17699999999999999</v>
      </c>
      <c r="G13">
        <v>0.28199999999999997</v>
      </c>
      <c r="H13">
        <v>11.695</v>
      </c>
      <c r="I13">
        <v>-1.39</v>
      </c>
      <c r="J13" s="16">
        <v>0.38469999999999999</v>
      </c>
      <c r="K13" s="16">
        <v>-1.8459999999999999E-4</v>
      </c>
      <c r="L13" s="16">
        <v>2.8950000000000001E-8</v>
      </c>
    </row>
    <row r="14" spans="2:13" x14ac:dyDescent="0.2">
      <c r="B14">
        <v>7</v>
      </c>
      <c r="C14" t="s">
        <v>105</v>
      </c>
      <c r="D14">
        <v>469.7</v>
      </c>
      <c r="E14">
        <v>3.3690000000000002</v>
      </c>
      <c r="F14">
        <v>0.249</v>
      </c>
      <c r="G14">
        <v>0.26900000000000002</v>
      </c>
      <c r="H14">
        <v>14.446</v>
      </c>
      <c r="I14">
        <v>-3.6259999999999999</v>
      </c>
      <c r="J14" s="16">
        <v>0.48730000000000001</v>
      </c>
      <c r="K14" s="16">
        <v>-2.5799999999999998E-4</v>
      </c>
      <c r="L14" s="16">
        <v>5.3050000000000002E-8</v>
      </c>
    </row>
    <row r="15" spans="2:13" x14ac:dyDescent="0.2">
      <c r="B15">
        <v>8</v>
      </c>
      <c r="C15" t="s">
        <v>106</v>
      </c>
      <c r="D15">
        <v>460.4</v>
      </c>
      <c r="E15">
        <v>3.3809999999999998</v>
      </c>
      <c r="F15">
        <v>0.22800000000000001</v>
      </c>
      <c r="G15">
        <v>0.27</v>
      </c>
      <c r="I15">
        <v>-9.5250000000000004</v>
      </c>
      <c r="J15" s="16">
        <v>0.50660000000000005</v>
      </c>
      <c r="K15" s="16">
        <v>-2.7290000000000002E-4</v>
      </c>
      <c r="L15" s="16">
        <v>5.7229999999999997E-8</v>
      </c>
    </row>
    <row r="16" spans="2:13" x14ac:dyDescent="0.2">
      <c r="B16">
        <v>9</v>
      </c>
      <c r="C16" t="s">
        <v>107</v>
      </c>
      <c r="D16">
        <v>433.8</v>
      </c>
      <c r="E16">
        <v>3.1989999999999998</v>
      </c>
      <c r="F16">
        <v>0.19600000000000001</v>
      </c>
      <c r="G16">
        <v>0.26900000000000002</v>
      </c>
      <c r="I16">
        <v>-16.59</v>
      </c>
      <c r="J16" s="16">
        <v>0.55520000000000003</v>
      </c>
      <c r="K16" s="16">
        <v>-3.3060000000000001E-4</v>
      </c>
      <c r="L16" s="16">
        <v>7.6329999999999996E-8</v>
      </c>
    </row>
    <row r="17" spans="2:14" x14ac:dyDescent="0.2">
      <c r="B17">
        <v>11</v>
      </c>
      <c r="C17" t="s">
        <v>108</v>
      </c>
      <c r="D17">
        <v>507.4</v>
      </c>
      <c r="E17">
        <v>3.012</v>
      </c>
      <c r="F17">
        <v>0.30499999999999999</v>
      </c>
      <c r="G17">
        <v>0.26400000000000001</v>
      </c>
      <c r="H17">
        <v>17.212</v>
      </c>
      <c r="I17">
        <v>-4.4130000000000003</v>
      </c>
      <c r="J17" s="16">
        <v>0.52800000000000002</v>
      </c>
      <c r="K17" s="16">
        <v>-3.1189999999999999E-4</v>
      </c>
      <c r="L17" s="16">
        <v>6.4939999999999998E-8</v>
      </c>
    </row>
    <row r="18" spans="2:14" x14ac:dyDescent="0.2">
      <c r="B18">
        <v>17</v>
      </c>
      <c r="C18" t="s">
        <v>109</v>
      </c>
      <c r="D18">
        <v>540.29999999999995</v>
      </c>
      <c r="E18">
        <v>2.7360000000000002</v>
      </c>
      <c r="F18">
        <v>0.34899999999999998</v>
      </c>
      <c r="G18">
        <v>0.26300000000000001</v>
      </c>
      <c r="H18">
        <v>19.954000000000001</v>
      </c>
      <c r="I18">
        <v>-5.1459999999999999</v>
      </c>
      <c r="J18" s="16">
        <v>0.67620000000000002</v>
      </c>
      <c r="K18" s="16">
        <v>-3.6509999999999998E-4</v>
      </c>
      <c r="L18" s="16">
        <v>7.6580000000000001E-8</v>
      </c>
    </row>
    <row r="19" spans="2:14" x14ac:dyDescent="0.2">
      <c r="B19">
        <v>27</v>
      </c>
      <c r="C19" t="s">
        <v>110</v>
      </c>
      <c r="D19">
        <v>568.79999999999995</v>
      </c>
      <c r="E19">
        <v>2.4860000000000002</v>
      </c>
      <c r="F19">
        <v>0.39600000000000002</v>
      </c>
      <c r="G19">
        <v>0.25900000000000001</v>
      </c>
      <c r="H19">
        <v>22.696999999999999</v>
      </c>
      <c r="I19">
        <v>-6.0960000000000001</v>
      </c>
      <c r="J19" s="16">
        <v>0.7712</v>
      </c>
      <c r="K19" s="16">
        <v>-4.1950000000000001E-4</v>
      </c>
      <c r="L19" s="16">
        <v>8.8549999999999996E-8</v>
      </c>
    </row>
    <row r="20" spans="2:14" x14ac:dyDescent="0.2">
      <c r="B20">
        <v>46</v>
      </c>
      <c r="C20" t="s">
        <v>111</v>
      </c>
      <c r="D20">
        <v>595.70000000000005</v>
      </c>
      <c r="E20">
        <v>2.306</v>
      </c>
      <c r="F20">
        <v>0.437</v>
      </c>
      <c r="G20">
        <v>0.255</v>
      </c>
      <c r="H20">
        <v>25.451000000000001</v>
      </c>
      <c r="I20">
        <v>-8.3740000000000006</v>
      </c>
      <c r="J20" s="16">
        <v>0.87290000000000001</v>
      </c>
      <c r="K20" s="16">
        <v>-4.8230000000000001E-4</v>
      </c>
      <c r="L20" s="16">
        <v>1.031E-7</v>
      </c>
    </row>
    <row r="21" spans="2:14" x14ac:dyDescent="0.2">
      <c r="B21">
        <v>56</v>
      </c>
      <c r="C21" t="s">
        <v>112</v>
      </c>
      <c r="D21">
        <v>618.5</v>
      </c>
      <c r="E21">
        <v>2.1230000000000002</v>
      </c>
      <c r="F21">
        <v>0.48399999999999999</v>
      </c>
      <c r="G21">
        <v>0.249</v>
      </c>
      <c r="H21">
        <v>28.216999999999999</v>
      </c>
      <c r="I21">
        <v>-7.9130000000000003</v>
      </c>
      <c r="J21" s="16">
        <v>0.96089999999999998</v>
      </c>
      <c r="K21" s="16">
        <v>-5.2879999999999995E-4</v>
      </c>
      <c r="L21" s="16">
        <v>1.131E-7</v>
      </c>
    </row>
    <row r="22" spans="2:14" x14ac:dyDescent="0.2">
      <c r="B22">
        <v>64</v>
      </c>
      <c r="C22" t="s">
        <v>113</v>
      </c>
      <c r="D22">
        <v>658.2</v>
      </c>
      <c r="E22">
        <v>1.8240000000000001</v>
      </c>
      <c r="F22">
        <v>0.57499999999999996</v>
      </c>
      <c r="G22">
        <v>0.23799999999999999</v>
      </c>
      <c r="I22">
        <v>-9.3279999999999994</v>
      </c>
      <c r="J22">
        <v>1.149</v>
      </c>
      <c r="K22" s="16">
        <v>-6.3469999999999998E-4</v>
      </c>
      <c r="L22" s="16">
        <v>1.3589999999999999E-7</v>
      </c>
    </row>
    <row r="23" spans="2:14" x14ac:dyDescent="0.2">
      <c r="B23">
        <v>66</v>
      </c>
      <c r="C23" t="s">
        <v>114</v>
      </c>
      <c r="D23">
        <v>696.9</v>
      </c>
      <c r="E23">
        <v>1.4379999999999999</v>
      </c>
      <c r="F23">
        <v>0.56999999999999995</v>
      </c>
      <c r="G23">
        <v>0.20300000000000001</v>
      </c>
      <c r="I23" s="16">
        <v>-10.98</v>
      </c>
      <c r="J23">
        <v>1.3380000000000001</v>
      </c>
      <c r="K23" s="16">
        <v>-7.4229999999999999E-4</v>
      </c>
      <c r="L23" s="16">
        <v>1.5979999999999999E-7</v>
      </c>
    </row>
    <row r="24" spans="2:14" x14ac:dyDescent="0.2">
      <c r="B24">
        <v>68</v>
      </c>
      <c r="C24" t="s">
        <v>115</v>
      </c>
      <c r="D24">
        <v>720.6</v>
      </c>
      <c r="E24">
        <v>1.419</v>
      </c>
      <c r="F24">
        <v>0.747</v>
      </c>
      <c r="G24">
        <v>0.22</v>
      </c>
      <c r="H24">
        <v>44.539000000000001</v>
      </c>
      <c r="I24" s="16">
        <v>-13.02</v>
      </c>
      <c r="J24">
        <v>1.5289999999999999</v>
      </c>
      <c r="K24" s="16">
        <v>-8.5369999999999999E-4</v>
      </c>
      <c r="L24" s="16">
        <v>1.85E-7</v>
      </c>
    </row>
    <row r="25" spans="2:14" s="105" customFormat="1" x14ac:dyDescent="0.2">
      <c r="B25" s="105" t="s">
        <v>116</v>
      </c>
      <c r="N25"/>
    </row>
    <row r="26" spans="2:14" x14ac:dyDescent="0.2">
      <c r="B26">
        <v>104</v>
      </c>
      <c r="C26" t="s">
        <v>117</v>
      </c>
      <c r="D26">
        <v>511.8</v>
      </c>
      <c r="E26">
        <v>4.5019999999999998</v>
      </c>
      <c r="F26">
        <v>0.19400000000000001</v>
      </c>
      <c r="G26">
        <v>0.27300000000000002</v>
      </c>
      <c r="H26">
        <v>9.9740000000000002</v>
      </c>
      <c r="I26" s="16">
        <v>-53.62</v>
      </c>
      <c r="J26" s="16">
        <v>0.54259999999999997</v>
      </c>
      <c r="K26" s="16">
        <v>-3.0309999999999999E-4</v>
      </c>
      <c r="L26" s="16">
        <v>6.4850000000000002E-8</v>
      </c>
    </row>
    <row r="27" spans="2:14" x14ac:dyDescent="0.2">
      <c r="B27">
        <v>105</v>
      </c>
      <c r="C27" t="s">
        <v>118</v>
      </c>
      <c r="D27">
        <v>532.79999999999995</v>
      </c>
      <c r="E27">
        <v>3.7850000000000001</v>
      </c>
      <c r="F27">
        <v>0.23</v>
      </c>
      <c r="G27">
        <v>0.27200000000000002</v>
      </c>
      <c r="I27" s="16">
        <v>-50.11</v>
      </c>
      <c r="J27" s="16">
        <v>0.6381</v>
      </c>
      <c r="K27" s="16">
        <v>-3.6420000000000002E-4</v>
      </c>
      <c r="L27" s="16">
        <v>8.0140000000000002E-8</v>
      </c>
    </row>
    <row r="28" spans="2:14" x14ac:dyDescent="0.2">
      <c r="B28">
        <v>137</v>
      </c>
      <c r="C28" t="s">
        <v>119</v>
      </c>
      <c r="D28">
        <v>553.5</v>
      </c>
      <c r="E28">
        <v>4.0750000000000002</v>
      </c>
      <c r="F28">
        <v>0.215</v>
      </c>
      <c r="G28">
        <v>0.27300000000000002</v>
      </c>
      <c r="H28">
        <v>12.738</v>
      </c>
      <c r="I28" s="16">
        <v>-54.54</v>
      </c>
      <c r="J28" s="16">
        <v>0.61129999999999995</v>
      </c>
      <c r="K28" s="16">
        <v>-2.5230000000000001E-4</v>
      </c>
      <c r="L28" s="16">
        <v>1.321E-8</v>
      </c>
    </row>
    <row r="29" spans="2:14" x14ac:dyDescent="0.2">
      <c r="B29">
        <v>138</v>
      </c>
      <c r="C29" t="s">
        <v>120</v>
      </c>
      <c r="D29">
        <v>572.20000000000005</v>
      </c>
      <c r="E29">
        <v>3.4710000000000001</v>
      </c>
      <c r="F29">
        <v>0.23499999999999999</v>
      </c>
      <c r="G29">
        <v>0.26900000000000002</v>
      </c>
      <c r="H29">
        <v>16.25</v>
      </c>
      <c r="I29" s="16">
        <v>-61.92</v>
      </c>
      <c r="J29" s="16">
        <v>0.78420000000000001</v>
      </c>
      <c r="K29" s="16">
        <v>-4.438E-4</v>
      </c>
      <c r="L29" s="16">
        <v>9.3660000000000006E-8</v>
      </c>
    </row>
    <row r="30" spans="2:14" s="105" customFormat="1" x14ac:dyDescent="0.2">
      <c r="B30" s="105" t="s">
        <v>121</v>
      </c>
      <c r="N30"/>
    </row>
    <row r="31" spans="2:14" x14ac:dyDescent="0.2">
      <c r="B31">
        <v>201</v>
      </c>
      <c r="C31" t="s">
        <v>122</v>
      </c>
      <c r="D31">
        <v>282.39999999999998</v>
      </c>
      <c r="E31">
        <v>5.032</v>
      </c>
      <c r="F31">
        <v>8.5000000000000006E-2</v>
      </c>
      <c r="G31">
        <v>0.27700000000000002</v>
      </c>
      <c r="H31">
        <v>5.26</v>
      </c>
      <c r="I31">
        <v>3.806</v>
      </c>
      <c r="J31" s="16">
        <v>0.15659999999999999</v>
      </c>
      <c r="K31" s="16">
        <v>-8.3479999999999994E-5</v>
      </c>
      <c r="L31" s="16">
        <v>1.7550000000000002E-8</v>
      </c>
    </row>
    <row r="32" spans="2:14" x14ac:dyDescent="0.2">
      <c r="B32">
        <v>202</v>
      </c>
      <c r="C32" t="s">
        <v>123</v>
      </c>
      <c r="D32">
        <v>364.8</v>
      </c>
      <c r="E32">
        <v>4.6130000000000004</v>
      </c>
      <c r="F32">
        <v>0.14199999999999999</v>
      </c>
      <c r="G32">
        <v>0.27500000000000002</v>
      </c>
      <c r="H32">
        <v>7.6879999999999997</v>
      </c>
      <c r="I32">
        <v>3.71</v>
      </c>
      <c r="J32" s="16">
        <v>0.23449999999999999</v>
      </c>
      <c r="K32" s="16">
        <v>-1.16E-4</v>
      </c>
      <c r="L32" s="16">
        <v>2.2049999999999999E-8</v>
      </c>
    </row>
    <row r="33" spans="2:14" x14ac:dyDescent="0.2">
      <c r="B33">
        <v>204</v>
      </c>
      <c r="C33" t="s">
        <v>124</v>
      </c>
      <c r="D33">
        <v>419.6</v>
      </c>
      <c r="E33">
        <v>4.0199999999999996</v>
      </c>
      <c r="F33">
        <v>0.187</v>
      </c>
      <c r="G33">
        <v>0.27600000000000002</v>
      </c>
      <c r="H33">
        <v>10.305999999999999</v>
      </c>
      <c r="I33">
        <v>-2.9940000000000002</v>
      </c>
      <c r="J33" s="16">
        <v>0.35320000000000001</v>
      </c>
      <c r="K33" s="16">
        <v>-1.9900000000000001E-4</v>
      </c>
      <c r="L33" s="16">
        <v>4.4630000000000003E-8</v>
      </c>
    </row>
    <row r="34" spans="2:14" x14ac:dyDescent="0.2">
      <c r="B34">
        <v>207</v>
      </c>
      <c r="C34" t="s">
        <v>125</v>
      </c>
      <c r="D34">
        <v>417.9</v>
      </c>
      <c r="E34">
        <v>3.9990000000000001</v>
      </c>
      <c r="F34">
        <v>0.189</v>
      </c>
      <c r="G34">
        <v>0.27500000000000002</v>
      </c>
      <c r="H34">
        <v>10.724</v>
      </c>
      <c r="I34" s="16">
        <v>16.05</v>
      </c>
      <c r="J34" s="16">
        <v>0.28039999999999998</v>
      </c>
      <c r="K34" s="16">
        <v>-1.091E-4</v>
      </c>
      <c r="L34" s="16">
        <v>9.0979999999999998E-9</v>
      </c>
    </row>
    <row r="35" spans="2:14" x14ac:dyDescent="0.2">
      <c r="B35">
        <v>209</v>
      </c>
      <c r="C35" t="s">
        <v>126</v>
      </c>
      <c r="D35">
        <v>464.8</v>
      </c>
      <c r="E35">
        <v>3.5289999999999999</v>
      </c>
      <c r="F35">
        <v>0.23300000000000001</v>
      </c>
      <c r="G35">
        <v>0.27</v>
      </c>
      <c r="I35" s="16">
        <v>-0.13400000000000001</v>
      </c>
      <c r="J35" s="16">
        <v>0.43290000000000001</v>
      </c>
      <c r="K35" s="16">
        <v>-2.3169999999999999E-4</v>
      </c>
      <c r="L35" s="16">
        <v>4.681E-8</v>
      </c>
    </row>
    <row r="36" spans="2:14" x14ac:dyDescent="0.2">
      <c r="B36">
        <v>303</v>
      </c>
      <c r="C36" s="17" t="s">
        <v>128</v>
      </c>
      <c r="D36">
        <v>425.4</v>
      </c>
      <c r="E36">
        <v>4.33</v>
      </c>
      <c r="F36">
        <v>0.193</v>
      </c>
      <c r="G36">
        <v>0.27</v>
      </c>
      <c r="H36">
        <v>9.56</v>
      </c>
      <c r="I36">
        <v>-1.6870000000000001</v>
      </c>
      <c r="J36" s="16">
        <v>0.34189999999999998</v>
      </c>
      <c r="K36" s="16">
        <v>-2.34E-4</v>
      </c>
      <c r="L36" s="16">
        <v>6.3349999999999995E-8</v>
      </c>
    </row>
    <row r="37" spans="2:14" x14ac:dyDescent="0.2">
      <c r="B37">
        <v>309</v>
      </c>
      <c r="C37" t="s">
        <v>129</v>
      </c>
      <c r="D37">
        <v>484</v>
      </c>
      <c r="E37">
        <v>3.85</v>
      </c>
      <c r="F37">
        <v>0.158</v>
      </c>
      <c r="G37">
        <v>0.26400000000000001</v>
      </c>
      <c r="I37">
        <v>-3.4119999999999999</v>
      </c>
      <c r="J37" s="16">
        <v>0.45850000000000002</v>
      </c>
      <c r="K37" s="16">
        <v>-3.3369999999999998E-4</v>
      </c>
      <c r="L37" s="16">
        <v>9.9999999999999995E-8</v>
      </c>
    </row>
    <row r="38" spans="2:14" x14ac:dyDescent="0.2">
      <c r="B38">
        <v>401</v>
      </c>
      <c r="C38" t="s">
        <v>127</v>
      </c>
      <c r="D38">
        <v>308.3</v>
      </c>
      <c r="E38">
        <v>6.1390000000000002</v>
      </c>
      <c r="F38">
        <v>0.187</v>
      </c>
      <c r="G38">
        <v>0.27100000000000002</v>
      </c>
      <c r="H38">
        <v>5.32</v>
      </c>
      <c r="I38" s="16">
        <v>26.82</v>
      </c>
      <c r="J38" s="16">
        <v>7.578E-2</v>
      </c>
      <c r="K38" s="16">
        <v>-5.007E-5</v>
      </c>
      <c r="L38" s="16">
        <v>1.412E-8</v>
      </c>
    </row>
    <row r="39" spans="2:14" s="105" customFormat="1" x14ac:dyDescent="0.2">
      <c r="B39" s="105" t="s">
        <v>130</v>
      </c>
      <c r="N39"/>
    </row>
    <row r="40" spans="2:14" x14ac:dyDescent="0.2">
      <c r="B40">
        <v>501</v>
      </c>
      <c r="C40" t="s">
        <v>131</v>
      </c>
      <c r="D40">
        <v>562.20000000000005</v>
      </c>
      <c r="E40">
        <v>4.8979999999999997</v>
      </c>
      <c r="F40">
        <v>0.21099999999999999</v>
      </c>
      <c r="G40">
        <v>0.27100000000000002</v>
      </c>
      <c r="H40">
        <v>9.8219999999999992</v>
      </c>
      <c r="I40" s="16">
        <v>-33.92</v>
      </c>
      <c r="J40" s="16">
        <v>0.47389999999999999</v>
      </c>
      <c r="K40" s="16">
        <v>-3.0170000000000002E-4</v>
      </c>
      <c r="L40" s="16">
        <v>7.1299999999999997E-8</v>
      </c>
    </row>
    <row r="41" spans="2:14" x14ac:dyDescent="0.2">
      <c r="B41">
        <v>502</v>
      </c>
      <c r="C41" t="s">
        <v>132</v>
      </c>
      <c r="D41">
        <v>591.79999999999995</v>
      </c>
      <c r="E41">
        <v>4.109</v>
      </c>
      <c r="F41">
        <v>0.26400000000000001</v>
      </c>
      <c r="G41">
        <v>0.26400000000000001</v>
      </c>
      <c r="H41">
        <v>12.484999999999999</v>
      </c>
      <c r="I41" s="16">
        <v>-24.35</v>
      </c>
      <c r="J41" s="16">
        <v>0.51249999999999996</v>
      </c>
      <c r="K41" s="16">
        <v>-2.765E-4</v>
      </c>
      <c r="L41" s="16">
        <v>4.9110000000000001E-8</v>
      </c>
    </row>
    <row r="42" spans="2:14" x14ac:dyDescent="0.2">
      <c r="B42">
        <v>504</v>
      </c>
      <c r="C42" t="s">
        <v>133</v>
      </c>
      <c r="D42">
        <v>617.20000000000005</v>
      </c>
      <c r="E42">
        <v>3.609</v>
      </c>
      <c r="F42">
        <v>0.30399999999999999</v>
      </c>
      <c r="G42">
        <v>0.26300000000000001</v>
      </c>
      <c r="H42">
        <v>15.444000000000001</v>
      </c>
      <c r="I42" s="16">
        <v>-43.1</v>
      </c>
      <c r="J42" s="16">
        <v>0.70720000000000005</v>
      </c>
      <c r="K42" s="16">
        <v>-4.8109999999999998E-4</v>
      </c>
      <c r="L42" s="16">
        <v>1.3010000000000001E-7</v>
      </c>
    </row>
    <row r="43" spans="2:14" x14ac:dyDescent="0.2">
      <c r="B43">
        <v>505</v>
      </c>
      <c r="C43" t="s">
        <v>134</v>
      </c>
      <c r="D43">
        <v>630.4</v>
      </c>
      <c r="E43">
        <v>3.734</v>
      </c>
      <c r="F43">
        <v>0.313</v>
      </c>
      <c r="G43">
        <v>0.26300000000000001</v>
      </c>
      <c r="H43">
        <v>16.033000000000001</v>
      </c>
      <c r="I43" s="16">
        <v>-15.85</v>
      </c>
      <c r="J43" s="16">
        <v>0.59619999999999995</v>
      </c>
      <c r="K43" s="16">
        <v>-3.4430000000000002E-4</v>
      </c>
      <c r="L43" s="16">
        <v>7.5279999999999996E-8</v>
      </c>
    </row>
    <row r="44" spans="2:14" x14ac:dyDescent="0.2">
      <c r="B44">
        <v>506</v>
      </c>
      <c r="C44" t="s">
        <v>135</v>
      </c>
      <c r="D44">
        <v>617.1</v>
      </c>
      <c r="E44">
        <v>3.5409999999999999</v>
      </c>
      <c r="F44">
        <v>0.32600000000000001</v>
      </c>
      <c r="G44">
        <v>0.25900000000000001</v>
      </c>
      <c r="H44">
        <v>15.348000000000001</v>
      </c>
      <c r="I44" s="16">
        <v>-29.17</v>
      </c>
      <c r="J44" s="16">
        <v>0.62970000000000004</v>
      </c>
      <c r="K44" s="16">
        <v>-3.747E-4</v>
      </c>
      <c r="L44" s="16">
        <v>8.4779999999999996E-8</v>
      </c>
    </row>
    <row r="45" spans="2:14" x14ac:dyDescent="0.2">
      <c r="B45">
        <v>507</v>
      </c>
      <c r="C45" t="s">
        <v>136</v>
      </c>
      <c r="D45">
        <v>616.29999999999995</v>
      </c>
      <c r="E45">
        <v>3.5110000000000001</v>
      </c>
      <c r="F45">
        <v>0.32600000000000001</v>
      </c>
      <c r="G45">
        <v>0.26</v>
      </c>
      <c r="H45">
        <v>15.263</v>
      </c>
      <c r="I45">
        <f>-2.509+1</f>
        <v>-1.5089999999999999</v>
      </c>
      <c r="J45" s="16">
        <v>0.60419999999999996</v>
      </c>
      <c r="K45" s="16">
        <v>-3.3740000000000002E-4</v>
      </c>
      <c r="L45" s="16">
        <v>6.8200000000000002E-8</v>
      </c>
    </row>
    <row r="46" spans="2:14" x14ac:dyDescent="0.2">
      <c r="B46">
        <v>510</v>
      </c>
      <c r="C46" t="s">
        <v>137</v>
      </c>
      <c r="D46">
        <v>631.20000000000005</v>
      </c>
      <c r="E46">
        <v>3.2090000000000001</v>
      </c>
      <c r="F46">
        <v>0.33800000000000002</v>
      </c>
      <c r="G46">
        <v>0.26200000000000001</v>
      </c>
      <c r="H46">
        <v>18.245999999999999</v>
      </c>
      <c r="I46" s="16">
        <v>-33.936</v>
      </c>
      <c r="J46" s="16">
        <v>0.78420000000000001</v>
      </c>
      <c r="K46" s="16">
        <v>-5.0869999999999995E-4</v>
      </c>
      <c r="L46" s="16">
        <v>1.2910000000000001E-7</v>
      </c>
    </row>
    <row r="47" spans="2:14" x14ac:dyDescent="0.2">
      <c r="B47">
        <v>558</v>
      </c>
      <c r="C47" t="s">
        <v>138</v>
      </c>
      <c r="D47">
        <v>789.3</v>
      </c>
      <c r="E47">
        <v>3.847</v>
      </c>
      <c r="F47">
        <v>0.36599999999999999</v>
      </c>
      <c r="G47">
        <v>0.29399999999999998</v>
      </c>
      <c r="H47">
        <v>19.521000000000001</v>
      </c>
      <c r="I47" s="16">
        <v>-97.07</v>
      </c>
      <c r="J47">
        <v>1.1060000000000001</v>
      </c>
      <c r="K47" s="16">
        <v>-8.855E-4</v>
      </c>
      <c r="L47" s="16">
        <v>2.79E-7</v>
      </c>
    </row>
    <row r="48" spans="2:14" x14ac:dyDescent="0.2">
      <c r="B48">
        <v>701</v>
      </c>
      <c r="C48" t="s">
        <v>139</v>
      </c>
      <c r="D48">
        <v>748.4</v>
      </c>
      <c r="E48">
        <v>4.0510000000000002</v>
      </c>
      <c r="F48">
        <v>0.30199999999999999</v>
      </c>
      <c r="G48">
        <v>0.26900000000000002</v>
      </c>
      <c r="H48">
        <v>16.033000000000001</v>
      </c>
      <c r="I48" s="16">
        <v>-68.8</v>
      </c>
      <c r="J48" s="16">
        <v>0.84989999999999999</v>
      </c>
      <c r="K48" s="16">
        <v>-6.5059999999999998E-4</v>
      </c>
      <c r="L48" s="16">
        <v>1.9810000000000001E-7</v>
      </c>
    </row>
    <row r="49" spans="2:14" x14ac:dyDescent="0.2">
      <c r="B49">
        <v>702</v>
      </c>
      <c r="C49" t="s">
        <v>140</v>
      </c>
      <c r="D49">
        <v>772</v>
      </c>
      <c r="E49">
        <v>3.65</v>
      </c>
      <c r="F49">
        <v>0.29199999999999998</v>
      </c>
      <c r="G49">
        <v>0.29699999999999999</v>
      </c>
      <c r="I49" s="16">
        <v>-64.819999999999993</v>
      </c>
      <c r="J49" s="16">
        <v>0.93869999999999998</v>
      </c>
      <c r="K49" s="16">
        <v>-6.9419999999999996E-4</v>
      </c>
      <c r="L49" s="16">
        <v>2.0160000000000001E-7</v>
      </c>
    </row>
    <row r="50" spans="2:14" s="105" customFormat="1" x14ac:dyDescent="0.2">
      <c r="B50" s="105" t="s">
        <v>186</v>
      </c>
      <c r="N50"/>
    </row>
    <row r="51" spans="2:14" x14ac:dyDescent="0.2">
      <c r="B51">
        <v>1101</v>
      </c>
      <c r="C51" t="s">
        <v>141</v>
      </c>
      <c r="D51">
        <v>512.6</v>
      </c>
      <c r="E51">
        <v>8.0960000000000001</v>
      </c>
      <c r="F51">
        <v>0.56599999999999995</v>
      </c>
      <c r="G51">
        <v>0.224</v>
      </c>
      <c r="H51">
        <v>5.2830000000000004</v>
      </c>
      <c r="I51">
        <v>21.15</v>
      </c>
      <c r="J51" s="16">
        <v>7.0919999999999997E-2</v>
      </c>
      <c r="K51" s="16">
        <v>2.5870000000000001E-5</v>
      </c>
      <c r="L51" s="16">
        <v>-2.852E-8</v>
      </c>
    </row>
    <row r="52" spans="2:14" x14ac:dyDescent="0.2">
      <c r="B52">
        <v>1102</v>
      </c>
      <c r="C52" t="s">
        <v>142</v>
      </c>
      <c r="D52">
        <v>516.4</v>
      </c>
      <c r="E52">
        <v>6.3840000000000003</v>
      </c>
      <c r="F52">
        <v>0.63700000000000001</v>
      </c>
      <c r="G52">
        <v>0.248</v>
      </c>
      <c r="H52">
        <v>7.8789999999999996</v>
      </c>
      <c r="I52">
        <v>9.0139999999999993</v>
      </c>
      <c r="J52" s="16">
        <v>0.21410000000000001</v>
      </c>
      <c r="K52" s="16">
        <v>-8.3900000000000006E-5</v>
      </c>
      <c r="L52" s="16">
        <v>1.3729999999999999E-9</v>
      </c>
    </row>
    <row r="53" spans="2:14" x14ac:dyDescent="0.2">
      <c r="B53">
        <v>1103</v>
      </c>
      <c r="C53" t="s">
        <v>143</v>
      </c>
      <c r="D53">
        <v>536.70000000000005</v>
      </c>
      <c r="E53">
        <v>5.17</v>
      </c>
      <c r="F53">
        <v>0.628</v>
      </c>
      <c r="G53">
        <v>0.253</v>
      </c>
      <c r="H53">
        <v>10.496</v>
      </c>
      <c r="I53">
        <v>2.4700000000000002</v>
      </c>
      <c r="J53" s="16">
        <v>0.33250000000000002</v>
      </c>
      <c r="K53" s="16">
        <v>-1.8550000000000001E-4</v>
      </c>
      <c r="L53" s="16">
        <v>4.2960000000000002E-8</v>
      </c>
    </row>
    <row r="54" spans="2:14" x14ac:dyDescent="0.2">
      <c r="B54">
        <v>1104</v>
      </c>
      <c r="C54" t="s">
        <v>144</v>
      </c>
      <c r="D54">
        <v>508.3</v>
      </c>
      <c r="E54">
        <v>4.7640000000000002</v>
      </c>
      <c r="F54">
        <v>0.66900000000000004</v>
      </c>
      <c r="G54">
        <v>0.248</v>
      </c>
      <c r="H54">
        <v>10.69</v>
      </c>
      <c r="I54" s="16">
        <v>32.43</v>
      </c>
      <c r="J54" s="16">
        <v>0.1885</v>
      </c>
      <c r="K54" s="16">
        <v>6.4060000000000007E-5</v>
      </c>
      <c r="L54" s="16">
        <v>-9.2609999999999993E-8</v>
      </c>
    </row>
    <row r="55" spans="2:14" x14ac:dyDescent="0.2">
      <c r="B55">
        <v>1105</v>
      </c>
      <c r="C55" t="s">
        <v>145</v>
      </c>
      <c r="D55">
        <v>562.9</v>
      </c>
      <c r="E55">
        <v>4.4119999999999999</v>
      </c>
      <c r="F55">
        <v>0.59399999999999997</v>
      </c>
      <c r="G55">
        <v>0.25900000000000001</v>
      </c>
      <c r="I55">
        <v>3.266</v>
      </c>
      <c r="J55" s="16">
        <v>0.41799999999999998</v>
      </c>
      <c r="K55" s="16">
        <v>-2.242E-4</v>
      </c>
      <c r="L55" s="16">
        <v>4.6849999999999999E-8</v>
      </c>
    </row>
    <row r="56" spans="2:14" x14ac:dyDescent="0.2">
      <c r="B56">
        <v>1107</v>
      </c>
      <c r="C56" t="s">
        <v>146</v>
      </c>
      <c r="D56">
        <v>547.70000000000005</v>
      </c>
      <c r="E56">
        <v>4.2949999999999999</v>
      </c>
      <c r="F56">
        <v>0.58899999999999997</v>
      </c>
      <c r="G56">
        <v>0.25700000000000001</v>
      </c>
      <c r="I56">
        <v>-7.7080000000000002</v>
      </c>
      <c r="J56" s="16">
        <v>0.46889999999999998</v>
      </c>
      <c r="K56" s="16">
        <v>-2.8840000000000002E-4</v>
      </c>
      <c r="L56" s="16">
        <v>7.2310000000000004E-8</v>
      </c>
    </row>
    <row r="57" spans="2:14" x14ac:dyDescent="0.2">
      <c r="B57">
        <v>1479</v>
      </c>
      <c r="C57" t="s">
        <v>199</v>
      </c>
      <c r="D57">
        <v>501.1</v>
      </c>
      <c r="E57">
        <v>5.19</v>
      </c>
      <c r="F57">
        <v>0.217</v>
      </c>
      <c r="G57">
        <v>0.25900000000000001</v>
      </c>
      <c r="I57" s="16">
        <v>19.100000000000001</v>
      </c>
      <c r="J57" s="16">
        <v>0.51619999999999999</v>
      </c>
      <c r="K57" s="16">
        <v>-4.1320000000000001E-4</v>
      </c>
      <c r="L57" s="16">
        <v>1.4539999999999999E-7</v>
      </c>
    </row>
    <row r="58" spans="2:14" x14ac:dyDescent="0.2">
      <c r="B58">
        <v>1402</v>
      </c>
      <c r="C58" t="s">
        <v>148</v>
      </c>
      <c r="D58">
        <v>466.7</v>
      </c>
      <c r="E58">
        <v>3.59</v>
      </c>
      <c r="F58">
        <v>0.28100000000000003</v>
      </c>
      <c r="G58">
        <v>0.26200000000000001</v>
      </c>
      <c r="H58">
        <v>13.531000000000001</v>
      </c>
      <c r="I58" s="16">
        <v>21.42</v>
      </c>
      <c r="J58" s="16">
        <v>0.33589999999999998</v>
      </c>
      <c r="K58" s="16">
        <v>-1.0349999999999999E-4</v>
      </c>
      <c r="L58" s="16">
        <v>-9.3570000000000007E-9</v>
      </c>
    </row>
    <row r="59" spans="2:14" x14ac:dyDescent="0.2">
      <c r="B59" t="s">
        <v>149</v>
      </c>
      <c r="C59" t="s">
        <v>150</v>
      </c>
      <c r="D59">
        <v>469</v>
      </c>
      <c r="E59">
        <v>7.1</v>
      </c>
      <c r="F59">
        <v>0.2</v>
      </c>
      <c r="G59">
        <v>0.25800000000000001</v>
      </c>
      <c r="I59">
        <v>-7.5190000000000001</v>
      </c>
      <c r="J59" s="16">
        <v>0.22220000000000001</v>
      </c>
      <c r="K59" s="16">
        <v>-1.2559999999999999E-4</v>
      </c>
      <c r="L59" s="16">
        <v>2.592E-8</v>
      </c>
    </row>
    <row r="60" spans="2:14" s="105" customFormat="1" x14ac:dyDescent="0.2">
      <c r="B60" s="105" t="s">
        <v>151</v>
      </c>
      <c r="N60"/>
    </row>
    <row r="61" spans="2:14" x14ac:dyDescent="0.2">
      <c r="B61">
        <v>1501</v>
      </c>
      <c r="C61" t="s">
        <v>157</v>
      </c>
      <c r="D61">
        <v>556.4</v>
      </c>
      <c r="E61">
        <v>4.5</v>
      </c>
      <c r="F61">
        <v>0.19400000000000001</v>
      </c>
      <c r="G61">
        <v>0.27200000000000002</v>
      </c>
      <c r="I61" s="16">
        <v>40.72</v>
      </c>
      <c r="J61" s="16">
        <v>0.2049</v>
      </c>
      <c r="K61" s="16">
        <v>-2.2699999999999999E-4</v>
      </c>
      <c r="L61" s="16">
        <v>8.8430000000000005E-8</v>
      </c>
    </row>
    <row r="62" spans="2:14" x14ac:dyDescent="0.2">
      <c r="B62">
        <v>1502</v>
      </c>
      <c r="C62" t="s">
        <v>156</v>
      </c>
      <c r="D62">
        <v>416.3</v>
      </c>
      <c r="E62">
        <v>6.59</v>
      </c>
      <c r="F62">
        <v>0.156</v>
      </c>
      <c r="G62">
        <v>0.26800000000000002</v>
      </c>
      <c r="I62" s="16">
        <v>13.88</v>
      </c>
      <c r="J62" s="16">
        <v>0.1014</v>
      </c>
      <c r="K62" s="16">
        <v>-3.8890000000000002E-5</v>
      </c>
      <c r="L62" s="16">
        <v>2.5669999999999999E-9</v>
      </c>
    </row>
    <row r="63" spans="2:14" x14ac:dyDescent="0.2">
      <c r="B63">
        <v>1521</v>
      </c>
      <c r="C63" t="s">
        <v>282</v>
      </c>
      <c r="D63">
        <v>536.4</v>
      </c>
      <c r="E63">
        <v>5.4</v>
      </c>
      <c r="F63">
        <v>0.216</v>
      </c>
      <c r="G63">
        <v>0.29299999999999998</v>
      </c>
      <c r="I63" s="16">
        <v>24</v>
      </c>
      <c r="J63" s="16">
        <v>0.1893</v>
      </c>
      <c r="K63" s="16">
        <v>-1.841E-4</v>
      </c>
      <c r="L63" s="16">
        <v>6.6570000000000006E-8</v>
      </c>
    </row>
    <row r="64" spans="2:14" x14ac:dyDescent="0.2">
      <c r="C64" t="s">
        <v>158</v>
      </c>
      <c r="D64">
        <v>632.4</v>
      </c>
      <c r="E64">
        <v>4.46</v>
      </c>
      <c r="F64">
        <v>0.249</v>
      </c>
      <c r="G64">
        <v>0.26500000000000001</v>
      </c>
      <c r="I64" s="16">
        <v>-33.89</v>
      </c>
      <c r="J64" s="16">
        <v>0.56310000000000004</v>
      </c>
      <c r="K64" s="16">
        <v>-4.5219999999999999E-4</v>
      </c>
      <c r="L64" s="16">
        <v>1.4259999999999999E-7</v>
      </c>
    </row>
    <row r="65" spans="2:14" x14ac:dyDescent="0.2">
      <c r="B65">
        <v>1601</v>
      </c>
      <c r="C65" t="s">
        <v>152</v>
      </c>
      <c r="D65">
        <v>385</v>
      </c>
      <c r="E65">
        <v>4.07</v>
      </c>
      <c r="F65">
        <v>0.17599999999999999</v>
      </c>
      <c r="G65">
        <v>0.28000000000000003</v>
      </c>
      <c r="I65" s="16">
        <v>31.6</v>
      </c>
      <c r="J65" s="16">
        <v>0.1782</v>
      </c>
      <c r="K65" s="16">
        <v>-1.5090000000000001E-4</v>
      </c>
      <c r="L65" s="16">
        <v>4.3420000000000001E-8</v>
      </c>
    </row>
    <row r="66" spans="2:14" x14ac:dyDescent="0.2">
      <c r="C66" t="s">
        <v>153</v>
      </c>
      <c r="D66">
        <v>369.8</v>
      </c>
      <c r="E66">
        <v>4.97</v>
      </c>
      <c r="F66">
        <v>0.221</v>
      </c>
      <c r="G66">
        <v>0.26800000000000002</v>
      </c>
      <c r="I66" s="16">
        <v>17.3</v>
      </c>
      <c r="J66" s="16">
        <v>0.1618</v>
      </c>
      <c r="K66" s="16">
        <v>-1.17E-4</v>
      </c>
      <c r="L66" s="16">
        <v>3.058E-8</v>
      </c>
    </row>
    <row r="67" spans="2:14" x14ac:dyDescent="0.2">
      <c r="C67" t="s">
        <v>154</v>
      </c>
      <c r="D67">
        <v>471.2</v>
      </c>
      <c r="E67">
        <v>4.3499999999999996</v>
      </c>
      <c r="F67">
        <v>0.188</v>
      </c>
      <c r="G67">
        <v>0.27900000000000003</v>
      </c>
      <c r="I67" s="16">
        <v>40.98</v>
      </c>
      <c r="J67" s="16">
        <v>0.1668</v>
      </c>
      <c r="K67" s="16">
        <v>-1.416E-4</v>
      </c>
      <c r="L67" s="16">
        <v>4.1460000000000002E-8</v>
      </c>
    </row>
    <row r="68" spans="2:14" x14ac:dyDescent="0.2">
      <c r="C68" t="s">
        <v>155</v>
      </c>
      <c r="D68">
        <v>487.2</v>
      </c>
      <c r="E68">
        <v>3.37</v>
      </c>
      <c r="F68">
        <v>0.252</v>
      </c>
      <c r="G68">
        <v>0.25600000000000001</v>
      </c>
      <c r="I68" s="16">
        <v>61.14</v>
      </c>
      <c r="J68" s="16">
        <v>0.28739999999999999</v>
      </c>
      <c r="K68" s="16">
        <v>-2.42E-4</v>
      </c>
      <c r="L68" s="16">
        <v>6.9040000000000001E-8</v>
      </c>
    </row>
    <row r="69" spans="2:14" s="105" customFormat="1" x14ac:dyDescent="0.2">
      <c r="B69" s="105" t="s">
        <v>159</v>
      </c>
      <c r="N69"/>
    </row>
    <row r="70" spans="2:14" x14ac:dyDescent="0.2">
      <c r="B70">
        <v>899</v>
      </c>
      <c r="C70" t="s">
        <v>168</v>
      </c>
      <c r="D70">
        <v>309.60000000000002</v>
      </c>
      <c r="E70">
        <v>7.2450000000000001</v>
      </c>
      <c r="F70">
        <v>0.14199999999999999</v>
      </c>
      <c r="G70">
        <v>0.27400000000000002</v>
      </c>
      <c r="H70">
        <v>4.633</v>
      </c>
      <c r="I70" s="16">
        <v>21.62</v>
      </c>
      <c r="J70" s="16">
        <v>7.281E-2</v>
      </c>
      <c r="K70" s="16">
        <v>-5.7779999999999999E-5</v>
      </c>
      <c r="L70" s="16">
        <v>1.8299999999999998E-8</v>
      </c>
    </row>
    <row r="71" spans="2:14" x14ac:dyDescent="0.2">
      <c r="B71">
        <v>901</v>
      </c>
      <c r="C71" t="s">
        <v>171</v>
      </c>
      <c r="D71">
        <v>154.6</v>
      </c>
      <c r="E71">
        <v>5.0430000000000001</v>
      </c>
      <c r="F71">
        <v>2.1999999999999999E-2</v>
      </c>
      <c r="G71">
        <v>0.28799999999999998</v>
      </c>
      <c r="H71">
        <v>3.5289999999999999</v>
      </c>
      <c r="I71" s="16">
        <v>28.11</v>
      </c>
      <c r="J71" s="16">
        <v>-3.6799999999999999E-6</v>
      </c>
      <c r="K71" s="16">
        <v>1.7459999999999999E-5</v>
      </c>
      <c r="L71" s="16">
        <v>-1.0649999999999999E-8</v>
      </c>
    </row>
    <row r="72" spans="2:14" x14ac:dyDescent="0.2">
      <c r="B72">
        <v>902</v>
      </c>
      <c r="C72" t="s">
        <v>172</v>
      </c>
      <c r="D72">
        <v>33.299999999999997</v>
      </c>
      <c r="E72">
        <v>1.2969999999999999</v>
      </c>
      <c r="F72">
        <v>-0.215</v>
      </c>
      <c r="G72">
        <v>0.3</v>
      </c>
      <c r="H72">
        <v>3.5070000000000001</v>
      </c>
      <c r="I72" s="16">
        <v>27.14</v>
      </c>
      <c r="J72" s="16">
        <v>9.2739999999999993E-3</v>
      </c>
      <c r="K72" s="16">
        <v>-1.381E-5</v>
      </c>
      <c r="L72" s="16">
        <v>7.645E-9</v>
      </c>
    </row>
    <row r="73" spans="2:14" x14ac:dyDescent="0.2">
      <c r="B73">
        <v>905</v>
      </c>
      <c r="C73" t="s">
        <v>173</v>
      </c>
      <c r="D73">
        <v>126.1</v>
      </c>
      <c r="E73">
        <v>3.3940000000000001</v>
      </c>
      <c r="F73">
        <v>0.04</v>
      </c>
      <c r="G73">
        <v>0.29199999999999998</v>
      </c>
      <c r="H73">
        <v>3.5</v>
      </c>
      <c r="I73" s="16">
        <v>31.15</v>
      </c>
      <c r="J73" s="16">
        <v>-1.357E-2</v>
      </c>
      <c r="K73" s="16">
        <v>2.6800000000000001E-5</v>
      </c>
      <c r="L73" s="16">
        <v>-1.1679999999999999E-8</v>
      </c>
    </row>
    <row r="74" spans="2:14" x14ac:dyDescent="0.2">
      <c r="B74">
        <v>908</v>
      </c>
      <c r="C74" t="s">
        <v>174</v>
      </c>
      <c r="D74">
        <v>132.9</v>
      </c>
      <c r="E74">
        <v>3.4990000000000001</v>
      </c>
      <c r="F74">
        <v>6.6000000000000003E-2</v>
      </c>
      <c r="G74">
        <v>0.29499999999999998</v>
      </c>
      <c r="H74">
        <v>3.5049999999999999</v>
      </c>
      <c r="I74" s="16">
        <v>30.87</v>
      </c>
      <c r="J74" s="16">
        <v>-1.285E-2</v>
      </c>
      <c r="K74" s="16">
        <v>2.7889999999999999E-5</v>
      </c>
      <c r="L74" s="16">
        <v>-1.2720000000000001E-8</v>
      </c>
    </row>
    <row r="75" spans="2:14" x14ac:dyDescent="0.2">
      <c r="B75">
        <v>909</v>
      </c>
      <c r="C75" t="s">
        <v>175</v>
      </c>
      <c r="D75">
        <v>304.2</v>
      </c>
      <c r="E75">
        <v>7.3819999999999997</v>
      </c>
      <c r="F75">
        <v>0.22800000000000001</v>
      </c>
      <c r="G75">
        <v>0.27400000000000002</v>
      </c>
      <c r="H75">
        <v>4.4560000000000004</v>
      </c>
      <c r="I75" s="16">
        <v>19.8</v>
      </c>
      <c r="J75" s="16">
        <v>7.3440000000000005E-2</v>
      </c>
      <c r="K75" s="16">
        <v>-5.6020000000000002E-5</v>
      </c>
      <c r="L75" s="16">
        <v>1.7150000000000001E-8</v>
      </c>
    </row>
    <row r="76" spans="2:14" x14ac:dyDescent="0.2">
      <c r="B76">
        <v>910</v>
      </c>
      <c r="C76" t="s">
        <v>169</v>
      </c>
      <c r="D76">
        <v>430.8</v>
      </c>
      <c r="E76">
        <v>7.8840000000000003</v>
      </c>
      <c r="F76">
        <v>0.245</v>
      </c>
      <c r="G76">
        <v>0.26900000000000002</v>
      </c>
      <c r="H76">
        <v>4.7960000000000003</v>
      </c>
      <c r="I76" s="16">
        <v>23.85</v>
      </c>
      <c r="J76" s="16">
        <v>6.6989999999999994E-2</v>
      </c>
      <c r="K76" s="16">
        <v>-4.9610000000000001E-5</v>
      </c>
      <c r="L76" s="16">
        <v>1.328E-8</v>
      </c>
    </row>
    <row r="77" spans="2:14" x14ac:dyDescent="0.2">
      <c r="B77">
        <v>911</v>
      </c>
      <c r="C77" t="s">
        <v>170</v>
      </c>
      <c r="D77">
        <v>490.9</v>
      </c>
      <c r="E77">
        <v>8.2070000000000007</v>
      </c>
      <c r="F77">
        <v>0.42199999999999999</v>
      </c>
      <c r="G77">
        <v>0.25600000000000001</v>
      </c>
      <c r="H77">
        <v>6.1109999999999998</v>
      </c>
      <c r="I77" s="16">
        <v>19.21</v>
      </c>
      <c r="J77" s="16">
        <v>0.13739999999999999</v>
      </c>
      <c r="K77" s="16">
        <v>-1.176E-4</v>
      </c>
      <c r="L77" s="16">
        <v>3.7E-8</v>
      </c>
    </row>
    <row r="78" spans="2:14" x14ac:dyDescent="0.2">
      <c r="B78">
        <v>912</v>
      </c>
      <c r="C78" t="s">
        <v>167</v>
      </c>
      <c r="D78">
        <v>180.2</v>
      </c>
      <c r="E78">
        <v>6.4850000000000003</v>
      </c>
      <c r="F78">
        <v>0.58499999999999996</v>
      </c>
      <c r="G78">
        <v>0.25</v>
      </c>
      <c r="H78">
        <v>3.5880000000000001</v>
      </c>
      <c r="I78" s="16">
        <v>29.35</v>
      </c>
      <c r="J78" s="16">
        <v>-9.3780000000000003E-4</v>
      </c>
      <c r="K78" s="16">
        <v>9.747E-6</v>
      </c>
      <c r="L78" s="16">
        <v>-4.1869999999999997E-9</v>
      </c>
    </row>
    <row r="79" spans="2:14" x14ac:dyDescent="0.2">
      <c r="B79">
        <v>913</v>
      </c>
      <c r="C79" t="s">
        <v>163</v>
      </c>
      <c r="D79">
        <v>5.2</v>
      </c>
      <c r="E79">
        <v>0.22800000000000001</v>
      </c>
      <c r="F79">
        <v>0</v>
      </c>
      <c r="G79">
        <v>0.30199999999999999</v>
      </c>
      <c r="H79">
        <v>2.5009999999999999</v>
      </c>
      <c r="I79" s="16">
        <v>20.8</v>
      </c>
    </row>
    <row r="80" spans="2:14" x14ac:dyDescent="0.2">
      <c r="B80">
        <v>914</v>
      </c>
      <c r="C80" t="s">
        <v>160</v>
      </c>
      <c r="D80">
        <v>150.9</v>
      </c>
      <c r="E80">
        <v>4.8979999999999997</v>
      </c>
      <c r="F80">
        <v>-4.0000000000000001E-3</v>
      </c>
      <c r="G80">
        <v>0.29099999999999998</v>
      </c>
      <c r="H80">
        <v>2.4990000000000001</v>
      </c>
      <c r="I80" s="16">
        <v>20.8</v>
      </c>
    </row>
    <row r="81" spans="2:14" x14ac:dyDescent="0.2">
      <c r="B81">
        <v>918</v>
      </c>
      <c r="C81" t="s">
        <v>162</v>
      </c>
      <c r="D81">
        <v>417.2</v>
      </c>
      <c r="E81">
        <v>7.7110000000000003</v>
      </c>
      <c r="F81">
        <v>6.9000000000000006E-2</v>
      </c>
      <c r="G81">
        <v>0.27500000000000002</v>
      </c>
      <c r="I81" s="16">
        <v>26.93</v>
      </c>
      <c r="J81" s="16">
        <v>3.3840000000000002E-2</v>
      </c>
      <c r="K81" s="16">
        <v>-3.8689999999999997E-5</v>
      </c>
      <c r="L81" s="16">
        <v>1.5469999999999999E-8</v>
      </c>
    </row>
    <row r="82" spans="2:14" x14ac:dyDescent="0.2">
      <c r="B82">
        <v>919</v>
      </c>
      <c r="C82" t="s">
        <v>165</v>
      </c>
      <c r="D82">
        <v>44.4</v>
      </c>
      <c r="E82">
        <v>2.653</v>
      </c>
      <c r="F82">
        <v>-4.1000000000000002E-2</v>
      </c>
      <c r="G82">
        <v>0.3</v>
      </c>
      <c r="I82" s="16">
        <v>20.8</v>
      </c>
    </row>
    <row r="83" spans="2:14" x14ac:dyDescent="0.2">
      <c r="B83">
        <v>920</v>
      </c>
      <c r="C83" t="s">
        <v>164</v>
      </c>
      <c r="D83">
        <v>209.4</v>
      </c>
      <c r="E83">
        <v>5.5019999999999998</v>
      </c>
      <c r="F83">
        <v>1E-3</v>
      </c>
      <c r="G83">
        <v>0.28799999999999998</v>
      </c>
      <c r="I83" s="16">
        <v>20.8</v>
      </c>
    </row>
    <row r="84" spans="2:14" x14ac:dyDescent="0.2">
      <c r="B84">
        <v>922</v>
      </c>
      <c r="C84" t="s">
        <v>161</v>
      </c>
      <c r="D84">
        <v>584.20000000000005</v>
      </c>
      <c r="E84">
        <v>10.335000000000001</v>
      </c>
      <c r="F84">
        <v>0.11899999999999999</v>
      </c>
      <c r="G84">
        <v>0.28699999999999998</v>
      </c>
      <c r="I84" s="16">
        <v>33.86</v>
      </c>
      <c r="J84" s="16">
        <v>1.125E-2</v>
      </c>
      <c r="K84" s="16">
        <v>-1.1919999999999999E-5</v>
      </c>
      <c r="L84" s="16">
        <v>4.5340000000000003E-9</v>
      </c>
    </row>
    <row r="85" spans="2:14" x14ac:dyDescent="0.2">
      <c r="B85">
        <v>959</v>
      </c>
      <c r="C85" t="s">
        <v>166</v>
      </c>
      <c r="D85">
        <v>289.7</v>
      </c>
      <c r="E85">
        <v>5.84</v>
      </c>
      <c r="F85">
        <v>1.2E-2</v>
      </c>
      <c r="G85">
        <v>0.28599999999999998</v>
      </c>
      <c r="I85" s="16">
        <v>20.8</v>
      </c>
    </row>
    <row r="86" spans="2:14" s="105" customFormat="1" x14ac:dyDescent="0.2">
      <c r="B86" s="105" t="s">
        <v>176</v>
      </c>
      <c r="N86"/>
    </row>
    <row r="87" spans="2:14" x14ac:dyDescent="0.2">
      <c r="B87">
        <v>1904</v>
      </c>
      <c r="C87" t="s">
        <v>179</v>
      </c>
      <c r="D87">
        <v>324.60000000000002</v>
      </c>
      <c r="E87">
        <v>8.1999999999999993</v>
      </c>
      <c r="F87">
        <v>0.12</v>
      </c>
      <c r="G87">
        <v>0.249</v>
      </c>
      <c r="I87" s="16">
        <v>30.67</v>
      </c>
      <c r="J87" s="16">
        <v>-7.2009999999999999E-3</v>
      </c>
      <c r="K87" s="16">
        <v>1.2459999999999999E-5</v>
      </c>
      <c r="L87" s="16">
        <v>-3.8980000000000004E-9</v>
      </c>
    </row>
    <row r="88" spans="2:14" x14ac:dyDescent="0.2">
      <c r="B88">
        <v>1922</v>
      </c>
      <c r="C88" t="s">
        <v>177</v>
      </c>
      <c r="D88">
        <v>373.5</v>
      </c>
      <c r="E88">
        <v>8.9369999999999994</v>
      </c>
      <c r="F88">
        <v>8.1000000000000003E-2</v>
      </c>
      <c r="G88">
        <v>0.28299999999999997</v>
      </c>
      <c r="I88" s="16">
        <v>31.94</v>
      </c>
      <c r="J88" s="16">
        <v>1.436E-3</v>
      </c>
      <c r="K88" s="16">
        <v>2.4320000000000001E-5</v>
      </c>
      <c r="L88" s="16">
        <v>-1.1760000000000001E-8</v>
      </c>
    </row>
    <row r="89" spans="2:14" x14ac:dyDescent="0.2">
      <c r="B89">
        <v>1938</v>
      </c>
      <c r="C89" t="s">
        <v>178</v>
      </c>
      <c r="D89">
        <v>552</v>
      </c>
      <c r="E89">
        <v>7.8</v>
      </c>
      <c r="F89">
        <v>0.115</v>
      </c>
      <c r="G89">
        <v>0.29299999999999998</v>
      </c>
      <c r="H89">
        <v>4.109</v>
      </c>
      <c r="I89" s="16">
        <v>27.44</v>
      </c>
      <c r="J89" s="16">
        <v>8.1269999999999995E-2</v>
      </c>
      <c r="K89" s="16">
        <v>-7.6660000000000001E-5</v>
      </c>
      <c r="L89" s="16">
        <v>2.6729999999999998E-8</v>
      </c>
    </row>
    <row r="90" spans="2:14" x14ac:dyDescent="0.2">
      <c r="B90" t="s">
        <v>147</v>
      </c>
      <c r="C90" t="s">
        <v>281</v>
      </c>
      <c r="D90">
        <v>653</v>
      </c>
      <c r="E90">
        <v>14.5</v>
      </c>
      <c r="F90">
        <v>0.32800000000000001</v>
      </c>
      <c r="G90">
        <v>0.26</v>
      </c>
      <c r="H90">
        <v>5.47</v>
      </c>
      <c r="I90">
        <v>9.7680000000000007</v>
      </c>
      <c r="J90" s="16">
        <v>0.1895</v>
      </c>
      <c r="K90" s="16">
        <v>-1.6569999999999999E-4</v>
      </c>
      <c r="L90" s="16">
        <v>6.025E-8</v>
      </c>
    </row>
    <row r="91" spans="2:14" x14ac:dyDescent="0.2">
      <c r="B91" t="s">
        <v>147</v>
      </c>
      <c r="C91" t="s">
        <v>180</v>
      </c>
      <c r="D91">
        <v>456.8</v>
      </c>
      <c r="E91">
        <v>5.32</v>
      </c>
      <c r="F91">
        <v>0.40699999999999997</v>
      </c>
      <c r="G91">
        <v>0.19700000000000001</v>
      </c>
      <c r="I91" s="16">
        <v>21.86</v>
      </c>
      <c r="J91" s="16">
        <v>6.062E-2</v>
      </c>
      <c r="K91" s="16">
        <v>-4.9610000000000001E-5</v>
      </c>
      <c r="L91" s="16">
        <v>1.815E-8</v>
      </c>
    </row>
    <row r="92" spans="2:14" s="105" customFormat="1" x14ac:dyDescent="0.2">
      <c r="B92" s="105" t="s">
        <v>181</v>
      </c>
      <c r="N92"/>
    </row>
    <row r="93" spans="2:14" x14ac:dyDescent="0.2">
      <c r="B93">
        <v>1772</v>
      </c>
      <c r="C93" t="s">
        <v>182</v>
      </c>
      <c r="D93">
        <v>545.5</v>
      </c>
      <c r="E93">
        <v>4.8330000000000002</v>
      </c>
      <c r="F93">
        <v>0.35299999999999998</v>
      </c>
      <c r="G93">
        <v>0.184</v>
      </c>
      <c r="I93" s="16">
        <v>20.48</v>
      </c>
      <c r="J93" s="16">
        <v>0.1196</v>
      </c>
      <c r="K93" s="16">
        <v>-4.4919999999999997E-5</v>
      </c>
      <c r="L93" s="16">
        <v>3.2029999999999998E-9</v>
      </c>
    </row>
    <row r="94" spans="2:14" x14ac:dyDescent="0.2">
      <c r="B94">
        <v>1911</v>
      </c>
      <c r="C94" t="s">
        <v>183</v>
      </c>
      <c r="D94">
        <v>406.6</v>
      </c>
      <c r="E94">
        <v>11.27</v>
      </c>
      <c r="F94">
        <v>0.252</v>
      </c>
      <c r="G94">
        <v>0.24199999999999999</v>
      </c>
      <c r="H94">
        <v>4.2889999999999997</v>
      </c>
      <c r="I94" s="16">
        <v>27.31</v>
      </c>
      <c r="J94" s="16">
        <v>2.383E-2</v>
      </c>
      <c r="K94" s="16">
        <v>1.7070000000000001E-5</v>
      </c>
      <c r="L94" s="16">
        <v>-1.185E-8</v>
      </c>
    </row>
    <row r="95" spans="2:14" x14ac:dyDescent="0.2">
      <c r="B95">
        <v>1921</v>
      </c>
      <c r="C95" t="s">
        <v>184</v>
      </c>
      <c r="D95">
        <v>647.29999999999995</v>
      </c>
      <c r="E95">
        <v>22.12</v>
      </c>
      <c r="F95">
        <v>0.34399999999999997</v>
      </c>
      <c r="G95">
        <v>0.23300000000000001</v>
      </c>
      <c r="H95">
        <v>4.0410000000000004</v>
      </c>
      <c r="I95">
        <v>32.24</v>
      </c>
      <c r="J95" s="16">
        <v>1.9239999999999999E-3</v>
      </c>
      <c r="K95" s="16">
        <v>1.0550000000000001E-5</v>
      </c>
      <c r="L95" s="16">
        <v>-3.596E-9</v>
      </c>
    </row>
    <row r="98" spans="2:3" x14ac:dyDescent="0.2">
      <c r="B98" t="s">
        <v>185</v>
      </c>
    </row>
    <row r="101" spans="2:3" x14ac:dyDescent="0.2">
      <c r="C101" t="s">
        <v>202</v>
      </c>
    </row>
    <row r="102" spans="2:3" x14ac:dyDescent="0.2">
      <c r="C102" t="s">
        <v>203</v>
      </c>
    </row>
    <row r="103" spans="2:3" x14ac:dyDescent="0.2">
      <c r="C103" t="s">
        <v>204</v>
      </c>
    </row>
    <row r="104" spans="2:3" x14ac:dyDescent="0.2">
      <c r="C104" t="s">
        <v>205</v>
      </c>
    </row>
    <row r="105" spans="2:3" x14ac:dyDescent="0.2">
      <c r="C105" t="s">
        <v>206</v>
      </c>
    </row>
    <row r="106" spans="2:3" x14ac:dyDescent="0.2">
      <c r="C106" t="s">
        <v>207</v>
      </c>
    </row>
    <row r="107" spans="2:3" x14ac:dyDescent="0.2">
      <c r="C107" t="s">
        <v>208</v>
      </c>
    </row>
    <row r="108" spans="2:3" x14ac:dyDescent="0.2">
      <c r="C108" t="s">
        <v>209</v>
      </c>
    </row>
    <row r="109" spans="2:3" x14ac:dyDescent="0.2">
      <c r="C109" t="s">
        <v>210</v>
      </c>
    </row>
    <row r="110" spans="2:3" x14ac:dyDescent="0.2">
      <c r="C110" t="s">
        <v>211</v>
      </c>
    </row>
    <row r="111" spans="2:3" x14ac:dyDescent="0.2">
      <c r="C111" t="s">
        <v>212</v>
      </c>
    </row>
    <row r="112" spans="2:3" x14ac:dyDescent="0.2">
      <c r="C112" t="s">
        <v>213</v>
      </c>
    </row>
    <row r="113" spans="3:3" x14ac:dyDescent="0.2">
      <c r="C113" t="s">
        <v>214</v>
      </c>
    </row>
    <row r="114" spans="3:3" x14ac:dyDescent="0.2">
      <c r="C114" t="s">
        <v>215</v>
      </c>
    </row>
    <row r="115" spans="3:3" x14ac:dyDescent="0.2">
      <c r="C115" t="s">
        <v>216</v>
      </c>
    </row>
    <row r="116" spans="3:3" x14ac:dyDescent="0.2">
      <c r="C116" t="s">
        <v>217</v>
      </c>
    </row>
    <row r="117" spans="3:3" x14ac:dyDescent="0.2">
      <c r="C117" t="s">
        <v>218</v>
      </c>
    </row>
    <row r="118" spans="3:3" x14ac:dyDescent="0.2">
      <c r="C118" t="s">
        <v>219</v>
      </c>
    </row>
    <row r="119" spans="3:3" x14ac:dyDescent="0.2">
      <c r="C119" t="s">
        <v>220</v>
      </c>
    </row>
    <row r="120" spans="3:3" x14ac:dyDescent="0.2">
      <c r="C120" t="s">
        <v>221</v>
      </c>
    </row>
    <row r="121" spans="3:3" x14ac:dyDescent="0.2">
      <c r="C121" t="s">
        <v>222</v>
      </c>
    </row>
    <row r="122" spans="3:3" x14ac:dyDescent="0.2">
      <c r="C122" t="s">
        <v>223</v>
      </c>
    </row>
    <row r="123" spans="3:3" x14ac:dyDescent="0.2">
      <c r="C123" t="s">
        <v>224</v>
      </c>
    </row>
    <row r="124" spans="3:3" x14ac:dyDescent="0.2">
      <c r="C124" t="s">
        <v>225</v>
      </c>
    </row>
    <row r="125" spans="3:3" x14ac:dyDescent="0.2">
      <c r="C125" t="s">
        <v>226</v>
      </c>
    </row>
    <row r="126" spans="3:3" x14ac:dyDescent="0.2">
      <c r="C126" s="17" t="s">
        <v>227</v>
      </c>
    </row>
    <row r="127" spans="3:3" x14ac:dyDescent="0.2">
      <c r="C127" t="s">
        <v>228</v>
      </c>
    </row>
    <row r="128" spans="3:3" x14ac:dyDescent="0.2">
      <c r="C128" t="s">
        <v>229</v>
      </c>
    </row>
    <row r="129" spans="3:3" x14ac:dyDescent="0.2">
      <c r="C129" t="s">
        <v>230</v>
      </c>
    </row>
    <row r="130" spans="3:3" x14ac:dyDescent="0.2">
      <c r="C130" t="s">
        <v>231</v>
      </c>
    </row>
    <row r="131" spans="3:3" x14ac:dyDescent="0.2">
      <c r="C131" t="s">
        <v>232</v>
      </c>
    </row>
    <row r="132" spans="3:3" x14ac:dyDescent="0.2">
      <c r="C132" t="s">
        <v>233</v>
      </c>
    </row>
    <row r="133" spans="3:3" x14ac:dyDescent="0.2">
      <c r="C133" t="s">
        <v>234</v>
      </c>
    </row>
    <row r="134" spans="3:3" x14ac:dyDescent="0.2">
      <c r="C134" t="s">
        <v>235</v>
      </c>
    </row>
    <row r="135" spans="3:3" x14ac:dyDescent="0.2">
      <c r="C135" t="s">
        <v>236</v>
      </c>
    </row>
    <row r="136" spans="3:3" x14ac:dyDescent="0.2">
      <c r="C136" t="s">
        <v>237</v>
      </c>
    </row>
    <row r="137" spans="3:3" x14ac:dyDescent="0.2">
      <c r="C137" t="s">
        <v>238</v>
      </c>
    </row>
    <row r="138" spans="3:3" x14ac:dyDescent="0.2">
      <c r="C138" t="s">
        <v>239</v>
      </c>
    </row>
    <row r="139" spans="3:3" x14ac:dyDescent="0.2">
      <c r="C139" t="s">
        <v>240</v>
      </c>
    </row>
    <row r="140" spans="3:3" x14ac:dyDescent="0.2">
      <c r="C140" t="s">
        <v>241</v>
      </c>
    </row>
    <row r="141" spans="3:3" x14ac:dyDescent="0.2">
      <c r="C141" t="s">
        <v>242</v>
      </c>
    </row>
    <row r="142" spans="3:3" x14ac:dyDescent="0.2">
      <c r="C142" t="s">
        <v>243</v>
      </c>
    </row>
    <row r="143" spans="3:3" x14ac:dyDescent="0.2">
      <c r="C143" t="s">
        <v>244</v>
      </c>
    </row>
    <row r="144" spans="3:3" x14ac:dyDescent="0.2">
      <c r="C144" t="s">
        <v>245</v>
      </c>
    </row>
    <row r="145" spans="3:3" x14ac:dyDescent="0.2">
      <c r="C145" t="s">
        <v>246</v>
      </c>
    </row>
    <row r="146" spans="3:3" x14ac:dyDescent="0.2">
      <c r="C146" t="s">
        <v>247</v>
      </c>
    </row>
    <row r="147" spans="3:3" x14ac:dyDescent="0.2">
      <c r="C147" t="s">
        <v>248</v>
      </c>
    </row>
    <row r="148" spans="3:3" x14ac:dyDescent="0.2">
      <c r="C148" t="s">
        <v>249</v>
      </c>
    </row>
    <row r="149" spans="3:3" x14ac:dyDescent="0.2">
      <c r="C149" t="s">
        <v>250</v>
      </c>
    </row>
    <row r="150" spans="3:3" x14ac:dyDescent="0.2">
      <c r="C150" t="s">
        <v>280</v>
      </c>
    </row>
    <row r="151" spans="3:3" x14ac:dyDescent="0.2">
      <c r="C151" t="s">
        <v>251</v>
      </c>
    </row>
    <row r="152" spans="3:3" x14ac:dyDescent="0.2">
      <c r="C152" t="s">
        <v>275</v>
      </c>
    </row>
    <row r="153" spans="3:3" x14ac:dyDescent="0.2">
      <c r="C153" t="s">
        <v>276</v>
      </c>
    </row>
    <row r="154" spans="3:3" x14ac:dyDescent="0.2">
      <c r="C154" t="s">
        <v>277</v>
      </c>
    </row>
    <row r="155" spans="3:3" x14ac:dyDescent="0.2">
      <c r="C155" t="s">
        <v>278</v>
      </c>
    </row>
    <row r="156" spans="3:3" x14ac:dyDescent="0.2">
      <c r="C156" t="s">
        <v>252</v>
      </c>
    </row>
    <row r="157" spans="3:3" x14ac:dyDescent="0.2">
      <c r="C157" t="s">
        <v>253</v>
      </c>
    </row>
    <row r="158" spans="3:3" x14ac:dyDescent="0.2">
      <c r="C158" t="s">
        <v>254</v>
      </c>
    </row>
    <row r="159" spans="3:3" x14ac:dyDescent="0.2">
      <c r="C159" t="s">
        <v>255</v>
      </c>
    </row>
    <row r="160" spans="3:3" x14ac:dyDescent="0.2">
      <c r="C160" t="s">
        <v>256</v>
      </c>
    </row>
    <row r="161" spans="3:3" x14ac:dyDescent="0.2">
      <c r="C161" t="s">
        <v>257</v>
      </c>
    </row>
    <row r="162" spans="3:3" x14ac:dyDescent="0.2">
      <c r="C162" t="s">
        <v>258</v>
      </c>
    </row>
    <row r="163" spans="3:3" x14ac:dyDescent="0.2">
      <c r="C163" t="s">
        <v>259</v>
      </c>
    </row>
    <row r="164" spans="3:3" x14ac:dyDescent="0.2">
      <c r="C164" t="s">
        <v>260</v>
      </c>
    </row>
    <row r="165" spans="3:3" x14ac:dyDescent="0.2">
      <c r="C165" t="s">
        <v>261</v>
      </c>
    </row>
    <row r="166" spans="3:3" x14ac:dyDescent="0.2">
      <c r="C166" t="s">
        <v>262</v>
      </c>
    </row>
    <row r="167" spans="3:3" x14ac:dyDescent="0.2">
      <c r="C167" t="s">
        <v>263</v>
      </c>
    </row>
    <row r="168" spans="3:3" x14ac:dyDescent="0.2">
      <c r="C168" t="s">
        <v>264</v>
      </c>
    </row>
    <row r="169" spans="3:3" x14ac:dyDescent="0.2">
      <c r="C169" t="s">
        <v>265</v>
      </c>
    </row>
    <row r="170" spans="3:3" x14ac:dyDescent="0.2">
      <c r="C170" t="s">
        <v>266</v>
      </c>
    </row>
    <row r="171" spans="3:3" x14ac:dyDescent="0.2">
      <c r="C171" t="s">
        <v>267</v>
      </c>
    </row>
    <row r="172" spans="3:3" x14ac:dyDescent="0.2">
      <c r="C172" t="s">
        <v>268</v>
      </c>
    </row>
    <row r="173" spans="3:3" x14ac:dyDescent="0.2">
      <c r="C173" t="s">
        <v>269</v>
      </c>
    </row>
    <row r="174" spans="3:3" x14ac:dyDescent="0.2">
      <c r="C174" t="s">
        <v>270</v>
      </c>
    </row>
    <row r="175" spans="3:3" x14ac:dyDescent="0.2">
      <c r="C175" t="s">
        <v>279</v>
      </c>
    </row>
    <row r="176" spans="3:3" x14ac:dyDescent="0.2">
      <c r="C176" t="s">
        <v>271</v>
      </c>
    </row>
    <row r="177" spans="3:3" x14ac:dyDescent="0.2">
      <c r="C177" t="s">
        <v>272</v>
      </c>
    </row>
    <row r="178" spans="3:3" x14ac:dyDescent="0.2">
      <c r="C178" t="s">
        <v>273</v>
      </c>
    </row>
    <row r="179" spans="3:3" x14ac:dyDescent="0.2">
      <c r="C179" t="s">
        <v>274</v>
      </c>
    </row>
  </sheetData>
  <sortState ref="B70:H84">
    <sortCondition ref="B70:B84"/>
  </sortState>
  <mergeCells count="1">
    <mergeCell ref="I6:L6"/>
  </mergeCells>
  <phoneticPr fontId="8" type="noConversion"/>
  <printOptions gridLines="1" gridLinesSet="0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size="38" baseType="lpstr">
      <vt:lpstr>EOS Lookup</vt:lpstr>
      <vt:lpstr>Reference State</vt:lpstr>
      <vt:lpstr>Critical Properties</vt:lpstr>
      <vt:lpstr>'EOS Lookup'!_a</vt:lpstr>
      <vt:lpstr>_a</vt:lpstr>
      <vt:lpstr>'EOS Lookup'!_b</vt:lpstr>
      <vt:lpstr>_b</vt:lpstr>
      <vt:lpstr>_R</vt:lpstr>
      <vt:lpstr>'EOS Lookup'!A</vt:lpstr>
      <vt:lpstr>A</vt:lpstr>
      <vt:lpstr>'EOS Lookup'!alpha</vt:lpstr>
      <vt:lpstr>alpha</vt:lpstr>
      <vt:lpstr>'EOS Lookup'!B</vt:lpstr>
      <vt:lpstr>B</vt:lpstr>
      <vt:lpstr>CPA</vt:lpstr>
      <vt:lpstr>CPB</vt:lpstr>
      <vt:lpstr>CPC</vt:lpstr>
      <vt:lpstr>CPD</vt:lpstr>
      <vt:lpstr>igrflag</vt:lpstr>
      <vt:lpstr>index</vt:lpstr>
      <vt:lpstr>'EOS Lookup'!kappa</vt:lpstr>
      <vt:lpstr>kappa</vt:lpstr>
      <vt:lpstr>'EOS Lookup'!P</vt:lpstr>
      <vt:lpstr>P</vt:lpstr>
      <vt:lpstr>'EOS Lookup'!Pr</vt:lpstr>
      <vt:lpstr>Pr</vt:lpstr>
      <vt:lpstr>PREF</vt:lpstr>
      <vt:lpstr>'EOS Lookup'!q</vt:lpstr>
      <vt:lpstr>q</vt:lpstr>
      <vt:lpstr>Tc</vt:lpstr>
      <vt:lpstr>'EOS Lookup'!TK</vt:lpstr>
      <vt:lpstr>TK</vt:lpstr>
      <vt:lpstr>'EOS Lookup'!Tr</vt:lpstr>
      <vt:lpstr>Tr</vt:lpstr>
      <vt:lpstr>TREF</vt:lpstr>
      <vt:lpstr>uhflag</vt:lpstr>
      <vt:lpstr>'EOS Lookup'!Z</vt:lpstr>
      <vt:lpstr>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Lira</dc:creator>
  <cp:lastModifiedBy>Paul Chrastina</cp:lastModifiedBy>
  <dcterms:created xsi:type="dcterms:W3CDTF">2011-01-25T03:35:55Z</dcterms:created>
  <dcterms:modified xsi:type="dcterms:W3CDTF">2018-02-22T22:14:56Z</dcterms:modified>
</cp:coreProperties>
</file>