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Ars Magica\Tabelas\Gerenciador de cidades\"/>
    </mc:Choice>
  </mc:AlternateContent>
  <xr:revisionPtr revIDLastSave="0" documentId="13_ncr:1_{9A9CCDEF-CF20-40B7-AE4E-E6A4BF48209D}" xr6:coauthVersionLast="47" xr6:coauthVersionMax="47" xr10:uidLastSave="{00000000-0000-0000-0000-000000000000}"/>
  <bookViews>
    <workbookView xWindow="-120" yWindow="-120" windowWidth="38640" windowHeight="15840" xr2:uid="{C0C5EF54-8AA0-4232-953C-F35C6DEF3FC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1" l="1"/>
  <c r="C78" i="1"/>
  <c r="C77" i="1"/>
  <c r="E75" i="1"/>
  <c r="E74" i="1"/>
  <c r="E73" i="1"/>
  <c r="E72" i="1"/>
  <c r="E71" i="1"/>
  <c r="E70" i="1"/>
  <c r="E69" i="1"/>
  <c r="E68" i="1"/>
  <c r="E67" i="1"/>
  <c r="E66" i="1"/>
  <c r="E65" i="1"/>
  <c r="E64" i="1"/>
  <c r="AH44" i="1"/>
  <c r="AH63" i="1"/>
  <c r="AH62" i="1"/>
  <c r="AH59" i="1"/>
  <c r="AH58" i="1"/>
  <c r="AH57" i="1"/>
  <c r="AH54" i="1"/>
  <c r="AH51" i="1"/>
  <c r="AH52" i="1"/>
  <c r="AF69" i="1"/>
  <c r="AH61" i="1"/>
  <c r="AH60" i="1"/>
  <c r="AH56" i="1"/>
  <c r="AH55" i="1"/>
  <c r="AH50" i="1"/>
  <c r="AH49" i="1"/>
  <c r="AH48" i="1"/>
  <c r="AH47" i="1"/>
  <c r="AH46" i="1"/>
  <c r="AH45" i="1"/>
  <c r="K3" i="1"/>
  <c r="L103" i="1"/>
  <c r="L102" i="1"/>
  <c r="K103" i="1" s="1"/>
  <c r="L101" i="1"/>
  <c r="K102" i="1" s="1"/>
  <c r="L100" i="1"/>
  <c r="K101" i="1" s="1"/>
  <c r="L97" i="1"/>
  <c r="L96" i="1"/>
  <c r="K97" i="1" s="1"/>
  <c r="L95" i="1"/>
  <c r="K96" i="1" s="1"/>
  <c r="L94" i="1"/>
  <c r="K95" i="1" s="1"/>
  <c r="L91" i="1"/>
  <c r="L89" i="1"/>
  <c r="K90" i="1" s="1"/>
  <c r="L90" i="1"/>
  <c r="K91" i="1" s="1"/>
  <c r="L88" i="1"/>
  <c r="K89" i="1" s="1"/>
  <c r="L85" i="1"/>
  <c r="L84" i="1"/>
  <c r="K85" i="1" s="1"/>
  <c r="L83" i="1"/>
  <c r="K84" i="1" s="1"/>
  <c r="L82" i="1"/>
  <c r="K83" i="1" s="1"/>
  <c r="L81" i="1"/>
  <c r="K82" i="1" s="1"/>
  <c r="L80" i="1"/>
  <c r="K81" i="1" s="1"/>
  <c r="L79" i="1"/>
  <c r="K80" i="1" s="1"/>
  <c r="L78" i="1"/>
  <c r="K79" i="1" s="1"/>
  <c r="M12" i="1"/>
  <c r="P11" i="1" s="1"/>
  <c r="H12" i="1"/>
  <c r="K11" i="1" s="1"/>
  <c r="C12" i="1"/>
  <c r="F11" i="1" s="1"/>
  <c r="M10" i="1"/>
  <c r="P9" i="1" s="1"/>
  <c r="H10" i="1"/>
  <c r="K9" i="1" s="1"/>
  <c r="C10" i="1"/>
  <c r="F9" i="1" s="1"/>
  <c r="M8" i="1"/>
  <c r="P7" i="1" s="1"/>
  <c r="H8" i="1"/>
  <c r="K7" i="1" s="1"/>
  <c r="C8" i="1"/>
  <c r="F7" i="1" s="1"/>
  <c r="M6" i="1"/>
  <c r="P5" i="1" s="1"/>
  <c r="H6" i="1"/>
  <c r="K5" i="1" s="1"/>
  <c r="C6" i="1"/>
  <c r="F5" i="1" s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46" i="1"/>
  <c r="F22" i="1" l="1"/>
  <c r="E33" i="1"/>
  <c r="E20" i="1"/>
  <c r="Z104" i="1" s="1"/>
  <c r="F18" i="1"/>
  <c r="F20" i="1"/>
  <c r="E18" i="1"/>
  <c r="Z98" i="1" s="1"/>
  <c r="E16" i="1"/>
  <c r="Z92" i="1" s="1"/>
  <c r="F16" i="1"/>
  <c r="E14" i="1"/>
  <c r="Z86" i="1" s="1"/>
  <c r="F14" i="1"/>
  <c r="D3" i="1"/>
  <c r="G3" i="1" s="1"/>
  <c r="J3" i="1"/>
  <c r="E35" i="1" l="1"/>
  <c r="I35" i="1" s="1"/>
  <c r="E32" i="1"/>
  <c r="E31" i="1"/>
  <c r="E34" i="1"/>
  <c r="I34" i="1" s="1"/>
  <c r="E36" i="1"/>
  <c r="E39" i="1"/>
  <c r="AK42" i="1"/>
  <c r="S4" i="1" s="1"/>
  <c r="U4" i="1" s="1"/>
  <c r="I36" i="1"/>
  <c r="E28" i="1"/>
  <c r="E27" i="1"/>
  <c r="E26" i="1"/>
  <c r="E25" i="1"/>
  <c r="E24" i="1"/>
  <c r="O3" i="1"/>
  <c r="N29" i="1" l="1"/>
  <c r="I31" i="1"/>
  <c r="L36" i="1"/>
  <c r="K36" i="1"/>
  <c r="K34" i="1"/>
  <c r="L34" i="1"/>
  <c r="L35" i="1"/>
  <c r="K35" i="1"/>
  <c r="I32" i="1" l="1"/>
  <c r="I33" i="1"/>
  <c r="K31" i="1"/>
  <c r="G42" i="1"/>
  <c r="L31" i="1"/>
  <c r="H39" i="1" l="1"/>
  <c r="K39" i="1" s="1"/>
  <c r="K33" i="1"/>
  <c r="L33" i="1"/>
  <c r="K32" i="1"/>
  <c r="L32" i="1"/>
</calcChain>
</file>

<file path=xl/sharedStrings.xml><?xml version="1.0" encoding="utf-8"?>
<sst xmlns="http://schemas.openxmlformats.org/spreadsheetml/2006/main" count="297" uniqueCount="183">
  <si>
    <t>Custo de terra</t>
  </si>
  <si>
    <t>Custo</t>
  </si>
  <si>
    <t>População</t>
  </si>
  <si>
    <t>Tipo</t>
  </si>
  <si>
    <t>Latifúndio</t>
  </si>
  <si>
    <t>Vilarejo</t>
  </si>
  <si>
    <t>Baronato Médio</t>
  </si>
  <si>
    <t>Pequeno Condado</t>
  </si>
  <si>
    <t>País Grande</t>
  </si>
  <si>
    <t>País Médio</t>
  </si>
  <si>
    <t>País Pequeno</t>
  </si>
  <si>
    <t>Ducado</t>
  </si>
  <si>
    <t>Pequeno Ducado</t>
  </si>
  <si>
    <t>Condado</t>
  </si>
  <si>
    <t>Condado Médio</t>
  </si>
  <si>
    <t>Baronato</t>
  </si>
  <si>
    <t>Baronato Pequeno</t>
  </si>
  <si>
    <t>índice</t>
  </si>
  <si>
    <t>Controle da População</t>
  </si>
  <si>
    <t>Identidade Nacional</t>
  </si>
  <si>
    <t>Abertura Estrangeira</t>
  </si>
  <si>
    <t>Lealdade</t>
  </si>
  <si>
    <t>Odeiam os senhores</t>
  </si>
  <si>
    <t>Ignoram os senhores</t>
  </si>
  <si>
    <t>Apatia</t>
  </si>
  <si>
    <t>Alguma admiração</t>
  </si>
  <si>
    <t xml:space="preserve">Reconhecem </t>
  </si>
  <si>
    <t>Seguem quase sempre</t>
  </si>
  <si>
    <t>Fanáticos</t>
  </si>
  <si>
    <t>Educação</t>
  </si>
  <si>
    <t>Xenofobia</t>
  </si>
  <si>
    <t>Muito Insular</t>
  </si>
  <si>
    <t>Moderadamente insular</t>
  </si>
  <si>
    <t>Neutros</t>
  </si>
  <si>
    <t>Levemente aberto</t>
  </si>
  <si>
    <t>Moderadamente aberto</t>
  </si>
  <si>
    <t>Extremamente abertos</t>
  </si>
  <si>
    <t>Nenhuma educação</t>
  </si>
  <si>
    <t>Rara educação</t>
  </si>
  <si>
    <t>Educação infrequente</t>
  </si>
  <si>
    <t>Educação comum</t>
  </si>
  <si>
    <t>Educação Universal</t>
  </si>
  <si>
    <t>Formadores de conhecimento</t>
  </si>
  <si>
    <t>Infraestrutura</t>
  </si>
  <si>
    <t>Nenhuma</t>
  </si>
  <si>
    <t>Muito Pouca</t>
  </si>
  <si>
    <t>Pouca</t>
  </si>
  <si>
    <t>Mediana</t>
  </si>
  <si>
    <t>Avançada</t>
  </si>
  <si>
    <t>Muito Avançada</t>
  </si>
  <si>
    <t>Futurística</t>
  </si>
  <si>
    <t>Corrupção</t>
  </si>
  <si>
    <t>Defesas</t>
  </si>
  <si>
    <t>Segurança</t>
  </si>
  <si>
    <t>Religião</t>
  </si>
  <si>
    <t>Riqueza</t>
  </si>
  <si>
    <t>Nenhum</t>
  </si>
  <si>
    <t>Inexistente</t>
  </si>
  <si>
    <t>Baixo</t>
  </si>
  <si>
    <t>Normal</t>
  </si>
  <si>
    <t>Controlador</t>
  </si>
  <si>
    <t>Opressivo</t>
  </si>
  <si>
    <t>Controle total</t>
  </si>
  <si>
    <t>Aproveitadores</t>
  </si>
  <si>
    <t>Pequenos delitos</t>
  </si>
  <si>
    <t>Esquemas pequenos</t>
  </si>
  <si>
    <t>Grupos inteiros</t>
  </si>
  <si>
    <t>Segundo Estado</t>
  </si>
  <si>
    <t>Generalizado</t>
  </si>
  <si>
    <t>Nenhum sentimento</t>
  </si>
  <si>
    <t>Algum sentimento</t>
  </si>
  <si>
    <t>Pouco sentimento</t>
  </si>
  <si>
    <t>Sentimento mediano</t>
  </si>
  <si>
    <t>Sentimento abundante</t>
  </si>
  <si>
    <t>Quase total sentimento</t>
  </si>
  <si>
    <t>Uma só nação</t>
  </si>
  <si>
    <t>Possível defesa</t>
  </si>
  <si>
    <t>Paliçadas</t>
  </si>
  <si>
    <t>Fossos</t>
  </si>
  <si>
    <t>Alguns pontos estratégicos</t>
  </si>
  <si>
    <t>Favorecimento de terreno</t>
  </si>
  <si>
    <t>Castelos</t>
  </si>
  <si>
    <t>Milícia desorganizada</t>
  </si>
  <si>
    <t>Tribunal</t>
  </si>
  <si>
    <t>Milícia organizada</t>
  </si>
  <si>
    <t>Sistema de investigação</t>
  </si>
  <si>
    <t>Sistema Prisional</t>
  </si>
  <si>
    <t>Controle militar</t>
  </si>
  <si>
    <t xml:space="preserve">Paganismo </t>
  </si>
  <si>
    <t>Ausência total Cristã</t>
  </si>
  <si>
    <t>Missionários</t>
  </si>
  <si>
    <t>Mosteiro</t>
  </si>
  <si>
    <t>Padre e uma pequena igreja</t>
  </si>
  <si>
    <t xml:space="preserve">Igreja </t>
  </si>
  <si>
    <t>Bispado</t>
  </si>
  <si>
    <t>Quebrado</t>
  </si>
  <si>
    <t>Pobre</t>
  </si>
  <si>
    <t>Confortável</t>
  </si>
  <si>
    <t>Ricos</t>
  </si>
  <si>
    <t>Muito Ricos</t>
  </si>
  <si>
    <t>Milionários</t>
  </si>
  <si>
    <t>MSC</t>
  </si>
  <si>
    <t>Terras</t>
  </si>
  <si>
    <t>Recursos Naturais</t>
  </si>
  <si>
    <t>Forças de Trabalho</t>
  </si>
  <si>
    <t>Situação</t>
  </si>
  <si>
    <t>Faltam trabalhadores - Economia Lenta, bens não suprem demanda, Setores estratégicos deficientes.</t>
  </si>
  <si>
    <t xml:space="preserve"> Faltam trabalhores - Economia parada, bens não são produzidos, Setores estratégicos não são preenchidos. </t>
  </si>
  <si>
    <t xml:space="preserve"> Faltam Trabalhadores  - Estado possui crescimento muito lento, com grande ofertas de vagas para estrangeiros</t>
  </si>
  <si>
    <t xml:space="preserve"> Aceitável, Bens são produzidos de forma aceitável e setores estratégicos são atendidos.</t>
  </si>
  <si>
    <t xml:space="preserve">População empregada - Estado funciona perfeitamente. </t>
  </si>
  <si>
    <t>População parcialmente desempregada, excesso de pedintes e aumento na fome.  Preços caem e impostos sobem.</t>
  </si>
  <si>
    <t>Desemprego, aumento da criminalidade, fome, impostos e preços altos.  Queda brusca de salários</t>
  </si>
  <si>
    <t>Desemprego altíssimo, fome, Impostos e preços altos, salários baixíssimos e ondas de criminalidade.</t>
  </si>
  <si>
    <t>Força de trabalho descrição</t>
  </si>
  <si>
    <t>Intervalo</t>
  </si>
  <si>
    <t>Valor</t>
  </si>
  <si>
    <t>Característica</t>
  </si>
  <si>
    <t>Custo Total</t>
  </si>
  <si>
    <t>Agricultura descrição</t>
  </si>
  <si>
    <t>O Estado não produz o mínimo, a comida é pouca, cara e de baixa qualidade.</t>
  </si>
  <si>
    <t>O estado produz o minínimo necessário para a subsistência, a comida é cara ma attende as necessidades.</t>
  </si>
  <si>
    <t>O Estado Produz o mínimo necessário para o crescimento e produção de manufatura e alimentação e os preços são justos</t>
  </si>
  <si>
    <t xml:space="preserve">O Estado produz comida abundante e barata facorecendo a exportação e e manufaturas. </t>
  </si>
  <si>
    <t>Agricultura</t>
  </si>
  <si>
    <t>Recursos Naturais, bens e luxos</t>
  </si>
  <si>
    <t>O Estado é insuficiente em produzir recursos naturais e criar bens ou luxo</t>
  </si>
  <si>
    <t>O estado produz o minínimo necessário para a subsistência de recursos naturais atendendo mal suas necessidades.</t>
  </si>
  <si>
    <t>O Estado Produz o mínimo necessário para o crescimento da economia conseguindo fazer alguma reserva.</t>
  </si>
  <si>
    <t xml:space="preserve">O Estado produz abundantemente recursos naturais para atender toda a demanda e ainda é possível exportar. </t>
  </si>
  <si>
    <t>Potência</t>
  </si>
  <si>
    <t>O Estado é insuficiente levantar, equipar e treinar propriamente um exército</t>
  </si>
  <si>
    <t>O estado  é incapaz de levantar, equipar e manter treinada uma parte de sua população</t>
  </si>
  <si>
    <t>O Estado é capaz de levantar, equipar e dar um mínimo treinamento para sua população</t>
  </si>
  <si>
    <t xml:space="preserve">O Estado é capaz de levantar um enorme contigente em sua população com todos devidamente treinados e equipados. </t>
  </si>
  <si>
    <t>Força Militar Efetiva</t>
  </si>
  <si>
    <t>Força Militar</t>
  </si>
  <si>
    <t>Rank</t>
  </si>
  <si>
    <t>Índice</t>
  </si>
  <si>
    <t>Controle Populacional</t>
  </si>
  <si>
    <t>Nenhuma ação sanitária</t>
  </si>
  <si>
    <t>Enterram os mortos</t>
  </si>
  <si>
    <t>Sanitarismo</t>
  </si>
  <si>
    <t>Medicina esotérica</t>
  </si>
  <si>
    <t>Coleta pública</t>
  </si>
  <si>
    <t>Enfermarias</t>
  </si>
  <si>
    <t>Coleta de dejetos</t>
  </si>
  <si>
    <t>Hospitais e Medicina</t>
  </si>
  <si>
    <t>Incomum</t>
  </si>
  <si>
    <t>Igreja</t>
  </si>
  <si>
    <t>índice de ativos</t>
  </si>
  <si>
    <t>Demanda</t>
  </si>
  <si>
    <t>Ávit</t>
  </si>
  <si>
    <t>Déficit</t>
  </si>
  <si>
    <t>Sub Total</t>
  </si>
  <si>
    <t>Total</t>
  </si>
  <si>
    <t>Impostos por turno</t>
  </si>
  <si>
    <t>Ação</t>
  </si>
  <si>
    <t>% Uso Arrecadado</t>
  </si>
  <si>
    <t>Tributos</t>
  </si>
  <si>
    <t>Geld</t>
  </si>
  <si>
    <t>Impostos do reino</t>
  </si>
  <si>
    <t>Coletado</t>
  </si>
  <si>
    <t>%</t>
  </si>
  <si>
    <t>Nome do imposto</t>
  </si>
  <si>
    <t>Dívida</t>
  </si>
  <si>
    <t>Coroa</t>
  </si>
  <si>
    <t>Feudal</t>
  </si>
  <si>
    <t xml:space="preserve"> </t>
  </si>
  <si>
    <t>NOTAS</t>
  </si>
  <si>
    <t>&lt;3</t>
  </si>
  <si>
    <t>CP</t>
  </si>
  <si>
    <t>Índice de felicidade</t>
  </si>
  <si>
    <t>Mod</t>
  </si>
  <si>
    <t>Final</t>
  </si>
  <si>
    <t>procv índice</t>
  </si>
  <si>
    <t>total arrecado</t>
  </si>
  <si>
    <t>total de impostos</t>
  </si>
  <si>
    <t>renda</t>
  </si>
  <si>
    <t>Exportações</t>
  </si>
  <si>
    <t>Insumos e manufaturas</t>
  </si>
  <si>
    <t>ind exp</t>
  </si>
  <si>
    <t>Controle da população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</si>
</sst>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\ &quot;km²&quot;"/>
    <numFmt numFmtId="166" formatCode="#\ &quot;Km²&quot;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4"/>
      <color theme="5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Fill="1"/>
    <xf numFmtId="0" fontId="2" fillId="0" borderId="0" xfId="0" applyFont="1"/>
    <xf numFmtId="0" fontId="0" fillId="0" borderId="2" xfId="0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0" xfId="0"/>
    <xf numFmtId="0" fontId="1" fillId="4" borderId="0" xfId="0" applyFont="1" applyFill="1" applyBorder="1" applyAlignment="1">
      <alignment horizontal="center" vertical="center"/>
    </xf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4" borderId="0" xfId="0" applyFont="1" applyFill="1" applyAlignment="1"/>
    <xf numFmtId="0" fontId="0" fillId="6" borderId="0" xfId="0" applyFill="1"/>
    <xf numFmtId="0" fontId="0" fillId="6" borderId="0" xfId="0" applyFill="1"/>
    <xf numFmtId="0" fontId="1" fillId="6" borderId="0" xfId="0" applyFont="1" applyFill="1" applyBorder="1" applyAlignment="1">
      <alignment vertical="center"/>
    </xf>
    <xf numFmtId="9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1" fontId="0" fillId="0" borderId="10" xfId="0" applyNumberFormat="1" applyBorder="1"/>
    <xf numFmtId="164" fontId="0" fillId="0" borderId="10" xfId="0" applyNumberFormat="1" applyBorder="1"/>
    <xf numFmtId="0" fontId="0" fillId="0" borderId="0" xfId="0" applyFill="1"/>
    <xf numFmtId="0" fontId="0" fillId="6" borderId="0" xfId="0" applyFill="1" applyBorder="1"/>
    <xf numFmtId="0" fontId="1" fillId="4" borderId="4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164" fontId="0" fillId="0" borderId="0" xfId="0" applyNumberFormat="1" applyAlignment="1"/>
    <xf numFmtId="0" fontId="0" fillId="0" borderId="0" xfId="0" applyAlignment="1"/>
    <xf numFmtId="164" fontId="0" fillId="0" borderId="0" xfId="0" applyNumberForma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5" xfId="0" applyFill="1" applyBorder="1"/>
    <xf numFmtId="0" fontId="13" fillId="4" borderId="14" xfId="0" applyFont="1" applyFill="1" applyBorder="1" applyAlignment="1"/>
    <xf numFmtId="164" fontId="0" fillId="5" borderId="14" xfId="1" applyNumberFormat="1" applyFont="1" applyFill="1" applyBorder="1" applyAlignment="1">
      <alignment horizontal="center" vertical="center"/>
    </xf>
    <xf numFmtId="0" fontId="0" fillId="5" borderId="14" xfId="0" applyFill="1" applyBorder="1" applyAlignment="1">
      <alignment vertical="center"/>
    </xf>
    <xf numFmtId="0" fontId="10" fillId="6" borderId="0" xfId="0" applyFont="1" applyFill="1" applyBorder="1"/>
    <xf numFmtId="0" fontId="10" fillId="6" borderId="0" xfId="0" applyFont="1" applyFill="1" applyBorder="1" applyAlignment="1"/>
    <xf numFmtId="0" fontId="10" fillId="4" borderId="14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7" borderId="14" xfId="0" applyFont="1" applyFill="1" applyBorder="1" applyAlignment="1">
      <alignment horizontal="center"/>
    </xf>
    <xf numFmtId="9" fontId="14" fillId="2" borderId="14" xfId="2" applyNumberFormat="1" applyFon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0" fontId="0" fillId="2" borderId="14" xfId="0" applyFill="1" applyBorder="1"/>
    <xf numFmtId="9" fontId="4" fillId="2" borderId="14" xfId="2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0" borderId="0" xfId="0"/>
    <xf numFmtId="0" fontId="1" fillId="4" borderId="14" xfId="0" applyFont="1" applyFill="1" applyBorder="1" applyAlignment="1"/>
    <xf numFmtId="164" fontId="1" fillId="4" borderId="14" xfId="0" applyNumberFormat="1" applyFont="1" applyFill="1" applyBorder="1" applyAlignment="1"/>
    <xf numFmtId="0" fontId="0" fillId="4" borderId="0" xfId="0" applyFill="1"/>
    <xf numFmtId="0" fontId="10" fillId="4" borderId="0" xfId="0" applyFont="1" applyFill="1"/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8" fillId="2" borderId="14" xfId="0" applyFont="1" applyFill="1" applyBorder="1" applyAlignment="1"/>
    <xf numFmtId="0" fontId="1" fillId="4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5" borderId="14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9" fontId="0" fillId="0" borderId="0" xfId="2" applyNumberFormat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/>
    </xf>
    <xf numFmtId="0" fontId="0" fillId="5" borderId="14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6" fillId="5" borderId="14" xfId="0" applyFont="1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 vertical="center"/>
    </xf>
    <xf numFmtId="165" fontId="8" fillId="5" borderId="14" xfId="1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64" fontId="8" fillId="5" borderId="14" xfId="1" applyNumberFormat="1" applyFont="1" applyFill="1" applyBorder="1" applyAlignment="1">
      <alignment horizontal="center" vertical="center"/>
    </xf>
    <xf numFmtId="164" fontId="0" fillId="5" borderId="14" xfId="1" applyNumberFormat="1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43" fontId="0" fillId="5" borderId="14" xfId="1" applyFont="1" applyFill="1" applyBorder="1" applyAlignment="1">
      <alignment horizontal="center" vertical="center"/>
    </xf>
    <xf numFmtId="164" fontId="10" fillId="4" borderId="14" xfId="1" applyNumberFormat="1" applyFont="1" applyFill="1" applyBorder="1" applyAlignment="1">
      <alignment horizontal="center" vertical="center"/>
    </xf>
    <xf numFmtId="0" fontId="0" fillId="0" borderId="0" xfId="0"/>
    <xf numFmtId="9" fontId="11" fillId="5" borderId="14" xfId="0" applyNumberFormat="1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0" xfId="0" applyFill="1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5" fillId="3" borderId="14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6" fillId="7" borderId="14" xfId="0" applyNumberFormat="1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166" fontId="17" fillId="5" borderId="14" xfId="0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/>
    </xf>
    <xf numFmtId="1" fontId="17" fillId="5" borderId="14" xfId="1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0" borderId="10" xfId="0" applyFill="1" applyBorder="1" applyAlignment="1"/>
    <xf numFmtId="0" fontId="0" fillId="0" borderId="10" xfId="0" applyBorder="1"/>
    <xf numFmtId="0" fontId="10" fillId="4" borderId="0" xfId="0" applyFont="1" applyFill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0" xfId="0" applyFill="1" applyBorder="1"/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0" fillId="9" borderId="18" xfId="0" applyFont="1" applyFill="1" applyBorder="1" applyAlignment="1">
      <alignment horizontal="center" vertical="center"/>
    </xf>
    <xf numFmtId="0" fontId="0" fillId="9" borderId="19" xfId="0" applyFont="1" applyFill="1" applyBorder="1" applyAlignment="1">
      <alignment horizontal="center" vertical="center"/>
    </xf>
    <xf numFmtId="0" fontId="0" fillId="9" borderId="20" xfId="0" applyFont="1" applyFill="1" applyBorder="1" applyAlignment="1">
      <alignment horizontal="center" vertical="center"/>
    </xf>
    <xf numFmtId="0" fontId="0" fillId="9" borderId="21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22" xfId="0" applyFont="1" applyFill="1" applyBorder="1" applyAlignment="1">
      <alignment horizontal="center" vertical="center"/>
    </xf>
    <xf numFmtId="0" fontId="0" fillId="9" borderId="23" xfId="0" applyFont="1" applyFill="1" applyBorder="1" applyAlignment="1">
      <alignment horizontal="center" vertical="center"/>
    </xf>
    <xf numFmtId="0" fontId="0" fillId="9" borderId="24" xfId="0" applyFont="1" applyFill="1" applyBorder="1" applyAlignment="1">
      <alignment horizontal="center" vertical="center"/>
    </xf>
    <xf numFmtId="0" fontId="0" fillId="9" borderId="25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15" xfId="0" applyFont="1" applyFill="1" applyBorder="1" applyAlignment="1">
      <alignment horizontal="center"/>
    </xf>
    <xf numFmtId="165" fontId="17" fillId="5" borderId="14" xfId="0" applyNumberFormat="1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14457567804026"/>
          <c:y val="0.13004629629629633"/>
          <c:w val="0.681855424321959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ltUpDiag">
              <a:fgClr>
                <a:schemeClr val="accent1">
                  <a:shade val="650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Planilha1!$B$64:$B$75</c:f>
              <c:strCache>
                <c:ptCount val="12"/>
                <c:pt idx="0">
                  <c:v>Controle da população</c:v>
                </c:pt>
                <c:pt idx="1">
                  <c:v>Lealdade</c:v>
                </c:pt>
                <c:pt idx="2">
                  <c:v>Sanitarismo</c:v>
                </c:pt>
                <c:pt idx="3">
                  <c:v>Segurança</c:v>
                </c:pt>
                <c:pt idx="4">
                  <c:v>Identidade Nacional</c:v>
                </c:pt>
                <c:pt idx="5">
                  <c:v>Educação</c:v>
                </c:pt>
                <c:pt idx="6">
                  <c:v>Corrupção</c:v>
                </c:pt>
                <c:pt idx="7">
                  <c:v>Religião</c:v>
                </c:pt>
                <c:pt idx="8">
                  <c:v>Abertura Estrangeira</c:v>
                </c:pt>
                <c:pt idx="9">
                  <c:v>Infraestrutura</c:v>
                </c:pt>
                <c:pt idx="10">
                  <c:v>Defesas</c:v>
                </c:pt>
                <c:pt idx="11">
                  <c:v>Riqueza</c:v>
                </c:pt>
              </c:strCache>
              <c:extLst xmlns:c15="http://schemas.microsoft.com/office/drawing/2012/chart"/>
            </c:strRef>
          </c:cat>
          <c:val>
            <c:numRef>
              <c:f>Planilha1!$C$64:$C$75</c:f>
              <c:numCache>
                <c:formatCode>General</c:formatCode>
                <c:ptCount val="12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7B8-4954-9BEF-58D4D1C98578}"/>
            </c:ext>
          </c:extLst>
        </c:ser>
        <c:ser>
          <c:idx val="1"/>
          <c:order val="1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Planilha1!$B$64:$B$75</c:f>
              <c:strCache>
                <c:ptCount val="12"/>
                <c:pt idx="0">
                  <c:v>Controle da população</c:v>
                </c:pt>
                <c:pt idx="1">
                  <c:v>Lealdade</c:v>
                </c:pt>
                <c:pt idx="2">
                  <c:v>Sanitarismo</c:v>
                </c:pt>
                <c:pt idx="3">
                  <c:v>Segurança</c:v>
                </c:pt>
                <c:pt idx="4">
                  <c:v>Identidade Nacional</c:v>
                </c:pt>
                <c:pt idx="5">
                  <c:v>Educação</c:v>
                </c:pt>
                <c:pt idx="6">
                  <c:v>Corrupção</c:v>
                </c:pt>
                <c:pt idx="7">
                  <c:v>Religião</c:v>
                </c:pt>
                <c:pt idx="8">
                  <c:v>Abertura Estrangeira</c:v>
                </c:pt>
                <c:pt idx="9">
                  <c:v>Infraestrutura</c:v>
                </c:pt>
                <c:pt idx="10">
                  <c:v>Defesas</c:v>
                </c:pt>
                <c:pt idx="11">
                  <c:v>Riqueza</c:v>
                </c:pt>
              </c:strCache>
              <c:extLst xmlns:c15="http://schemas.microsoft.com/office/drawing/2012/chart"/>
            </c:strRef>
          </c:cat>
          <c:val>
            <c:numRef>
              <c:f>Planilha1!$D$64:$D$75</c:f>
              <c:numCache>
                <c:formatCode>General</c:formatCode>
                <c:ptCount val="12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7B8-4954-9BEF-58D4D1C98578}"/>
            </c:ext>
          </c:extLst>
        </c:ser>
        <c:ser>
          <c:idx val="2"/>
          <c:order val="2"/>
          <c:spPr>
            <a:pattFill prst="ltUpDiag">
              <a:fgClr>
                <a:schemeClr val="accent1">
                  <a:tint val="650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Planilha1!$B$64:$B$75</c:f>
              <c:strCache>
                <c:ptCount val="12"/>
                <c:pt idx="0">
                  <c:v>Controle da população</c:v>
                </c:pt>
                <c:pt idx="1">
                  <c:v>Lealdade</c:v>
                </c:pt>
                <c:pt idx="2">
                  <c:v>Sanitarismo</c:v>
                </c:pt>
                <c:pt idx="3">
                  <c:v>Segurança</c:v>
                </c:pt>
                <c:pt idx="4">
                  <c:v>Identidade Nacional</c:v>
                </c:pt>
                <c:pt idx="5">
                  <c:v>Educação</c:v>
                </c:pt>
                <c:pt idx="6">
                  <c:v>Corrupção</c:v>
                </c:pt>
                <c:pt idx="7">
                  <c:v>Religião</c:v>
                </c:pt>
                <c:pt idx="8">
                  <c:v>Abertura Estrangeira</c:v>
                </c:pt>
                <c:pt idx="9">
                  <c:v>Infraestrutura</c:v>
                </c:pt>
                <c:pt idx="10">
                  <c:v>Defesas</c:v>
                </c:pt>
                <c:pt idx="11">
                  <c:v>Riqueza</c:v>
                </c:pt>
              </c:strCache>
            </c:strRef>
          </c:cat>
          <c:val>
            <c:numRef>
              <c:f>Planilha1!$E$64:$E$75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8-4954-9BEF-58D4D1C98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983504367"/>
        <c:axId val="983505615"/>
        <c:extLst/>
      </c:barChart>
      <c:catAx>
        <c:axId val="983504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05615"/>
        <c:crosses val="autoZero"/>
        <c:auto val="1"/>
        <c:lblAlgn val="ctr"/>
        <c:lblOffset val="100"/>
        <c:noMultiLvlLbl val="0"/>
      </c:catAx>
      <c:valAx>
        <c:axId val="98350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350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5D9-4B2B-8DDF-1F62BEA0BC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5D9-4B2B-8DDF-1F62BEA0BC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5D9-4B2B-8DDF-1F62BEA0BC4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Planilha1!$B$77:$B$79</c:f>
              <c:strCache>
                <c:ptCount val="3"/>
                <c:pt idx="0">
                  <c:v>Terras</c:v>
                </c:pt>
                <c:pt idx="1">
                  <c:v>Agricultura</c:v>
                </c:pt>
                <c:pt idx="2">
                  <c:v>Recursos Naturais</c:v>
                </c:pt>
              </c:strCache>
            </c:strRef>
          </c:cat>
          <c:val>
            <c:numRef>
              <c:f>Planilha1!$C$77:$C$79</c:f>
              <c:numCache>
                <c:formatCode>#\ "Km²"</c:formatCode>
                <c:ptCount val="3"/>
                <c:pt idx="0" formatCode="#\ &quot;km²&quot;">
                  <c:v>1000</c:v>
                </c:pt>
                <c:pt idx="1">
                  <c:v>5</c:v>
                </c:pt>
                <c:pt idx="2" formatCode="#\ &quot;km²&quot;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B-4BAF-AD0B-7336771B9F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18963254593173"/>
          <c:y val="0.37355242053076698"/>
          <c:w val="0.2343645853651701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14287</xdr:colOff>
      <xdr:row>0</xdr:row>
      <xdr:rowOff>176212</xdr:rowOff>
    </xdr:from>
    <xdr:to>
      <xdr:col>29</xdr:col>
      <xdr:colOff>333375</xdr:colOff>
      <xdr:row>13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8A471A-27F5-4AF6-8EB6-FD8D1F279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604837</xdr:colOff>
      <xdr:row>14</xdr:row>
      <xdr:rowOff>23812</xdr:rowOff>
    </xdr:from>
    <xdr:to>
      <xdr:col>29</xdr:col>
      <xdr:colOff>333375</xdr:colOff>
      <xdr:row>25</xdr:row>
      <xdr:rowOff>195262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BF479DB-9AEE-487F-907E-57B8E3072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1957-5B89-40EB-9471-CBEEA48CF24D}">
  <dimension ref="A1:AK104"/>
  <sheetViews>
    <sheetView tabSelected="1" zoomScale="190" zoomScaleNormal="190" workbookViewId="0">
      <selection activeCell="C8" sqref="C8:E8"/>
    </sheetView>
  </sheetViews>
  <sheetFormatPr defaultRowHeight="15" x14ac:dyDescent="0.25"/>
  <cols>
    <col min="1" max="1" width="9.140625" style="39"/>
    <col min="5" max="5" width="11.28515625" bestFit="1" customWidth="1"/>
    <col min="6" max="6" width="12.28515625" bestFit="1" customWidth="1"/>
    <col min="7" max="7" width="9.5703125" bestFit="1" customWidth="1"/>
    <col min="11" max="11" width="11.28515625" bestFit="1" customWidth="1"/>
    <col min="12" max="12" width="11.7109375" bestFit="1" customWidth="1"/>
    <col min="18" max="18" width="14" bestFit="1" customWidth="1"/>
    <col min="19" max="19" width="10.5703125" bestFit="1" customWidth="1"/>
    <col min="29" max="29" width="6.42578125" bestFit="1" customWidth="1"/>
    <col min="30" max="30" width="6.42578125" style="77" customWidth="1"/>
    <col min="32" max="32" width="9.140625" style="77"/>
    <col min="33" max="33" width="11.5703125" bestFit="1" customWidth="1"/>
  </cols>
  <sheetData>
    <row r="1" spans="1:33" s="39" customFormat="1" ht="15.75" thickBot="1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AD1" s="77"/>
      <c r="AF1" s="77"/>
    </row>
    <row r="2" spans="1:33" s="39" customFormat="1" ht="16.5" thickTop="1" thickBot="1" x14ac:dyDescent="0.3">
      <c r="A2" s="46"/>
      <c r="B2" s="123" t="s">
        <v>102</v>
      </c>
      <c r="C2" s="123"/>
      <c r="D2" s="123" t="s">
        <v>3</v>
      </c>
      <c r="E2" s="123"/>
      <c r="F2" s="123"/>
      <c r="G2" s="88" t="s">
        <v>1</v>
      </c>
      <c r="H2" s="123" t="s">
        <v>2</v>
      </c>
      <c r="I2" s="123"/>
      <c r="J2" s="88" t="s">
        <v>1</v>
      </c>
      <c r="K2" s="123" t="s">
        <v>101</v>
      </c>
      <c r="L2" s="123"/>
      <c r="M2" s="123" t="s">
        <v>150</v>
      </c>
      <c r="N2" s="123"/>
      <c r="O2" s="123" t="s">
        <v>118</v>
      </c>
      <c r="P2" s="123"/>
      <c r="Q2" s="46"/>
      <c r="S2" s="168" t="s">
        <v>172</v>
      </c>
      <c r="T2" s="168"/>
      <c r="U2" s="168"/>
      <c r="V2" s="57"/>
      <c r="W2" s="57"/>
      <c r="X2" s="1"/>
      <c r="Y2" s="1"/>
      <c r="AD2" s="77"/>
      <c r="AF2" s="77"/>
    </row>
    <row r="3" spans="1:33" s="39" customFormat="1" ht="20.25" thickTop="1" thickBot="1" x14ac:dyDescent="0.35">
      <c r="A3" s="46"/>
      <c r="B3" s="126">
        <v>1000</v>
      </c>
      <c r="C3" s="126"/>
      <c r="D3" s="127" t="str">
        <f>VLOOKUP(B3,B45:E62,3,1)</f>
        <v>Baronato Médio</v>
      </c>
      <c r="E3" s="127"/>
      <c r="F3" s="127"/>
      <c r="G3" s="89">
        <f>VLOOKUP(D3,D45:F62,2,1)</f>
        <v>0</v>
      </c>
      <c r="H3" s="128">
        <v>556</v>
      </c>
      <c r="I3" s="128"/>
      <c r="J3" s="89">
        <f>VLOOKUP(H3,G45:I62,3,1)</f>
        <v>4</v>
      </c>
      <c r="K3" s="129">
        <f>(B3-B17-B19)*40</f>
        <v>39760</v>
      </c>
      <c r="L3" s="129"/>
      <c r="M3" s="124">
        <v>0.4</v>
      </c>
      <c r="N3" s="124"/>
      <c r="O3" s="122">
        <f>G3+J3+F5+F7+F9+F11+K5+K7+K9+K11+P5+P7+P9+P11+E14+E16+E18+E20</f>
        <v>-35</v>
      </c>
      <c r="P3" s="122"/>
      <c r="Q3" s="46"/>
      <c r="S3" s="98" t="s">
        <v>155</v>
      </c>
      <c r="T3" s="98" t="s">
        <v>173</v>
      </c>
      <c r="U3" s="98" t="s">
        <v>174</v>
      </c>
      <c r="AD3" s="77"/>
      <c r="AF3" s="77"/>
    </row>
    <row r="4" spans="1:33" s="39" customFormat="1" ht="16.5" thickTop="1" thickBot="1" x14ac:dyDescent="0.3">
      <c r="A4" s="46"/>
      <c r="B4" s="90" t="s">
        <v>137</v>
      </c>
      <c r="C4" s="133" t="s">
        <v>117</v>
      </c>
      <c r="D4" s="133"/>
      <c r="E4" s="133"/>
      <c r="F4" s="90" t="s">
        <v>1</v>
      </c>
      <c r="G4" s="91" t="s">
        <v>137</v>
      </c>
      <c r="H4" s="133" t="s">
        <v>117</v>
      </c>
      <c r="I4" s="133"/>
      <c r="J4" s="133"/>
      <c r="K4" s="91" t="s">
        <v>1</v>
      </c>
      <c r="L4" s="91" t="s">
        <v>137</v>
      </c>
      <c r="M4" s="133" t="s">
        <v>117</v>
      </c>
      <c r="N4" s="133"/>
      <c r="O4" s="133"/>
      <c r="P4" s="91" t="s">
        <v>1</v>
      </c>
      <c r="Q4" s="46"/>
      <c r="S4" s="169">
        <f>VLOOKUP(AK42,AJ44:AK104,2,0)</f>
        <v>-10</v>
      </c>
      <c r="T4" s="170">
        <v>0</v>
      </c>
      <c r="U4" s="169">
        <f>S4+T4</f>
        <v>-10</v>
      </c>
      <c r="AD4" s="77"/>
      <c r="AF4" s="77"/>
    </row>
    <row r="5" spans="1:33" s="39" customFormat="1" ht="16.5" thickTop="1" thickBot="1" x14ac:dyDescent="0.3">
      <c r="A5" s="46"/>
      <c r="B5" s="158">
        <v>1</v>
      </c>
      <c r="C5" s="130" t="s">
        <v>18</v>
      </c>
      <c r="D5" s="130"/>
      <c r="E5" s="130"/>
      <c r="F5" s="159">
        <f>VLOOKUP(C6,L45:O51,4,0)</f>
        <v>-3</v>
      </c>
      <c r="G5" s="158">
        <v>1</v>
      </c>
      <c r="H5" s="130" t="s">
        <v>19</v>
      </c>
      <c r="I5" s="130"/>
      <c r="J5" s="130"/>
      <c r="K5" s="152">
        <f>VLOOKUP(H6,S45:V51,4,0)</f>
        <v>-1</v>
      </c>
      <c r="L5" s="158">
        <v>1</v>
      </c>
      <c r="M5" s="130" t="s">
        <v>20</v>
      </c>
      <c r="N5" s="130"/>
      <c r="O5" s="130"/>
      <c r="P5" s="134">
        <f>VLOOKUP(M6,Z45:AC51,4,0)</f>
        <v>-3</v>
      </c>
      <c r="Q5" s="48"/>
      <c r="S5" s="169"/>
      <c r="T5" s="170"/>
      <c r="U5" s="169"/>
      <c r="AD5" s="77"/>
      <c r="AF5" s="77"/>
    </row>
    <row r="6" spans="1:33" s="39" customFormat="1" ht="16.5" thickTop="1" thickBot="1" x14ac:dyDescent="0.3">
      <c r="A6" s="46"/>
      <c r="B6" s="158"/>
      <c r="C6" s="120" t="str">
        <f>VLOOKUP(B5,K45:N51,2,0)</f>
        <v>Nenhum</v>
      </c>
      <c r="D6" s="120"/>
      <c r="E6" s="120"/>
      <c r="F6" s="159"/>
      <c r="G6" s="158"/>
      <c r="H6" s="120" t="str">
        <f>VLOOKUP(G5,R45:U51,2,0)</f>
        <v>Nenhum sentimento</v>
      </c>
      <c r="I6" s="120"/>
      <c r="J6" s="120"/>
      <c r="K6" s="152"/>
      <c r="L6" s="158"/>
      <c r="M6" s="120" t="str">
        <f>VLOOKUP(L5,Y45:AB51,2,0)</f>
        <v>Xenofobia</v>
      </c>
      <c r="N6" s="120"/>
      <c r="O6" s="120"/>
      <c r="P6" s="134"/>
      <c r="Q6" s="46"/>
      <c r="AD6" s="77"/>
      <c r="AF6" s="77"/>
    </row>
    <row r="7" spans="1:33" s="39" customFormat="1" ht="16.5" thickTop="1" thickBot="1" x14ac:dyDescent="0.3">
      <c r="A7" s="46"/>
      <c r="B7" s="158">
        <v>1</v>
      </c>
      <c r="C7" s="157" t="s">
        <v>21</v>
      </c>
      <c r="D7" s="157"/>
      <c r="E7" s="157"/>
      <c r="F7" s="160">
        <f>VLOOKUP(C8,L53:O59,4,0)</f>
        <v>-6</v>
      </c>
      <c r="G7" s="158">
        <v>1</v>
      </c>
      <c r="H7" s="157" t="s">
        <v>29</v>
      </c>
      <c r="I7" s="157"/>
      <c r="J7" s="157"/>
      <c r="K7" s="152">
        <f>VLOOKUP(H8,S53:V59,4,0)</f>
        <v>-1</v>
      </c>
      <c r="L7" s="158">
        <v>1</v>
      </c>
      <c r="M7" s="157" t="s">
        <v>43</v>
      </c>
      <c r="N7" s="157"/>
      <c r="O7" s="157"/>
      <c r="P7" s="134">
        <f>VLOOKUP(M8,Z53:AC59,4,0)</f>
        <v>-1</v>
      </c>
      <c r="Q7" s="46"/>
      <c r="S7" s="165" t="s">
        <v>179</v>
      </c>
      <c r="T7" s="165"/>
      <c r="U7" s="165"/>
      <c r="AD7" s="77"/>
      <c r="AF7" s="77"/>
    </row>
    <row r="8" spans="1:33" s="39" customFormat="1" ht="16.5" thickTop="1" thickBot="1" x14ac:dyDescent="0.3">
      <c r="A8" s="46"/>
      <c r="B8" s="158"/>
      <c r="C8" s="132" t="str">
        <f>VLOOKUP(B7,K53:N59,2,0)</f>
        <v>Odeiam os senhores</v>
      </c>
      <c r="D8" s="132"/>
      <c r="E8" s="132"/>
      <c r="F8" s="160"/>
      <c r="G8" s="158"/>
      <c r="H8" s="132" t="str">
        <f>VLOOKUP(G7,R53:U59,2,0)</f>
        <v>Nenhuma educação</v>
      </c>
      <c r="I8" s="132"/>
      <c r="J8" s="132"/>
      <c r="K8" s="152"/>
      <c r="L8" s="158"/>
      <c r="M8" s="132" t="str">
        <f>VLOOKUP(L7,Y53:AB59,2,0)</f>
        <v>Nenhuma</v>
      </c>
      <c r="N8" s="132"/>
      <c r="O8" s="132"/>
      <c r="P8" s="134"/>
      <c r="Q8" s="46"/>
      <c r="S8" s="184" t="s">
        <v>124</v>
      </c>
      <c r="T8" s="184"/>
      <c r="U8" s="184"/>
      <c r="AD8" s="77"/>
      <c r="AF8" s="77"/>
    </row>
    <row r="9" spans="1:33" s="39" customFormat="1" ht="16.5" thickTop="1" thickBot="1" x14ac:dyDescent="0.3">
      <c r="A9" s="46"/>
      <c r="B9" s="158">
        <v>1</v>
      </c>
      <c r="C9" s="130" t="s">
        <v>142</v>
      </c>
      <c r="D9" s="130"/>
      <c r="E9" s="130"/>
      <c r="F9" s="160">
        <f>VLOOKUP(C10,L61:O67,4,0)</f>
        <v>-3</v>
      </c>
      <c r="G9" s="158">
        <v>1</v>
      </c>
      <c r="H9" s="130" t="s">
        <v>51</v>
      </c>
      <c r="I9" s="130"/>
      <c r="J9" s="130"/>
      <c r="K9" s="152">
        <f>VLOOKUP(H10,S61:V67,4,0)</f>
        <v>0</v>
      </c>
      <c r="L9" s="158">
        <v>1</v>
      </c>
      <c r="M9" s="130" t="s">
        <v>52</v>
      </c>
      <c r="N9" s="130"/>
      <c r="O9" s="130"/>
      <c r="P9" s="134">
        <f>VLOOKUP(M10,Z61:AC67,4,0)</f>
        <v>0</v>
      </c>
      <c r="Q9" s="46"/>
      <c r="S9" s="183"/>
      <c r="T9" s="183"/>
      <c r="U9" s="183"/>
      <c r="Z9" s="104"/>
      <c r="AD9" s="77"/>
      <c r="AF9" s="77"/>
      <c r="AG9" s="104"/>
    </row>
    <row r="10" spans="1:33" s="39" customFormat="1" ht="16.5" thickTop="1" thickBot="1" x14ac:dyDescent="0.3">
      <c r="A10" s="46"/>
      <c r="B10" s="158"/>
      <c r="C10" s="120" t="str">
        <f>VLOOKUP(B9,K61:N67,2,0)</f>
        <v>Nenhuma ação sanitária</v>
      </c>
      <c r="D10" s="120"/>
      <c r="E10" s="120"/>
      <c r="F10" s="160"/>
      <c r="G10" s="158"/>
      <c r="H10" s="120" t="str">
        <f>VLOOKUP(G9,R61:U67,2,0)</f>
        <v>Nenhuma</v>
      </c>
      <c r="I10" s="120"/>
      <c r="J10" s="120"/>
      <c r="K10" s="152"/>
      <c r="L10" s="158"/>
      <c r="M10" s="120" t="str">
        <f>VLOOKUP(L9,Y61:AB67,2,0)</f>
        <v>Nenhuma</v>
      </c>
      <c r="N10" s="120"/>
      <c r="O10" s="120"/>
      <c r="P10" s="134"/>
      <c r="Q10" s="46"/>
      <c r="S10" s="183"/>
      <c r="T10" s="183"/>
      <c r="U10" s="183"/>
      <c r="AD10" s="77"/>
      <c r="AF10" s="77"/>
    </row>
    <row r="11" spans="1:33" s="39" customFormat="1" ht="16.5" thickTop="1" thickBot="1" x14ac:dyDescent="0.3">
      <c r="A11" s="46"/>
      <c r="B11" s="158">
        <v>1</v>
      </c>
      <c r="C11" s="157" t="s">
        <v>53</v>
      </c>
      <c r="D11" s="157"/>
      <c r="E11" s="157"/>
      <c r="F11" s="160">
        <f>VLOOKUP(C12,L69:O75,4,0)</f>
        <v>0</v>
      </c>
      <c r="G11" s="158">
        <v>1</v>
      </c>
      <c r="H11" s="157" t="s">
        <v>54</v>
      </c>
      <c r="I11" s="157"/>
      <c r="J11" s="157"/>
      <c r="K11" s="152">
        <f>VLOOKUP(H12,S69:V75,4,0)</f>
        <v>-2</v>
      </c>
      <c r="L11" s="158">
        <v>1</v>
      </c>
      <c r="M11" s="157" t="s">
        <v>55</v>
      </c>
      <c r="N11" s="157"/>
      <c r="O11" s="157"/>
      <c r="P11" s="134">
        <f>VLOOKUP(M12,Z69:AC75,4,0)</f>
        <v>-15</v>
      </c>
      <c r="Q11" s="46"/>
      <c r="S11" s="184" t="s">
        <v>180</v>
      </c>
      <c r="T11" s="184"/>
      <c r="U11" s="184"/>
      <c r="AD11" s="77"/>
      <c r="AF11" s="77"/>
    </row>
    <row r="12" spans="1:33" s="39" customFormat="1" ht="16.5" thickTop="1" thickBot="1" x14ac:dyDescent="0.3">
      <c r="A12" s="46"/>
      <c r="B12" s="158"/>
      <c r="C12" s="132" t="str">
        <f>VLOOKUP(B11,K69:N75,2,0)</f>
        <v>Nenhuma</v>
      </c>
      <c r="D12" s="132"/>
      <c r="E12" s="132"/>
      <c r="F12" s="160"/>
      <c r="G12" s="158"/>
      <c r="H12" s="132" t="str">
        <f>VLOOKUP(G11,R69:U75,2,0)</f>
        <v xml:space="preserve">Paganismo </v>
      </c>
      <c r="I12" s="132"/>
      <c r="J12" s="132"/>
      <c r="K12" s="152"/>
      <c r="L12" s="158"/>
      <c r="M12" s="132" t="str">
        <f>VLOOKUP(L11,Y69:AB75,2,0)</f>
        <v>Quebrado</v>
      </c>
      <c r="N12" s="132"/>
      <c r="O12" s="132"/>
      <c r="P12" s="134"/>
      <c r="Q12" s="46"/>
      <c r="R12" s="1"/>
      <c r="S12" s="183"/>
      <c r="T12" s="183"/>
      <c r="U12" s="183"/>
      <c r="AD12" s="77"/>
      <c r="AF12" s="77"/>
    </row>
    <row r="13" spans="1:33" s="39" customFormat="1" ht="16.5" thickTop="1" thickBot="1" x14ac:dyDescent="0.3">
      <c r="A13" s="46"/>
      <c r="B13" s="123" t="s">
        <v>130</v>
      </c>
      <c r="C13" s="123"/>
      <c r="D13" s="123"/>
      <c r="E13" s="92" t="s">
        <v>1</v>
      </c>
      <c r="F13" s="163" t="s">
        <v>105</v>
      </c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46"/>
      <c r="R13" s="61"/>
      <c r="S13" s="183"/>
      <c r="T13" s="183"/>
      <c r="U13" s="183"/>
      <c r="V13" s="1"/>
      <c r="W13" s="1"/>
      <c r="X13" s="1"/>
      <c r="Y13" s="1"/>
      <c r="AD13" s="77"/>
      <c r="AF13" s="77"/>
    </row>
    <row r="14" spans="1:33" s="39" customFormat="1" ht="16.5" thickTop="1" thickBot="1" x14ac:dyDescent="0.3">
      <c r="A14" s="46"/>
      <c r="B14" s="131" t="s">
        <v>104</v>
      </c>
      <c r="C14" s="131"/>
      <c r="D14" s="131"/>
      <c r="E14" s="134">
        <f>VLOOKUP(B15,K78:M85,3,1)</f>
        <v>-1</v>
      </c>
      <c r="F14" s="162" t="str">
        <f>VLOOKUP(B15,K78:Y85,4,1)</f>
        <v xml:space="preserve"> Faltam Trabalhadores  - Estado possui crescimento muito lento, com grande ofertas de vagas para estrangeiros</v>
      </c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46"/>
      <c r="R14" s="62"/>
      <c r="S14" s="62"/>
      <c r="T14" s="62"/>
      <c r="U14" s="62"/>
      <c r="V14" s="1"/>
      <c r="W14" s="1"/>
      <c r="X14" s="1"/>
      <c r="Y14" s="1"/>
      <c r="AD14" s="77"/>
      <c r="AF14" s="77"/>
    </row>
    <row r="15" spans="1:33" s="39" customFormat="1" ht="20.25" thickTop="1" thickBot="1" x14ac:dyDescent="0.3">
      <c r="A15" s="46"/>
      <c r="B15" s="164">
        <v>250</v>
      </c>
      <c r="C15" s="164"/>
      <c r="D15" s="164"/>
      <c r="E15" s="134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46"/>
      <c r="R15" s="39" t="s">
        <v>168</v>
      </c>
      <c r="T15" s="110"/>
      <c r="U15" s="111"/>
      <c r="V15" s="1"/>
      <c r="W15" s="1"/>
      <c r="X15" s="1"/>
      <c r="Y15" s="1"/>
      <c r="AD15" s="77"/>
      <c r="AF15" s="77"/>
    </row>
    <row r="16" spans="1:33" s="39" customFormat="1" ht="16.5" thickTop="1" thickBot="1" x14ac:dyDescent="0.3">
      <c r="A16" s="46"/>
      <c r="B16" s="131" t="s">
        <v>124</v>
      </c>
      <c r="C16" s="131"/>
      <c r="D16" s="131"/>
      <c r="E16" s="134">
        <f>VLOOKUP(B17,K88:M91,3,1)</f>
        <v>-3</v>
      </c>
      <c r="F16" s="162" t="str">
        <f>VLOOKUP(B17,K88:Y91,4,1)</f>
        <v>O Estado não produz o mínimo, a comida é pouca, cara e de baixa qualidade.</v>
      </c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46"/>
      <c r="R16" s="1"/>
      <c r="S16" s="1"/>
      <c r="T16" s="1"/>
      <c r="U16" s="1"/>
      <c r="V16" s="1"/>
      <c r="W16" s="1"/>
      <c r="X16" s="1"/>
      <c r="Y16" s="1"/>
      <c r="AD16" s="77"/>
      <c r="AF16" s="77"/>
    </row>
    <row r="17" spans="1:32" s="39" customFormat="1" ht="20.25" thickTop="1" thickBot="1" x14ac:dyDescent="0.3">
      <c r="A17" s="46"/>
      <c r="B17" s="161">
        <v>5</v>
      </c>
      <c r="C17" s="161"/>
      <c r="D17" s="161"/>
      <c r="E17" s="134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46"/>
      <c r="R17" s="1"/>
      <c r="S17" s="1"/>
      <c r="T17" s="1"/>
      <c r="U17" s="1"/>
      <c r="V17" s="1"/>
      <c r="W17" s="1"/>
      <c r="X17" s="1"/>
      <c r="Y17" s="1"/>
      <c r="AD17" s="77"/>
      <c r="AF17" s="77"/>
    </row>
    <row r="18" spans="1:32" s="39" customFormat="1" ht="16.5" thickTop="1" thickBot="1" x14ac:dyDescent="0.3">
      <c r="A18" s="46"/>
      <c r="B18" s="131" t="s">
        <v>103</v>
      </c>
      <c r="C18" s="131"/>
      <c r="D18" s="131"/>
      <c r="E18" s="134">
        <f>VLOOKUP(B19,K94:M97,3,1)</f>
        <v>0</v>
      </c>
      <c r="F18" s="162" t="str">
        <f>VLOOKUP(B19,K94:Y97,4,1)</f>
        <v>O Estado é insuficiente em produzir recursos naturais e criar bens ou luxo</v>
      </c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46"/>
      <c r="R18" s="1"/>
      <c r="S18" s="1"/>
      <c r="T18" s="1"/>
      <c r="U18" s="1"/>
      <c r="V18" s="1"/>
      <c r="W18" s="1"/>
      <c r="X18" s="1"/>
      <c r="Y18" s="1"/>
      <c r="AD18" s="77"/>
      <c r="AF18" s="77"/>
    </row>
    <row r="19" spans="1:32" s="39" customFormat="1" ht="20.25" thickTop="1" thickBot="1" x14ac:dyDescent="0.3">
      <c r="A19" s="46"/>
      <c r="B19" s="186">
        <v>1</v>
      </c>
      <c r="C19" s="186"/>
      <c r="D19" s="186"/>
      <c r="E19" s="134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46"/>
      <c r="R19" s="1"/>
      <c r="S19" s="1"/>
      <c r="T19" s="1"/>
      <c r="U19" s="1"/>
      <c r="V19" s="1"/>
      <c r="W19" s="1"/>
      <c r="X19" s="1"/>
      <c r="Y19" s="1"/>
      <c r="AD19" s="77"/>
      <c r="AF19" s="77"/>
    </row>
    <row r="20" spans="1:32" s="39" customFormat="1" ht="16.5" thickTop="1" thickBot="1" x14ac:dyDescent="0.3">
      <c r="A20" s="46"/>
      <c r="B20" s="188" t="s">
        <v>136</v>
      </c>
      <c r="C20" s="188"/>
      <c r="D20" s="188"/>
      <c r="E20" s="134">
        <f>VLOOKUP(B21,K100:M103,3,1)</f>
        <v>0</v>
      </c>
      <c r="F20" s="121" t="str">
        <f>VLOOKUP(B21,K100:Y103,4,1)</f>
        <v>O Estado é insuficiente levantar, equipar e treinar propriamente um exército</v>
      </c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46"/>
      <c r="R20" s="1"/>
      <c r="S20" s="1"/>
      <c r="T20" s="1"/>
      <c r="U20" s="1"/>
      <c r="V20" s="1"/>
      <c r="W20" s="1"/>
      <c r="X20" s="1"/>
      <c r="Y20" s="1"/>
      <c r="AD20" s="77"/>
      <c r="AF20" s="77"/>
    </row>
    <row r="21" spans="1:32" s="39" customFormat="1" ht="20.25" thickTop="1" thickBot="1" x14ac:dyDescent="0.35">
      <c r="A21" s="46"/>
      <c r="B21" s="187">
        <v>4</v>
      </c>
      <c r="C21" s="187"/>
      <c r="D21" s="187"/>
      <c r="E21" s="134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46"/>
      <c r="R21" s="1"/>
      <c r="S21" s="1"/>
      <c r="T21" s="1"/>
      <c r="U21" s="1"/>
      <c r="V21" s="1"/>
      <c r="W21" s="1"/>
      <c r="X21" s="1"/>
      <c r="Y21" s="1"/>
      <c r="AD21" s="77"/>
      <c r="AF21" s="77"/>
    </row>
    <row r="22" spans="1:32" s="41" customFormat="1" ht="16.5" thickTop="1" thickBot="1" x14ac:dyDescent="0.3">
      <c r="A22" s="66"/>
      <c r="B22" s="94" t="s">
        <v>161</v>
      </c>
      <c r="C22" s="172"/>
      <c r="D22" s="173"/>
      <c r="E22" s="185"/>
      <c r="F22" s="95">
        <f>H3*AF69*(AH44*200)*AH45*M3</f>
        <v>278</v>
      </c>
      <c r="G22" s="172" t="s">
        <v>169</v>
      </c>
      <c r="H22" s="173"/>
      <c r="I22" s="173"/>
      <c r="J22" s="173"/>
      <c r="K22" s="173"/>
      <c r="L22" s="173"/>
      <c r="M22" s="173"/>
      <c r="N22" s="173"/>
      <c r="O22" s="173"/>
      <c r="P22" s="173"/>
      <c r="Q22" s="67"/>
      <c r="R22" s="57"/>
      <c r="S22" s="57"/>
      <c r="T22" s="57"/>
      <c r="U22" s="57"/>
      <c r="V22" s="57"/>
      <c r="W22" s="57"/>
      <c r="X22" s="57"/>
      <c r="Y22" s="57"/>
      <c r="AD22" s="77"/>
      <c r="AF22" s="77"/>
    </row>
    <row r="23" spans="1:32" s="41" customFormat="1" ht="16.5" thickTop="1" thickBot="1" x14ac:dyDescent="0.3">
      <c r="A23" s="66"/>
      <c r="B23" s="152" t="s">
        <v>164</v>
      </c>
      <c r="C23" s="152"/>
      <c r="D23" s="83" t="s">
        <v>163</v>
      </c>
      <c r="E23" s="83" t="s">
        <v>162</v>
      </c>
      <c r="F23" s="83" t="s">
        <v>165</v>
      </c>
      <c r="G23" s="174"/>
      <c r="H23" s="175"/>
      <c r="I23" s="175"/>
      <c r="J23" s="175"/>
      <c r="K23" s="175"/>
      <c r="L23" s="175"/>
      <c r="M23" s="175"/>
      <c r="N23" s="175"/>
      <c r="O23" s="175"/>
      <c r="P23" s="176"/>
      <c r="Q23" s="67"/>
      <c r="R23" s="57"/>
      <c r="S23" s="57"/>
      <c r="T23" s="57"/>
      <c r="U23" s="57"/>
      <c r="V23" s="57"/>
      <c r="W23" s="57"/>
      <c r="X23" s="57"/>
      <c r="Y23" s="57"/>
      <c r="AD23" s="77"/>
      <c r="AF23" s="77"/>
    </row>
    <row r="24" spans="1:32" s="41" customFormat="1" ht="20.25" thickTop="1" thickBot="1" x14ac:dyDescent="0.35">
      <c r="A24" s="66"/>
      <c r="B24" s="107" t="s">
        <v>166</v>
      </c>
      <c r="C24" s="107"/>
      <c r="D24" s="84">
        <v>0.2</v>
      </c>
      <c r="E24" s="85">
        <f>F22*D24</f>
        <v>55.6</v>
      </c>
      <c r="F24" s="86"/>
      <c r="G24" s="177"/>
      <c r="H24" s="178"/>
      <c r="I24" s="178"/>
      <c r="J24" s="178"/>
      <c r="K24" s="178"/>
      <c r="L24" s="178"/>
      <c r="M24" s="178"/>
      <c r="N24" s="178"/>
      <c r="O24" s="178"/>
      <c r="P24" s="179"/>
      <c r="Q24" s="73"/>
      <c r="R24" s="73"/>
      <c r="S24" s="73"/>
      <c r="T24" s="67"/>
      <c r="U24" s="57"/>
      <c r="V24" s="57"/>
      <c r="W24" s="57"/>
      <c r="X24" s="57"/>
      <c r="Y24" s="57"/>
      <c r="Z24" s="57"/>
      <c r="AA24" s="57"/>
      <c r="AB24" s="57"/>
      <c r="AD24" s="77"/>
      <c r="AF24" s="77"/>
    </row>
    <row r="25" spans="1:32" s="41" customFormat="1" ht="18.75" customHeight="1" thickTop="1" thickBot="1" x14ac:dyDescent="0.35">
      <c r="A25" s="66"/>
      <c r="B25" s="107" t="s">
        <v>167</v>
      </c>
      <c r="C25" s="107"/>
      <c r="D25" s="87">
        <v>0.2</v>
      </c>
      <c r="E25" s="85">
        <f>F22*D25</f>
        <v>55.6</v>
      </c>
      <c r="F25" s="86"/>
      <c r="G25" s="177"/>
      <c r="H25" s="178"/>
      <c r="I25" s="178"/>
      <c r="J25" s="178"/>
      <c r="K25" s="178"/>
      <c r="L25" s="178"/>
      <c r="M25" s="178"/>
      <c r="N25" s="178"/>
      <c r="O25" s="178"/>
      <c r="P25" s="179"/>
      <c r="Q25" s="73"/>
      <c r="R25" s="73"/>
      <c r="S25" s="73"/>
      <c r="T25" s="57"/>
      <c r="U25" s="57"/>
      <c r="AD25" s="77"/>
      <c r="AF25" s="77"/>
    </row>
    <row r="26" spans="1:32" s="41" customFormat="1" ht="18.75" customHeight="1" thickTop="1" thickBot="1" x14ac:dyDescent="0.35">
      <c r="A26" s="66"/>
      <c r="B26" s="107" t="s">
        <v>149</v>
      </c>
      <c r="C26" s="107"/>
      <c r="D26" s="84">
        <v>0.1</v>
      </c>
      <c r="E26" s="85">
        <f>F22*D26</f>
        <v>27.8</v>
      </c>
      <c r="F26" s="86"/>
      <c r="G26" s="177"/>
      <c r="H26" s="178"/>
      <c r="I26" s="178"/>
      <c r="J26" s="178"/>
      <c r="K26" s="178"/>
      <c r="L26" s="178"/>
      <c r="M26" s="178"/>
      <c r="N26" s="178"/>
      <c r="O26" s="178"/>
      <c r="P26" s="179"/>
      <c r="Q26" s="73"/>
      <c r="R26" s="73"/>
      <c r="S26" s="73"/>
      <c r="T26" s="57"/>
      <c r="U26" s="57"/>
      <c r="AD26" s="77"/>
      <c r="AF26" s="77"/>
    </row>
    <row r="27" spans="1:32" s="41" customFormat="1" ht="18.75" customHeight="1" thickTop="1" thickBot="1" x14ac:dyDescent="0.35">
      <c r="A27" s="66"/>
      <c r="B27" s="107" t="s">
        <v>159</v>
      </c>
      <c r="C27" s="107"/>
      <c r="D27" s="84">
        <v>0</v>
      </c>
      <c r="E27" s="85">
        <f>F22*D27</f>
        <v>0</v>
      </c>
      <c r="F27" s="86"/>
      <c r="G27" s="177"/>
      <c r="H27" s="178"/>
      <c r="I27" s="178"/>
      <c r="J27" s="178"/>
      <c r="K27" s="178"/>
      <c r="L27" s="178"/>
      <c r="M27" s="178"/>
      <c r="N27" s="178"/>
      <c r="O27" s="178"/>
      <c r="P27" s="179"/>
      <c r="Q27" s="73"/>
      <c r="R27" s="73"/>
      <c r="S27" s="73"/>
      <c r="T27" s="57"/>
      <c r="U27" s="57"/>
      <c r="AD27" s="77"/>
      <c r="AF27" s="77"/>
    </row>
    <row r="28" spans="1:32" s="41" customFormat="1" ht="20.25" thickTop="1" thickBot="1" x14ac:dyDescent="0.35">
      <c r="A28" s="66"/>
      <c r="B28" s="107" t="s">
        <v>160</v>
      </c>
      <c r="C28" s="107"/>
      <c r="D28" s="84">
        <v>0</v>
      </c>
      <c r="E28" s="85">
        <f>F22*D28</f>
        <v>0</v>
      </c>
      <c r="F28" s="86"/>
      <c r="G28" s="180"/>
      <c r="H28" s="181"/>
      <c r="I28" s="181"/>
      <c r="J28" s="181"/>
      <c r="K28" s="181"/>
      <c r="L28" s="181"/>
      <c r="M28" s="181"/>
      <c r="N28" s="181"/>
      <c r="O28" s="181"/>
      <c r="P28" s="182"/>
      <c r="Q28" s="57"/>
      <c r="R28" s="57"/>
      <c r="S28" s="57"/>
      <c r="T28" s="57"/>
      <c r="U28" s="57"/>
      <c r="V28" s="57"/>
      <c r="W28" s="57"/>
      <c r="X28" s="57"/>
      <c r="AD28" s="77"/>
      <c r="AF28" s="77"/>
    </row>
    <row r="29" spans="1:32" s="41" customFormat="1" ht="20.25" thickTop="1" thickBot="1" x14ac:dyDescent="0.35">
      <c r="A29" s="66"/>
      <c r="B29" s="116" t="s">
        <v>156</v>
      </c>
      <c r="C29" s="116"/>
      <c r="D29" s="116"/>
      <c r="E29" s="117"/>
      <c r="F29" s="117"/>
      <c r="G29" s="117"/>
      <c r="H29" s="117"/>
      <c r="I29" s="117"/>
      <c r="J29" s="117"/>
      <c r="K29" s="117"/>
      <c r="L29" s="69"/>
      <c r="M29" s="74" t="s">
        <v>116</v>
      </c>
      <c r="N29" s="136">
        <f>F22-E24-E25-E26-E27-E28</f>
        <v>139</v>
      </c>
      <c r="O29" s="136"/>
      <c r="P29" s="136"/>
      <c r="Q29" s="67"/>
      <c r="R29" s="57"/>
      <c r="S29" s="57"/>
      <c r="T29" s="57"/>
      <c r="U29" s="57"/>
      <c r="V29" s="57"/>
      <c r="W29" s="57"/>
      <c r="X29" s="57"/>
      <c r="Y29" s="57"/>
      <c r="AD29" s="77"/>
      <c r="AF29" s="77"/>
    </row>
    <row r="30" spans="1:32" s="41" customFormat="1" ht="16.5" thickTop="1" thickBot="1" x14ac:dyDescent="0.3">
      <c r="A30" s="66"/>
      <c r="B30" s="125" t="s">
        <v>3</v>
      </c>
      <c r="C30" s="125"/>
      <c r="D30" s="125"/>
      <c r="E30" s="121" t="s">
        <v>151</v>
      </c>
      <c r="F30" s="121"/>
      <c r="G30" s="121" t="s">
        <v>158</v>
      </c>
      <c r="H30" s="121"/>
      <c r="I30" s="121" t="s">
        <v>154</v>
      </c>
      <c r="J30" s="121"/>
      <c r="K30" s="75" t="s">
        <v>152</v>
      </c>
      <c r="L30" s="75" t="s">
        <v>153</v>
      </c>
      <c r="M30" s="75" t="s">
        <v>155</v>
      </c>
      <c r="N30" s="121" t="s">
        <v>157</v>
      </c>
      <c r="O30" s="121"/>
      <c r="P30" s="121"/>
      <c r="Q30" s="67"/>
      <c r="R30" s="57"/>
      <c r="S30" s="57"/>
      <c r="T30" s="57"/>
      <c r="U30" s="57"/>
      <c r="V30" s="57"/>
      <c r="W30" s="57"/>
      <c r="X30" s="57"/>
      <c r="Y30" s="57"/>
      <c r="AD30" s="77"/>
      <c r="AF30" s="77"/>
    </row>
    <row r="31" spans="1:32" s="41" customFormat="1" ht="18.75" customHeight="1" thickTop="1" thickBot="1" x14ac:dyDescent="0.3">
      <c r="A31" s="66"/>
      <c r="B31" s="120" t="s">
        <v>52</v>
      </c>
      <c r="C31" s="120"/>
      <c r="D31" s="120"/>
      <c r="E31" s="135">
        <f>F22*AH52</f>
        <v>0</v>
      </c>
      <c r="F31" s="135"/>
      <c r="G31" s="138">
        <v>1</v>
      </c>
      <c r="H31" s="139"/>
      <c r="I31" s="112">
        <f>E31*G31</f>
        <v>0</v>
      </c>
      <c r="J31" s="113"/>
      <c r="K31" s="70">
        <f>IF(I31 &gt;= E31, I31-E31,)</f>
        <v>0</v>
      </c>
      <c r="L31" s="70">
        <f>IF(I31 &lt;= E31, E31-I31,)</f>
        <v>0</v>
      </c>
      <c r="M31" s="71"/>
      <c r="N31" s="118"/>
      <c r="O31" s="118"/>
      <c r="P31" s="118"/>
      <c r="Q31" s="67"/>
      <c r="R31" s="57"/>
      <c r="S31" s="57"/>
      <c r="T31" s="57"/>
      <c r="U31" s="57"/>
      <c r="V31" s="57"/>
      <c r="W31" s="57"/>
      <c r="X31" s="57"/>
      <c r="Y31" s="57"/>
      <c r="AD31" s="77"/>
      <c r="AF31" s="77"/>
    </row>
    <row r="32" spans="1:32" s="41" customFormat="1" ht="18.75" customHeight="1" thickTop="1" thickBot="1" x14ac:dyDescent="0.3">
      <c r="A32" s="66"/>
      <c r="B32" s="120" t="s">
        <v>29</v>
      </c>
      <c r="C32" s="120"/>
      <c r="D32" s="120"/>
      <c r="E32" s="135">
        <f>F22*AH49</f>
        <v>0</v>
      </c>
      <c r="F32" s="135"/>
      <c r="G32" s="138">
        <v>1</v>
      </c>
      <c r="H32" s="139"/>
      <c r="I32" s="112">
        <f t="shared" ref="I32:I36" si="0">E32*G32</f>
        <v>0</v>
      </c>
      <c r="J32" s="113"/>
      <c r="K32" s="70">
        <f t="shared" ref="K32:K36" si="1">IF(I32 &gt;= E32, I32-E32,)</f>
        <v>0</v>
      </c>
      <c r="L32" s="70">
        <f t="shared" ref="L32:L36" si="2">IF(I32 &lt;= E32, E32-I32,)</f>
        <v>0</v>
      </c>
      <c r="M32" s="76"/>
      <c r="N32" s="113"/>
      <c r="O32" s="113"/>
      <c r="P32" s="113"/>
      <c r="Q32" s="67"/>
      <c r="R32" s="57"/>
      <c r="S32" s="57"/>
      <c r="T32" s="57"/>
      <c r="U32" s="57"/>
      <c r="V32" s="57"/>
      <c r="W32" s="57"/>
      <c r="X32" s="57"/>
      <c r="Y32" s="57"/>
      <c r="AD32" s="77"/>
      <c r="AF32" s="77"/>
    </row>
    <row r="33" spans="1:37" s="41" customFormat="1" ht="18.75" customHeight="1" thickTop="1" thickBot="1" x14ac:dyDescent="0.3">
      <c r="A33" s="66"/>
      <c r="B33" s="120" t="s">
        <v>43</v>
      </c>
      <c r="C33" s="120"/>
      <c r="D33" s="120"/>
      <c r="E33" s="135">
        <f>F22*AH51</f>
        <v>13.9</v>
      </c>
      <c r="F33" s="135"/>
      <c r="G33" s="138">
        <v>1</v>
      </c>
      <c r="H33" s="139"/>
      <c r="I33" s="112">
        <f t="shared" si="0"/>
        <v>13.9</v>
      </c>
      <c r="J33" s="113"/>
      <c r="K33" s="70">
        <f t="shared" si="1"/>
        <v>0</v>
      </c>
      <c r="L33" s="70">
        <f t="shared" si="2"/>
        <v>0</v>
      </c>
      <c r="M33" s="76"/>
      <c r="N33" s="113"/>
      <c r="O33" s="113"/>
      <c r="P33" s="113"/>
      <c r="Q33" s="67"/>
      <c r="R33" s="57"/>
      <c r="S33" s="57"/>
      <c r="T33" s="57"/>
      <c r="U33" s="57"/>
      <c r="V33" s="57"/>
      <c r="W33" s="57"/>
      <c r="X33" s="57"/>
      <c r="Y33" s="57"/>
      <c r="AD33" s="77"/>
      <c r="AF33" s="77"/>
    </row>
    <row r="34" spans="1:37" s="41" customFormat="1" ht="18.75" customHeight="1" thickTop="1" thickBot="1" x14ac:dyDescent="0.3">
      <c r="A34" s="66"/>
      <c r="B34" s="120" t="s">
        <v>54</v>
      </c>
      <c r="C34" s="120"/>
      <c r="D34" s="120"/>
      <c r="E34" s="135">
        <f>F22*AH50</f>
        <v>0</v>
      </c>
      <c r="F34" s="135"/>
      <c r="G34" s="138">
        <v>0.8</v>
      </c>
      <c r="H34" s="139"/>
      <c r="I34" s="112">
        <f t="shared" si="0"/>
        <v>0</v>
      </c>
      <c r="J34" s="113"/>
      <c r="K34" s="70">
        <f t="shared" si="1"/>
        <v>0</v>
      </c>
      <c r="L34" s="70">
        <f t="shared" si="2"/>
        <v>0</v>
      </c>
      <c r="M34" s="76"/>
      <c r="N34" s="113"/>
      <c r="O34" s="113"/>
      <c r="P34" s="113"/>
      <c r="Q34" s="67"/>
      <c r="R34" s="57"/>
      <c r="S34" s="57"/>
      <c r="T34" s="57"/>
      <c r="U34" s="57"/>
      <c r="V34" s="57"/>
      <c r="W34" s="57"/>
      <c r="X34" s="57"/>
      <c r="Y34" s="57"/>
      <c r="AD34" s="77"/>
      <c r="AF34" s="77"/>
    </row>
    <row r="35" spans="1:37" s="41" customFormat="1" ht="18.75" customHeight="1" thickTop="1" thickBot="1" x14ac:dyDescent="0.3">
      <c r="A35" s="66"/>
      <c r="B35" s="141" t="s">
        <v>142</v>
      </c>
      <c r="C35" s="141"/>
      <c r="D35" s="141"/>
      <c r="E35" s="135">
        <f>F22*AH47</f>
        <v>55.6</v>
      </c>
      <c r="F35" s="135"/>
      <c r="G35" s="138">
        <v>1</v>
      </c>
      <c r="H35" s="139"/>
      <c r="I35" s="112">
        <f t="shared" si="0"/>
        <v>55.6</v>
      </c>
      <c r="J35" s="113"/>
      <c r="K35" s="70">
        <f t="shared" si="1"/>
        <v>0</v>
      </c>
      <c r="L35" s="70">
        <f t="shared" si="2"/>
        <v>0</v>
      </c>
      <c r="M35" s="76"/>
      <c r="N35" s="113"/>
      <c r="O35" s="113"/>
      <c r="P35" s="113"/>
      <c r="Q35" s="68"/>
      <c r="R35" s="57"/>
      <c r="S35" s="57"/>
      <c r="T35" s="57"/>
      <c r="U35" s="57"/>
      <c r="V35" s="57"/>
      <c r="W35" s="57"/>
      <c r="X35" s="57"/>
      <c r="Y35" s="57"/>
      <c r="AD35" s="77"/>
      <c r="AF35" s="77"/>
    </row>
    <row r="36" spans="1:37" s="41" customFormat="1" ht="18.75" customHeight="1" thickTop="1" thickBot="1" x14ac:dyDescent="0.3">
      <c r="A36" s="66"/>
      <c r="B36" s="120" t="s">
        <v>53</v>
      </c>
      <c r="C36" s="120"/>
      <c r="D36" s="120"/>
      <c r="E36" s="135">
        <f>F22*AH48</f>
        <v>2.7800000000000002</v>
      </c>
      <c r="F36" s="135"/>
      <c r="G36" s="138">
        <v>1</v>
      </c>
      <c r="H36" s="139"/>
      <c r="I36" s="112">
        <f t="shared" si="0"/>
        <v>2.7800000000000002</v>
      </c>
      <c r="J36" s="113"/>
      <c r="K36" s="70">
        <f t="shared" si="1"/>
        <v>0</v>
      </c>
      <c r="L36" s="70">
        <f t="shared" si="2"/>
        <v>0</v>
      </c>
      <c r="M36" s="76"/>
      <c r="N36" s="113"/>
      <c r="O36" s="113"/>
      <c r="P36" s="113"/>
      <c r="Q36" s="67"/>
      <c r="R36" s="57"/>
      <c r="S36" s="57"/>
      <c r="T36" s="57"/>
      <c r="U36" s="57"/>
      <c r="V36" s="57"/>
      <c r="W36" s="57"/>
      <c r="X36" s="57"/>
      <c r="Y36" s="57"/>
      <c r="AD36" s="77"/>
      <c r="AF36" s="77"/>
    </row>
    <row r="37" spans="1:37" s="41" customFormat="1" ht="18.75" customHeight="1" thickTop="1" x14ac:dyDescent="0.25">
      <c r="A37" s="72"/>
      <c r="Q37" s="58"/>
      <c r="R37" s="57"/>
      <c r="S37" s="57"/>
      <c r="T37" s="57"/>
      <c r="U37" s="57"/>
      <c r="V37" s="57"/>
      <c r="W37" s="57"/>
      <c r="X37" s="57"/>
      <c r="Y37" s="57"/>
      <c r="AD37" s="77"/>
      <c r="AF37" s="77"/>
    </row>
    <row r="38" spans="1:37" s="41" customFormat="1" ht="18.75" customHeight="1" x14ac:dyDescent="0.25">
      <c r="A38" s="47"/>
      <c r="E38" s="156" t="s">
        <v>176</v>
      </c>
      <c r="F38" s="156"/>
      <c r="H38" s="156" t="s">
        <v>177</v>
      </c>
      <c r="I38" s="156"/>
      <c r="K38" s="156" t="s">
        <v>178</v>
      </c>
      <c r="L38" s="156"/>
      <c r="Q38" s="47"/>
      <c r="R38" s="57"/>
      <c r="S38" s="57"/>
      <c r="T38" s="57"/>
      <c r="U38" s="57"/>
      <c r="V38" s="57"/>
      <c r="W38" s="57"/>
      <c r="X38" s="57"/>
      <c r="Y38" s="57"/>
      <c r="AD38" s="77"/>
      <c r="AF38" s="77"/>
    </row>
    <row r="39" spans="1:37" s="41" customFormat="1" ht="18.75" customHeight="1" x14ac:dyDescent="0.25">
      <c r="A39" s="47"/>
      <c r="E39" s="153">
        <f>F22</f>
        <v>278</v>
      </c>
      <c r="F39" s="154"/>
      <c r="H39" s="153">
        <f>SUM(I31:J36)</f>
        <v>72.28</v>
      </c>
      <c r="I39" s="154"/>
      <c r="K39" s="155">
        <f>N29-H39</f>
        <v>66.72</v>
      </c>
      <c r="L39" s="155"/>
      <c r="Q39" s="47"/>
      <c r="R39" s="57"/>
      <c r="S39" s="57"/>
      <c r="T39" s="57"/>
      <c r="U39" s="57"/>
      <c r="V39" s="57"/>
      <c r="W39" s="57"/>
      <c r="X39" s="57"/>
      <c r="Y39" s="57"/>
      <c r="AD39" s="77"/>
      <c r="AF39" s="77"/>
    </row>
    <row r="40" spans="1:37" s="41" customFormat="1" ht="18.75" customHeight="1" x14ac:dyDescent="0.25">
      <c r="A40" s="47"/>
      <c r="E40" s="154"/>
      <c r="F40" s="154"/>
      <c r="H40" s="154"/>
      <c r="I40" s="154"/>
      <c r="K40" s="155"/>
      <c r="L40" s="155"/>
      <c r="Q40" s="47"/>
      <c r="R40" s="57"/>
      <c r="S40" s="57"/>
      <c r="T40" s="57"/>
      <c r="U40" s="57"/>
      <c r="V40" s="57"/>
      <c r="W40" s="57"/>
      <c r="X40" s="57"/>
      <c r="Y40" s="57"/>
      <c r="AD40" s="77"/>
      <c r="AF40" s="77"/>
    </row>
    <row r="41" spans="1:37" s="41" customFormat="1" ht="18.75" customHeight="1" x14ac:dyDescent="0.25">
      <c r="A41" s="47"/>
      <c r="E41" s="154"/>
      <c r="F41" s="154"/>
      <c r="H41" s="154"/>
      <c r="I41" s="154"/>
      <c r="K41" s="155"/>
      <c r="L41" s="155"/>
      <c r="Q41" s="47"/>
      <c r="R41" s="57"/>
      <c r="S41" s="57"/>
      <c r="T41" s="57"/>
      <c r="U41" s="57"/>
      <c r="V41" s="57"/>
      <c r="W41" s="57"/>
      <c r="X41" s="57"/>
      <c r="Y41" s="57"/>
      <c r="AD41" s="77"/>
      <c r="AF41" s="77"/>
    </row>
    <row r="42" spans="1:37" s="41" customFormat="1" ht="18.75" customHeight="1" x14ac:dyDescent="0.3">
      <c r="A42" s="47"/>
      <c r="B42" s="114" t="s">
        <v>160</v>
      </c>
      <c r="C42" s="114"/>
      <c r="D42" s="114"/>
      <c r="E42" s="115">
        <v>0.2</v>
      </c>
      <c r="F42" s="115"/>
      <c r="G42" s="63" t="e">
        <f>#REF!*(E42*1)</f>
        <v>#REF!</v>
      </c>
      <c r="H42" s="35"/>
      <c r="I42" s="63"/>
      <c r="J42" s="35"/>
      <c r="K42" s="64"/>
      <c r="L42" s="64"/>
      <c r="M42" s="35"/>
      <c r="N42" s="35"/>
      <c r="O42" s="35"/>
      <c r="P42" s="35"/>
      <c r="Q42" s="47"/>
      <c r="R42" s="57"/>
      <c r="S42" s="57"/>
      <c r="T42" s="57"/>
      <c r="U42" s="57"/>
      <c r="V42" s="57"/>
      <c r="W42" s="57"/>
      <c r="X42" s="57"/>
      <c r="Y42" s="57"/>
      <c r="AD42" s="77"/>
      <c r="AF42" s="77"/>
      <c r="AK42" s="41">
        <f>SUM(AH54:AH63)+Z86+Z92+Z104</f>
        <v>-29</v>
      </c>
    </row>
    <row r="43" spans="1:37" s="41" customFormat="1" ht="15.75" thickBot="1" x14ac:dyDescent="0.3">
      <c r="A43" s="47"/>
      <c r="Q43" s="47"/>
      <c r="AD43" s="77"/>
      <c r="AF43" s="77"/>
    </row>
    <row r="44" spans="1:37" ht="15.75" thickBot="1" x14ac:dyDescent="0.3">
      <c r="A44" s="46"/>
      <c r="B44" s="142" t="s">
        <v>0</v>
      </c>
      <c r="C44" s="143"/>
      <c r="D44" s="143" t="s">
        <v>3</v>
      </c>
      <c r="E44" s="143"/>
      <c r="F44" s="5" t="s">
        <v>1</v>
      </c>
      <c r="G44" s="142" t="s">
        <v>2</v>
      </c>
      <c r="H44" s="143"/>
      <c r="I44" s="5" t="s">
        <v>1</v>
      </c>
      <c r="K44" s="4" t="s">
        <v>137</v>
      </c>
      <c r="L44" s="143" t="s">
        <v>18</v>
      </c>
      <c r="M44" s="143"/>
      <c r="N44" s="143"/>
      <c r="O44" s="5"/>
      <c r="P44" s="40" t="s">
        <v>17</v>
      </c>
      <c r="Q44" s="80" t="s">
        <v>170</v>
      </c>
      <c r="R44" s="6" t="s">
        <v>137</v>
      </c>
      <c r="S44" s="108" t="s">
        <v>19</v>
      </c>
      <c r="T44" s="108"/>
      <c r="U44" s="108"/>
      <c r="V44" s="6"/>
      <c r="W44" s="40" t="s">
        <v>17</v>
      </c>
      <c r="X44" s="80"/>
      <c r="Y44" s="6" t="s">
        <v>137</v>
      </c>
      <c r="Z44" s="108" t="s">
        <v>20</v>
      </c>
      <c r="AA44" s="108"/>
      <c r="AB44" s="108"/>
      <c r="AC44" s="60" t="s">
        <v>138</v>
      </c>
      <c r="AD44" s="60" t="s">
        <v>170</v>
      </c>
      <c r="AG44" s="80" t="s">
        <v>55</v>
      </c>
      <c r="AH44" s="97">
        <f>VLOOKUP(L11,Y69:AE75,7,0)</f>
        <v>0.25</v>
      </c>
      <c r="AJ44">
        <v>-30</v>
      </c>
      <c r="AK44" s="103">
        <v>-10</v>
      </c>
    </row>
    <row r="45" spans="1:37" x14ac:dyDescent="0.25">
      <c r="B45" s="19">
        <v>0</v>
      </c>
      <c r="C45" s="20">
        <v>25</v>
      </c>
      <c r="D45" s="140" t="s">
        <v>4</v>
      </c>
      <c r="E45" s="140"/>
      <c r="F45" s="21">
        <v>1</v>
      </c>
      <c r="G45" s="22">
        <v>0</v>
      </c>
      <c r="H45" s="23">
        <v>100</v>
      </c>
      <c r="I45" s="24">
        <v>1</v>
      </c>
      <c r="K45" s="10">
        <v>1</v>
      </c>
      <c r="L45" s="137" t="s">
        <v>56</v>
      </c>
      <c r="M45" s="137"/>
      <c r="N45" s="137"/>
      <c r="O45" s="12">
        <v>-3</v>
      </c>
      <c r="P45" s="44">
        <v>0.1</v>
      </c>
      <c r="Q45" s="79">
        <v>3</v>
      </c>
      <c r="R45" s="7">
        <v>1</v>
      </c>
      <c r="S45" t="s">
        <v>69</v>
      </c>
      <c r="T45" s="32"/>
      <c r="U45" s="32"/>
      <c r="V45" s="13">
        <v>-1</v>
      </c>
      <c r="W45" s="34">
        <v>-2</v>
      </c>
      <c r="Y45" s="7">
        <v>1</v>
      </c>
      <c r="Z45" s="137" t="s">
        <v>30</v>
      </c>
      <c r="AA45" s="137"/>
      <c r="AB45" s="137"/>
      <c r="AC45" s="14">
        <v>-3</v>
      </c>
      <c r="AD45" s="79"/>
      <c r="AG45" t="s">
        <v>139</v>
      </c>
      <c r="AH45">
        <f>VLOOKUP(B5,K45:P51,6,0)</f>
        <v>0.1</v>
      </c>
      <c r="AJ45">
        <v>-29</v>
      </c>
      <c r="AK45" s="103">
        <v>-10</v>
      </c>
    </row>
    <row r="46" spans="1:37" x14ac:dyDescent="0.25">
      <c r="B46" s="19">
        <f>C45+1</f>
        <v>26</v>
      </c>
      <c r="C46" s="20">
        <v>50</v>
      </c>
      <c r="D46" s="140" t="s">
        <v>5</v>
      </c>
      <c r="E46" s="140"/>
      <c r="F46" s="21">
        <v>2</v>
      </c>
      <c r="G46" s="25">
        <f>H45+1</f>
        <v>101</v>
      </c>
      <c r="H46" s="23">
        <v>500</v>
      </c>
      <c r="I46" s="24">
        <v>2</v>
      </c>
      <c r="K46" s="10">
        <v>2</v>
      </c>
      <c r="L46" s="137" t="s">
        <v>57</v>
      </c>
      <c r="M46" s="137"/>
      <c r="N46" s="137"/>
      <c r="O46" s="12">
        <v>-2</v>
      </c>
      <c r="P46" s="44">
        <v>0.2</v>
      </c>
      <c r="Q46" s="79">
        <v>2</v>
      </c>
      <c r="R46" s="8">
        <v>2</v>
      </c>
      <c r="S46" t="s">
        <v>70</v>
      </c>
      <c r="T46" s="33"/>
      <c r="U46" s="33"/>
      <c r="V46" s="15">
        <v>0</v>
      </c>
      <c r="W46" s="35">
        <v>-1</v>
      </c>
      <c r="Y46" s="8">
        <v>2</v>
      </c>
      <c r="Z46" s="137" t="s">
        <v>31</v>
      </c>
      <c r="AA46" s="137"/>
      <c r="AB46" s="137"/>
      <c r="AC46" s="12">
        <v>-1</v>
      </c>
      <c r="AD46" s="79"/>
      <c r="AG46" t="s">
        <v>51</v>
      </c>
      <c r="AH46">
        <f>VLOOKUP(G9,R61:W67,6,0)</f>
        <v>0</v>
      </c>
      <c r="AJ46" s="93">
        <v>-28</v>
      </c>
      <c r="AK46" s="103">
        <v>-9</v>
      </c>
    </row>
    <row r="47" spans="1:37" x14ac:dyDescent="0.25">
      <c r="B47" s="19">
        <f t="shared" ref="B47:B62" si="3">C46+1</f>
        <v>51</v>
      </c>
      <c r="C47" s="20">
        <v>100</v>
      </c>
      <c r="D47" s="140" t="s">
        <v>16</v>
      </c>
      <c r="E47" s="140"/>
      <c r="F47" s="21">
        <v>4</v>
      </c>
      <c r="G47" s="25">
        <f t="shared" ref="G47:G62" si="4">H46+1</f>
        <v>501</v>
      </c>
      <c r="H47" s="23">
        <v>1000</v>
      </c>
      <c r="I47" s="24">
        <v>4</v>
      </c>
      <c r="K47" s="10">
        <v>3</v>
      </c>
      <c r="L47" s="137" t="s">
        <v>58</v>
      </c>
      <c r="M47" s="137"/>
      <c r="N47" s="137"/>
      <c r="O47" s="12">
        <v>-1</v>
      </c>
      <c r="P47" s="44">
        <v>0.3</v>
      </c>
      <c r="Q47" s="79">
        <v>1</v>
      </c>
      <c r="R47" s="8">
        <v>3</v>
      </c>
      <c r="S47" t="s">
        <v>71</v>
      </c>
      <c r="T47" s="33"/>
      <c r="U47" s="33"/>
      <c r="V47" s="15">
        <v>1</v>
      </c>
      <c r="W47" s="35">
        <v>0</v>
      </c>
      <c r="Y47" s="8">
        <v>3</v>
      </c>
      <c r="Z47" s="137" t="s">
        <v>32</v>
      </c>
      <c r="AA47" s="137"/>
      <c r="AB47" s="137"/>
      <c r="AC47" s="12">
        <v>0</v>
      </c>
      <c r="AD47" s="79"/>
      <c r="AG47" t="s">
        <v>142</v>
      </c>
      <c r="AH47">
        <f>VLOOKUP(B9,K61:P67,6,0)</f>
        <v>0.2</v>
      </c>
      <c r="AJ47" s="93">
        <v>-27</v>
      </c>
      <c r="AK47" s="103">
        <v>-9</v>
      </c>
    </row>
    <row r="48" spans="1:37" x14ac:dyDescent="0.25">
      <c r="B48" s="19">
        <f t="shared" si="3"/>
        <v>101</v>
      </c>
      <c r="C48" s="20">
        <v>200</v>
      </c>
      <c r="D48" s="140" t="s">
        <v>16</v>
      </c>
      <c r="E48" s="140"/>
      <c r="F48" s="21">
        <v>6</v>
      </c>
      <c r="G48" s="25">
        <f t="shared" si="4"/>
        <v>1001</v>
      </c>
      <c r="H48" s="23">
        <v>2000</v>
      </c>
      <c r="I48" s="24">
        <v>6</v>
      </c>
      <c r="K48" s="10">
        <v>4</v>
      </c>
      <c r="L48" s="137" t="s">
        <v>59</v>
      </c>
      <c r="M48" s="137"/>
      <c r="N48" s="137"/>
      <c r="O48" s="12">
        <v>0</v>
      </c>
      <c r="P48" s="44">
        <v>0.5</v>
      </c>
      <c r="Q48" s="79">
        <v>0</v>
      </c>
      <c r="R48" s="8">
        <v>4</v>
      </c>
      <c r="S48" t="s">
        <v>72</v>
      </c>
      <c r="T48" s="37"/>
      <c r="U48" s="37"/>
      <c r="V48" s="15">
        <v>3</v>
      </c>
      <c r="W48" s="35">
        <v>1</v>
      </c>
      <c r="Y48" s="8">
        <v>4</v>
      </c>
      <c r="Z48" s="137" t="s">
        <v>33</v>
      </c>
      <c r="AA48" s="137"/>
      <c r="AB48" s="137"/>
      <c r="AC48" s="12">
        <v>1</v>
      </c>
      <c r="AD48" s="79"/>
      <c r="AG48" t="s">
        <v>53</v>
      </c>
      <c r="AH48">
        <f>VLOOKUP(B11,K69:P75,6,0)</f>
        <v>0.01</v>
      </c>
      <c r="AJ48" s="93">
        <v>-26</v>
      </c>
      <c r="AK48" s="103">
        <v>-9</v>
      </c>
    </row>
    <row r="49" spans="2:37" x14ac:dyDescent="0.25">
      <c r="B49" s="19">
        <f t="shared" si="3"/>
        <v>201</v>
      </c>
      <c r="C49" s="20">
        <v>300</v>
      </c>
      <c r="D49" s="140" t="s">
        <v>16</v>
      </c>
      <c r="E49" s="140"/>
      <c r="F49" s="21">
        <v>8</v>
      </c>
      <c r="G49" s="25">
        <f t="shared" si="4"/>
        <v>2001</v>
      </c>
      <c r="H49" s="23">
        <v>4000</v>
      </c>
      <c r="I49" s="24">
        <v>8</v>
      </c>
      <c r="K49" s="10">
        <v>5</v>
      </c>
      <c r="L49" s="137" t="s">
        <v>60</v>
      </c>
      <c r="M49" s="137"/>
      <c r="N49" s="137"/>
      <c r="O49" s="12">
        <v>1</v>
      </c>
      <c r="P49" s="44">
        <v>0.6</v>
      </c>
      <c r="Q49" s="79">
        <v>-2</v>
      </c>
      <c r="R49" s="8">
        <v>5</v>
      </c>
      <c r="S49" t="s">
        <v>73</v>
      </c>
      <c r="T49" s="37"/>
      <c r="U49" s="37"/>
      <c r="V49" s="15">
        <v>6</v>
      </c>
      <c r="W49" s="35">
        <v>2</v>
      </c>
      <c r="Y49" s="8">
        <v>5</v>
      </c>
      <c r="Z49" s="137" t="s">
        <v>34</v>
      </c>
      <c r="AA49" s="137"/>
      <c r="AB49" s="137"/>
      <c r="AC49" s="12">
        <v>3</v>
      </c>
      <c r="AD49" s="79"/>
      <c r="AG49" t="s">
        <v>29</v>
      </c>
      <c r="AH49">
        <f>VLOOKUP(G7,R53:W59,6,0)</f>
        <v>0</v>
      </c>
      <c r="AJ49" s="93">
        <v>-25</v>
      </c>
      <c r="AK49" s="103">
        <v>-8</v>
      </c>
    </row>
    <row r="50" spans="2:37" x14ac:dyDescent="0.25">
      <c r="B50" s="19">
        <f t="shared" si="3"/>
        <v>301</v>
      </c>
      <c r="C50" s="20">
        <v>500</v>
      </c>
      <c r="D50" s="140" t="s">
        <v>6</v>
      </c>
      <c r="E50" s="140"/>
      <c r="F50" s="21">
        <v>12</v>
      </c>
      <c r="G50" s="25">
        <f t="shared" si="4"/>
        <v>4001</v>
      </c>
      <c r="H50" s="23">
        <v>8000</v>
      </c>
      <c r="I50" s="24">
        <v>12</v>
      </c>
      <c r="K50" s="10">
        <v>6</v>
      </c>
      <c r="L50" s="137" t="s">
        <v>61</v>
      </c>
      <c r="M50" s="137"/>
      <c r="N50" s="137"/>
      <c r="O50" s="12">
        <v>2</v>
      </c>
      <c r="P50" s="44">
        <v>0.8</v>
      </c>
      <c r="Q50" s="79">
        <v>-3</v>
      </c>
      <c r="R50" s="8">
        <v>6</v>
      </c>
      <c r="S50" t="s">
        <v>74</v>
      </c>
      <c r="T50" s="37"/>
      <c r="U50" s="37"/>
      <c r="V50" s="15">
        <v>9</v>
      </c>
      <c r="W50" s="35">
        <v>3</v>
      </c>
      <c r="Y50" s="8">
        <v>6</v>
      </c>
      <c r="Z50" s="137" t="s">
        <v>35</v>
      </c>
      <c r="AA50" s="137"/>
      <c r="AB50" s="137"/>
      <c r="AC50" s="12">
        <v>6</v>
      </c>
      <c r="AD50" s="79"/>
      <c r="AG50" t="s">
        <v>149</v>
      </c>
      <c r="AH50">
        <f>VLOOKUP(G11,R69:W75,6,0)</f>
        <v>0</v>
      </c>
      <c r="AJ50" s="93">
        <v>-24</v>
      </c>
      <c r="AK50" s="103">
        <v>-8</v>
      </c>
    </row>
    <row r="51" spans="2:37" ht="15.75" thickBot="1" x14ac:dyDescent="0.3">
      <c r="B51" s="19">
        <f t="shared" si="3"/>
        <v>501</v>
      </c>
      <c r="C51" s="20">
        <v>750</v>
      </c>
      <c r="D51" s="140" t="s">
        <v>6</v>
      </c>
      <c r="E51" s="140"/>
      <c r="F51" s="21">
        <v>14</v>
      </c>
      <c r="G51" s="25">
        <f t="shared" si="4"/>
        <v>8001</v>
      </c>
      <c r="H51" s="23">
        <v>16000</v>
      </c>
      <c r="I51" s="24">
        <v>14</v>
      </c>
      <c r="K51" s="11">
        <v>7</v>
      </c>
      <c r="L51" s="137" t="s">
        <v>62</v>
      </c>
      <c r="M51" s="137"/>
      <c r="N51" s="137"/>
      <c r="O51" s="16">
        <v>3</v>
      </c>
      <c r="P51" s="42">
        <v>1</v>
      </c>
      <c r="Q51" s="78">
        <v>-7</v>
      </c>
      <c r="R51" s="9">
        <v>7</v>
      </c>
      <c r="S51" t="s">
        <v>75</v>
      </c>
      <c r="T51" s="38"/>
      <c r="U51" s="38"/>
      <c r="V51" s="17">
        <v>12</v>
      </c>
      <c r="W51" s="35">
        <v>4</v>
      </c>
      <c r="Y51" s="8">
        <v>7</v>
      </c>
      <c r="Z51" s="137" t="s">
        <v>36</v>
      </c>
      <c r="AA51" s="137"/>
      <c r="AB51" s="137"/>
      <c r="AC51" s="12">
        <v>9</v>
      </c>
      <c r="AD51" s="79"/>
      <c r="AG51" t="s">
        <v>43</v>
      </c>
      <c r="AH51">
        <f>VLOOKUP(L7,Y53:AE59,7,1)</f>
        <v>0.05</v>
      </c>
      <c r="AJ51" s="93">
        <v>-23</v>
      </c>
      <c r="AK51" s="103">
        <v>-7.5714285714285703</v>
      </c>
    </row>
    <row r="52" spans="2:37" ht="15.75" thickBot="1" x14ac:dyDescent="0.3">
      <c r="B52" s="19">
        <f t="shared" si="3"/>
        <v>751</v>
      </c>
      <c r="C52" s="20">
        <v>1000</v>
      </c>
      <c r="D52" s="140" t="s">
        <v>6</v>
      </c>
      <c r="E52" s="140"/>
      <c r="F52" s="21">
        <v>16</v>
      </c>
      <c r="G52" s="25">
        <f t="shared" si="4"/>
        <v>16001</v>
      </c>
      <c r="H52" s="23">
        <v>32000</v>
      </c>
      <c r="I52" s="24">
        <v>16</v>
      </c>
      <c r="K52" s="18" t="s">
        <v>137</v>
      </c>
      <c r="L52" s="108" t="s">
        <v>21</v>
      </c>
      <c r="M52" s="108"/>
      <c r="N52" s="108"/>
      <c r="O52" s="6"/>
      <c r="P52" s="40" t="s">
        <v>17</v>
      </c>
      <c r="Q52" s="80" t="s">
        <v>170</v>
      </c>
      <c r="R52" s="6" t="s">
        <v>137</v>
      </c>
      <c r="S52" s="108" t="s">
        <v>29</v>
      </c>
      <c r="T52" s="108"/>
      <c r="U52" s="108"/>
      <c r="V52" s="6"/>
      <c r="W52" s="40" t="s">
        <v>17</v>
      </c>
      <c r="X52" s="80"/>
      <c r="Y52" s="4" t="s">
        <v>137</v>
      </c>
      <c r="Z52" s="145" t="s">
        <v>43</v>
      </c>
      <c r="AA52" s="145"/>
      <c r="AB52" s="145"/>
      <c r="AC52" s="59" t="s">
        <v>137</v>
      </c>
      <c r="AD52" s="60"/>
      <c r="AE52" s="40" t="s">
        <v>138</v>
      </c>
      <c r="AF52" s="80"/>
      <c r="AG52" s="65" t="s">
        <v>52</v>
      </c>
      <c r="AH52">
        <f>VLOOKUP(L9,Y61:AE67,7,0)</f>
        <v>0</v>
      </c>
      <c r="AJ52" s="93">
        <v>-22</v>
      </c>
      <c r="AK52" s="103">
        <v>-7.21428571428571</v>
      </c>
    </row>
    <row r="53" spans="2:37" x14ac:dyDescent="0.25">
      <c r="B53" s="19">
        <f t="shared" si="3"/>
        <v>1001</v>
      </c>
      <c r="C53" s="20">
        <v>1500</v>
      </c>
      <c r="D53" s="140" t="s">
        <v>15</v>
      </c>
      <c r="E53" s="140"/>
      <c r="F53" s="21">
        <v>18</v>
      </c>
      <c r="G53" s="25">
        <f t="shared" si="4"/>
        <v>32001</v>
      </c>
      <c r="H53" s="23">
        <v>64000</v>
      </c>
      <c r="I53" s="24">
        <v>18</v>
      </c>
      <c r="K53" s="3">
        <v>1</v>
      </c>
      <c r="L53" s="119" t="s">
        <v>22</v>
      </c>
      <c r="M53" s="119"/>
      <c r="N53" s="119"/>
      <c r="O53" s="14">
        <v>-6</v>
      </c>
      <c r="P53" s="43"/>
      <c r="Q53" s="81">
        <v>-7</v>
      </c>
      <c r="R53" s="7">
        <v>1</v>
      </c>
      <c r="S53" s="137" t="s">
        <v>37</v>
      </c>
      <c r="T53" s="137"/>
      <c r="U53" s="137"/>
      <c r="V53" s="34">
        <v>-1</v>
      </c>
      <c r="W53" s="34">
        <v>0</v>
      </c>
      <c r="X53" s="34">
        <v>-1</v>
      </c>
      <c r="Y53" s="7">
        <v>1</v>
      </c>
      <c r="Z53" s="150" t="s">
        <v>44</v>
      </c>
      <c r="AA53" s="150"/>
      <c r="AB53" s="150"/>
      <c r="AC53" s="13">
        <v>-1</v>
      </c>
      <c r="AD53" s="35">
        <v>-3</v>
      </c>
      <c r="AE53" s="35">
        <v>0.05</v>
      </c>
      <c r="AF53" s="35"/>
      <c r="AG53" s="97" t="s">
        <v>170</v>
      </c>
      <c r="AH53" s="96"/>
      <c r="AJ53" s="93">
        <v>-21</v>
      </c>
      <c r="AK53" s="103">
        <v>-6.8571428571428603</v>
      </c>
    </row>
    <row r="54" spans="2:37" x14ac:dyDescent="0.25">
      <c r="B54" s="19">
        <f t="shared" si="3"/>
        <v>1501</v>
      </c>
      <c r="C54" s="20">
        <v>3000</v>
      </c>
      <c r="D54" s="140" t="s">
        <v>15</v>
      </c>
      <c r="E54" s="140"/>
      <c r="F54" s="21">
        <v>20</v>
      </c>
      <c r="G54" s="25">
        <f t="shared" si="4"/>
        <v>64001</v>
      </c>
      <c r="H54" s="23">
        <v>128000</v>
      </c>
      <c r="I54" s="24">
        <v>20</v>
      </c>
      <c r="K54" s="10">
        <v>2</v>
      </c>
      <c r="L54" s="151" t="s">
        <v>23</v>
      </c>
      <c r="M54" s="151"/>
      <c r="N54" s="151"/>
      <c r="O54" s="12">
        <v>-3</v>
      </c>
      <c r="P54" s="44"/>
      <c r="Q54" s="79">
        <v>-5</v>
      </c>
      <c r="R54" s="8">
        <v>2</v>
      </c>
      <c r="S54" s="137" t="s">
        <v>38</v>
      </c>
      <c r="T54" s="137"/>
      <c r="U54" s="137"/>
      <c r="V54" s="35">
        <v>0</v>
      </c>
      <c r="W54" s="35">
        <v>0.01</v>
      </c>
      <c r="X54" s="35">
        <v>1</v>
      </c>
      <c r="Y54" s="8">
        <v>2</v>
      </c>
      <c r="Z54" s="146" t="s">
        <v>45</v>
      </c>
      <c r="AA54" s="146"/>
      <c r="AB54" s="146"/>
      <c r="AC54" s="15">
        <v>0</v>
      </c>
      <c r="AD54" s="35">
        <v>-2</v>
      </c>
      <c r="AE54" s="35">
        <v>0.1</v>
      </c>
      <c r="AF54" s="35"/>
      <c r="AG54" t="s">
        <v>171</v>
      </c>
      <c r="AH54">
        <f>VLOOKUP(B5,K45:Q51,7,0)</f>
        <v>3</v>
      </c>
      <c r="AJ54" s="93">
        <v>-20</v>
      </c>
      <c r="AK54" s="103">
        <v>-6.5</v>
      </c>
    </row>
    <row r="55" spans="2:37" x14ac:dyDescent="0.25">
      <c r="B55" s="19">
        <f t="shared" si="3"/>
        <v>3001</v>
      </c>
      <c r="C55" s="20">
        <v>6000</v>
      </c>
      <c r="D55" s="140" t="s">
        <v>7</v>
      </c>
      <c r="E55" s="140"/>
      <c r="F55" s="21">
        <v>22</v>
      </c>
      <c r="G55" s="25">
        <f t="shared" si="4"/>
        <v>128001</v>
      </c>
      <c r="H55" s="23">
        <v>256000</v>
      </c>
      <c r="I55" s="24">
        <v>22</v>
      </c>
      <c r="K55" s="10">
        <v>3</v>
      </c>
      <c r="L55" s="151" t="s">
        <v>24</v>
      </c>
      <c r="M55" s="151"/>
      <c r="N55" s="151"/>
      <c r="O55" s="12">
        <v>-1</v>
      </c>
      <c r="P55" s="44"/>
      <c r="Q55" s="79">
        <v>-3</v>
      </c>
      <c r="R55" s="8">
        <v>3</v>
      </c>
      <c r="S55" s="137" t="s">
        <v>39</v>
      </c>
      <c r="T55" s="137"/>
      <c r="U55" s="137"/>
      <c r="V55" s="35">
        <v>1</v>
      </c>
      <c r="W55" s="35">
        <v>0.02</v>
      </c>
      <c r="X55" s="35">
        <v>2</v>
      </c>
      <c r="Y55" s="8">
        <v>3</v>
      </c>
      <c r="Z55" s="146" t="s">
        <v>46</v>
      </c>
      <c r="AA55" s="146"/>
      <c r="AB55" s="146"/>
      <c r="AC55" s="15">
        <v>1</v>
      </c>
      <c r="AD55" s="35">
        <v>1</v>
      </c>
      <c r="AE55" s="35">
        <v>0.2</v>
      </c>
      <c r="AF55" s="35"/>
      <c r="AG55" t="s">
        <v>21</v>
      </c>
      <c r="AH55">
        <f>VLOOKUP(B7,K53:Q59,7,0)</f>
        <v>-7</v>
      </c>
      <c r="AJ55" s="93">
        <v>-19</v>
      </c>
      <c r="AK55" s="103">
        <v>-6.1428571428571397</v>
      </c>
    </row>
    <row r="56" spans="2:37" x14ac:dyDescent="0.25">
      <c r="B56" s="19">
        <f t="shared" si="3"/>
        <v>6001</v>
      </c>
      <c r="C56" s="20">
        <v>10000</v>
      </c>
      <c r="D56" s="140" t="s">
        <v>14</v>
      </c>
      <c r="E56" s="140"/>
      <c r="F56" s="21">
        <v>24</v>
      </c>
      <c r="G56" s="25">
        <f t="shared" si="4"/>
        <v>256001</v>
      </c>
      <c r="H56" s="23">
        <v>5120000</v>
      </c>
      <c r="I56" s="24">
        <v>24</v>
      </c>
      <c r="K56" s="10">
        <v>4</v>
      </c>
      <c r="L56" s="151" t="s">
        <v>25</v>
      </c>
      <c r="M56" s="151"/>
      <c r="N56" s="151"/>
      <c r="O56" s="12">
        <v>2</v>
      </c>
      <c r="P56" s="44"/>
      <c r="Q56" s="79">
        <v>1</v>
      </c>
      <c r="R56" s="8">
        <v>4</v>
      </c>
      <c r="S56" s="137" t="s">
        <v>148</v>
      </c>
      <c r="T56" s="137"/>
      <c r="U56" s="137"/>
      <c r="V56" s="35">
        <v>3</v>
      </c>
      <c r="W56" s="35">
        <v>0.1</v>
      </c>
      <c r="X56" s="35">
        <v>3</v>
      </c>
      <c r="Y56" s="8">
        <v>4</v>
      </c>
      <c r="Z56" s="146" t="s">
        <v>47</v>
      </c>
      <c r="AA56" s="146"/>
      <c r="AB56" s="146"/>
      <c r="AC56" s="15">
        <v>3</v>
      </c>
      <c r="AD56" s="35">
        <v>2</v>
      </c>
      <c r="AE56" s="35">
        <v>0.3</v>
      </c>
      <c r="AF56" s="35"/>
      <c r="AG56" t="s">
        <v>29</v>
      </c>
      <c r="AH56">
        <f>VLOOKUP(G7,R53:X59,7,0)</f>
        <v>-1</v>
      </c>
      <c r="AJ56" s="93">
        <v>-18</v>
      </c>
      <c r="AK56" s="103">
        <v>-5.7857142857142803</v>
      </c>
    </row>
    <row r="57" spans="2:37" x14ac:dyDescent="0.25">
      <c r="B57" s="19">
        <f t="shared" si="3"/>
        <v>10001</v>
      </c>
      <c r="C57" s="20">
        <v>15000</v>
      </c>
      <c r="D57" s="140" t="s">
        <v>13</v>
      </c>
      <c r="E57" s="140"/>
      <c r="F57" s="21">
        <v>26</v>
      </c>
      <c r="G57" s="25">
        <f t="shared" si="4"/>
        <v>5120001</v>
      </c>
      <c r="H57" s="23">
        <v>1024000</v>
      </c>
      <c r="I57" s="24">
        <v>26</v>
      </c>
      <c r="K57" s="10">
        <v>5</v>
      </c>
      <c r="L57" s="151" t="s">
        <v>26</v>
      </c>
      <c r="M57" s="151"/>
      <c r="N57" s="151"/>
      <c r="O57" s="12">
        <v>4</v>
      </c>
      <c r="P57" s="44"/>
      <c r="Q57" s="79">
        <v>2</v>
      </c>
      <c r="R57" s="8">
        <v>5</v>
      </c>
      <c r="S57" s="137" t="s">
        <v>40</v>
      </c>
      <c r="T57" s="137"/>
      <c r="U57" s="137"/>
      <c r="V57" s="35">
        <v>6</v>
      </c>
      <c r="W57" s="35">
        <v>0.15</v>
      </c>
      <c r="X57" s="35">
        <v>4</v>
      </c>
      <c r="Y57" s="8">
        <v>5</v>
      </c>
      <c r="Z57" s="146" t="s">
        <v>48</v>
      </c>
      <c r="AA57" s="146"/>
      <c r="AB57" s="146"/>
      <c r="AC57" s="15">
        <v>6</v>
      </c>
      <c r="AD57" s="35">
        <v>3</v>
      </c>
      <c r="AE57" s="35">
        <v>0.5</v>
      </c>
      <c r="AF57" s="35"/>
      <c r="AG57" t="s">
        <v>43</v>
      </c>
      <c r="AH57">
        <f>VLOOKUP(L7,Y53:AD59,6,0)</f>
        <v>-3</v>
      </c>
      <c r="AJ57" s="93">
        <v>-17</v>
      </c>
      <c r="AK57" s="103">
        <v>-5.4285714285714297</v>
      </c>
    </row>
    <row r="58" spans="2:37" x14ac:dyDescent="0.25">
      <c r="B58" s="19">
        <f t="shared" si="3"/>
        <v>15001</v>
      </c>
      <c r="C58" s="20">
        <v>25000</v>
      </c>
      <c r="D58" s="140" t="s">
        <v>12</v>
      </c>
      <c r="E58" s="140"/>
      <c r="F58" s="21">
        <v>28</v>
      </c>
      <c r="G58" s="25">
        <f t="shared" si="4"/>
        <v>1024001</v>
      </c>
      <c r="H58" s="23">
        <v>2048000</v>
      </c>
      <c r="I58" s="24">
        <v>28</v>
      </c>
      <c r="K58" s="10">
        <v>6</v>
      </c>
      <c r="L58" s="151" t="s">
        <v>27</v>
      </c>
      <c r="M58" s="151"/>
      <c r="N58" s="151"/>
      <c r="O58" s="12">
        <v>8</v>
      </c>
      <c r="P58" s="44"/>
      <c r="Q58" s="79">
        <v>3</v>
      </c>
      <c r="R58" s="8">
        <v>6</v>
      </c>
      <c r="S58" s="137" t="s">
        <v>41</v>
      </c>
      <c r="T58" s="137"/>
      <c r="U58" s="137"/>
      <c r="V58" s="35">
        <v>9</v>
      </c>
      <c r="W58" s="35">
        <v>0.2</v>
      </c>
      <c r="X58" s="35">
        <v>5</v>
      </c>
      <c r="Y58" s="8">
        <v>6</v>
      </c>
      <c r="Z58" s="146" t="s">
        <v>49</v>
      </c>
      <c r="AA58" s="146"/>
      <c r="AB58" s="146"/>
      <c r="AC58" s="15">
        <v>9</v>
      </c>
      <c r="AD58" s="35">
        <v>4</v>
      </c>
      <c r="AE58" s="35">
        <v>0.6</v>
      </c>
      <c r="AF58" s="35"/>
      <c r="AG58" t="s">
        <v>142</v>
      </c>
      <c r="AH58">
        <f>VLOOKUP(B9,K61:Q67,7,0)</f>
        <v>-5</v>
      </c>
      <c r="AJ58" s="93">
        <v>-16</v>
      </c>
      <c r="AK58" s="103">
        <v>-5.0714285714285703</v>
      </c>
    </row>
    <row r="59" spans="2:37" ht="15.75" thickBot="1" x14ac:dyDescent="0.3">
      <c r="B59" s="19">
        <f t="shared" si="3"/>
        <v>25001</v>
      </c>
      <c r="C59" s="20">
        <v>50000</v>
      </c>
      <c r="D59" s="140" t="s">
        <v>11</v>
      </c>
      <c r="E59" s="140"/>
      <c r="F59" s="21">
        <v>30</v>
      </c>
      <c r="G59" s="25">
        <f t="shared" si="4"/>
        <v>2048001</v>
      </c>
      <c r="H59" s="23">
        <v>4096000</v>
      </c>
      <c r="I59" s="24">
        <v>30</v>
      </c>
      <c r="K59" s="11">
        <v>7</v>
      </c>
      <c r="L59" s="148" t="s">
        <v>28</v>
      </c>
      <c r="M59" s="148"/>
      <c r="N59" s="148"/>
      <c r="O59" s="16">
        <v>16</v>
      </c>
      <c r="P59" s="42"/>
      <c r="Q59" s="78">
        <v>4</v>
      </c>
      <c r="R59" s="9">
        <v>7</v>
      </c>
      <c r="S59" s="148" t="s">
        <v>42</v>
      </c>
      <c r="T59" s="148"/>
      <c r="U59" s="148"/>
      <c r="V59" s="36">
        <v>12</v>
      </c>
      <c r="W59" s="36">
        <v>0.3</v>
      </c>
      <c r="X59" s="36">
        <v>6</v>
      </c>
      <c r="Y59" s="9">
        <v>7</v>
      </c>
      <c r="Z59" s="147" t="s">
        <v>50</v>
      </c>
      <c r="AA59" s="147"/>
      <c r="AB59" s="147"/>
      <c r="AC59" s="17">
        <v>12</v>
      </c>
      <c r="AD59" s="35">
        <v>5</v>
      </c>
      <c r="AE59" s="35">
        <v>0.8</v>
      </c>
      <c r="AF59" s="35"/>
      <c r="AG59" t="s">
        <v>51</v>
      </c>
      <c r="AH59">
        <f>VLOOKUP(G9,R61:X67,7,0)</f>
        <v>0</v>
      </c>
      <c r="AJ59" s="93">
        <v>-15</v>
      </c>
      <c r="AK59" s="103">
        <v>-4.71428571428571</v>
      </c>
    </row>
    <row r="60" spans="2:37" ht="15.75" thickBot="1" x14ac:dyDescent="0.3">
      <c r="B60" s="19">
        <f t="shared" si="3"/>
        <v>50001</v>
      </c>
      <c r="C60" s="20">
        <v>100000</v>
      </c>
      <c r="D60" s="140" t="s">
        <v>10</v>
      </c>
      <c r="E60" s="140"/>
      <c r="F60" s="21">
        <v>32</v>
      </c>
      <c r="G60" s="25">
        <f t="shared" si="4"/>
        <v>4096001</v>
      </c>
      <c r="H60" s="23">
        <v>8192000</v>
      </c>
      <c r="I60" s="24">
        <v>32</v>
      </c>
      <c r="K60" s="4" t="s">
        <v>137</v>
      </c>
      <c r="L60" s="143" t="s">
        <v>142</v>
      </c>
      <c r="M60" s="143"/>
      <c r="N60" s="143"/>
      <c r="O60" s="5"/>
      <c r="P60" s="40" t="s">
        <v>17</v>
      </c>
      <c r="Q60" s="80"/>
      <c r="R60" s="6" t="s">
        <v>137</v>
      </c>
      <c r="S60" s="108" t="s">
        <v>51</v>
      </c>
      <c r="T60" s="108"/>
      <c r="U60" s="108"/>
      <c r="V60" s="6"/>
      <c r="W60" s="40" t="s">
        <v>17</v>
      </c>
      <c r="X60" s="80"/>
      <c r="Y60" s="6" t="s">
        <v>137</v>
      </c>
      <c r="Z60" s="143" t="s">
        <v>52</v>
      </c>
      <c r="AA60" s="143"/>
      <c r="AB60" s="143"/>
      <c r="AC60" s="60" t="s">
        <v>138</v>
      </c>
      <c r="AD60" s="60" t="s">
        <v>170</v>
      </c>
      <c r="AG60" t="s">
        <v>52</v>
      </c>
      <c r="AH60">
        <f>VLOOKUP(L9,Y61:AD67,6,0)</f>
        <v>-3</v>
      </c>
      <c r="AJ60" s="93">
        <v>-14</v>
      </c>
      <c r="AK60" s="103">
        <v>-4.3571428571428603</v>
      </c>
    </row>
    <row r="61" spans="2:37" x14ac:dyDescent="0.25">
      <c r="B61" s="19">
        <f t="shared" si="3"/>
        <v>100001</v>
      </c>
      <c r="C61" s="20">
        <v>250000</v>
      </c>
      <c r="D61" s="140" t="s">
        <v>9</v>
      </c>
      <c r="E61" s="140"/>
      <c r="F61" s="21">
        <v>34</v>
      </c>
      <c r="G61" s="25">
        <f t="shared" si="4"/>
        <v>8192001</v>
      </c>
      <c r="H61" s="23">
        <v>16384000</v>
      </c>
      <c r="I61" s="24">
        <v>34</v>
      </c>
      <c r="K61" s="10">
        <v>1</v>
      </c>
      <c r="L61" s="151" t="s">
        <v>140</v>
      </c>
      <c r="M61" s="151"/>
      <c r="N61" s="151"/>
      <c r="O61" s="12">
        <v>-3</v>
      </c>
      <c r="P61" s="44">
        <v>0.2</v>
      </c>
      <c r="Q61" s="79">
        <v>-5</v>
      </c>
      <c r="R61" s="7">
        <v>1</v>
      </c>
      <c r="S61" s="137" t="s">
        <v>44</v>
      </c>
      <c r="T61" s="137"/>
      <c r="U61" s="137"/>
      <c r="V61" s="13">
        <v>0</v>
      </c>
      <c r="W61" s="34">
        <v>0</v>
      </c>
      <c r="X61" s="34">
        <v>0</v>
      </c>
      <c r="Y61" s="7">
        <v>1</v>
      </c>
      <c r="Z61" s="149" t="s">
        <v>44</v>
      </c>
      <c r="AA61" s="149"/>
      <c r="AB61" s="149"/>
      <c r="AC61" s="14">
        <v>0</v>
      </c>
      <c r="AD61" s="79">
        <v>-3</v>
      </c>
      <c r="AE61" s="35">
        <v>0</v>
      </c>
      <c r="AF61" s="35"/>
      <c r="AG61" t="s">
        <v>53</v>
      </c>
      <c r="AH61">
        <f>VLOOKUP(B11,K69:Q75,7,0)</f>
        <v>-3</v>
      </c>
      <c r="AJ61" s="93">
        <v>-13</v>
      </c>
      <c r="AK61" s="103">
        <v>-4</v>
      </c>
    </row>
    <row r="62" spans="2:37" ht="15.75" thickBot="1" x14ac:dyDescent="0.3">
      <c r="B62" s="26">
        <f t="shared" si="3"/>
        <v>250001</v>
      </c>
      <c r="C62" s="27">
        <v>500000</v>
      </c>
      <c r="D62" s="144" t="s">
        <v>8</v>
      </c>
      <c r="E62" s="144"/>
      <c r="F62" s="28">
        <v>36</v>
      </c>
      <c r="G62" s="29">
        <f t="shared" si="4"/>
        <v>16384001</v>
      </c>
      <c r="H62" s="30">
        <v>32768000</v>
      </c>
      <c r="I62" s="31">
        <v>36</v>
      </c>
      <c r="K62" s="10">
        <v>2</v>
      </c>
      <c r="L62" s="151" t="s">
        <v>141</v>
      </c>
      <c r="M62" s="151"/>
      <c r="N62" s="151"/>
      <c r="O62" s="12">
        <v>-2</v>
      </c>
      <c r="P62" s="44">
        <v>0.1</v>
      </c>
      <c r="Q62" s="79">
        <v>-3</v>
      </c>
      <c r="R62" s="8">
        <v>2</v>
      </c>
      <c r="S62" s="137" t="s">
        <v>63</v>
      </c>
      <c r="T62" s="137"/>
      <c r="U62" s="137"/>
      <c r="V62" s="15">
        <v>-1</v>
      </c>
      <c r="W62" s="35">
        <v>0.02</v>
      </c>
      <c r="X62" s="35">
        <v>-1</v>
      </c>
      <c r="Y62" s="8">
        <v>2</v>
      </c>
      <c r="Z62" s="149" t="s">
        <v>76</v>
      </c>
      <c r="AA62" s="149"/>
      <c r="AB62" s="149"/>
      <c r="AC62" s="12">
        <v>2</v>
      </c>
      <c r="AD62" s="79">
        <v>-2</v>
      </c>
      <c r="AE62" s="35">
        <v>0.05</v>
      </c>
      <c r="AF62" s="35"/>
      <c r="AG62" t="s">
        <v>54</v>
      </c>
      <c r="AH62">
        <f>VLOOKUP(G11,R69:X75,7,0)</f>
        <v>-3</v>
      </c>
      <c r="AJ62" s="93">
        <v>-12</v>
      </c>
      <c r="AK62" s="103">
        <v>-3.6428571428571401</v>
      </c>
    </row>
    <row r="63" spans="2:37" x14ac:dyDescent="0.25">
      <c r="F63" s="1"/>
      <c r="K63" s="10">
        <v>3</v>
      </c>
      <c r="L63" s="151" t="s">
        <v>143</v>
      </c>
      <c r="M63" s="151"/>
      <c r="N63" s="151"/>
      <c r="O63" s="12">
        <v>-1</v>
      </c>
      <c r="P63" s="44">
        <v>0</v>
      </c>
      <c r="Q63" s="79">
        <v>-1</v>
      </c>
      <c r="R63" s="8">
        <v>3</v>
      </c>
      <c r="S63" s="137" t="s">
        <v>64</v>
      </c>
      <c r="T63" s="137"/>
      <c r="U63" s="137"/>
      <c r="V63" s="15">
        <v>-2</v>
      </c>
      <c r="W63" s="35">
        <v>0.03</v>
      </c>
      <c r="X63" s="35">
        <v>-2</v>
      </c>
      <c r="Y63" s="8">
        <v>3</v>
      </c>
      <c r="Z63" s="149" t="s">
        <v>77</v>
      </c>
      <c r="AA63" s="149"/>
      <c r="AB63" s="149"/>
      <c r="AC63" s="12">
        <v>4</v>
      </c>
      <c r="AD63" s="79">
        <v>-1</v>
      </c>
      <c r="AE63" s="35">
        <v>0.08</v>
      </c>
      <c r="AF63" s="35"/>
      <c r="AG63" t="s">
        <v>55</v>
      </c>
      <c r="AH63">
        <f>VLOOKUP(L11,Y69:AD75,6,0)</f>
        <v>-4</v>
      </c>
      <c r="AJ63" s="93">
        <v>-11</v>
      </c>
      <c r="AK63" s="103">
        <v>-3.2857142857142798</v>
      </c>
    </row>
    <row r="64" spans="2:37" x14ac:dyDescent="0.25">
      <c r="B64" s="137" t="s">
        <v>182</v>
      </c>
      <c r="C64" s="137"/>
      <c r="D64" s="137"/>
      <c r="E64">
        <f>B5</f>
        <v>1</v>
      </c>
      <c r="K64" s="10">
        <v>4</v>
      </c>
      <c r="L64" s="151" t="s">
        <v>144</v>
      </c>
      <c r="M64" s="151"/>
      <c r="N64" s="151"/>
      <c r="O64" s="12">
        <v>0</v>
      </c>
      <c r="P64" s="44">
        <v>0.12</v>
      </c>
      <c r="Q64" s="79">
        <v>1</v>
      </c>
      <c r="R64" s="8">
        <v>4</v>
      </c>
      <c r="S64" s="137" t="s">
        <v>65</v>
      </c>
      <c r="T64" s="137"/>
      <c r="U64" s="137"/>
      <c r="V64" s="15">
        <v>-3</v>
      </c>
      <c r="W64" s="35">
        <v>0.05</v>
      </c>
      <c r="X64" s="35">
        <v>-3</v>
      </c>
      <c r="Y64" s="8">
        <v>4</v>
      </c>
      <c r="Z64" s="149" t="s">
        <v>78</v>
      </c>
      <c r="AA64" s="149"/>
      <c r="AB64" s="149"/>
      <c r="AC64" s="12">
        <v>6</v>
      </c>
      <c r="AD64" s="79">
        <v>0</v>
      </c>
      <c r="AE64" s="35">
        <v>0.1</v>
      </c>
      <c r="AF64" s="35"/>
      <c r="AJ64" s="93">
        <v>-10</v>
      </c>
      <c r="AK64" s="103">
        <v>-2.9285714285714302</v>
      </c>
    </row>
    <row r="65" spans="2:37" x14ac:dyDescent="0.25">
      <c r="B65" s="137" t="s">
        <v>21</v>
      </c>
      <c r="C65" s="137"/>
      <c r="D65" s="137"/>
      <c r="E65" s="2">
        <f>B7</f>
        <v>1</v>
      </c>
      <c r="K65" s="10">
        <v>5</v>
      </c>
      <c r="L65" s="151" t="s">
        <v>145</v>
      </c>
      <c r="M65" s="151"/>
      <c r="N65" s="151"/>
      <c r="O65" s="12">
        <v>1</v>
      </c>
      <c r="P65" s="44">
        <v>0.18</v>
      </c>
      <c r="Q65" s="79">
        <v>2</v>
      </c>
      <c r="R65" s="8">
        <v>5</v>
      </c>
      <c r="S65" s="137" t="s">
        <v>66</v>
      </c>
      <c r="T65" s="137"/>
      <c r="U65" s="137"/>
      <c r="V65" s="15">
        <v>-6</v>
      </c>
      <c r="W65" s="35">
        <v>0.1</v>
      </c>
      <c r="X65" s="35">
        <v>-4</v>
      </c>
      <c r="Y65" s="8">
        <v>5</v>
      </c>
      <c r="Z65" s="149" t="s">
        <v>79</v>
      </c>
      <c r="AA65" s="149"/>
      <c r="AB65" s="149"/>
      <c r="AC65" s="12">
        <v>12</v>
      </c>
      <c r="AD65" s="79">
        <v>1</v>
      </c>
      <c r="AE65" s="35">
        <v>0.15</v>
      </c>
      <c r="AF65" s="35"/>
      <c r="AJ65" s="93">
        <v>-9</v>
      </c>
      <c r="AK65" s="103">
        <v>-2.5714285714285698</v>
      </c>
    </row>
    <row r="66" spans="2:37" x14ac:dyDescent="0.25">
      <c r="B66" s="137" t="s">
        <v>142</v>
      </c>
      <c r="C66" s="137"/>
      <c r="D66" s="137"/>
      <c r="E66">
        <f>B9</f>
        <v>1</v>
      </c>
      <c r="K66" s="10">
        <v>6</v>
      </c>
      <c r="L66" s="151" t="s">
        <v>146</v>
      </c>
      <c r="M66" s="151"/>
      <c r="N66" s="151"/>
      <c r="O66" s="12">
        <v>2</v>
      </c>
      <c r="P66" s="44">
        <v>0.25</v>
      </c>
      <c r="Q66" s="79">
        <v>3</v>
      </c>
      <c r="R66" s="8">
        <v>6</v>
      </c>
      <c r="S66" s="137" t="s">
        <v>67</v>
      </c>
      <c r="T66" s="137"/>
      <c r="U66" s="137"/>
      <c r="V66" s="15">
        <v>-9</v>
      </c>
      <c r="W66" s="35">
        <v>0.3</v>
      </c>
      <c r="X66" s="35">
        <v>-5</v>
      </c>
      <c r="Y66" s="8">
        <v>6</v>
      </c>
      <c r="Z66" s="149" t="s">
        <v>80</v>
      </c>
      <c r="AA66" s="149"/>
      <c r="AB66" s="149"/>
      <c r="AC66" s="12">
        <v>24</v>
      </c>
      <c r="AD66" s="79">
        <v>2</v>
      </c>
      <c r="AE66" s="35">
        <v>0.2</v>
      </c>
      <c r="AF66" s="35"/>
      <c r="AG66" s="41"/>
      <c r="AJ66" s="93">
        <v>-8</v>
      </c>
      <c r="AK66" s="103">
        <v>-2.21428571428571</v>
      </c>
    </row>
    <row r="67" spans="2:37" ht="15.75" thickBot="1" x14ac:dyDescent="0.3">
      <c r="B67" s="137" t="s">
        <v>53</v>
      </c>
      <c r="C67" s="137"/>
      <c r="D67" s="137"/>
      <c r="E67">
        <f>B11</f>
        <v>1</v>
      </c>
      <c r="K67" s="11">
        <v>7</v>
      </c>
      <c r="L67" s="148" t="s">
        <v>147</v>
      </c>
      <c r="M67" s="148"/>
      <c r="N67" s="148"/>
      <c r="O67" s="16">
        <v>3</v>
      </c>
      <c r="P67" s="42">
        <v>0.3</v>
      </c>
      <c r="Q67" s="78">
        <v>4</v>
      </c>
      <c r="R67" s="9">
        <v>7</v>
      </c>
      <c r="S67" s="137" t="s">
        <v>68</v>
      </c>
      <c r="T67" s="137"/>
      <c r="U67" s="137"/>
      <c r="V67" s="17">
        <v>-12</v>
      </c>
      <c r="W67" s="35">
        <v>0.5</v>
      </c>
      <c r="X67" s="35">
        <v>-6</v>
      </c>
      <c r="Y67" s="8">
        <v>7</v>
      </c>
      <c r="Z67" s="149" t="s">
        <v>81</v>
      </c>
      <c r="AA67" s="149"/>
      <c r="AB67" s="149"/>
      <c r="AC67" s="12">
        <v>48</v>
      </c>
      <c r="AD67" s="79">
        <v>3</v>
      </c>
      <c r="AE67" s="35">
        <v>0.3</v>
      </c>
      <c r="AF67" s="35"/>
      <c r="AJ67" s="93">
        <v>-7</v>
      </c>
      <c r="AK67" s="103">
        <v>-1.8571428571428501</v>
      </c>
    </row>
    <row r="68" spans="2:37" ht="15.75" thickBot="1" x14ac:dyDescent="0.3">
      <c r="B68" s="137" t="s">
        <v>19</v>
      </c>
      <c r="C68" s="137"/>
      <c r="D68" s="137"/>
      <c r="E68">
        <f>G5</f>
        <v>1</v>
      </c>
      <c r="K68" s="18" t="s">
        <v>137</v>
      </c>
      <c r="L68" s="108" t="s">
        <v>53</v>
      </c>
      <c r="M68" s="108"/>
      <c r="N68" s="108"/>
      <c r="O68" s="6"/>
      <c r="P68" s="40" t="s">
        <v>138</v>
      </c>
      <c r="Q68" s="80"/>
      <c r="R68" s="6" t="s">
        <v>137</v>
      </c>
      <c r="S68" s="108" t="s">
        <v>54</v>
      </c>
      <c r="T68" s="108"/>
      <c r="U68" s="108"/>
      <c r="V68" s="6"/>
      <c r="W68" s="40" t="s">
        <v>138</v>
      </c>
      <c r="X68" s="80"/>
      <c r="Y68" s="4" t="s">
        <v>137</v>
      </c>
      <c r="Z68" s="145" t="s">
        <v>55</v>
      </c>
      <c r="AA68" s="145"/>
      <c r="AB68" s="145"/>
      <c r="AC68" s="59" t="s">
        <v>137</v>
      </c>
      <c r="AD68" s="60"/>
      <c r="AE68" s="40" t="s">
        <v>138</v>
      </c>
      <c r="AF68" s="108" t="s">
        <v>175</v>
      </c>
      <c r="AG68" s="108"/>
      <c r="AJ68" s="93">
        <v>-6</v>
      </c>
      <c r="AK68" s="103">
        <v>-1.5</v>
      </c>
    </row>
    <row r="69" spans="2:37" x14ac:dyDescent="0.25">
      <c r="B69" s="137" t="s">
        <v>29</v>
      </c>
      <c r="C69" s="137"/>
      <c r="D69" s="137"/>
      <c r="E69">
        <f>G7</f>
        <v>1</v>
      </c>
      <c r="K69" s="3">
        <v>1</v>
      </c>
      <c r="L69" s="119" t="s">
        <v>44</v>
      </c>
      <c r="M69" s="119"/>
      <c r="N69" s="119"/>
      <c r="O69" s="14">
        <v>0</v>
      </c>
      <c r="P69" s="43">
        <v>0.01</v>
      </c>
      <c r="Q69" s="81">
        <v>-3</v>
      </c>
      <c r="R69" s="7">
        <v>1</v>
      </c>
      <c r="S69" s="149" t="s">
        <v>88</v>
      </c>
      <c r="T69" s="149"/>
      <c r="U69" s="149"/>
      <c r="V69" s="34">
        <v>-2</v>
      </c>
      <c r="W69" s="34">
        <v>0</v>
      </c>
      <c r="X69" s="34">
        <v>-3</v>
      </c>
      <c r="Y69" s="7">
        <v>1</v>
      </c>
      <c r="Z69" s="150" t="s">
        <v>95</v>
      </c>
      <c r="AA69" s="150"/>
      <c r="AB69" s="150"/>
      <c r="AC69" s="13">
        <v>-15</v>
      </c>
      <c r="AD69" s="35">
        <v>-4</v>
      </c>
      <c r="AE69" s="35">
        <v>0.25</v>
      </c>
      <c r="AF69" s="109">
        <f>VLOOKUP(L11,Y69:AE75,7,0)</f>
        <v>0.25</v>
      </c>
      <c r="AG69" s="109"/>
      <c r="AJ69" s="93">
        <v>-5</v>
      </c>
      <c r="AK69" s="103">
        <v>-1.1428571428571399</v>
      </c>
    </row>
    <row r="70" spans="2:37" x14ac:dyDescent="0.25">
      <c r="B70" s="137" t="s">
        <v>51</v>
      </c>
      <c r="C70" s="137"/>
      <c r="D70" s="137"/>
      <c r="E70">
        <f>G9</f>
        <v>1</v>
      </c>
      <c r="K70" s="10">
        <v>2</v>
      </c>
      <c r="L70" s="151" t="s">
        <v>82</v>
      </c>
      <c r="M70" s="151"/>
      <c r="N70" s="151"/>
      <c r="O70" s="12">
        <v>1</v>
      </c>
      <c r="P70" s="44">
        <v>0.05</v>
      </c>
      <c r="Q70" s="79">
        <v>-2</v>
      </c>
      <c r="R70" s="8">
        <v>2</v>
      </c>
      <c r="S70" s="149" t="s">
        <v>89</v>
      </c>
      <c r="T70" s="149"/>
      <c r="U70" s="149"/>
      <c r="V70" s="35">
        <v>-1</v>
      </c>
      <c r="W70" s="35">
        <v>0.01</v>
      </c>
      <c r="X70" s="35">
        <v>-2</v>
      </c>
      <c r="Y70" s="8">
        <v>2</v>
      </c>
      <c r="Z70" s="149" t="s">
        <v>96</v>
      </c>
      <c r="AA70" s="149"/>
      <c r="AB70" s="149"/>
      <c r="AC70" s="15">
        <v>-10</v>
      </c>
      <c r="AD70" s="35">
        <v>-2</v>
      </c>
      <c r="AE70" s="35">
        <v>0.5</v>
      </c>
      <c r="AF70" s="35"/>
      <c r="AJ70" s="93">
        <v>-4</v>
      </c>
      <c r="AK70" s="103">
        <v>-0.78571428571428104</v>
      </c>
    </row>
    <row r="71" spans="2:37" x14ac:dyDescent="0.25">
      <c r="B71" s="137" t="s">
        <v>54</v>
      </c>
      <c r="C71" s="137"/>
      <c r="D71" s="137"/>
      <c r="E71">
        <f>G11</f>
        <v>1</v>
      </c>
      <c r="K71" s="10">
        <v>3</v>
      </c>
      <c r="L71" s="151" t="s">
        <v>83</v>
      </c>
      <c r="M71" s="151"/>
      <c r="N71" s="151"/>
      <c r="O71" s="12">
        <v>2</v>
      </c>
      <c r="P71" s="44">
        <v>0.1</v>
      </c>
      <c r="Q71" s="79">
        <v>-1</v>
      </c>
      <c r="R71" s="8">
        <v>3</v>
      </c>
      <c r="S71" s="149" t="s">
        <v>90</v>
      </c>
      <c r="T71" s="149"/>
      <c r="U71" s="149"/>
      <c r="V71" s="35">
        <v>0</v>
      </c>
      <c r="W71" s="35">
        <v>7.0000000000000007E-2</v>
      </c>
      <c r="X71" s="35">
        <v>-1</v>
      </c>
      <c r="Y71" s="8">
        <v>3</v>
      </c>
      <c r="Z71" s="149" t="s">
        <v>59</v>
      </c>
      <c r="AA71" s="149"/>
      <c r="AB71" s="149"/>
      <c r="AC71" s="15">
        <v>0</v>
      </c>
      <c r="AD71" s="35">
        <v>0</v>
      </c>
      <c r="AE71" s="35">
        <v>1</v>
      </c>
      <c r="AF71" s="35"/>
      <c r="AJ71" s="93">
        <v>-3</v>
      </c>
      <c r="AK71" s="103">
        <v>-0.42857142857143099</v>
      </c>
    </row>
    <row r="72" spans="2:37" x14ac:dyDescent="0.25">
      <c r="B72" s="137" t="s">
        <v>20</v>
      </c>
      <c r="C72" s="137"/>
      <c r="D72" s="137"/>
      <c r="E72">
        <f>L5</f>
        <v>1</v>
      </c>
      <c r="K72" s="10">
        <v>4</v>
      </c>
      <c r="L72" s="151" t="s">
        <v>84</v>
      </c>
      <c r="M72" s="151"/>
      <c r="N72" s="151"/>
      <c r="O72" s="12">
        <v>3</v>
      </c>
      <c r="P72" s="44">
        <v>7.0000000000000007E-2</v>
      </c>
      <c r="Q72" s="79">
        <v>0</v>
      </c>
      <c r="R72" s="8">
        <v>4</v>
      </c>
      <c r="S72" s="149" t="s">
        <v>92</v>
      </c>
      <c r="T72" s="149"/>
      <c r="U72" s="149"/>
      <c r="V72" s="35">
        <v>1</v>
      </c>
      <c r="W72" s="35">
        <v>0.09</v>
      </c>
      <c r="X72" s="35">
        <v>0</v>
      </c>
      <c r="Y72" s="8">
        <v>4</v>
      </c>
      <c r="Z72" s="149" t="s">
        <v>97</v>
      </c>
      <c r="AA72" s="149"/>
      <c r="AB72" s="149"/>
      <c r="AC72" s="15">
        <v>10</v>
      </c>
      <c r="AD72" s="35">
        <v>1</v>
      </c>
      <c r="AE72" s="35">
        <v>2</v>
      </c>
      <c r="AF72" s="35"/>
      <c r="AJ72" s="93">
        <v>-2</v>
      </c>
      <c r="AK72" s="103">
        <v>-7.1428571428571203E-2</v>
      </c>
    </row>
    <row r="73" spans="2:37" x14ac:dyDescent="0.25">
      <c r="B73" s="137" t="s">
        <v>43</v>
      </c>
      <c r="C73" s="137"/>
      <c r="D73" s="137"/>
      <c r="E73">
        <f>L7</f>
        <v>1</v>
      </c>
      <c r="K73" s="10">
        <v>5</v>
      </c>
      <c r="L73" s="151" t="s">
        <v>85</v>
      </c>
      <c r="M73" s="151"/>
      <c r="N73" s="151"/>
      <c r="O73" s="12">
        <v>6</v>
      </c>
      <c r="P73" s="44">
        <v>0.08</v>
      </c>
      <c r="Q73" s="79">
        <v>1</v>
      </c>
      <c r="R73" s="8">
        <v>5</v>
      </c>
      <c r="S73" s="149" t="s">
        <v>91</v>
      </c>
      <c r="T73" s="149"/>
      <c r="U73" s="149"/>
      <c r="V73" s="35">
        <v>4</v>
      </c>
      <c r="W73" s="35">
        <v>0.1</v>
      </c>
      <c r="X73" s="35">
        <v>1</v>
      </c>
      <c r="Y73" s="8">
        <v>5</v>
      </c>
      <c r="Z73" s="149" t="s">
        <v>98</v>
      </c>
      <c r="AA73" s="149"/>
      <c r="AB73" s="149"/>
      <c r="AC73" s="15">
        <v>20</v>
      </c>
      <c r="AD73" s="35">
        <v>2</v>
      </c>
      <c r="AE73" s="35">
        <v>5</v>
      </c>
      <c r="AF73" s="35"/>
      <c r="AJ73" s="93">
        <v>-1</v>
      </c>
      <c r="AK73" s="103">
        <v>0.285714285714329</v>
      </c>
    </row>
    <row r="74" spans="2:37" x14ac:dyDescent="0.25">
      <c r="B74" s="137" t="s">
        <v>52</v>
      </c>
      <c r="C74" s="137"/>
      <c r="D74" s="137"/>
      <c r="E74">
        <f>L9</f>
        <v>1</v>
      </c>
      <c r="K74" s="10">
        <v>6</v>
      </c>
      <c r="L74" s="151" t="s">
        <v>86</v>
      </c>
      <c r="M74" s="151"/>
      <c r="N74" s="151"/>
      <c r="O74" s="12">
        <v>12</v>
      </c>
      <c r="P74" s="44">
        <v>0.3</v>
      </c>
      <c r="Q74" s="79">
        <v>2</v>
      </c>
      <c r="R74" s="8">
        <v>6</v>
      </c>
      <c r="S74" s="149" t="s">
        <v>93</v>
      </c>
      <c r="T74" s="149"/>
      <c r="U74" s="149"/>
      <c r="V74" s="35">
        <v>8</v>
      </c>
      <c r="W74" s="35">
        <v>0.15</v>
      </c>
      <c r="X74" s="35">
        <v>2</v>
      </c>
      <c r="Y74" s="8">
        <v>6</v>
      </c>
      <c r="Z74" s="149" t="s">
        <v>99</v>
      </c>
      <c r="AA74" s="149"/>
      <c r="AB74" s="149"/>
      <c r="AC74" s="15">
        <v>30</v>
      </c>
      <c r="AD74" s="35">
        <v>4</v>
      </c>
      <c r="AE74" s="35">
        <v>20</v>
      </c>
      <c r="AF74" s="35"/>
      <c r="AJ74" s="93">
        <v>0</v>
      </c>
      <c r="AK74" s="103">
        <v>0.64285714285712803</v>
      </c>
    </row>
    <row r="75" spans="2:37" ht="15.75" thickBot="1" x14ac:dyDescent="0.3">
      <c r="B75" s="137" t="s">
        <v>55</v>
      </c>
      <c r="C75" s="137"/>
      <c r="D75" s="137"/>
      <c r="E75">
        <f>L11</f>
        <v>1</v>
      </c>
      <c r="K75" s="11">
        <v>7</v>
      </c>
      <c r="L75" s="148" t="s">
        <v>87</v>
      </c>
      <c r="M75" s="148"/>
      <c r="N75" s="148"/>
      <c r="O75" s="16">
        <v>24</v>
      </c>
      <c r="P75" s="42">
        <v>0.4</v>
      </c>
      <c r="Q75" s="78">
        <v>3</v>
      </c>
      <c r="R75" s="9">
        <v>7</v>
      </c>
      <c r="S75" s="148" t="s">
        <v>94</v>
      </c>
      <c r="T75" s="148"/>
      <c r="U75" s="148"/>
      <c r="V75" s="36">
        <v>16</v>
      </c>
      <c r="W75" s="36">
        <v>0.2</v>
      </c>
      <c r="X75" s="36">
        <v>3</v>
      </c>
      <c r="Y75" s="9">
        <v>7</v>
      </c>
      <c r="Z75" s="147" t="s">
        <v>100</v>
      </c>
      <c r="AA75" s="147"/>
      <c r="AB75" s="147"/>
      <c r="AC75" s="17">
        <v>50</v>
      </c>
      <c r="AD75" s="35">
        <v>6</v>
      </c>
      <c r="AE75" s="35">
        <v>100</v>
      </c>
      <c r="AF75" s="35"/>
      <c r="AJ75" s="93">
        <v>1</v>
      </c>
      <c r="AK75" s="103">
        <v>1.00000000000003</v>
      </c>
    </row>
    <row r="76" spans="2:37" x14ac:dyDescent="0.25">
      <c r="AJ76" s="93">
        <v>2</v>
      </c>
      <c r="AK76" s="103">
        <v>1.3571428571428299</v>
      </c>
    </row>
    <row r="77" spans="2:37" x14ac:dyDescent="0.25">
      <c r="B77" t="s">
        <v>102</v>
      </c>
      <c r="C77" s="105">
        <f>B3</f>
        <v>1000</v>
      </c>
      <c r="K77" s="165" t="s">
        <v>115</v>
      </c>
      <c r="L77" s="165"/>
      <c r="M77" s="45" t="s">
        <v>116</v>
      </c>
      <c r="N77" s="165" t="s">
        <v>114</v>
      </c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99" t="s">
        <v>170</v>
      </c>
      <c r="AJ77" s="93">
        <v>3</v>
      </c>
      <c r="AK77" s="103">
        <v>1.71428571428573</v>
      </c>
    </row>
    <row r="78" spans="2:37" x14ac:dyDescent="0.25">
      <c r="B78" t="s">
        <v>124</v>
      </c>
      <c r="C78" s="106">
        <f>B17</f>
        <v>5</v>
      </c>
      <c r="J78" s="49">
        <v>0.1</v>
      </c>
      <c r="K78" s="55">
        <v>0</v>
      </c>
      <c r="L78" s="56">
        <f>H3*0.1</f>
        <v>55.6</v>
      </c>
      <c r="M78" s="53">
        <v>-3</v>
      </c>
      <c r="N78" s="167" t="s">
        <v>107</v>
      </c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99">
        <v>0</v>
      </c>
      <c r="AJ78" s="93">
        <v>4</v>
      </c>
      <c r="AK78" s="103">
        <v>2.0714285714285299</v>
      </c>
    </row>
    <row r="79" spans="2:37" x14ac:dyDescent="0.25">
      <c r="B79" t="s">
        <v>103</v>
      </c>
      <c r="C79" s="105">
        <f>B19</f>
        <v>1</v>
      </c>
      <c r="J79" s="49">
        <v>0.25</v>
      </c>
      <c r="K79" s="56">
        <f>L78+1</f>
        <v>56.6</v>
      </c>
      <c r="L79" s="56">
        <f>H3*0.25</f>
        <v>139</v>
      </c>
      <c r="M79" s="53">
        <v>-2</v>
      </c>
      <c r="N79" s="167" t="s">
        <v>106</v>
      </c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99">
        <v>1</v>
      </c>
      <c r="AJ79" s="93">
        <v>5</v>
      </c>
      <c r="AK79" s="103">
        <v>2.4285714285714302</v>
      </c>
    </row>
    <row r="80" spans="2:37" x14ac:dyDescent="0.25">
      <c r="J80" s="49">
        <v>0.5</v>
      </c>
      <c r="K80" s="56">
        <f t="shared" ref="K80:K85" si="5">L79+1</f>
        <v>140</v>
      </c>
      <c r="L80" s="56">
        <f>H3*0.5</f>
        <v>278</v>
      </c>
      <c r="M80" s="53">
        <v>-1</v>
      </c>
      <c r="N80" s="167" t="s">
        <v>108</v>
      </c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99">
        <v>1</v>
      </c>
      <c r="AJ80" s="93">
        <v>6</v>
      </c>
      <c r="AK80" s="103">
        <v>2.78571428571433</v>
      </c>
    </row>
    <row r="81" spans="10:37" x14ac:dyDescent="0.25">
      <c r="J81" s="49">
        <v>0.75</v>
      </c>
      <c r="K81" s="56">
        <f t="shared" si="5"/>
        <v>279</v>
      </c>
      <c r="L81" s="56">
        <f>H3*0.75</f>
        <v>417</v>
      </c>
      <c r="M81" s="53">
        <v>3</v>
      </c>
      <c r="N81" s="171" t="s">
        <v>109</v>
      </c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99">
        <v>2</v>
      </c>
      <c r="AJ81" s="93">
        <v>7</v>
      </c>
      <c r="AK81" s="103">
        <v>3.1428571428571299</v>
      </c>
    </row>
    <row r="82" spans="10:37" x14ac:dyDescent="0.25">
      <c r="J82" s="49">
        <v>1</v>
      </c>
      <c r="K82" s="56">
        <f t="shared" si="5"/>
        <v>418</v>
      </c>
      <c r="L82" s="56">
        <f>H3</f>
        <v>556</v>
      </c>
      <c r="M82" s="53">
        <v>6</v>
      </c>
      <c r="N82" s="167" t="s">
        <v>110</v>
      </c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99">
        <v>3</v>
      </c>
      <c r="AJ82" s="93">
        <v>8</v>
      </c>
      <c r="AK82" s="103">
        <v>3.5000000000000302</v>
      </c>
    </row>
    <row r="83" spans="10:37" x14ac:dyDescent="0.25">
      <c r="J83" s="49">
        <v>1.25</v>
      </c>
      <c r="K83" s="56">
        <f t="shared" si="5"/>
        <v>557</v>
      </c>
      <c r="L83" s="56">
        <f>H3*1.25</f>
        <v>695</v>
      </c>
      <c r="M83" s="53">
        <v>-1</v>
      </c>
      <c r="N83" s="171" t="s">
        <v>111</v>
      </c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99">
        <v>2</v>
      </c>
      <c r="AJ83" s="93">
        <v>9</v>
      </c>
      <c r="AK83" s="103">
        <v>3.8571428571428301</v>
      </c>
    </row>
    <row r="84" spans="10:37" x14ac:dyDescent="0.25">
      <c r="J84" s="49">
        <v>1.5</v>
      </c>
      <c r="K84" s="56">
        <f t="shared" si="5"/>
        <v>696</v>
      </c>
      <c r="L84" s="56">
        <f>H3*1.5</f>
        <v>834</v>
      </c>
      <c r="M84" s="53">
        <v>-2</v>
      </c>
      <c r="N84" s="171" t="s">
        <v>112</v>
      </c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99">
        <v>-2</v>
      </c>
      <c r="AJ84" s="93">
        <v>10</v>
      </c>
      <c r="AK84" s="103">
        <v>4.2142857142857304</v>
      </c>
    </row>
    <row r="85" spans="10:37" x14ac:dyDescent="0.25">
      <c r="J85" s="49">
        <v>2</v>
      </c>
      <c r="K85" s="56">
        <f t="shared" si="5"/>
        <v>835</v>
      </c>
      <c r="L85" s="56">
        <f>H3*2</f>
        <v>1112</v>
      </c>
      <c r="M85" s="53">
        <v>-3</v>
      </c>
      <c r="N85" s="166" t="s">
        <v>113</v>
      </c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99">
        <v>-3</v>
      </c>
      <c r="AJ85" s="93">
        <v>11</v>
      </c>
      <c r="AK85" s="103">
        <v>4.5714285714285303</v>
      </c>
    </row>
    <row r="86" spans="10:37" x14ac:dyDescent="0.25">
      <c r="J86" s="49"/>
      <c r="K86" s="50"/>
      <c r="L86" s="137"/>
      <c r="M86" s="137"/>
      <c r="N86" s="137"/>
      <c r="Z86" s="100">
        <f>VLOOKUP(E14,M78:Z85,14,0)</f>
        <v>1</v>
      </c>
      <c r="AJ86" s="93">
        <v>12</v>
      </c>
      <c r="AK86" s="103">
        <v>4.9285714285714297</v>
      </c>
    </row>
    <row r="87" spans="10:37" x14ac:dyDescent="0.25">
      <c r="J87" s="49"/>
      <c r="K87" s="165" t="s">
        <v>115</v>
      </c>
      <c r="L87" s="165"/>
      <c r="M87" s="45" t="s">
        <v>116</v>
      </c>
      <c r="N87" s="165" t="s">
        <v>119</v>
      </c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99" t="s">
        <v>170</v>
      </c>
      <c r="AA87" t="s">
        <v>181</v>
      </c>
      <c r="AJ87" s="93">
        <v>13</v>
      </c>
      <c r="AK87" s="103">
        <v>5.28571428571433</v>
      </c>
    </row>
    <row r="88" spans="10:37" x14ac:dyDescent="0.25">
      <c r="J88" s="49">
        <v>0.01</v>
      </c>
      <c r="K88" s="51">
        <v>0</v>
      </c>
      <c r="L88" s="52">
        <f>B3*0.01</f>
        <v>10</v>
      </c>
      <c r="M88" s="53">
        <v>-3</v>
      </c>
      <c r="N88" s="166" t="s">
        <v>120</v>
      </c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99">
        <v>-3</v>
      </c>
      <c r="AA88">
        <v>0</v>
      </c>
      <c r="AJ88" s="93">
        <v>14</v>
      </c>
      <c r="AK88" s="103">
        <v>5.6428571428571299</v>
      </c>
    </row>
    <row r="89" spans="10:37" x14ac:dyDescent="0.25">
      <c r="J89" s="49">
        <v>0.03</v>
      </c>
      <c r="K89" s="52">
        <f>L88+1</f>
        <v>11</v>
      </c>
      <c r="L89" s="54">
        <f>B3*0.03</f>
        <v>30</v>
      </c>
      <c r="M89" s="53">
        <v>2</v>
      </c>
      <c r="N89" s="167" t="s">
        <v>121</v>
      </c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99">
        <v>1</v>
      </c>
      <c r="AA89">
        <v>0</v>
      </c>
      <c r="AJ89" s="93">
        <v>15</v>
      </c>
      <c r="AK89" s="103">
        <v>6.0000000000000302</v>
      </c>
    </row>
    <row r="90" spans="10:37" x14ac:dyDescent="0.25">
      <c r="J90" s="49">
        <v>0.05</v>
      </c>
      <c r="K90" s="52">
        <f t="shared" ref="K90:K91" si="6">L89+1</f>
        <v>31</v>
      </c>
      <c r="L90" s="54">
        <f>B3*0.05</f>
        <v>50</v>
      </c>
      <c r="M90" s="53">
        <v>6</v>
      </c>
      <c r="N90" s="167" t="s">
        <v>122</v>
      </c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99">
        <v>3</v>
      </c>
      <c r="AA90">
        <v>0</v>
      </c>
      <c r="AJ90" s="93">
        <v>16</v>
      </c>
      <c r="AK90" s="103">
        <v>6.3571428571428301</v>
      </c>
    </row>
    <row r="91" spans="10:37" x14ac:dyDescent="0.25">
      <c r="J91" s="49">
        <v>0.08</v>
      </c>
      <c r="K91" s="52">
        <f t="shared" si="6"/>
        <v>51</v>
      </c>
      <c r="L91" s="54">
        <f>B3*0.08</f>
        <v>80</v>
      </c>
      <c r="M91" s="53">
        <v>12</v>
      </c>
      <c r="N91" s="167" t="s">
        <v>123</v>
      </c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99">
        <v>7</v>
      </c>
      <c r="AA91">
        <v>0.2</v>
      </c>
      <c r="AJ91" s="93">
        <v>17</v>
      </c>
      <c r="AK91" s="103">
        <v>6.7142857142857304</v>
      </c>
    </row>
    <row r="92" spans="10:37" x14ac:dyDescent="0.25">
      <c r="Z92" s="100">
        <f>VLOOKUP(E16,M88:Z92,14,0)</f>
        <v>-3</v>
      </c>
      <c r="AJ92" s="93">
        <v>18</v>
      </c>
      <c r="AK92" s="103">
        <v>7.0714285714285303</v>
      </c>
    </row>
    <row r="93" spans="10:37" x14ac:dyDescent="0.25">
      <c r="J93" s="49"/>
      <c r="K93" s="165" t="s">
        <v>115</v>
      </c>
      <c r="L93" s="165"/>
      <c r="M93" s="45" t="s">
        <v>116</v>
      </c>
      <c r="N93" s="165" t="s">
        <v>125</v>
      </c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99" t="s">
        <v>170</v>
      </c>
      <c r="AJ93" s="93">
        <v>19</v>
      </c>
      <c r="AK93" s="103">
        <v>7.4285714285714297</v>
      </c>
    </row>
    <row r="94" spans="10:37" x14ac:dyDescent="0.25">
      <c r="J94" s="49">
        <v>0.01</v>
      </c>
      <c r="K94" s="51">
        <v>0</v>
      </c>
      <c r="L94" s="52">
        <f>B3*0.01</f>
        <v>10</v>
      </c>
      <c r="M94" s="53">
        <v>0</v>
      </c>
      <c r="N94" s="166" t="s">
        <v>126</v>
      </c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99">
        <v>0</v>
      </c>
      <c r="AJ94" s="93">
        <v>20</v>
      </c>
      <c r="AK94" s="103">
        <v>7.78571428571433</v>
      </c>
    </row>
    <row r="95" spans="10:37" x14ac:dyDescent="0.25">
      <c r="J95" s="49">
        <v>0.03</v>
      </c>
      <c r="K95" s="52">
        <f>L94+1</f>
        <v>11</v>
      </c>
      <c r="L95" s="54">
        <f>B3*0.03</f>
        <v>30</v>
      </c>
      <c r="M95" s="53">
        <v>5</v>
      </c>
      <c r="N95" s="167" t="s">
        <v>127</v>
      </c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99">
        <v>1</v>
      </c>
      <c r="AJ95" s="93">
        <v>21</v>
      </c>
      <c r="AK95" s="103">
        <v>8.1428571428571299</v>
      </c>
    </row>
    <row r="96" spans="10:37" x14ac:dyDescent="0.25">
      <c r="J96" s="49">
        <v>0.05</v>
      </c>
      <c r="K96" s="52">
        <f>L95+1</f>
        <v>31</v>
      </c>
      <c r="L96" s="54">
        <f>B3*0.05</f>
        <v>50</v>
      </c>
      <c r="M96" s="53">
        <v>10</v>
      </c>
      <c r="N96" s="167" t="s">
        <v>128</v>
      </c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99">
        <v>3</v>
      </c>
      <c r="AJ96" s="93">
        <v>22</v>
      </c>
      <c r="AK96" s="103">
        <v>8.5000000000000302</v>
      </c>
    </row>
    <row r="97" spans="10:37" x14ac:dyDescent="0.25">
      <c r="J97" s="49">
        <v>0.08</v>
      </c>
      <c r="K97" s="52">
        <f t="shared" ref="K97" si="7">L96+1</f>
        <v>51</v>
      </c>
      <c r="L97" s="54">
        <f>B3*0.08</f>
        <v>80</v>
      </c>
      <c r="M97" s="53">
        <v>15</v>
      </c>
      <c r="N97" s="167" t="s">
        <v>129</v>
      </c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99">
        <v>5</v>
      </c>
      <c r="AJ97" s="93">
        <v>23</v>
      </c>
      <c r="AK97" s="103">
        <v>8.8571428571428292</v>
      </c>
    </row>
    <row r="98" spans="10:37" s="77" customFormat="1" x14ac:dyDescent="0.25">
      <c r="J98" s="49"/>
      <c r="K98" s="101"/>
      <c r="L98" s="102"/>
      <c r="M98" s="35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99">
        <f>VLOOKUP(E18,M94:Z98,14,0)</f>
        <v>0</v>
      </c>
      <c r="AJ98" s="93">
        <v>24</v>
      </c>
      <c r="AK98" s="103">
        <v>9.2142857142857295</v>
      </c>
    </row>
    <row r="99" spans="10:37" x14ac:dyDescent="0.25">
      <c r="J99" s="49"/>
      <c r="K99" s="165" t="s">
        <v>115</v>
      </c>
      <c r="L99" s="165"/>
      <c r="M99" s="45" t="s">
        <v>116</v>
      </c>
      <c r="N99" s="165" t="s">
        <v>135</v>
      </c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99" t="s">
        <v>170</v>
      </c>
      <c r="AJ99" s="93">
        <v>25</v>
      </c>
      <c r="AK99" s="103">
        <v>9.5714285714285303</v>
      </c>
    </row>
    <row r="100" spans="10:37" x14ac:dyDescent="0.25">
      <c r="J100" s="49">
        <v>0.05</v>
      </c>
      <c r="K100" s="51">
        <v>0</v>
      </c>
      <c r="L100" s="52">
        <f>H3*0.05</f>
        <v>27.8</v>
      </c>
      <c r="M100" s="53">
        <v>0</v>
      </c>
      <c r="N100" s="166" t="s">
        <v>131</v>
      </c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99">
        <v>-1</v>
      </c>
      <c r="AJ100" s="93">
        <v>26</v>
      </c>
      <c r="AK100" s="103">
        <v>9.9285714285714306</v>
      </c>
    </row>
    <row r="101" spans="10:37" x14ac:dyDescent="0.25">
      <c r="J101" s="49">
        <v>0.1</v>
      </c>
      <c r="K101" s="52">
        <f>L100+1</f>
        <v>28.8</v>
      </c>
      <c r="L101" s="54">
        <f>H3*0.1</f>
        <v>55.6</v>
      </c>
      <c r="M101" s="53">
        <v>5</v>
      </c>
      <c r="N101" s="167" t="s">
        <v>132</v>
      </c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99">
        <v>1</v>
      </c>
      <c r="AJ101" s="93">
        <v>27</v>
      </c>
      <c r="AK101" s="103">
        <v>10.285714285714301</v>
      </c>
    </row>
    <row r="102" spans="10:37" x14ac:dyDescent="0.25">
      <c r="J102" s="49">
        <v>0.15</v>
      </c>
      <c r="K102" s="52">
        <f t="shared" ref="K102:K103" si="8">L101+1</f>
        <v>56.6</v>
      </c>
      <c r="L102" s="54">
        <f>H3*0.15</f>
        <v>83.399999999999991</v>
      </c>
      <c r="M102" s="53">
        <v>10</v>
      </c>
      <c r="N102" s="167" t="s">
        <v>133</v>
      </c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99">
        <v>2</v>
      </c>
      <c r="AJ102" s="93">
        <v>28</v>
      </c>
      <c r="AK102" s="103">
        <v>10.6428571428571</v>
      </c>
    </row>
    <row r="103" spans="10:37" x14ac:dyDescent="0.25">
      <c r="J103" s="49">
        <v>0.3</v>
      </c>
      <c r="K103" s="52">
        <f t="shared" si="8"/>
        <v>84.399999999999991</v>
      </c>
      <c r="L103" s="54">
        <f>H3*0.3</f>
        <v>166.79999999999998</v>
      </c>
      <c r="M103" s="53">
        <v>15</v>
      </c>
      <c r="N103" s="167" t="s">
        <v>134</v>
      </c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99">
        <v>3</v>
      </c>
      <c r="AJ103" s="93">
        <v>29</v>
      </c>
      <c r="AK103" s="103">
        <v>11</v>
      </c>
    </row>
    <row r="104" spans="10:37" x14ac:dyDescent="0.25">
      <c r="Z104" s="100">
        <f>VLOOKUP(E20,M100:Z103,14,0)</f>
        <v>-1</v>
      </c>
      <c r="AJ104" s="93">
        <v>30</v>
      </c>
      <c r="AK104" s="103">
        <v>11.357142857142801</v>
      </c>
    </row>
  </sheetData>
  <sortState xmlns:xlrd2="http://schemas.microsoft.com/office/spreadsheetml/2017/richdata2" ref="B31:D36">
    <sortCondition ref="B31:B36"/>
  </sortState>
  <mergeCells count="299">
    <mergeCell ref="S7:U7"/>
    <mergeCell ref="S9:U10"/>
    <mergeCell ref="S8:U8"/>
    <mergeCell ref="S11:U11"/>
    <mergeCell ref="S12:U13"/>
    <mergeCell ref="C22:E22"/>
    <mergeCell ref="G9:G10"/>
    <mergeCell ref="G11:G12"/>
    <mergeCell ref="H11:J11"/>
    <mergeCell ref="B18:D18"/>
    <mergeCell ref="B19:D19"/>
    <mergeCell ref="E18:E19"/>
    <mergeCell ref="F18:P19"/>
    <mergeCell ref="L9:L10"/>
    <mergeCell ref="L7:L8"/>
    <mergeCell ref="B21:D21"/>
    <mergeCell ref="F20:P21"/>
    <mergeCell ref="B20:D20"/>
    <mergeCell ref="S2:U2"/>
    <mergeCell ref="S4:S5"/>
    <mergeCell ref="T4:T5"/>
    <mergeCell ref="U4:U5"/>
    <mergeCell ref="L5:L6"/>
    <mergeCell ref="P5:P6"/>
    <mergeCell ref="P7:P8"/>
    <mergeCell ref="L86:N86"/>
    <mergeCell ref="N82:Y82"/>
    <mergeCell ref="N83:Y83"/>
    <mergeCell ref="N84:Y84"/>
    <mergeCell ref="N85:Y85"/>
    <mergeCell ref="N79:Y79"/>
    <mergeCell ref="N80:Y80"/>
    <mergeCell ref="N81:Y81"/>
    <mergeCell ref="N78:Y78"/>
    <mergeCell ref="N77:Y77"/>
    <mergeCell ref="K77:L77"/>
    <mergeCell ref="L75:N75"/>
    <mergeCell ref="S75:U75"/>
    <mergeCell ref="G22:P22"/>
    <mergeCell ref="G23:P28"/>
    <mergeCell ref="M8:O8"/>
    <mergeCell ref="M10:O10"/>
    <mergeCell ref="K87:L87"/>
    <mergeCell ref="N87:Y87"/>
    <mergeCell ref="N88:Y88"/>
    <mergeCell ref="N89:Y89"/>
    <mergeCell ref="N90:Y90"/>
    <mergeCell ref="N91:Y91"/>
    <mergeCell ref="D55:E55"/>
    <mergeCell ref="D56:E56"/>
    <mergeCell ref="D57:E57"/>
    <mergeCell ref="D58:E58"/>
    <mergeCell ref="D59:E59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D60:E60"/>
    <mergeCell ref="K99:L99"/>
    <mergeCell ref="N99:Y99"/>
    <mergeCell ref="N100:Y100"/>
    <mergeCell ref="N101:Y101"/>
    <mergeCell ref="N102:Y102"/>
    <mergeCell ref="N103:Y103"/>
    <mergeCell ref="K93:L93"/>
    <mergeCell ref="N93:Y93"/>
    <mergeCell ref="N94:Y94"/>
    <mergeCell ref="N95:Y95"/>
    <mergeCell ref="N96:Y96"/>
    <mergeCell ref="N97:Y97"/>
    <mergeCell ref="M4:O4"/>
    <mergeCell ref="B16:D16"/>
    <mergeCell ref="B17:D17"/>
    <mergeCell ref="E14:E15"/>
    <mergeCell ref="E16:E17"/>
    <mergeCell ref="F14:P15"/>
    <mergeCell ref="F16:P17"/>
    <mergeCell ref="B13:D13"/>
    <mergeCell ref="F13:P13"/>
    <mergeCell ref="K5:K6"/>
    <mergeCell ref="K7:K8"/>
    <mergeCell ref="K9:K10"/>
    <mergeCell ref="K11:K12"/>
    <mergeCell ref="L11:L12"/>
    <mergeCell ref="M12:O12"/>
    <mergeCell ref="H6:J6"/>
    <mergeCell ref="H8:J8"/>
    <mergeCell ref="H10:J10"/>
    <mergeCell ref="B15:D15"/>
    <mergeCell ref="M11:O11"/>
    <mergeCell ref="M6:O6"/>
    <mergeCell ref="C9:E9"/>
    <mergeCell ref="C10:E10"/>
    <mergeCell ref="C11:E11"/>
    <mergeCell ref="B5:B6"/>
    <mergeCell ref="B7:B8"/>
    <mergeCell ref="B9:B10"/>
    <mergeCell ref="B11:B12"/>
    <mergeCell ref="F5:F6"/>
    <mergeCell ref="F7:F8"/>
    <mergeCell ref="F9:F10"/>
    <mergeCell ref="F11:F12"/>
    <mergeCell ref="G5:G6"/>
    <mergeCell ref="G7:G8"/>
    <mergeCell ref="C7:E7"/>
    <mergeCell ref="C8:E8"/>
    <mergeCell ref="M5:O5"/>
    <mergeCell ref="H7:J7"/>
    <mergeCell ref="M7:O7"/>
    <mergeCell ref="H9:J9"/>
    <mergeCell ref="M9:O9"/>
    <mergeCell ref="P9:P10"/>
    <mergeCell ref="P11:P12"/>
    <mergeCell ref="H12:J12"/>
    <mergeCell ref="L67:N67"/>
    <mergeCell ref="L46:N46"/>
    <mergeCell ref="L47:N47"/>
    <mergeCell ref="L48:N48"/>
    <mergeCell ref="L49:N49"/>
    <mergeCell ref="L50:N50"/>
    <mergeCell ref="L52:N52"/>
    <mergeCell ref="L51:N51"/>
    <mergeCell ref="B23:C23"/>
    <mergeCell ref="E39:F41"/>
    <mergeCell ref="H39:I41"/>
    <mergeCell ref="K39:L41"/>
    <mergeCell ref="E38:F38"/>
    <mergeCell ref="H38:I38"/>
    <mergeCell ref="K38:L38"/>
    <mergeCell ref="S66:U66"/>
    <mergeCell ref="L54:N54"/>
    <mergeCell ref="L55:N55"/>
    <mergeCell ref="L56:N56"/>
    <mergeCell ref="L57:N57"/>
    <mergeCell ref="L58:N58"/>
    <mergeCell ref="L59:N59"/>
    <mergeCell ref="L63:N63"/>
    <mergeCell ref="S63:U63"/>
    <mergeCell ref="L69:N69"/>
    <mergeCell ref="S69:U69"/>
    <mergeCell ref="Z69:AB69"/>
    <mergeCell ref="Z68:AB68"/>
    <mergeCell ref="L70:N70"/>
    <mergeCell ref="S70:U70"/>
    <mergeCell ref="S67:U67"/>
    <mergeCell ref="Z67:AB67"/>
    <mergeCell ref="L64:N64"/>
    <mergeCell ref="S64:U64"/>
    <mergeCell ref="Z64:AB64"/>
    <mergeCell ref="L65:N65"/>
    <mergeCell ref="L66:N66"/>
    <mergeCell ref="L60:N60"/>
    <mergeCell ref="S60:U60"/>
    <mergeCell ref="L61:N61"/>
    <mergeCell ref="S61:U61"/>
    <mergeCell ref="Z61:AB61"/>
    <mergeCell ref="Z60:AB60"/>
    <mergeCell ref="L62:N62"/>
    <mergeCell ref="S62:U62"/>
    <mergeCell ref="Z75:AB75"/>
    <mergeCell ref="L72:N72"/>
    <mergeCell ref="S72:U72"/>
    <mergeCell ref="Z72:AB72"/>
    <mergeCell ref="L73:N73"/>
    <mergeCell ref="S73:U73"/>
    <mergeCell ref="Z73:AB73"/>
    <mergeCell ref="L74:N74"/>
    <mergeCell ref="S74:U74"/>
    <mergeCell ref="Z74:AB74"/>
    <mergeCell ref="Z70:AB70"/>
    <mergeCell ref="L71:N71"/>
    <mergeCell ref="S71:U71"/>
    <mergeCell ref="Z71:AB71"/>
    <mergeCell ref="L68:N68"/>
    <mergeCell ref="S68:U68"/>
    <mergeCell ref="Z66:AB66"/>
    <mergeCell ref="Z47:AB47"/>
    <mergeCell ref="Z48:AB48"/>
    <mergeCell ref="Z49:AB49"/>
    <mergeCell ref="Z53:AB53"/>
    <mergeCell ref="Z54:AB54"/>
    <mergeCell ref="Z55:AB55"/>
    <mergeCell ref="S52:U52"/>
    <mergeCell ref="S65:U65"/>
    <mergeCell ref="Z65:AB65"/>
    <mergeCell ref="Z63:AB63"/>
    <mergeCell ref="Z62:AB62"/>
    <mergeCell ref="D61:E61"/>
    <mergeCell ref="D62:E62"/>
    <mergeCell ref="D44:E44"/>
    <mergeCell ref="D52:E52"/>
    <mergeCell ref="D49:E49"/>
    <mergeCell ref="D53:E53"/>
    <mergeCell ref="D54:E54"/>
    <mergeCell ref="Z44:AB44"/>
    <mergeCell ref="Z52:AB52"/>
    <mergeCell ref="Z56:AB56"/>
    <mergeCell ref="Z57:AB57"/>
    <mergeCell ref="Z58:AB58"/>
    <mergeCell ref="Z59:AB59"/>
    <mergeCell ref="S56:U56"/>
    <mergeCell ref="S57:U57"/>
    <mergeCell ref="S58:U58"/>
    <mergeCell ref="S59:U59"/>
    <mergeCell ref="Z50:AB50"/>
    <mergeCell ref="Z51:AB51"/>
    <mergeCell ref="S53:U53"/>
    <mergeCell ref="S54:U54"/>
    <mergeCell ref="S55:U55"/>
    <mergeCell ref="Z45:AB45"/>
    <mergeCell ref="Z46:AB46"/>
    <mergeCell ref="S44:U44"/>
    <mergeCell ref="B44:C44"/>
    <mergeCell ref="G44:H44"/>
    <mergeCell ref="D45:E45"/>
    <mergeCell ref="D46:E46"/>
    <mergeCell ref="D47:E47"/>
    <mergeCell ref="D48:E48"/>
    <mergeCell ref="L44:N44"/>
    <mergeCell ref="D50:E50"/>
    <mergeCell ref="D51:E51"/>
    <mergeCell ref="B35:D35"/>
    <mergeCell ref="B36:D36"/>
    <mergeCell ref="E35:F35"/>
    <mergeCell ref="E36:F36"/>
    <mergeCell ref="G32:H32"/>
    <mergeCell ref="G33:H33"/>
    <mergeCell ref="G34:H34"/>
    <mergeCell ref="G35:H35"/>
    <mergeCell ref="G36:H36"/>
    <mergeCell ref="E31:F31"/>
    <mergeCell ref="E32:F32"/>
    <mergeCell ref="E33:F33"/>
    <mergeCell ref="E34:F34"/>
    <mergeCell ref="N29:P29"/>
    <mergeCell ref="G30:H30"/>
    <mergeCell ref="L45:N45"/>
    <mergeCell ref="G31:H31"/>
    <mergeCell ref="I30:J30"/>
    <mergeCell ref="I31:J31"/>
    <mergeCell ref="N30:P30"/>
    <mergeCell ref="I32:J32"/>
    <mergeCell ref="I33:J33"/>
    <mergeCell ref="O3:P3"/>
    <mergeCell ref="O2:P2"/>
    <mergeCell ref="M3:N3"/>
    <mergeCell ref="M2:N2"/>
    <mergeCell ref="B30:D30"/>
    <mergeCell ref="B31:D31"/>
    <mergeCell ref="B32:D32"/>
    <mergeCell ref="K2:L2"/>
    <mergeCell ref="B3:C3"/>
    <mergeCell ref="D3:F3"/>
    <mergeCell ref="H3:I3"/>
    <mergeCell ref="K3:L3"/>
    <mergeCell ref="C5:E5"/>
    <mergeCell ref="H5:J5"/>
    <mergeCell ref="C6:E6"/>
    <mergeCell ref="B2:C2"/>
    <mergeCell ref="D2:F2"/>
    <mergeCell ref="H2:I2"/>
    <mergeCell ref="B14:D14"/>
    <mergeCell ref="C12:E12"/>
    <mergeCell ref="C4:E4"/>
    <mergeCell ref="B27:C27"/>
    <mergeCell ref="H4:J4"/>
    <mergeCell ref="E20:E21"/>
    <mergeCell ref="B24:C24"/>
    <mergeCell ref="AF68:AG68"/>
    <mergeCell ref="AF69:AG69"/>
    <mergeCell ref="T15:U15"/>
    <mergeCell ref="B28:C28"/>
    <mergeCell ref="I34:J34"/>
    <mergeCell ref="I35:J35"/>
    <mergeCell ref="I36:J36"/>
    <mergeCell ref="N36:P36"/>
    <mergeCell ref="B42:D42"/>
    <mergeCell ref="E42:F42"/>
    <mergeCell ref="B29:D29"/>
    <mergeCell ref="E29:K29"/>
    <mergeCell ref="N31:P31"/>
    <mergeCell ref="N32:P32"/>
    <mergeCell ref="N33:P33"/>
    <mergeCell ref="N34:P34"/>
    <mergeCell ref="N35:P35"/>
    <mergeCell ref="B25:C25"/>
    <mergeCell ref="B26:C26"/>
    <mergeCell ref="L53:N53"/>
    <mergeCell ref="B33:D33"/>
    <mergeCell ref="B34:D34"/>
    <mergeCell ref="E30:F30"/>
  </mergeCells>
  <conditionalFormatting sqref="H3:I3">
    <cfRule type="cellIs" dxfId="2" priority="5" operator="greaterThanOrEqual">
      <formula>$K$3</formula>
    </cfRule>
  </conditionalFormatting>
  <conditionalFormatting sqref="L42 L31:L36">
    <cfRule type="cellIs" dxfId="1" priority="2" operator="greaterThan">
      <formula>0</formula>
    </cfRule>
    <cfRule type="cellIs" dxfId="0" priority="4" operator="greaterThan">
      <formula>0</formula>
    </cfRule>
  </conditionalFormatting>
  <dataValidations count="1">
    <dataValidation type="list" allowBlank="1" showInputMessage="1" showErrorMessage="1" sqref="B5 B11 L7 L11 L9 L5 G5 G7 G9 G11 B9 B7" xr:uid="{8EDF969E-12A0-436A-A1B3-AF60B987E7B4}">
      <formula1>$K$45:$K$51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0 8 c 6 b 2 7 - 6 4 8 b - 4 a f 6 - 9 c c 2 - 5 d f b d 7 e 7 9 1 0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C f G S U R B V H h e 7 Z 2 H d x x X d u Z v R 6 C R M w i A A A k S J M E o U h I p i q L E J I 8 0 k n 2 O Z 2 c 8 9 n p 2 t b N n 7 P X 6 e P + s P X v W Z 8 f 2 2 j O e W Y m k m M Q k J j F n B I L I A J E a Q G f s / e 5 7 r 7 s 6 I B K U h O r 6 g I f 3 q r r Q a F S 9 X 9 3 7 7 g v l + t d z V + b I k S N H q y K 3 z h 0 5 c r Q K c v 3 b u a u O h X L k a J X k + r f z D l C O H K 2 W H J f P k a N V F F u o b x 0 L 9 S O Q 2 + 2 h 6 g 3 7 K B J x U S x G l E g Q z f G V K f Y n 6 E B L h N w u o t 4 J D z 0 c 9 J G L y 0 h u v h 1 6 P E Q + 7 x y N v r i u 3 8 n R D y n X 7 y 4 4 Q H 3 f c j M J l U 3 v 0 E y I 6 G D z L J 1 / 7 m d 4 5 p K J 5 D t 1 W W R f U i 6 B y c j F G 9 a E 9 / Z 4 X O T 3 E Y U n n 1 N 4 + p U + 0 t H 3 I Q e o 7 0 k l N V v o 6 N Z i t j 5 R t j 4 J S T E 2 R Q A g G C Y a m 3 H T o y F f B j x L F 2 A y e S Z g P p + H C g N E 4 z 3 X 5 B h H b 0 4 O U G 9 Q V U 3 t N B s p p Y 8 2 z j B A c Q q y R f K 7 w 1 z J P Q L U y N A g 1 d a v o y e D H o o k X N Q / y f 5 b h h R f 8 1 u o T B m w o E y 4 P O w f e r 0 e K i p i g B 2 4 3 o h c v / v m m g P U K q u s 4 V 0 q d M V p d / 0 s s x A X q / N i z E 1 N 5 T H q H P V Q N O 7 i b Q W P 1 z 1 H R z Y z a a x Q 1 E V X X / j l 9 d d R J l Q m N 0 m 5 h R 6 q L w n T 0 M A j / n t x O c b R 6 8 v 1 e w e o V d P n H + y j c 4 / n 6 E D z D M 2 x B Q J I s E q T Y R d X 3 j g 9 H f Y K S E s 9 4 e n e n 9 n Q g K S K i y o T M G t q r Z m j y U g B j Q 3 c 0 E c 4 e h 0 5 Q L 2 m U F c / O 7 S P o u G Q t I k A 0 U j Q R V V F c R q f I S p 0 z 9 L M z C x V V F R Q J B y h 4 d l C C R j c 7 v W r N + C z b w 1 A v L 4 A i i 7 m k I H L m h u L d b h t j i 7 d f U T x G D f q H K 1 I D N R 1 B 6 g V 6 j O 2 S P G I A m l q a p L b J s U C V D h K N N D b R c 0 t L R R L E N 1 4 4 a W 6 0 j l 6 P s o k s V Y a e F i Z c g O W B A p m j r 8 B F f a J K 1 j h p Y E e x 2 K t R K 5 / v + g A t V x V l Z V Q b X G A v r n d S 0 c O 7 u K y s k w T E 5 M U C B R y w 9 9 L 5 5 8 X U I T b Q q i 2 4 G d 1 r d B K t Q h c n A M s p E + 2 x y g c i d D 5 u 8 / l N U d L k z N S Y p n 6 7 N B e e r t t P V V X V Z C 3 v J k C 7 h m 6 9 C g o Q J W U F I m 1 M j B h X 4 L T j w M m i D 8 J P g 8 I t 8 j s k 8 / L b b 9 4 P E 5 / v O + m c x 3 F 9 B n f M A x w j h Y X W 6 g b j o V a g g p 8 X j q 2 b y u N B S M U 8 C Z o Y H i M O v q C 9 E 5 7 n b h J s z M z d H u 4 k o J h B d J a U S Y s Z v v 4 l j A F I x 6 6 2 V t I P 9 0 Z p + l w j C 7 e f S a v O Z p f r n + / 5 A C 1 m H 5 y Y A 8 l o i H q H o l T Y 3 m C u k d d t L 4 i p l 8 l t k J E X z 8 t X F M g Z S o X W C e 2 h i g U C l F J c b G 4 s d C p W 0 8 k d 5 R b r j 8 4 Q C 2 o n + z f Q X F 2 4 6 L R a J p r B N f O 4 / H S 9 Y 4 w j c f K + U h 7 n E Y r W C g f W j 9 G x c V F y b b V 4 5 F i 6 u u 9 r Y 9 w l C l u Q + E E O i l X + v T A T n H l T D g 8 E g k n r R D u 2 K f Z K o 3 H y n j L P v c k + f / 0 v 4 P y x Z 4 K e v T o c b J t 1 T 8 e I 3 f p X n K 7 0 P z O f d 7 y O b l z 7 H M S p 0 / 2 b 6 d w O C x 3 6 W g 0 I p X L 6 / X J P g j b B i 6 7 i f + z t P / t B e 2 m 0 a m 4 Q P V h 6 w x F Y K 1 L 9 l B x o C D n u c v n 5 P r j 5 Z v 2 r B W v o Z + 8 u 5 2 t U Y S G h w a o q K i E / A U F 6 R V s j F 2 f I d W n Z H d l u o B 1 J Q k a m f G K + w c r 7 Y l 0 c f t y U h / h y A m b Z + h P 3 m k X 1 2 5 4 c I A q K q v Z 3 Y t K + w n i G z S d f F x g e 5 h K C / k f 1 V K W O F X e 3 R C m Y n 9 c 3 L / K w j D F f B v I 5 U U b 0 h H E F u q W Y 6 G 0 j u 3 Z J P 1 G q C x w b 3 B H R i V C G y p G P r r w X A 8 X y l O t K 0 3 Q 7 k Z 1 c 8 G 5 Q U K X A c 7 P p c e D N J e I y G v 5 L K c N p d M n + 9 u l L Q 6 Q A J G B C T r X U Z L 3 M E G z M Z w s J Z y b l y 9 f 8 v m K i + u 3 f 1 N V z v O a b w k z q 3 P t z 6 v 0 6 Y F d N D u r + l w w S h w K B l W 7 4 E Z H V K y W I 6 K J 2 f R O 6 2 f P O m h s b F x u Q o F A g P a 0 t u Y 8 v / m U 8 j 5 s / s l 7 b 1 E 4 N M s w z Y r 7 g k G u M + y 5 P J / g O y 7 b r F f R E s 7 z U 5 V F q b a U V c Y N R m C i v L x c g E K q K J o j f 1 E r H 5 H 7 X O d D y m u X r 3 1 D E 0 X D M 9 J m 8 v s L q G P U S 5 f 7 a u l i Z w E N T X m 4 4 v B x e S x M y 7 d q W 6 3 q M h g Z G Z G b z 8 G D B 5 I W C z n S u y 0 x q q p o z n m + 8 y H l d Z R v f T X W e I j R V 4 / 8 E r 1 7 P p K a g n 5 i 6 6 w u O T J q r l T w 1 N T U i H v s Z a g g A x M S r J Z n 6 i n F X b D w + S f X l 1 d v 5 + V 9 + P i + L R S L R u n L h 7 5 k I M I I 5 Y + 3 h u j M s w K K J 3 D r c X R i S 4 h c f C q + + u o k t b e 3 S w c 3 r N T m z Z v 0 E V y Z c A A L 5 w + d v z c 7 h 2 U 7 n 5 S X L t / + 7 Z s p N D s r M F l B g s w 2 J g Y C p u K C v L z f Z G l U u 3 / v v f c e t b Q 0 0 5 Y t b b R p U y s 9 f P h Q 9 k P W c + l m u N 5 q z r / I X 1 6 6 f K U F W A w l I B X A J M h a I c 4 + K 5 R 8 O o w z N b 9 K C n I 3 3 O 2 m m m L 1 f 5 a X l y U 7 u q G N G z f S 3 b t 3 9 Z a S 6 Z 9 C B / n 2 h g q 9 N z / k x p z S f P r C 6 H G E e r E W n h U m q x Z G K F 3 B c H 7 d k z o 6 O g U W o 8 L C Q r Z U m y S w k 3 4 + X R J K 9 1 B C n / n 8 + M q r 2 u D 3 e S n C j e k r f V V Z I G G 7 o S x O f s + c z A M 6 2 h a m g D 8 b t n w U L E 0 w G J T x j R s 2 t C T b S k a h E N Y a V F U p 1 T H O d 2 v e N z 4 x S e 1 1 x f J a P s j 1 1 b U 7 e V N r P n 5 7 W 1 r b y U C V C Z c R A h O Y P H i 3 3 0 / D w b z 0 j k U 4 P y 1 V M W q r i k g w A h 3 d m H R o F S w U L B d g A 1 Q o I 4 I K C P E 7 j 0 f y I 2 q a N 7 X E W 1 h O U b 6 4 J x + n 1 h G H A M 1 8 m p h 1 y + L 8 B q Z d 6 6 K 0 f 9 0 Q H W 4 N k 4 8 t W b 4 I k P S M + Q S S o q K i L J i g 2 7 f v q A K f V 1 i m e F x 1 / C J F I l F q q y x Q r 9 t c e d O G O r q 9 X g 9 6 T Y E A m N D / N J + u 9 f j T l k e O T v V S e V k Z e Z i v b X W q Y X 6 s L U Q f b c 6 P d e z i C 9 x D 3 n 5 7 n + S p Q / i s M 4 h I w 8 P D f N 7 j y W t h 5 6 + 8 C J u 7 v V 6 J T B n / H u n 4 l v k t E / T 2 + g g V + t J r 0 J 2 h U j r 1 p J D O P S + g e + w G Q m e e F c o q R / m g 5 O K c 8 6 h / Y E B y n F 9 Y J r S 7 A N T 4 2 D h b N y 8 1 w 7 D l u D 5 2 S v n h 8 g X a k 1 E o y O / l C 8 7 / / N X u + S v I z Z d + W W v c q o L i a l 3 K T 5 m h S O Y 8 Z q r A n 3 4 + i 9 k 1 v H D h I j U 0 r i M X f K H 0 0 2 l L u U 5 e v 7 e A I b e H j u z a K B Y K U M X Z 5 X t w / z 4 V F P i p K 7 F L H + F o K Z o Y 7 a d D G 0 L k 5 r Y U + q M Q M s 8 U Y I N V M o J X g F E T C E x E O E 1 N z 9 J o I v v 3 7 C J 0 a M u d w 6 7 J V 7 E z z T r B M i H 0 W 9 2 4 V b Y d L V 3 V t e v Y 2 j R Q f X 2 d j O W D p q e n a W Z m h s b G x u Q 8 X 7 9 + U / Z D A 1 N q 6 b H u r m 7 2 h m C h X D S H t l T G N b J T s r 3 L F w r N 0 Y 0 e r w A l I f C 7 9 y h Q V E T B y T E J S h z b P E 1 T 4 / k 3 5 m w l w h N E j P D w g 0 c P H 4 k F A k j Y R n 9 U Q 8 O 6 5 B I B D a V q 7 c K m p k b t 8 r m o s M D e 7 U 3 X q R v 3 b e v y e f z F N B 1 v l P 4 Q E 5 A A R P f u 3 a O d O 3 c q N y Q S o a v 9 t f o 3 H C 0 m / 8 A p m g 5 O 0 3 s H 9 1 N V V R U F u V x S k r v j 9 s s v T 9 L 4 V J j e 2 d t O 6 9 a t k 3 M N 6 J C P z B X p o + w l e E D W I I W t 0 l z B h i R I R i i i L 2 V y c l J e K y 0 t 1 a 8 4 W o p 2 7 t x O B 9 8 / I N Y G N 6 r x 8 T H 9 i l J E T 5 P v 7 e u j Y 8 e O 0 I F 3 d l J L S w v v 0 V e F v 6 W d l d p j q 2 T r s H k k k j 1 W 7 9 S T A n o e 3 S 7 7 M d b s 1 i K h Y A h 3 n c r g V S n n U 4 d u L l 1 8 U U p e f 6 F 0 8 g a 5 / Y R x k d 3 d P X T r 5 i 2 a C r k l g g q V l p S S z + e T w b N R B q + z s 5 O P U 2 2 p m d m Z n N f L D o n b U D n 2 2 i S Z Y I R J V g W K 1 d J X o 9 P z N y O L / X O 0 v T 5 K 1 d N X a b L 0 P X E X j 2 w O 0 6 G N 2 R 2 5 g A 7 H o 2 F q X f f c b i o q L q O r v Z V s m S a o j K 3 7 7 t 2 7 q L m 5 i f a 9 v Y / u 3 r o i x y B A U V p a I l Z M z j 1 7 A j G + F o D r 8 Z M n 1 N 3 1 g k q j E 3 x k + v W y Q 3 K d v v n A l r d c f + V 2 v u g R c U u s Q J k 8 E p q i g u F v K N 7 0 i X R C Z q q m O E 5 7 m 6 L 8 + 1 G K c 4 X o n i i m r b W 5 Q Z m O u A Q m 6 O U 4 n u a + u N V b 6 y r y J e h Q q 1 o 2 D O c U 8 P T 2 9 l F t b Q 2 F u G 0 K 2 J 4 + f U p l Z W U y e s L r w d A l t 7 R b T Z r y V 8 r v 2 0 m 2 D Z s j q m v g y a V t T Q E 6 c e I Y F X l y D x v a s U 4 N L b p 7 5 x 4 V + A t y P q H d y M A E r a 9 I L D g + 0 C 6 a i b p p c M p N Z 8 9 e o P v 3 1 S R D R P N m Z 2 d p e G h Y r B R O P 6 b L D w 4 M s n u t l 2 3 W G h w a y n n d 1 n q y b d g 8 F t P B C H x r s K x 8 d Y 5 6 6 c m w j 1 o K X 8 o 2 p m w c 3 h S m 0 P Q 4 7 W 2 M k F / z 0 7 6 9 X S o J X L 3 F h I G 0 R g L V 1 A u 9 Z U 9 h F P 7 + / W / T r l 0 7 q L + v X / b B F c S 0 + J K S E m p s b B D r j y C Q y H L + k / t s J t u 2 o U x 0 D 1 8 p W c t E A 5 N u S h S u k 8 p / + k m h r H a 0 t 3 a E a k p S s 3 A x G g A P m 8 6 l R 4 N e m R p u R q O j v W X 0 5 M k z + v i d O v q g 1 d 4 D Z y f j e P o I 0 e U r V 2 l g Y I A e 3 H 8 g 2 w h I A C p c g 8 b G R n 5 t k P e m z j + s l n u 8 j 0 u 5 r 9 9 a T b a M 8 v m K a 5 N W a S H h s Z 3 P x k p l + T A o H k 9 Q W X n 6 O t 1 o G z x + 8 p R O f n W a r l 7 9 V u 9 l l 4 f b T e 3 1 M a o u S l C t B U A j V C Y I 7 a t A x i B b O + n + g I + m Z m N 0 9 O h H d O P G L d q 6 L X 0 E C m 5 s E x G f B g p K n Q s M m s 1 1 / d Z y s m U / V N x d r a z T E q C C D F B w T 6 L u 7 I X v D x x 4 l / 7 k J y d o 6 9 Y 2 u n T p s n R Y B i d f 6 V e z d e 3 a D b 4 r r 5 M y 1 m K A l Q p M 3 q L G 0 j i 1 1 c R o Y 1 W M g h P 2 G Z 1 x t a e E i k q r 6 P P P f y o d v V Z J f 1 W c J F i h P A Y l R A F 7 e 3 t z X r + 1 n G z p 8 s V i a C + t z C p U B O Z f d K W y s o o O H X q f d u / Z T b X V 8 y 8 + 0 t i w j s 6 d u 5 D 8 D B M T E 1 R W E K M d D V G B a X 1 J k N 5 b H 5 S l u c o s T 7 p Y y / q m E 4 9 E V R 2 / i O B B + P 8 x K q K u J E 5 9 3 M a 6 + I T 3 8 z H Y P z 0 9 I y s n 5 b p + a z n Z 0 u V L 8 B 3 R V O b l g i U m e x E N S 4 R K H Y j 3 N w N F U X k w c q C j s 5 P q 6 m o k 0 g W d v 3 i D A g 1 7 p Q z N z s 6 I S 4 i 3 O N A S o X D Q H t Y K T 3 R 0 u z H 3 L E Z 3 + n x 0 p d t P t 2 7 f l 7 b m Z N l B i r n L 6 H Y f v I E 5 2 t i 6 Q U a t 5 7 p + a z n Z M s q X a 3 H / p X K F t t F i q q 2 r l f 4 t C E D 9 4 Q / / j 8 6 c O U 8 X L 1 4 i j 8 d H H 3 5 4 m F p a N t C r V 8 o t D I Y i 7 O p Z B 5 Z W 0 s 2 b t 6 S M 0 d p v 1 X J b w i b 6 + l m h L B A 6 F P R w 2 4 o Y p P e o d 8 L N C C k X H A 8 c i H L b F Z Y K S x L Y T X x D t t 9 X b u u 0 N K K W s r B l H J 2 9 c Q U I 2 l 0 7 t r f T k S O H 6 d i x o 9 I 2 g K a n g 3 o M G 9 H P / / S 4 W C 8 I I X i 4 R P X 1 9 b J 9 7 u w F W t / c T O U 2 c f 2 g Q J H l A Q t 8 D e Q 6 I M c 1 4 P x q t 1 o k B x Y q E Y 1 a r t z a / 7 K l h c L F S o d p a c o 1 p C h T i F o V F 5 f I g v l G z R t a 6 L e / / W e 9 p Y S w M Y 4 1 u n f v A X V 0 d M j T P V 6 8 6 J F p J P / 8 T / 9 C B 9 / f L 6 / v Z 9 f P j l L X I R u q c b Z e X q + H P F 4 V E L K L X G f v P F 5 + z f u R a 3 p u U 9 o a E t B i g L k S I T q + L X 2 2 a a Z O n f p a 2 k a t r a 3 0 x z 9 8 S b / 8 y 1 / I u g l X L l + l Y 8 e P s u W K y f N 4 I f z t k y d P 0 4 4 d 2 9 g i R W n j x g 3 y 3 h h U i s 8 y O N B P 6 x o a 5 V i r s G b F W p c 5 1 w m 2 4 l j 9 C B Z d h n D h 8 a q R M M W i E a p K P K P x 4 Q F Z z j n Q b J / J n q 5 z d 5 7 Y D q j g X O u y g T q x Z Z a + u X C R 9 h 9 4 N + f U b q i v r 4 + q q i r 5 9 Y A E H x 4 + f E z 1 3 J 5 q 3 b R J Y E E F k o a 2 R X D 1 / B l r L R i N j A x R T U 2 d 3 i I a Z a t 3 6 9 V 6 v b V 2 N T e n z n s K q J g G K i L t p l g 0 T O 6 h i 1 R d X S X T Z 0 o 3 7 N C / u f Z l S 5 d v J Q I Q h z / 8 g G Z m p u n 3 v / u j h L q t Q g V B Z A 4 w Q Q g s v P / + Q d q 0 e X P S q l l h 6 u v t k b b S f D B B 1 d W p i Y 2 z M z N U X V O T N i 5 w 7 U o F H X D O U k m P X O G c W 7 m 0 Z 8 8 u Z a 0 t y 7 r Z Q f a c D 5 V D 5 Y V y h X O m A y 2 q 7 Q Q w q q q q 6 c O P D o k r Z w I P E F 6 7 f i 2 1 X k I u Y c l i / M 6 r 0 R G q b 2 i m A n b / g t x m m k 9 4 z 3 4 G b / z V q E z L h 9 7 n d h y G Q r X V R m l r T T T 9 s 6 4 V 8 W e V L + S S D E w q Y a E c r I 9 Y F A h Q g l / L e Q 3 X a L J l x 2 4 u T Y R y 7 4 f K A J t F 3 V 1 d 1 N T U R F 9 9 d U r v U a q u W f g h Y n g K 4 i x b u M q q G r r U 6 a f H w 1 4 q K S 2 j r o 5 n + o h s N T Q 1 U w V D b B V + d 2 N l n F q q 4 v T x t j D t a F g j A Q s D D Y r i b p v E + 7 B t 9 i X L C q z c 1 3 B t J t f 5 u 0 / X 0 K 1 v a Z p K q G X D s t p Q u p y p 4 1 v Z p 8 f 5 Y I 2 P j 0 u E D m v K o f 3 z / P l z e v 6 s k x q b G m R Y z U c f H V Y H L l P 4 L E M I R D Q 2 6 T 3 L F x b V R P 2 b 5 9 / 4 4 c U f D B 8 N s E j b S b e f 4 v G o P N z O t K G i 3 I Z q r w n S w M t O q m K 3 t 7 p t t / p 9 G 8 h 1 / p 7 9 g A o m W g W G p Q I V C 4 3 R p 2 8 V 0 a W L l 2 k 3 + / b W d S b w H u h r Q p v q x v W b d P z E M f 3 K 9 y M s Y e x 2 Z 8 / F e j H u o e 7 h B O 1 o c t G z Y R 9 N L f I c q + 9 F A h S 7 d O z 2 J p I w I V d R P k C F g A S A i k d D t L 1 6 k g J 1 6 6 m g 1 D 4 T D W 0 Z l E D b R A U K l l b J a m N P + O c c 7 d q 9 M w 0 m y M z m x Y D X + n W q M 3 Y l Q u V a i q w j N R T M 2 T B F o x F q q Y j T u + u D M t r 9 v Q 2 q 3 e X L P v R 7 F 4 I M y q X D s m 3 K t c P I F e X i q a f F K w v G F n t o m H w B e z 1 l 3 5 Z t K A U T l 1 S m l b a R p v b 2 L f T 1 1 + d y T n p D c O L 8 u Q v 0 z j v 7 5 F G Y K 9 V S O z D v 9 a c m K Z r h T Z m a 1 B H I A n 9 6 e P / I 5 p A 8 y O C H k r S J d J v J w I S y g s p s K 6 j Q d q q s r C C 3 B / 9 v 6 t q t 9 W T L 6 R u w N q Z k 8 n S 4 0 l U Y K J Y l r 7 w 5 K n 1 X 1 w v 6 6 M i H f P E r s 6 z X U o V n U i 1 V e x o j 4 q 6 G Q 6 F 5 Q + 4 G N I T p j U t r d G T T j E w X 2 b k u + 2 E H b 1 I p m F L g y D 5 2 W c 0 + B Z J + n f e P v R q T m 5 + 5 b n Z I t g y b 4 0 I a g B Y C y e h K d 4 F c 2 G z N 0 f r 1 2 a M Z l q u Z 6 f Q 5 Q g u p k G / Y A K m g s J D b b b k H z W I a i Z E V K F R W / B + Y 0 N h Q l q D 9 z d 9 f d F B B k 2 G N k L h s Q E r M M V x S x m O F 4 v w / 6 n U m b J T s 6 f I x C L k B y a 1 Z r n c j 0 9 k N k K G h E V m 1 5 3 V V V V O j S 0 v T y N C Q 5 L n + A w A U 4 4 a + k Z k 6 A q k b i V o + D f K 6 l t Z u e 1 0 Z a 5 Q G l Q C k c l g j A 5 i C S b / O K f P a r f V k S 5 f P 7 1 K d q V l Q L Q D Z d y 9 z t X H U c 4 5 m p o O y Z e 3 o X Y 4 m M l Z X X U w 1 d W o 4 E v q w j O A 2 x m I R + Z + K i l J L H 7 v 5 C k 5 O q j a V L G H F w g g E i K u 2 5 G 9 S A p I J R A A g n R R c B i K 9 H 9 E / 2 Y 6 T 3 x 2 V g I u 5 Z n Z J t n T 5 / G 5 2 l S y u 0 F I 1 N J X e o q / j i v 3 w 4 S M q K l a R K F R U T L / I p b G x V / q O m 6 3 y i p W F h Q H z 1 O S k h J s L A w F u 4 2 W 3 q X w + P 1 t R N W 3 f p S O S p i P Z 6 3 m z I 7 m N V T I A 4 f 8 3 1 s i A o / Z x 2 Q I T y l W B C M X d 7 N / m u H 5 r O d n S 5 U P C B c b d P N 1 K W c v Z w i z T T A 0 O D t L o 6 K g E C t A X h e W b j U W A U K l g u d C u M S F 2 A I C / j + C B s W o 4 b i n C P C q r S t n l n J m e 0 l v p 6 u n q E M h H h g b l 9 6 b 4 c y G k 3 r y h V a a J d P e n j 0 d c d Y l 1 S l k h a w 6 w U l B Z k o A V p 3 J / j F r 3 v M t v k n 7 d 1 n p K v y X b S H N o A O t K b K B K Y 2 s e s f e S p q N H j 8 i Y P I w s x 4 q o E C w C Z t q e P X u e z p w 5 l w G t c g 1 d L r d E D Y 3 7 h W N Q k T C C A + 4 b K j z e A w 8 h w / E K z J j M t b I K g 2 Z d l r 6 o U G h W 9 n 3 H 8 D + L q V H a N X X 1 8 n u l / L l g 0 f A 3 S 0 r K 6 O n U y v v N F p O y T i Y p k M R S J S F K A Z Z K B q q Y t A M 9 3 u w b 2 F q X 6 + L D j j f v a P 8 A e j V d Q 7 E 5 3 C / 0 + t q c I F z k x Y T x c 7 l 0 l u F B Z K q e X c F A U Y A a G h o Y j C k V l b M 8 9 w i Q m H l R y 9 E o W 5 p q h i N T g 3 2 9 V N f Q K P 9 D t t V N l 4 x O 4 P / x f N f r B 1 P m k 4 H I w I M b g r E 8 y d E R S H q E h H U e V D Q S o m g 4 R F u q J m n r + y f 0 O 9 p H t r V Q V c U j i C P r r e V p I p T 7 t B w 9 d o R 2 7 t x B j U 2 N A h O E M X + T k + k u m Y E p c w r I Y q q q T c 2 N M s K d v V 6 P / 4 N L u R B M O B Y d y G 8 c J v 4 7 V u s j Z b F S C i o D m i o b 2 N Q + w N d W P U s u 6 d C 1 n 7 j m 4 A L Z M y U S e F B A e l v K N N w X 0 r X u + S 8 2 w u h X r q Q W v E Q l R 0 U Z G R m l M L e z r F p u R 3 A u W J K f e w G Q j P B Z 3 u S M X 2 P p B R 4 B K J X m N D Q G J t n m J N Z L o F J W C 7 l r L k Z b D h z h d 1 T X y U 7 J t h Z K p N 0 S V I L l C o N P 5 1 M s m t 6 / g w V X K i r K p Q P 3 7 J n z 8 u g W a C k Q W P W y p 1 u X U l r O e 5 g F O 9 + E 1 D l U r h 7 / 0 O f V Y o 3 k X D N A K E v S + 7 H P A h N G n i 9 1 X O N a l K 0 f W l 1 T N i s X U S r B M v V k c P 7 K W R j I t g I I Q G B 4 0 t F j H 1 F 3 Z x e d P v W 1 R A a X o 8 a m 1 F h B T H N Y z o 3 g 3 o D v j Q F l L J P q b 8 J w o p R l A j A C l b Z G x s W L s 3 c g r p 4 l A a T 6 o l m a m J z M e b 3 s k G z t 8 v m 8 u E O q O y M u + n L c J + j 0 k 9 y B B T y i Z S F t b t t M J z 4 + T l 1 d 2 R Z n P q H C m r A 7 5 P P 7 k 5 9 z c l I N Q T I r s u Z S c J 5 2 3 + t K w W R c O Q V Q 0 g I B l I x 9 g E q s V F y X t X U y q d g b o Q O f / g d + 5 9 R 1 s l O y t 8 v H c r F b A q D k T m r u + E s E C o e f f l y Q N d 7 g 0 t 0 B X Z p f + F t m V P h S 9 G o k 9 + q x v e w G D g 8 M y P s h k o g c k T O s P m t V 6 A 1 4 U e p 8 a e v E U J m x e C p Z 3 D 0 N k + p 7 w v l O n X O x T A J T l B L 8 u b H P b k u H W e W 6 / L h r 6 X 7 F G l V n v 5 8 v I i e P L x W U k E q y 9 H + 9 P D C X X D t v b H x c F m s J Y H D n A r p 1 6 z v C w p c I q z c 3 N 8 9 r G Y P s A p V k j B k E M O j L A k T z / d 7 U 1 A S F Z k N U W 1 e / 6 s E I O T f 6 H J k I n g A k V i k F j g Q d B B g N j g 6 T y 4 R C p G i E Y p G w h M t j k V n a 2 1 Z M b W + / r / + K / W R r l y + Z + O L L h e Y L j k q x E m E J 4 V N s r a A X 3 T 2 L w g T t 2 7 e X 2 t r a Z A G W + e D F / k y Y o E C g i K a D w X l h g k p L y 6 m I j 1 t t 4 T M J P G K V F E R z 7 M I l Q R K w 2 K X T 2 y p P t Z m S + 9 E n p f u l A N f m q l m G 6 R D / h Y z r Y 6 N k e 5 c P a m 1 C B V B t K T S W B a o l u n 2 Z O v n I R 1 j d 6 M E D 9 R j M p a i W 2 1 z 9 / f 2 y R B k U D o e k 8 x e j G h Y K m B S X p A b B z i d 2 t H R p d S Q w S Q J A G i a B S 8 F i b T M l I d M g A S o T j A B I y n L B U k X 0 D W 1 l g 4 v X k u y 5 j F i O N I e L z R c 1 g Q u N y j C P x V h M c M O 2 7 9 l P 5 e V l X F G W 3 n C p q K i g K B 6 U x C o o K J T O X 4 z T y y U s P T b K b S o A t 5 B Q Q U t L y 1 b N 3 T M g q a S t l I Y n D S a U A Y 3 c p N T r 4 v I J R M i V N 2 B 1 A R M M 1 r u f / i z r u t g t u a 4 8 6 V 7 d W 9 y P V M G Z O e o d m p P x Y 2 h L I c + 1 X s N S h e F J w 8 P D V F u b W q z S K l i w r s 5 u G a I E y 7 R l y x Z 5 H t J 8 L h w q a 8 + L T t q w c b P e s 7 g w E B a j z V c D K M C T t E w C k w I o B Z U F J p 0 r a B R A s E Y Y n x f H Q i x s k T B A W N p N W J S F 8 9 b y I B 3 8 / B f 6 r 9 l X + d G G 4 l R S 5 N Z W S t 8 5 k b h i c F X i t D I 9 0 E 8 / z x T 6 n x o a 1 t F n n 3 8 q U + s / / / w z m p o K S o W d T w i Z l x S X S j A C k w Z x r H E R 5 x O m U u K x M a 8 r 5 d J Z w B F o 1 L Z p D 8 m + D J j U P m X x j Y W S j l u c W 7 h 5 4 u 7 x N o N / 8 P O / 4 L + U + 9 r Y K e V F G 8 q o f V O B 3 E 3 T E l c E 4 + I s V 1 h r Y p L d M l Q + D J K F 5 H 0 4 m V H m R l i e z B y T S 8 O D g 1 R d W y f B C K y t D k t m n U i Y K Y x W h 5 X N N e V k q c J n V e A Y S 2 S g 0 v A k E / Z r d 0 7 f j K x l l Z S V E q j E S u m c L d S W O v u O j M h U 3 r S h k i l h h U l V B l Q O Q L A c 4 W H U q P R 4 L A 2 m c G D d c z y x 8 M z X Z y k 4 P c 3 v m 9 4 A 9 z J g 6 O g 1 c 6 u s Q s W u 1 c + L y h S m a 2 Q K 7 4 2 2 E x a + X J H 4 7 + F v i p t n A F o g q f P E O b Y 5 z w I L 8 E h S F k m s E t w + T g l O 7 3 3 2 8 9 z X w o b J d f V p z 8 p 9 n j W q O 4 + m Z P k q 1 Z 7 y S l v K 5 C 6 9 K M B C 4 W p o f 0 u U y v X z e P E 8 3 S N s r S C M Z k D f E U a a 4 4 6 P 4 U i Z w u q 0 m K i I 4 y b H x 6 i 0 v E L m S M F S B t g q W f 8 2 2 i L Y x g R C n 9 / H v 6 e s 1 o W O A g r H F v 6 M R p n W V 2 C C V Q Z Q 4 u r p N p P e l 7 J Y A C r b a g E s w I O y w A O 4 A B L 6 n H S S a R q c j h 9 q o + Z t 9 l k Z d j H l J V C 9 / T M 0 M h 7 T w Q k / w + U l D 7 d h k B u o E M 1 b C C o s 0 X V 4 U 4 S u X 7 t B b V s 2 S x Q v U 7 i r w 3 p h T T 8 r W K j Q e O h a R W U F l c 8 T 6 c v U 9 R c + G g + t p L 0 E e F J Q G f f W w C T g J E F K g S U g 8 e f H d t I y 6 T x l m R R M y i I p o B A o i Q l M Y T 4 m T L / + z S / l 7 + a L X F e f 5 R 9 Q 0 H d 3 R 9 n h 1 V Z K R / w 8 n B R U g I v B W g Q q R P r w H N 2 q q o U f I g B d / O Y S t e 9 o p 2 r L s X f u 3 K E 9 e / b o r Z T 6 X v Z Q 4 3 o 1 U N Z 0 J o s W s Z p J A R h d N E D h h 4 A j 8 G B f O k z K U q m k 4 A J A O s + C S b t 4 A h P K K q o H F 0 8 m E k p 0 L 0 T / 9 W / z C y Y I 9 + K 8 / N q 3 u 4 Y r B t 9 Z t Y s i b o t U F O P C q I q D S q R c J L n N 6 9 O W E i z P Q s E G o w 8 O H 6 J C d v G s x / b 2 D t C o f r C 1 V Y A p E k + N z F i O 8 D k l 7 K 3 h U Y B Y r I y l M 9 Z q e W B N 1 e s G G p Q 5 1 + C Y N h L K g A g h 8 i R M s E 5 i o T A r V 6 U T H x + y n O 3 8 + c q r K F + m 2 j a U y l 1 V 3 W F T F U N V H A 0 W K h U n q Z y 6 o v I P / Q 7 o C 4 p m R f T m 0 + 3 b d 5 O T D l H R / X 4 v 9 f a 8 l H l U I 8 N D a Y N p J 2 e X a I 2 M 5 L N p 6 F F O T r O w w A K A T L Q u B 0 w S e J D / V + X J Z K C S s r n h 4 D y p c 2 a i e a b 9 h O W g N 7 S u f N n q t S z X t 8 9 f Z t 9 2 8 0 j X b / Z R g h C U Y L c P i 6 q 4 2 e V j Q B C k w O I o 4 v 5 x w q B a N 1 x A l D m H T m y N 0 D C D U F + f P X U 9 l w A f g h V X L n 9 L G z a 2 U K C w k K p r q s X K Y c E W T K c 3 O v O 0 g C u 9 3 t C a 9 0 I B I H H t A B M 2 Y Z 3 U d l o Z 1 s p Y L b 2 d H o g A Y A p C l b g s s D F A A I / B k j K n 5 I 2 H / y c 8 T U P a T + z q I a r 3 N 3 / / 1 / q D 5 Z 8 Y q N 6 8 B g q 6 e u 2 F t K c k 8 o c A B Q O F N h X A k p x T O l B s 3 H X 7 6 v D G S Y n Y W b V Q u w t C Z b 5 8 + Q o d O p Q 9 6 t q A d a X L T 0 H L I 2 r w O / z G G h 4 j B Y r s s y S z X w G E s s o V P H r b Q G Q A k + 0 M k F D W u b F S A M r A J B Z d W y W 0 n e K x E P 3 t 3 / 8 n 9 d H y V K 5 r D l C i S 1 e 7 G B Z Y K Y Z K B y c A l r J S S A o m g c s C 1 N G 2 W c m 9 / H u G I w M U w t p + 9 g b 5 1 9 K E p 8 l / / P F x v Z W t M 4 / d b D V 9 F n B Y A A P v i x y v C C g Z 5 b S k I J I k 4 O h 9 u g x I x C 1 M T m M 3 Q O W A S Y M E q A Q m K R u Y M L Q I z 3 s K M 0 y / S v 7 v + S o H K I u + u d w h q / G I + 8 f g S N 9 U p p X S Y B m g 2 u o S N N H z H e 3 d + 5 Z s m w Q h 5 7 r L u W y K E J R A O + r C + W 9 o z 1 u 7 J d y O C m 5 0 u 8 9 H I 0 E m E J z g B w Q Y V E l k Q J E j d F m 2 k 2 U L T K a c B A k 5 J w t E 2 E 4 D S c o M k c A E s B R M S Z A s l k n a T u z q / e r X P 6 e S 4 t W f S r L W 5 L r W 4 Q B l 1 f l v n o n r Z / q k c k K V d P 2 Q u + j 4 V l S y m E w k F J g A F b + X A g u A y V v L N k Z T W P u k H j 1 6 T G 1 t m 2 V N i j N P / V y J 1 X 6 5 K A y A y n S u f 6 p t 5 P o 1 T u k Q Z W z z m 5 p t A U p v G 3 g U X A Y k D R X n S c u E s r Z M Y q E A E r e V j G X 6 i / / 4 Z 1 R V n d 0 P l 4 9 i o P r U d X K U 1 N n z j x V U S a A U X G 6 P c f n S L d V R B u r h g 0 e 0 a 9 c O g S Y b q l Q O C w V X 0 h q A w K I l 9 / v 9 F H K p T l 6 u 9 / i p y 5 a c 3 0 I 2 + Q e + J N f J W k 7 B B F h U n u s p g g B H t g U i t Z 3 u 5 q l c W S f d b t L 9 T c o y h e n X f / N X V B h Y f n j f r n J d d 4 D K q a / P P h D 3 L w s q S Q o m B Z e L j m y J 0 u j o K 6 q t q 5 V l p F J A o c x v J m V I / R y f j l F l C d Z V U N t Y d u z c M 7 + 8 H 5 M h 3 x A j o D f 1 P j 5 c Q J F t / o l 9 k i M Z i K z b F q A E J i 5 b Q T I Q 4 T W B S M G U Z p 0 A E 9 p O l j 4 7 A 9 S v v v g 5 l Z e X y m d 1 p O S 6 3 u k A N Z 9 O n b 7 L 4 C i o T C h d I N J Q G a A + 2 h J j V 2 6 c a m q q Z d u a Q A E y V Y a w w V b w i Q r L p 4 k r v F U A Q B e E J y k m Y d I p c 1 t S C i R s K 5 i w z 4 C l o d L b x i o h 5 b Z M D B S D Z P r r 0 C H + 3 / 7 h C z 4 f e d 2 N m V M M V H / 6 V X S U p p M n b / F Z 0 h Y q w 0 o p u N z k 9 7 n p 4 M Y Y D Q z 0 U 1 P T + j S g k j C h L O + o 9 k H n n 2 W 7 S u p i 6 E s C O K w 5 i i h p c F R R Q S N f A h G S B g h l A C M w o c z Q S F m D p K 1 R q g y A d K 7 b T A K T B g l A 4 W F 2 f / c / / o v + N I 4 y 5 b r h A L W o L l 6 8 T 1 P T U W W Z G K q U p W K o d I D i g 8 1 x e n D / A e 3 Z s 1 u B J A N s d T I Q S R l y U S x B d K U r F 1 A K F C X A o X L 5 5 l 9 W I O E o v K b L a U n D o 6 G S A a 8 G o i R M G i J j m S S 3 w o S y g k p G k u h 2 k 9 / n z f t + p s X k A L V E x W J x + v L k T Q Y F M G X 0 U a H M Y L 3 V F K P S Q n A D 6 w W I E L T A t v y g S x 0 M E I o a K 5 X p c l I K H l 0 S Y F C S j A 8 1 4 K h 9 q c Q / U p Z I 9 i l 4 F F S W P A k U 4 N F l q 2 V K A o U A B K x S l H 8 n R n X 1 t f S L v / x T f C J H C 8 h 1 o 2 t A r p u j p e n 3 v 7 v M Z 4 0 B 0 m 0 q a 8 f v + o o 5 i k 5 0 U d v m j d p y A S o X X e k u V B D B Q o E f f c Y F t H m k o J E S l 3 W u M n l N t g Q c J A B j K Q t A X A Y 8 e l u 5 d S h r m D R Q 0 m b i s g F J B g y L Z V J B C L S T 4 O I t 9 F k d p e Q A t Q J 1 d f T R n b u d x K Z J r F X S / W P I f F w B 6 6 i D N m z c w J U Q L q G C 6 t s e z K 4 F V P j W l R O v q V K W F D z q 0 g C O V G 7 A 4 b L O V T J Q A R q V p 1 s m Q I Q y Q N L l L M u k 2 k 2 w T D Q X p + r q K v q r / / w z + d u O l i b X T Q e o F e v / / s t Z r t 7 K 9 T O W K l D g p p 0 N c R r o 7 6 M W r B b L o H W + 8 t G r G b Z m u M s b o K w w Y X + m A I c u q j I A Q t G U + W c y a Z g E I L W t I O J c A M s A S c q W a J 6 O 5 C H H f r / P R 3 / 3 D 1 / o P + 5 o O X L d 7 B 5 0 g H p N / d P / O c 1 n E i 6 e A i v g d 9 O W 2 g T n L n E F 4 f r d H y i g c B x t K s C j r B a 0 k C s F O I x U O Q U R / 0 i W V Q J M g C c z T G 6 B y E A l Y B m r p E D C 8 5 z g 3 q l w + E p m B j u C H K B W S a j j v / 3 H L 2 k O 7 S s N V 2 F i l H a 2 V o n b d 6 e / k H F g e L g M i A x Y 6 j s 3 V I w J f q g y / o A G C n 8 s G y a V G 8 t k y g o i 7 F N A A S J j m c z i / V 6 v h / 7 s z z + h 9 S 2 N 6 o 8 5 W r E c o N 6 A / v F / / U H D 4 y G / 1 0 3 b 6 i I U Z 8 v x 5 F W p h s l Y K j 7 E g C U b K k t K r g x A M b m 6 V C m A d B K A V G 5 1 8 V I W S l s l W C Q p x / h N M M H R T 7 / 5 7 7 9 y L N I q y n X r h Q P U m 9 K D e 0 / p 5 s 1 H X I L F c l N d 6 R z F E m 6 a C H l B U h I m x Z a B S u c a H i g F k o E q A y Q N m L J O A C i V K 5 h U J A 8 J y 5 l h E c 6 f / f K n 8 p 6 O V l c M 1 J A D 1 P e g + 3 c f 0 4 1 r 9 x g F N 5 9 1 b a E A F U D S E B m r Z Z X w k 2 m l B K I 5 8 r k T 3 C 5 j k O D S z W O Z e E M s E F Z Y + u s v 8 K A z R 2 9 S D l A / g G A 5 / v f / / F c K h b D g Z Q o o V d Y 5 B H b w Q 8 o K I v l K Q q U h Q p l z W C X s A 0 B Y 8 + + L 3 / y S f D 5 7 P m 3 9 x y r X d w 5 Q P w r F 2 c p c v X K T + l 7 0 0 N T k F I W x e r E B S n 1 r i F D i F h p D i A g i g G n Z u J 4 O H X 6 X i p 0 J f j + 4 X N / 1 D M u 1 c u T I 0 e v L G X / v y N E q y g H K k a N V l O v 2 y x H H 5 X P k a F V E 9 P 8 B A N M r e v w U d S o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 G u i d = " f 3 d b b 4 9 7 - f 1 e e - 4 f b 3 - b 3 7 9 - 4 8 7 d 5 1 2 4 c f 7 d "   R e v = " 1 "   R e v G u i d = " 1 a 0 2 a e 3 a - e a 6 d - 4 f 5 3 - b e 4 9 - 8 f e d a b a e 5 2 a 0 " 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7 7 4 1 F 9 2 - 0 F 2 4 - 4 9 A 0 - 8 5 D 5 - 0 3 A 8 7 4 9 4 F 0 1 9 } "   T o u r I d = " e c 3 d 8 6 0 e - 9 5 1 3 - 4 2 3 1 - a 9 d 1 - e 9 4 0 f 9 e 9 0 d 2 2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g E A A A I B A a w 5 M Q c A A C f G S U R B V H h e 7 Z 2 H d x x X d u Z v R 6 C R M w i A A A k S J M E o U h I p i q L E J I 8 0 k n 2 O Z 2 c 8 9 n p 2 t b N n 7 P X 6 e P + s P X v W Z 8 f 2 2 j O e W Y m k m M Q k J j F n B I L I A J E a Q G f s / e 5 7 r 7 s 6 I B K U h O r 6 g I f 3 q r r Q a F S 9 X 9 3 7 7 g v l + t d z V + b I k S N H q y K 3 z h 0 5 c r Q K c v 3 b u a u O h X L k a J X k + r f z D l C O H K 2 W H J f P k a N V F F u o b x 0 L 9 S O Q 2 + 2 h 6 g 3 7 K B J x U S x G l E g Q z f G V K f Y n 6 E B L h N w u o t 4 J D z 0 c 9 J G L y 0 h u v h 1 6 P E Q + 7 x y N v r i u 3 8 n R D y n X 7 y 4 4 Q H 3 f c j M J l U 3 v 0 E y I 6 G D z L J 1 / 7 m d 4 5 p K J 5 D t 1 W W R f U i 6 B y c j F G 9 a E 9 / Z 4 X O T 3 E Y U n n 1 N 4 + p U + 0 t H 3 I Q e o 7 0 k l N V v o 6 N Z i t j 5 R t j 4 J S T E 2 R Q A g G C Y a m 3 H T o y F f B j x L F 2 A y e S Z g P p + H C g N E 4 z 3 X 5 B h H b 0 4 O U G 9 Q V U 3 t N B s p p Y 8 2 z j B A c Q q y R f K 7 w 1 z J P Q L U y N A g 1 d a v o y e D H o o k X N Q / y f 5 b h h R f 8 1 u o T B m w o E y 4 P O w f e r 0 e K i p i g B 2 4 3 o h c v / v m m g P U K q u s 4 V 0 q d M V p d / 0 s s x A X q / N i z E 1 N 5 T H q H P V Q N O 7 i b Q W P 1 z 1 H R z Y z a a x Q 1 E V X X / j l 9 d d R J l Q m N 0 m 5 h R 6 q L w n T 0 M A j / n t x O c b R 6 8 v 1 e w e o V d P n H + y j c 4 / n 6 E D z D M 2 x B Q J I s E q T Y R d X 3 j g 9 H f Y K S E s 9 4 e n e n 9 n Q g K S K i y o T M G t q r Z m j y U g B j Q 3 c 0 E c 4 e h 0 5 Q L 2 m U F c / O 7 S P o u G Q t I k A 0 U j Q R V V F c R q f I S p 0 z 9 L M z C x V V F R Q J B y h 4 d l C C R j c 7 v W r N + C z b w 1 A v L 4 A i i 7 m k I H L m h u L d b h t j i 7 d f U T x G D f q H K 1 I D N R 1 B 6 g V 6 j O 2 S P G I A m l q a p L b J s U C V D h K N N D b R c 0 t L R R L E N 1 4 4 a W 6 0 j l 6 P s o k s V Y a e F i Z c g O W B A p m j r 8 B F f a J K 1 j h p Y E e x 2 K t R K 5 / v + g A t V x V l Z V Q b X G A v r n d S 0 c O 7 u K y s k w T E 5 M U C B R y w 9 9 L 5 5 8 X U I T b Q q i 2 4 G d 1 r d B K t Q h c n A M s p E + 2 x y g c i d D 5 u 8 / l N U d L k z N S Y p n 6 7 N B e e r t t P V V X V Z C 3 v J k C 7 h m 6 9 C g o Q J W U F I m 1 M j B h X 4 L T j w M m i D 8 J P g 8 I t 8 j s k 8 / L b b 9 4 P E 5 / v O + m c x 3 F 9 B n f M A x w j h Y X W 6 g b j o V a g g p 8 X j q 2 b y u N B S M U 8 C Z o Y H i M O v q C 9 E 5 7 n b h J s z M z d H u 4 k o J h B d J a U S Y s Z v v 4 l j A F I x 6 6 2 V t I P 9 0 Z p + l w j C 7 e f S a v O Z p f r n + / 5 A C 1 m H 5 y Y A 8 l o i H q H o l T Y 3 m C u k d d t L 4 i p l 8 l t k J E X z 8 t X F M g Z S o X W C e 2 h i g U C l F J c b G 4 s d C p W 0 8 k d 5 R b r j 8 4 Q C 2 o n + z f Q X F 2 4 6 L R a J p r B N f O 4 / H S 9 Y 4 w j c f K + U h 7 n E Y r W C g f W j 9 G x c V F y b b V 4 5 F i 6 u u 9 r Y 9 w l C l u Q + E E O i l X + v T A T n H l T D g 8 E g k n r R D u 2 K f Z K o 3 H y n j L P v c k + f / 0 v 4 P y x Z 4 K e v T o c b J t 1 T 8 e I 3 f p X n K 7 0 P z O f d 7 y O b l z 7 H M S p 0 / 2 b 6 d w O C x 3 6 W g 0 I p X L 6 / X J P g j b B i 6 7 i f + z t P / t B e 2 m 0 a m 4 Q P V h 6 w x F Y K 1 L 9 l B x o C D n u c v n 5 P r j 5 Z v 2 r B W v o Z + 8 u 5 2 t U Y S G h w a o q K i E / A U F 6 R V s j F 2 f I d W n Z H d l u o B 1 J Q k a m f G K + w c r 7 Y l 0 c f t y U h / h y A m b Z + h P 3 m k X 1 2 5 4 c I A q K q v Z 3 Y t K + w n i G z S d f F x g e 5 h K C / k f 1 V K W O F X e 3 R C m Y n 9 c 3 L / K w j D F f B v I 5 U U b 0 h H E F u q W Y 6 G 0 j u 3 Z J P 1 G q C x w b 3 B H R i V C G y p G P r r w X A 8 X y l O t K 0 3 Q 7 k Z 1 c 8 G 5 Q U K X A c 7 P p c e D N J e I y G v 5 L K c N p d M n + 9 u l L Q 6 Q A J G B C T r X U Z L 3 M E G z M Z w s J Z y b l y 9 f 8 v m K i + u 3 f 1 N V z v O a b w k z q 3 P t z 6 v 0 6 Y F d N D u r + l w w S h w K B l W 7 4 E Z H V K y W I 6 K J 2 f R O 6 2 f P O m h s b F x u Q o F A g P a 0 t u Y 8 v / m U 8 j 5 s / s l 7 b 1 E 4 N M s w z Y r 7 g k G u M + y 5 P J / g O y 7 b r F f R E s 7 z U 5 V F q b a U V c Y N R m C i v L x c g E K q K J o j f 1 E r H 5 H 7 X O d D y m u X r 3 1 D E 0 X D M 9 J m 8 v s L q G P U S 5 f 7 a u l i Z w E N T X m 4 4 v B x e S x M y 7 d q W 6 3 q M h g Z G Z G b z 8 G D B 5 I W C z n S u y 0 x q q p o z n m + 8 y H l d Z R v f T X W e I j R V 4 / 8 E r 1 7 P p K a g n 5 i 6 6 w u O T J q r l T w 1 N T U i H v s Z a g g A x M S r J Z n 6 i n F X b D w + S f X l 1 d v 5 + V 9 + P i + L R S L R u n L h 7 5 k I M I I 5 Y + 3 h u j M s w K K J 3 D r c X R i S 4 h c f C q + + u o k t b e 3 S w c 3 r N T m z Z v 0 E V y Z c A A L 5 w + d v z c 7 h 2 U 7 n 5 S X L t / + 7 Z s p N D s r M F l B g s w 2 J g Y C p u K C v L z f Z G l U u 3 / v v f c e t b Q 0 0 5 Y t b b R p U y s 9 f P h Q 9 k P W c + l m u N 5 q z r / I X 1 6 6 f K U F W A w l I B X A J M h a I c 4 + K 5 R 8 O o w z N b 9 K C n I 3 3 O 2 m m m L 1 f 5 a X l y U 7 u q G N G z f S 3 b t 3 9 Z a S 6 Z 9 C B / n 2 h g q 9 N z / k x p z S f P r C 6 H G E e r E W n h U m q x Z G K F 3 B c H 7 d k z o 6 O g U W o 8 L C Q r Z U m y S w k 3 4 + X R J K 9 1 B C n / n 8 + M q r 2 u D 3 e S n C j e k r f V V Z I G G 7 o S x O f s + c z A M 6 2 h a m g D 8 b t n w U L E 0 w G J T x j R s 2 t C T b S k a h E N Y a V F U p 1 T H O d 2 v e N z 4 x S e 1 1 x f J a P s j 1 1 b U 7 e V N r P n 5 7 W 1 r b y U C V C Z c R A h O Y P H i 3 3 0 / D w b z 0 j k U 4 P y 1 V M W q r i k g w A h 3 d m H R o F S w U L B d g A 1 Q o I 4 I K C P E 7 j 0 f y I 2 q a N 7 X E W 1 h O U b 6 4 J x + n 1 h G H A M 1 8 m p h 1 y + L 8 B q Z d 6 6 K 0 f 9 0 Q H W 4 N k 4 8 t W b 4 I k P S M + Q S S o q K i L J i g 2 7 f v q A K f V 1 i m e F x 1 / C J F I l F q q y x Q r 9 t c e d O G O r q 9 X g 9 6 T Y E A m N D / N J + u 9 f j T l k e O T v V S e V k Z e Z i v b X W q Y X 6 s L U Q f b c 6 P d e z i C 9 x D 3 n 5 7 n + S p Q / i s M 4 h I w 8 P D f N 7 j y W t h 5 6 + 8 C J u 7 v V 6 J T B n / H u n 4 l v k t E / T 2 + g g V + t J r 0 J 2 h U j r 1 p J D O P S + g e + w G Q m e e F c o q R / m g 5 O K c 8 6 h / Y E B y n F 9 Y J r S 7 A N T 4 2 D h b N y 8 1 w 7 D l u D 5 2 S v n h 8 g X a k 1 E o y O / l C 8 7 / / N X u + S v I z Z d + W W v c q o L i a l 3 K T 5 m h S O Y 8 Z q r A n 3 4 + i 9 k 1 v H D h I j U 0 r i M X f K H 0 0 2 l L u U 5 e v 7 e A I b e H j u z a K B Y K U M X Z 5 X t w / z 4 V F P i p K 7 F L H + F o K Z o Y 7 a d D G 0 L k 5 r Y U + q M Q M s 8 U Y I N V M o J X g F E T C E x E O E 1 N z 9 J o I v v 3 7 C J 0 a M u d w 6 7 J V 7 E z z T r B M i H 0 W 9 2 4 V b Y d L V 3 V t e v Y 2 j R Q f X 2 d j O W D p q e n a W Z m h s b G x u Q 8 X 7 9 + U / Z D A 1 N q 6 b H u r m 7 2 h m C h X D S H t l T G N b J T s r 3 L F w r N 0 Y 0 e r w A l I f C 7 9 y h Q V E T B y T E J S h z b P E 1 T 4 / k 3 5 m w l w h N E j P D w g 0 c P H 4 k F A k j Y R n 9 U Q 8 O 6 5 B I B D a V q 7 c K m p k b t 8 r m o s M D e 7 U 3 X q R v 3 b e v y e f z F N B 1 v l P 4 Q E 5 A A R P f u 3 a O d O 3 c q N y Q S o a v 9 t f o 3 H C 0 m / 8 A p m g 5 O 0 3 s H 9 1 N V V R U F u V x S k r v j 9 s s v T 9 L 4 V J j e 2 d t O 6 9 a t k 3 M N 6 J C P z B X p o + w l e E D W I I W t 0 l z B h i R I R i i i L 2 V y c l J e K y 0 t 1 a 8 4 W o p 2 7 t x O B 9 8 / I N Y G N 6 r x 8 T H 9 i l J E T 5 P v 7 e u j Y 8 e O 0 I F 3 d l J L S w v v 0 V e F v 6 W d l d p j q 2 T r s H k k k j 1 W 7 9 S T A n o e 3 S 7 7 M d b s 1 i K h Y A h 3 n c r g V S n n U 4 d u L l 1 8 U U p e f 6 F 0 8 g a 5 / Y R x k d 3 d P X T r 5 i 2 a C r k l g g q V l p S S z + e T w b N R B q + z s 5 O P U 2 2 p m d m Z n N f L D o n b U D n 2 2 i S Z Y I R J V g W K 1 d J X o 9 P z N y O L / X O 0 v T 5 K 1 d N X a b L 0 P X E X j 2 w O 0 6 G N 2 R 2 5 g A 7 H o 2 F q X f f c b i o q L q O r v Z V s m S a o j K 3 7 7 t 2 7 q L m 5 i f a 9 v Y / u 3 r o i x y B A U V p a I l Z M z j 1 7 A j G + F o D r 8 Z M n 1 N 3 1 g k q j E 3 x k + v W y Q 3 K d v v n A l r d c f + V 2 v u g R c U u s Q J k 8 E p q i g u F v K N 7 0 i X R C Z q q m O E 5 7 m 6 L 8 + 1 G K c 4 X o n i i m r b W 5 Q Z m O u A Q m 6 O U 4 n u a + u N V b 6 y r y J e h Q q 1 o 2 D O c U 8 P T 2 9 l F t b Q 2 F u G 0 K 2 J 4 + f U p l Z W U y e s L r w d A l t 7 R b T Z r y V 8 r v 2 0 m 2 D Z s j q m v g y a V t T Q E 6 c e I Y F X l y D x v a s U 4 N L b p 7 5 x 4 V + A t y P q H d y M A E r a 9 I L D g + 0 C 6 a i b p p c M p N Z 8 9 e o P v 3 1 S R D R P N m Z 2 d p e G h Y r B R O P 6 b L D w 4 M s n u t l 2 3 W G h w a y n n d 1 n q y b d g 8 F t P B C H x r s K x 8 d Y 5 6 6 c m w j 1 o K X 8 o 2 p m w c 3 h S m 0 P Q 4 7 W 2 M k F / z 0 7 6 9 X S o J X L 3 F h I G 0 R g L V 1 A u 9 Z U 9 h F P 7 + / W / T r l 0 7 q L + v X / b B F c S 0 + J K S E m p s b B D r j y C Q y H L + k / t s J t u 2 o U x 0 D 1 8 p W c t E A 5 N u S h S u k 8 p / + k m h r H a 0 t 3 a E a k p S s 3 A x G g A P m 8 6 l R 4 N e m R p u R q O j v W X 0 5 M k z + v i d O v q g 1 d 4 D Z y f j e P o I 0 e U r V 2 l g Y I A e 3 H 8 g 2 w h I A C p c g 8 b G R n 5 t k P e m z j + s l n u 8 j 0 u 5 r 9 9 a T b a M 8 v m K a 5 N W a S H h s Z 3 P x k p l + T A o H k 9 Q W X n 6 O t 1 o G z x + 8 p R O f n W a r l 7 9 V u 9 l l 4 f b T e 3 1 M a o u S l C t B U A j V C Y I 7 a t A x i B b O + n + g I + m Z m N 0 9 O h H d O P G L d q 6 L X 0 E C m 5 s E x G f B g p K n Q s M m s 1 1 / d Z y s m U / V N x d r a z T E q C C D F B w T 6 L u 7 I X v D x x 4 l / 7 k J y d o 6 9 Y 2 u n T p s n R Y B i d f 6 V e z d e 3 a D b 4 r r 5 M y 1 m K A l Q p M 3 q L G 0 j i 1 1 c R o Y 1 W M g h P 2 G Z 1 x t a e E i k q r 6 P P P f y o d v V Z J f 1 W c J F i h P A Y l R A F 7 e 3 t z X r + 1 n G z p 8 s V i a C + t z C p U B O Z f d K W y s o o O H X q f d u / Z T b X V 8 y 8 + 0 t i w j s 6 d u 5 D 8 D B M T E 1 R W E K M d D V G B a X 1 J k N 5 b H 5 S l u c o s T 7 p Y y / q m E 4 9 E V R 2 / i O B B + P 8 x K q K u J E 5 9 3 M a 6 + I T 3 8 z H Y P z 0 9 I y s n 5 b p + a z n Z 0 u V L 8 B 3 R V O b l g i U m e x E N S 4 R K H Y j 3 N w N F U X k w c q C j s 5 P q 6 m o k 0 g W d v 3 i D A g 1 7 p Q z N z s 6 I S 4 i 3 O N A S o X D Q H t Y K T 3 R 0 u z H 3 L E Z 3 + n x 0 p d t P t 2 7 f l 7 b m Z N l B i r n L 6 H Y f v I E 5 2 t i 6 Q U a t 5 7 p + a z n Z M s q X a 3 H / p X K F t t F i q q 2 r l f 4 t C E D 9 4 Q / / j 8 6 c O U 8 X L 1 4 i j 8 d H H 3 5 4 m F p a N t C r V 8 o t D I Y i 7 O p Z B 5 Z W 0 s 2 b t 6 S M 0 d p v 1 X J b w i b 6 + l m h L B A 6 F P R w 2 4 o Y p P e o d 8 L N C C k X H A 8 c i H L b F Z Y K S x L Y T X x D t t 9 X b u u 0 N K K W s r B l H J 2 9 c Q U I 2 l 0 7 t r f T k S O H 6 d i x o 9 I 2 g K a n g 3 o M G 9 H P / / S 4 W C 8 I I X i 4 R P X 1 9 b J 9 7 u w F W t / c T O U 2 c f 2 g Q J H l A Q t 8 D e Q 6 I M c 1 4 P x q t 1 o k B x Y q E Y 1 a r t z a / 7 K l h c L F S o d p a c o 1 p C h T i F o V F 5 f I g v l G z R t a 6 L e / / W e 9 p Y S w M Y 4 1 u n f v A X V 0 d M j T P V 6 8 6 J F p J P / 8 T / 9 C B 9 / f L 6 / v Z 9 f P j l L X I R u q c b Z e X q + H P F 4 V E L K L X G f v P F 5 + z f u R a 3 p u U 9 o a E t B i g L k S I T q + L X 2 2 a a Z O n f p a 2 k a t r a 3 0 x z 9 8 S b / 8 y 1 / I u g l X L l + l Y 8 e P s u W K y f N 4 I f z t k y d P 0 4 4 d 2 9 g i R W n j x g 3 y 3 h h U i s 8 y O N B P 6 x o a 5 V i r s G b F W p c 5 1 w m 2 4 l j 9 C B Z d h n D h 8 a q R M M W i E a p K P K P x 4 Q F Z z j n Q b J / J n q 5 z d 5 7 Y D q j g X O u y g T q x Z Z a + u X C R 9 h 9 4 N + f U b q i v r 4 + q q i r 5 9 Y A E H x 4 + f E z 1 3 J 5 q 3 b R J Y E E F k o a 2 R X D 1 / B l r L R i N j A x R T U 2 d 3 i I a Z a t 3 6 9 V 6 v b V 2 N T e n z n s K q J g G K i L t p l g 0 T O 6 h i 1 R d X S X T Z 0 o 3 7 N C / u f Z l S 5 d v J Q I Q h z / 8 g G Z m p u n 3 v / u j h L q t Q g V B Z A 4 w Q Q g s v P / + Q d q 0 e X P S q l l h 6 u v t k b b S f D B B 1 d W p i Y 2 z M z N U X V O T N i 5 w 7 U o F H X D O U k m P X O G c W 7 m 0 Z 8 8 u Z a 0 t y 7 r Z Q f a c D 5 V D 5 Y V y h X O m A y 2 q 7 Q Q w q q q q 6 c O P D o k r Z w I P E F 6 7 f i 2 1 X k I u Y c l i / M 6 r 0 R G q b 2 i m A n b / g t x m m k 9 4 z 3 4 G b / z V q E z L h 9 7 n d h y G Q r X V R m l r T T T 9 s 6 4 V 8 W e V L + S S D E w q Y a E c r I 9 Y F A h Q g l / L e Q 3 X a L J l x 2 4 u T Y R y 7 4 f K A J t F 3 V 1 d 1 N T U R F 9 9 d U r v U a q u W f g h Y n g K 4 i x b u M q q G r r U 6 a f H w 1 4 q K S 2 j r o 5 n + o h s N T Q 1 U w V D b B V + d 2 N l n F q q 4 v T x t j D t a F g j A Q s D D Y r i b p v E + 7 B t 9 i X L C q z c 1 3 B t J t f 5 u 0 / X 0 K 1 v a Z p K q G X D s t p Q u p y p 4 1 v Z p 8 f 5 Y I 2 P j 0 u E D m v K o f 3 z / P l z e v 6 s k x q b G m R Y z U c f H V Y H L l P 4 L E M I R D Q 2 6 T 3 L F x b V R P 2 b 5 9 / 4 4 c U f D B 8 N s E j b S b e f 4 v G o P N z O t K G i 3 I Z q r w n S w M t O q m K 3 t 7 p t t / p 9 G 8 h 1 / p 7 9 g A o m W g W G p Q I V C 4 3 R p 2 8 V 0 a W L l 2 k 3 + / b W d S b w H u h r Q p v q x v W b d P z E M f 3 K 9 y M s Y e x 2 Z 8 / F e j H u o e 7 h B O 1 o c t G z Y R 9 N L f I c q + 9 F A h S 7 d O z 2 J p I w I V d R P k C F g A S A i k d D t L 1 6 k g J 1 6 6 m g 1 D 4 T D W 0 Z l E D b R A U K l l b J a m N P + O c c 7 d q 9 M w 0 m y M z m x Y D X + n W q M 3 Y l Q u V a i q w j N R T M 2 T B F o x F q q Y j T u + u D M t r 9 v Q 2 q 3 e X L P v R 7 F 4 I M y q X D s m 3 K t c P I F e X i q a f F K w v G F n t o m H w B e z 1 l 3 5 Z t K A U T l 1 S m l b a R p v b 2 L f T 1 1 + d y T n p D c O L 8 u Q v 0 z j v 7 5 F G Y K 9 V S O z D v 9 a c m K Z r h T Z m a 1 B H I A n 9 6 e P / I 5 p A 8 y O C H k r S J d J v J w I S y g s p s K 6 j Q d q q s r C C 3 B / 9 v 6 t q t 9 W T L 6 R u w N q Z k 8 n S 4 0 l U Y K J Y l r 7 w 5 K n 1 X 1 w v 6 6 M i H f P E r s 6 z X U o V n U i 1 V e x o j 4 q 6 G Q 6 F 5 Q + 4 G N I T p j U t r d G T T j E w X 2 b k u + 2 E H b 1 I p m F L g y D 5 2 W c 0 + B Z J + n f e P v R q T m 5 + 5 b n Z I t g y b 4 0 I a g B Y C y e h K d 4 F c 2 G z N 0 f r 1 2 a M Z l q u Z 6 f Q 5 Q g u p k G / Y A K m g s J D b b b k H z W I a i Z E V K F R W / B + Y 0 N h Q l q D 9 z d 9 f d F B B k 2 G N k L h s Q E r M M V x S x m O F 4 v w / 6 n U m b J T s 6 f I x C L k B y a 1 Z r n c j 0 9 k N k K G h E V m 1 5 3 V V V V O j S 0 v T y N C Q 5 L n + A w A U 4 4 a + k Z k 6 A q k b i V o + D f K 6 l t Z u e 1 0 Z a 5 Q G l Q C k c l g j A 5 i C S b / O K f P a r f V k S 5 f P 7 1 K d q V l Q L Q D Z d y 9 z t X H U c 4 5 m p o O y Z e 3 o X Y 4 m M l Z X X U w 1 d W o 4 E v q w j O A 2 x m I R + Z + K i l J L H 7 v 5 C k 5 O q j a V L G H F w g g E i K u 2 5 G 9 S A p I J R A A g n R R c B i K 9 H 9 E / 2 Y 6 T 3 x 2 V g I u 5 Z n Z J t n T 5 / G 5 2 l S y u 0 F I 1 N J X e o q / j i v 3 w 4 S M q K l a R K F R U T L / I p b G x V / q O m 6 3 y i p W F h Q H z 1 O S k h J s L A w F u 4 2 W 3 q X w + P 1 t R N W 3 f p S O S p i P Z 6 3 m z I 7 m N V T I A 4 f 8 3 1 s i A o / Z x 2 Q I T y l W B C M X d 7 N / m u H 5 r O d n S 5 U P C B c b d P N 1 K W c v Z w i z T T A 0 O D t L o 6 K g E C t A X h e W b j U W A U K l g u d C u M S F 2 A I C / j + C B s W o 4 b i n C P C q r S t n l n J m e 0 l v p 6 u n q E M h H h g b l 9 6 b 4 c y G k 3 r y h V a a J d P e n j 0 d c d Y l 1 S l k h a w 6 w U l B Z k o A V p 3 J / j F r 3 v M t v k n 7 d 1 n p K v y X b S H N o A O t K b K B K Y 2 s e s f e S p q N H j 8 i Y P I w s x 4 q o E C w C Z t q e P X u e z p w 5 l w G t c g 1 d L r d E D Y 3 7 h W N Q k T C C A + 4 b K j z e A w 8 h w / E K z J j M t b I K g 2 Z d l r 6 o U G h W 9 n 3 H 8 D + L q V H a N X X 1 8 n u l / L l g 0 f A 3 S 0 r K 6 O n U y v v N F p O y T i Y p k M R S J S F K A Z Z K B q q Y t A M 9 3 u w b 2 F q X 6 + L D j j f v a P 8 A e j V d Q 7 E 5 3 C / 0 + t q c I F z k x Y T x c 7 l 0 l u F B Z K q e X c F A U Y A a G h o Y j C k V l b M 8 9 w i Q m H l R y 9 E o W 5 p q h i N T g 3 2 9 V N f Q K P 9 D t t V N l 4 x O 4 P / x f N f r B 1 P m k 4 H I w I M b g r E 8 y d E R S H q E h H U e V D Q S o m g 4 R F u q J m n r + y f 0 O 9 p H t r V Q V c U j i C P r r e V p I p T 7 t B w 9 d o R 2 7 t x B j U 2 N A h O E M X + T k + k u m Y E p c w r I Y q q q T c 2 N M s K d v V 6 P / 4 N L u R B M O B Y d y G 8 c J v 4 7 V u s j Z b F S C i o D m i o b 2 N Q + w N d W P U s u 6 d C 1 n 7 j m 4 A L Z M y U S e F B A e l v K N N w X 0 r X u + S 8 2 w u h X r q Q W v E Q l R 0 U Z G R m l M L e z r F p u R 3 A u W J K f e w G Q j P B Z 3 u S M X 2 P p B R 4 B K J X m N D Q G J t n m J N Z L o F J W C 7 l r L k Z b D h z h d 1 T X y U 7 J t h Z K p N 0 S V I L l C o N P 5 1 M s m t 6 / g w V X K i r K p Q P 3 7 J n z 8 u g W a C k Q W P W y p 1 u X U l r O e 5 g F O 9 + E 1 D l U r h 7 / 0 O f V Y o 3 k X D N A K E v S + 7 H P A h N G n i 9 1 X O N a l K 0 f W l 1 T N i s X U S r B M v V k c P 7 K W R j I t g I I Q G B 4 0 t F j H 1 F 3 Z x e d P v W 1 R A a X o 8 a m 1 F h B T H N Y z o 3 g 3 o D v j Q F l L J P q b 8 J w o p R l A j A C l b Z G x s W L s 3 c g r p 4 l A a T 6 o l m a m J z M e b 3 s k G z t 8 v m 8 u E O q O y M u + n L c J + j 0 k 9 y B B T y i Z S F t b t t M J z 4 + T l 1 d 2 R Z n P q H C m r A 7 5 P P 7 k 5 9 z c l I N Q T I r s u Z S c J 5 2 3 + t K w W R c O Q V Q 0 g I B l I x 9 g E q s V F y X t X U y q d g b o Q O f / g d + 5 9 R 1 s l O y t 8 v H c r F b A q D k T m r u + E s E C o e f f l y Q N d 7 g 0 t 0 B X Z p f + F t m V P h S 9 G o k 9 + q x v e w G D g 8 M y P s h k o g c k T O s P m t V 6 A 1 4 U e p 8 a e v E U J m x e C p Z 3 D 0 N k + p 7 w v l O n X O x T A J T l B L 8 u b H P b k u H W e W 6 / L h r 6 X 7 F G l V n v 5 8 v I i e P L x W U k E q y 9 H + 9 P D C X X D t v b H x c F m s J Y H D n A r p 1 6 z v C w p c I q z c 3 N 8 9 r G Y P s A p V k j B k E M O j L A k T z / d 7 U 1 A S F Z k N U W 1 e / 6 s E I O T f 6 H J k I n g A k V i k F j g Q d B B g N j g 6 T y 4 R C p G i E Y p G w h M t j k V n a 2 1 Z M b W + / r / + K / W R r l y + Z + O L L h e Y L j k q x E m E J 4 V N s r a A X 3 T 2 L w g T t 2 7 e X 2 t r a Z A G W + e D F / k y Y o E C g i K a D w X l h g k p L y 6 m I j 1 t t 4 T M J P G K V F E R z 7 M I l Q R K w 2 K X T 2 y p P t Z m S + 9 E n p f u l A N f m q l m G 6 R D / h Y z r Y 6 N k e 5 c P a m 1 C B V B t K T S W B a o l u n 2 Z O v n I R 1 j d 6 M E D 9 R j M p a i W 2 1 z 9 / f 2 y R B k U D o e k 8 x e j G h Y K m B S X p A b B z i d 2 t H R p d S Q w S Q J A G i a B S 8 F i b T M l I d M g A S o T j A B I y n L B U k X 0 D W 1 l g 4 v X k u y 5 j F i O N I e L z R c 1 g Q u N y j C P x V h M c M O 2 7 9 l P 5 e V l X F G W 3 n C p q K i g K B 6 U x C o o K J T O X 4 z T y y U s P T b K b S o A t 5 B Q Q U t L y 1 b N 3 T M g q a S t l I Y n D S a U A Y 3 c p N T r 4 v I J R M i V N 2 B 1 A R M M 1 r u f / i z r u t g t u a 4 8 6 V 7 d W 9 y P V M G Z O e o d m p P x Y 2 h L I c + 1 X s N S h e F J w 8 P D V F u b W q z S K l i w r s 5 u G a I E y 7 R l y x Z 5 H t J 8 L h w q a 8 + L T t q w c b P e s 7 g w E B a j z V c D K M C T t E w C k w I o B Z U F J p 0 r a B R A s E Y Y n x f H Q i x s k T B A W N p N W J S F 8 9 b y I B 3 8 / B f 6 r 9 l X + d G G 4 l R S 5 N Z W S t 8 5 k b h i c F X i t D I 9 0 E 8 / z x T 6 n x o a 1 t F n n 3 8 q U + s / / / w z m p o K S o W d T w i Z l x S X S j A C k w Z x r H E R 5 x O m U u K x M a 8 r 5 d J Z w B F o 1 L Z p D 8 m + D J j U P m X x j Y W S j l u c W 7 h 5 4 u 7 x N o N / 8 P O / 4 L + U + 9 r Y K e V F G 8 q o f V O B 3 E 3 T E l c E 4 + I s V 1 h r Y p L d M l Q + D J K F 5 H 0 4 m V H m R l i e z B y T S 8 O D g 1 R d W y f B C K y t D k t m n U i Y K Y x W h 5 X N N e V k q c J n V e A Y S 2 S g 0 v A k E / Z r d 0 7 f j K x l l Z S V E q j E S u m c L d S W O v u O j M h U 3 r S h k i l h h U l V B l Q O Q L A c 4 W H U q P R 4 L A 2 m c G D d c z y x 8 M z X Z y k 4 P c 3 v m 9 4 A 9 z J g 6 O g 1 c 6 u s Q s W u 1 c + L y h S m a 2 Q K 7 4 2 2 E x a + X J H 4 7 + F v i p t n A F o g q f P E O b Y 5 z w I L 8 E h S F k m s E t w + T g l O 7 3 3 2 8 9 z X w o b J d f V p z 8 p 9 n j W q O 4 + m Z P k q 1 Z 7 y S l v K 5 C 6 9 K M B C 4 W p o f 0 u U y v X z e P E 8 3 S N s r S C M Z k D f E U a a 4 4 6 P 4 U i Z w u q 0 m K i I 4 y b H x 6 i 0 v E L m S M F S B t g q W f 8 2 2 i L Y x g R C n 9 / H v 6 e s 1 o W O A g r H F v 6 M R p n W V 2 C C V Q Z Q 4 u r p N p P e l 7 J Y A C r b a g E s w I O y w A O 4 A B L 6 n H S S a R q c j h 9 q o + Z t 9 l k Z d j H l J V C 9 / T M 0 M h 7 T w Q k / w + U l D 7 d h k B u o E M 1 b C C o s 0 X V 4 U 4 S u X 7 t B b V s 2 S x Q v U 7 i r w 3 p h T T 8 r W K j Q e O h a R W U F l c 8 T 6 c v U 9 R c + G g + t p L 0 E e F J Q G f f W w C T g J E F K g S U g 8 e f H d t I y 6 T x l m R R M y i I p o B A o i Q l M Y T 4 m T L / + z S / l 7 + a L X F e f 5 R 9 Q 0 H d 3 R 9 n h 1 V Z K R / w 8 n B R U g I v B W g Q q R P r w H N 2 q q o U f I g B d / O Y S t e 9 o p 2 r L s X f u 3 K E 9 e / b o r Z T 6 X v Z Q 4 3 o 1 U N Z 0 J o s W s Z p J A R h d N E D h h 4 A j 8 G B f O k z K U q m k 4 A J A O s + C S b t 4 A h P K K q o H F 0 8 m E k p 0 L 0 T / 9 W / z C y Y I 9 + K 8 / N q 3 u 4 Y r B t 9 Z t Y s i b o t U F O P C q I q D S q R c J L n N 6 9 O W E i z P Q s E G o w 8 O H 6 J C d v G s x / b 2 D t C o f r C 1 V Y A p E k + N z F i O 8 D k l 7 K 3 h U Y B Y r I y l M 9 Z q e W B N 1 e s G G p Q 5 1 + C Y N h L K g A g h 8 i R M s E 5 i o T A r V 6 U T H x + y n O 3 8 + c q r K F + m 2 j a U y l 1 V 3 W F T F U N V H A 0 W K h U n q Z y 6 o v I P / Q 7 o C 4 p m R f T m 0 + 3 b d 5 O T D l H R / X 4 v 9 f a 8 l H l U I 8 N D a Y N p J 2 e X a I 2 M 5 L N p 6 F F O T r O w w A K A T L Q u B 0 w S e J D / V + X J Z K C S s r n h 4 D y p c 2 a i e a b 9 h O W g N 7 S u f N n q t S z X t 8 9 f Z t 9 2 8 0 j X b / Z R g h C U Y L c P i 6 q 4 2 e V j Q B C k w O I o 4 v 5 x w q B a N 1 x A l D m H T m y N 0 D C D U F + f P X U 9 l w A f g h V X L n 9 L G z a 2 U K C w k K p r q s X K Y c E W T K c 3 O v O 0 g C u 9 3 t C a 9 0 I B I H H t A B M 2 Y Z 3 U d l o Z 1 s p Y L b 2 d H o g A Y A p C l b g s s D F A A I / B k j K n 5 I 2 H / y c 8 T U P a T + z q I a r 3 N 3 / / 1 / q D 5 Z 8 Y q N 6 8 B g q 6 e u 2 F t K c k 8 o c A B Q O F N h X A k p x T O l B s 3 H X 7 6 v D G S Y n Y W b V Q u w t C Z b 5 8 + Q o d O p Q 9 6 t q A d a X L T 0 H L I 2 r w O / z G G h 4 j B Y r s s y S z X w G E s s o V P H r b Q G Q A k + 0 M k F D W u b F S A M r A J B Z d W y W 0 n e K x E P 3 t 3 / 8 n 9 d H y V K 5 r D l C i S 1 e 7 G B Z Y K Y Z K B y c A l r J S S A o m g c s C 1 N G 2 W c m 9 / H u G I w M U w t p + 9 g b 5 1 9 K E p 8 l / / P F x v Z W t M 4 / d b D V 9 F n B Y A A P v i x y v C C g Z 5 b S k I J I k 4 O h 9 u g x I x C 1 M T m M 3 Q O W A S Y M E q A Q m K R u Y M L Q I z 3 s K M 0 y / S v 7 v + S o H K I u + u d w h q / G I + 8 f g S N 9 U p p X S Y B m g 2 u o S N N H z H e 3 d + 5 Z s m w Q h 5 7 r L u W y K E J R A O + r C + W 9 o z 1 u 7 J d y O C m 5 0 u 8 9 H I 0 E m E J z g B w Q Y V E l k Q J E j d F m 2 k 2 U L T K a c B A k 5 J w t E 2 E 4 D S c o M k c A E s B R M S Z A s l k n a T u z q / e r X P 6 e S 4 t W f S r L W 5 L r W 4 Q B l 1 f l v n o n r Z / q k c k K V d P 2 Q u + j 4 V l S y m E w k F J g A F b + X A g u A y V v L N k Z T W P u k H j 1 6 T G 1 t m 2 V N i j N P / V y J 1 X 6 5 K A y A y n S u f 6 p t 5 P o 1 T u k Q Z W z z m 5 p t A U p v G 3 g U X A Y k D R X n S c u E s r Z M Y q E A E r e V j G X 6 i / / 4 Z 1 R V n d 0 P l 4 9 i o P r U d X K U 1 N n z j x V U S a A U X G 6 P c f n S L d V R B u r h g 0 e 0 a 9 c O g S Y b q l Q O C w V X 0 h q A w K I l 9 / v 9 F H K p T l 6 u 9 / i p y 5 a c 3 0 I 2 + Q e + J N f J W k 7 B B F h U n u s p g g B H t g U i t Z 3 u 5 q l c W S f d b t L 9 T c o y h e n X f / N X V B h Y f n j f r n J d d 4 D K q a / P P h D 3 L w s q S Q o m B Z e L j m y J 0 u j o K 6 q t q 5 V l p F J A o c x v J m V I / R y f j l F l C d Z V U N t Y d u z c M 7 + 8 H 5 M h 3 x A j o D f 1 P j 5 c Q J F t / o l 9 k i M Z i K z b F q A E J i 5 b Q T I Q 4 T W B S M G U Z p 0 A E 9 p O l j 4 7 A 9 S v v v g 5 l Z e X y m d 1 p O S 6 3 u k A N Z 9 O n b 7 L 4 C i o T C h d I N J Q G a A + 2 h J j V 2 6 c a m q q Z d u a Q A E y V Y a w w V b w i Q r L p 4 k r v F U A Q B e E J y k m Y d I p c 1 t S C i R s K 5 i w z 4 C l o d L b x i o h 5 b Z M D B S D Z P r r 0 C H + 3 / 7 h C z 4 f e d 2 N m V M M V H / 6 V X S U p p M n b / F Z 0 h Y q w 0 o p u N z k 9 7 n p 4 M Y Y D Q z 0 U 1 P T + j S g k j C h L O + o 9 k H n n 2 W 7 S u p i 6 E s C O K w 5 i i h p c F R R Q S N f A h G S B g h l A C M w o c z Q S F m D p K 1 R q g y A d K 7 b T A K T B g l A 4 W F 2 f / c / / o v + N I 4 y 5 b r h A L W o L l 6 8 T 1 P T U W W Z G K q U p W K o d I D i g 8 1 x e n D / A e 3 Z s 1 u B J A N s d T I Q S R l y U S x B d K U r F 1 A K F C X A o X L 5 5 l 9 W I O E o v K b L a U n D o 6 G S A a 8 G o i R M G i J j m S S 3 w o S y g k p G k u h 2 k 9 / n z f t + p s X k A L V E x W J x + v L k T Q Y F M G X 0 U a H M Y L 3 V F K P S Q n A D 6 w W I E L T A t v y g S x 0 M E I o a K 5 X p c l I K H l 0 S Y F C S j A 8 1 4 K h 9 q c Q / U p Z I 9 i l 4 F F S W P A k U 4 N F l q 2 V K A o U A B K x S l H 8 n R n X 1 t f S L v / x T f C J H C 8 h 1 o 2 t A r p u j p e n 3 v 7 v M Z 4 0 B 0 m 0 q a 8 f v + o o 5 i k 5 0 U d v m j d p y A S o X X e k u V B D B Q o E f f c Y F t H m k o J E S l 3 W u M n l N t g Q c J A B j K Q t A X A Y 8 e l u 5 d S h r m D R Q 0 m b i s g F J B g y L Z V J B C L S T 4 O I t 9 F k d p e Q A t Q J 1 d f T R n b u d x K Z J r F X S / W P I f F w B 6 6 i D N m z c w J U Q L q G C 6 t s e z K 4 F V P j W l R O v q V K W F D z q 0 g C O V G 7 A 4 b L O V T J Q A R q V p 1 s m Q I Q y Q N L l L M u k 2 k 2 w T D Q X p + r q K v q r / / w z + d u O l i b X T Q e o F e v / / s t Z r t 7 K 9 T O W K l D g p p 0 N c R r o 7 6 M W r B b L o H W + 8 t G r G b Z m u M s b o K w w Y X + m A I c u q j I A Q t G U + W c y a Z g E I L W t I O J c A M s A S c q W a J 6 O 5 C H H f r / P R 3 / 3 D 1 / o P + 5 o O X L d 7 B 5 0 g H p N / d P / O c 1 n E i 6 e A i v g d 9 O W 2 g T n L n E F 4 f r d H y i g c B x t K s C j r B a 0 k C s F O I x U O Q U R / 0 i W V Q J M g C c z T G 6 B y E A l Y B m r p E D C 8 5 z g 3 q l w + E p m B j u C H K B W S a j j v / 3 H L 2 k O 7 S s N V 2 F i l H a 2 V o n b d 6 e / k H F g e L g M i A x Y 6 j s 3 V I w J f q g y / o A G C n 8 s G y a V G 8 t k y g o i 7 F N A A S J j m c z i / V 6 v h / 7 s z z + h 9 S 2 N 6 o 8 5 W r E c o N 6 A / v F / / U H D 4 y G / 1 0 3 b 6 i I U Z 8 v x 5 F W p h s l Y K j 7 E g C U b K k t K r g x A M b m 6 V C m A d B K A V G 5 1 8 V I W S l s l W C Q p x / h N M M H R T 7 / 5 7 7 9 y L N I q y n X r h Q P U m 9 K D e 0 / p 5 s 1 H X I L F c l N d 6 R z F E m 6 a C H l B U h I m x Z a B S u c a H i g F k o E q A y Q N m L J O A C i V K 5 h U J A 8 J y 5 l h E c 6 f / f K n 8 p 6 O V l c M 1 J A D 1 P e g + 3 c f 0 4 1 r 9 x g F N 5 9 1 b a E A F U D S E B m r Z Z X w k 2 m l B K I 5 8 r k T 3 C 5 j k O D S z W O Z e E M s E F Z Y + u s v 8 K A z R 2 9 S D l A / g G A 5 / v f / / F c K h b D g Z Q o o V d Y 5 B H b w Q 8 o K I v l K Q q U h Q p l z W C X s A 0 B Y 8 + + L 3 / y S f D 5 7 P m 3 9 x y r X d w 5 Q P w r F 2 c p c v X K T + l 7 0 0 N T k F I W x e r E B S n 1 r i F D i F h p D i A g i g G n Z u J 4 O H X 6 X i p 0 J f j + 4 X N / 1 D M u 1 c u T I 0 e v L G X / v y N E q y g H K k a N V l O v 2 y x H H 5 X P k a F V E 9 P 8 B A N M r e v w U d S o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37741F92-0F24-49A0-85D5-03A87494F01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22827B2-28B9-44C6-B2C6-C0FC01D3CA7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Cefas Sathler</dc:creator>
  <cp:lastModifiedBy>Cefas Sathler</cp:lastModifiedBy>
  <dcterms:created xsi:type="dcterms:W3CDTF">2021-07-03T16:48:07Z</dcterms:created>
  <dcterms:modified xsi:type="dcterms:W3CDTF">2021-08-21T15:00:18Z</dcterms:modified>
</cp:coreProperties>
</file>