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ojan\Desktop\"/>
    </mc:Choice>
  </mc:AlternateContent>
  <bookViews>
    <workbookView xWindow="0" yWindow="0" windowWidth="19200" windowHeight="6870"/>
  </bookViews>
  <sheets>
    <sheet name="PREVIOUS CRUISE" sheetId="2" r:id="rId1"/>
    <sheet name="CURRENT CRUISE" sheetId="1" r:id="rId2"/>
    <sheet name="SUMMARY" sheetId="3" r:id="rId3"/>
  </sheets>
  <definedNames>
    <definedName name="C_CCSS_RANGE">INDIRECT(SUMMARY!$J$10)</definedName>
    <definedName name="C_CIS_RANGE">INDIRECT(SUMMARY!$J$8)</definedName>
    <definedName name="C_CPCIS_RANGE">INDIRECT(SUMMARY!$J$12)</definedName>
    <definedName name="C_CPCPS_RANGE">INDIRECT(SUMMARY!$J$13)</definedName>
    <definedName name="C_CPPS_RANGE">INDIRECT(SUMMARY!$J$11)</definedName>
    <definedName name="C_CPS_RANGE">INDIRECT(SUMMARY!$J$9)</definedName>
    <definedName name="C_CPSA">INDIRECT(SUMMARY!$J$14)</definedName>
    <definedName name="C_PG1_TOTAL">SUMMARY!$B$42</definedName>
    <definedName name="C_PG1_UNIQUE">SUMMARY!$B$51</definedName>
    <definedName name="C_PG2_TOTAL">SUMMARY!$B$43</definedName>
    <definedName name="C_PG2_UNIQUE">SUMMARY!$B$52</definedName>
    <definedName name="C_PG3_TOTAL">SUMMARY!$B$44</definedName>
    <definedName name="C_PG3_UNIQUE">SUMMARY!$B$53</definedName>
    <definedName name="C_PG4_TOTAL">SUMMARY!$B$45</definedName>
    <definedName name="C_PG4_UNIQUE">SUMMARY!$B$54</definedName>
    <definedName name="C_PG5_TOTAL">SUMMARY!$B$46</definedName>
    <definedName name="C_PG5_UNIQUE">SUMMARY!$B$55</definedName>
    <definedName name="C_PG6_TOTAL">SUMMARY!$B$47</definedName>
    <definedName name="C_PG6_UNIQUE">SUMMARY!$B$56</definedName>
    <definedName name="C_PG7_TOTAL">SUMMARY!$B$48</definedName>
    <definedName name="C_PG7_UNIQUE">SUMMARY!$B$57</definedName>
    <definedName name="C_PG8_TOTAL">SUMMARY!$B$49</definedName>
    <definedName name="C_PG8_UNIQUE">SUMMARY!$B$58</definedName>
    <definedName name="C_PG9_TOTAL">SUMMARY!$B$50</definedName>
    <definedName name="C_PG9_UNIQUE">SUMMARY!$B$59</definedName>
    <definedName name="C_PIS_RANGE">INDIRECT(SUMMARY!$J$7)</definedName>
    <definedName name="C_PSDCIS_RANGE">INDIRECT(SUMMARY!$J$17)</definedName>
    <definedName name="C_PSDCISAG_RANGE">INDIRECT(SUMMARY!$J$18)</definedName>
    <definedName name="C_PSDCPS_RANGE">INDIRECT(SUMMARY!$J$19)</definedName>
    <definedName name="C_PSDCPSAG_RANGE">INDIRECT(SUMMARY!$J$20)</definedName>
    <definedName name="C_PSDPS_RANGE">INDIRECT(SUMMARY!$J$15)</definedName>
    <definedName name="C_PSDPSAG_RANGE">INDIRECT(SUMMARY!$J$16)</definedName>
    <definedName name="MAX_WIDTH">SUMMARY!$H$6</definedName>
    <definedName name="P_CCSS_RANGE">INDIRECT(SUMMARY!$L$10)</definedName>
    <definedName name="P_CIS_RANGE">INDIRECT(SUMMARY!$L$8)</definedName>
    <definedName name="P_CPCIS_RANGE">INDIRECT(SUMMARY!$L$12)</definedName>
    <definedName name="P_CPCPS_RANGE">INDIRECT(SUMMARY!$L$13)</definedName>
    <definedName name="P_CPPS_RANGE">INDIRECT(SUMMARY!$L$11)</definedName>
    <definedName name="P_CPS_RANGE">INDIRECT(SUMMARY!$L$9)</definedName>
    <definedName name="P_CPSA">INDIRECT(SUMMARY!$L$14)</definedName>
    <definedName name="P_PG1_TOTAL">SUMMARY!$C$42</definedName>
    <definedName name="P_PG1_UNIQUE">SUMMARY!$C$51</definedName>
    <definedName name="P_PG2_TOTAL">SUMMARY!$C$43</definedName>
    <definedName name="P_PG2_UNIQUE">SUMMARY!$C$52</definedName>
    <definedName name="P_PG3_TOTAL">SUMMARY!$C$44</definedName>
    <definedName name="P_PG3_UNIQUE">SUMMARY!$C$53</definedName>
    <definedName name="P_PG4_TOTAL">SUMMARY!$C$45</definedName>
    <definedName name="P_PG4_UNIQUE">SUMMARY!$C$54</definedName>
    <definedName name="P_PG5_TOTAL">SUMMARY!$C$46</definedName>
    <definedName name="P_PG5_UNIQUE">SUMMARY!$C$55</definedName>
    <definedName name="P_PG6_TOTAL">SUMMARY!$C$47</definedName>
    <definedName name="P_PG6_UNIQUE">SUMMARY!$C$56</definedName>
    <definedName name="P_PG7_TOTAL">SUMMARY!$C$48</definedName>
    <definedName name="P_PG7_UNIQUE">SUMMARY!$C$57</definedName>
    <definedName name="P_PG8_TOTAL">SUMMARY!$C$49</definedName>
    <definedName name="P_PG8_UNIQUE">SUMMARY!$C$58</definedName>
    <definedName name="P_PG9_TOTAL">SUMMARY!$C$50</definedName>
    <definedName name="P_PG9_UNIQUE">SUMMARY!$C$59</definedName>
    <definedName name="P_PIS_RANGE">INDIRECT(SUMMARY!$L$7)</definedName>
    <definedName name="P_PSDCIS_RANGE">INDIRECT(SUMMARY!$L$17)</definedName>
    <definedName name="P_PSDCISAG_RANGE">INDIRECT(SUMMARY!$L$18)</definedName>
    <definedName name="P_PSDCPS_RANGE">INDIRECT(SUMMARY!$L$19)</definedName>
    <definedName name="P_PSDCPSAG_RANGE">INDIRECT(SUMMARY!$L$20)</definedName>
    <definedName name="P_PSDPS_RANGE">INDIRECT(SUMMARY!$L$15)</definedName>
    <definedName name="P_PSDPSAG_RANGE">INDIRECT(SUMMARY!$L$16)</definedName>
  </definedNames>
  <calcPr calcId="152511"/>
</workbook>
</file>

<file path=xl/calcChain.xml><?xml version="1.0" encoding="utf-8"?>
<calcChain xmlns="http://schemas.openxmlformats.org/spreadsheetml/2006/main">
  <c r="Q113" i="3" l="1"/>
  <c r="Q111" i="3"/>
  <c r="Q109" i="3"/>
  <c r="H5" i="3"/>
  <c r="H6" i="3" s="1"/>
  <c r="K8" i="3"/>
  <c r="K19" i="3"/>
  <c r="I8" i="3"/>
  <c r="I19" i="3"/>
  <c r="K15" i="3"/>
  <c r="I9" i="3"/>
  <c r="I11" i="3"/>
  <c r="I15" i="3"/>
  <c r="K9" i="3"/>
  <c r="I17" i="3"/>
  <c r="K10" i="3"/>
  <c r="I12" i="3"/>
  <c r="I10" i="3"/>
  <c r="K11" i="3"/>
  <c r="K17" i="3"/>
  <c r="I13" i="3"/>
  <c r="K12" i="3"/>
  <c r="I7" i="3"/>
  <c r="K7" i="3"/>
  <c r="K14" i="3"/>
  <c r="K13" i="3"/>
  <c r="I14" i="3"/>
  <c r="J13" i="3"/>
  <c r="J12" i="3"/>
  <c r="J11" i="3"/>
  <c r="I16" i="3"/>
  <c r="L14" i="3"/>
  <c r="K20" i="3"/>
  <c r="L10" i="3"/>
  <c r="J10" i="3"/>
  <c r="I20" i="3"/>
  <c r="L11" i="3"/>
  <c r="L8" i="3"/>
  <c r="J7" i="3"/>
  <c r="L12" i="3"/>
  <c r="K18" i="3"/>
  <c r="L9" i="3"/>
  <c r="J14" i="3"/>
  <c r="K16" i="3"/>
  <c r="L7" i="3"/>
  <c r="L13" i="3"/>
  <c r="I18" i="3"/>
  <c r="J9" i="3"/>
  <c r="J8" i="3"/>
  <c r="J18" i="3" l="1"/>
  <c r="J17" i="3"/>
  <c r="L16" i="3"/>
  <c r="L18" i="3"/>
  <c r="J20" i="3"/>
  <c r="L20" i="3"/>
  <c r="J16" i="3"/>
  <c r="E31" i="3"/>
  <c r="C55" i="3"/>
  <c r="C59" i="3"/>
  <c r="C56" i="3"/>
  <c r="C48" i="3"/>
  <c r="C47" i="3"/>
  <c r="E39" i="3"/>
  <c r="C45" i="3"/>
  <c r="J19" i="3"/>
  <c r="B56" i="3"/>
  <c r="B48" i="3"/>
  <c r="B42" i="3"/>
  <c r="D23" i="3"/>
  <c r="B52" i="3"/>
  <c r="B51" i="3"/>
  <c r="B43" i="3"/>
  <c r="B55" i="3"/>
  <c r="B44" i="3"/>
  <c r="B50" i="3"/>
  <c r="L17" i="3"/>
  <c r="E6" i="3"/>
  <c r="E30" i="3"/>
  <c r="C52" i="3"/>
  <c r="C51" i="3"/>
  <c r="D31" i="3"/>
  <c r="B53" i="3"/>
  <c r="D10" i="3"/>
  <c r="B54" i="3"/>
  <c r="C46" i="3"/>
  <c r="T116" i="3"/>
  <c r="D38" i="3"/>
  <c r="B59" i="3"/>
  <c r="D6" i="3"/>
  <c r="D22" i="3"/>
  <c r="U120" i="3"/>
  <c r="B46" i="3"/>
  <c r="D34" i="3"/>
  <c r="E34" i="3"/>
  <c r="C53" i="3"/>
  <c r="E10" i="3"/>
  <c r="C42" i="3"/>
  <c r="C54" i="3"/>
  <c r="E11" i="3"/>
  <c r="U116" i="3"/>
  <c r="T120" i="3"/>
  <c r="D11" i="3"/>
  <c r="D14" i="3"/>
  <c r="D26" i="3"/>
  <c r="A86" i="3"/>
  <c r="B58" i="3"/>
  <c r="D7" i="3"/>
  <c r="E38" i="3"/>
  <c r="E14" i="3"/>
  <c r="E23" i="3"/>
  <c r="E26" i="3"/>
  <c r="L19" i="3"/>
  <c r="B57" i="3"/>
  <c r="D15" i="3"/>
  <c r="D39" i="3"/>
  <c r="B49" i="3"/>
  <c r="D35" i="3"/>
  <c r="E22" i="3"/>
  <c r="C57" i="3"/>
  <c r="C49" i="3"/>
  <c r="E15" i="3"/>
  <c r="E35" i="3"/>
  <c r="C43" i="3"/>
  <c r="E7" i="3"/>
  <c r="C50" i="3"/>
  <c r="B47" i="3"/>
  <c r="D30" i="3"/>
  <c r="L15" i="3"/>
  <c r="E27" i="3"/>
  <c r="C44" i="3"/>
  <c r="C58" i="3"/>
  <c r="J15" i="3"/>
  <c r="B45" i="3"/>
  <c r="D27" i="3"/>
  <c r="F27" i="3" l="1"/>
  <c r="A70" i="3" s="1"/>
  <c r="F30" i="3"/>
  <c r="U109" i="3"/>
  <c r="B24" i="3"/>
  <c r="T111" i="3"/>
  <c r="E19" i="3"/>
  <c r="F35" i="3"/>
  <c r="A72" i="3" s="1"/>
  <c r="B32" i="3"/>
  <c r="F39" i="3"/>
  <c r="F15" i="3"/>
  <c r="A67" i="3" s="1"/>
  <c r="D19" i="3"/>
  <c r="F7" i="3"/>
  <c r="A65" i="3" s="1"/>
  <c r="F26" i="3"/>
  <c r="U111" i="3"/>
  <c r="F14" i="3"/>
  <c r="F11" i="3"/>
  <c r="A66" i="3" s="1"/>
  <c r="F34" i="3"/>
  <c r="B20" i="3"/>
  <c r="F22" i="3"/>
  <c r="U113" i="3"/>
  <c r="F6" i="3"/>
  <c r="D18" i="3"/>
  <c r="F38" i="3"/>
  <c r="F10" i="3"/>
  <c r="F31" i="3"/>
  <c r="A71" i="3" s="1"/>
  <c r="E18" i="3"/>
  <c r="B36" i="3"/>
  <c r="B12" i="3"/>
  <c r="B8" i="3"/>
  <c r="F23" i="3"/>
  <c r="A69" i="3" s="1"/>
  <c r="A88" i="3"/>
  <c r="A87" i="3" s="1"/>
  <c r="T113" i="3"/>
  <c r="B4" i="3"/>
  <c r="B16" i="3"/>
  <c r="T109" i="3"/>
  <c r="B28" i="3"/>
  <c r="N20" i="3"/>
  <c r="N8" i="3"/>
  <c r="O12" i="3"/>
  <c r="O8" i="3"/>
  <c r="N32" i="3"/>
  <c r="N36" i="3"/>
  <c r="N28" i="3"/>
  <c r="O20" i="3"/>
  <c r="O28" i="3"/>
  <c r="N16" i="3"/>
  <c r="N24" i="3"/>
  <c r="O24" i="3"/>
  <c r="O32" i="3"/>
  <c r="O36" i="3"/>
  <c r="T119" i="3"/>
  <c r="T117" i="3"/>
  <c r="N40" i="3"/>
  <c r="N12" i="3"/>
  <c r="O40" i="3"/>
  <c r="O16" i="3"/>
  <c r="T115" i="3"/>
  <c r="F18" i="3" l="1"/>
  <c r="F19" i="3"/>
  <c r="A68" i="3" s="1"/>
  <c r="R10" i="3"/>
  <c r="P10" i="3"/>
  <c r="Q38" i="3"/>
  <c r="P38" i="3"/>
  <c r="P22" i="3"/>
  <c r="T22" i="3"/>
  <c r="Q14" i="3"/>
  <c r="S26" i="3"/>
  <c r="N26" i="3"/>
  <c r="N34" i="3"/>
  <c r="R34" i="3"/>
  <c r="N30" i="3"/>
  <c r="P30" i="3"/>
  <c r="S6" i="3"/>
  <c r="N18" i="3"/>
  <c r="Q18" i="3"/>
  <c r="S22" i="3"/>
  <c r="P26" i="3"/>
  <c r="S34" i="3"/>
  <c r="S30" i="3"/>
  <c r="O6" i="3"/>
  <c r="O10" i="3"/>
  <c r="S38" i="3"/>
  <c r="R22" i="3"/>
  <c r="O26" i="3"/>
  <c r="O34" i="3"/>
  <c r="Q30" i="3"/>
  <c r="Q6" i="3"/>
  <c r="N10" i="3"/>
  <c r="Q10" i="3"/>
  <c r="T38" i="3"/>
  <c r="R38" i="3"/>
  <c r="O22" i="3"/>
  <c r="O14" i="3"/>
  <c r="S14" i="3"/>
  <c r="T26" i="3"/>
  <c r="Q26" i="3"/>
  <c r="P34" i="3"/>
  <c r="Q34" i="3"/>
  <c r="T30" i="3"/>
  <c r="R6" i="3"/>
  <c r="T6" i="3"/>
  <c r="P18" i="3"/>
  <c r="T18" i="3"/>
  <c r="S10" i="3"/>
  <c r="T10" i="3"/>
  <c r="O38" i="3"/>
  <c r="N22" i="3"/>
  <c r="P14" i="3"/>
  <c r="T14" i="3"/>
  <c r="R26" i="3"/>
  <c r="O30" i="3"/>
  <c r="N6" i="3"/>
  <c r="S18" i="3"/>
  <c r="R18" i="3"/>
  <c r="N38" i="3"/>
  <c r="Q22" i="3"/>
  <c r="R14" i="3"/>
  <c r="N14" i="3"/>
  <c r="T34" i="3"/>
  <c r="R30" i="3"/>
  <c r="P6" i="3"/>
  <c r="O18" i="3"/>
  <c r="O19" i="3"/>
  <c r="N15" i="3"/>
  <c r="N39" i="3"/>
  <c r="N7" i="3"/>
  <c r="T15" i="3"/>
  <c r="O39" i="3"/>
  <c r="P19" i="3"/>
  <c r="Q35" i="3"/>
  <c r="S15" i="3"/>
  <c r="T39" i="3"/>
  <c r="Q7" i="3"/>
  <c r="R23" i="3"/>
  <c r="S31" i="3"/>
  <c r="Q19" i="3"/>
  <c r="P31" i="3"/>
  <c r="N35" i="3"/>
  <c r="S27" i="3"/>
  <c r="P39" i="3"/>
  <c r="O27" i="3"/>
  <c r="S7" i="3"/>
  <c r="R11" i="3"/>
  <c r="P7" i="3"/>
  <c r="P15" i="3"/>
  <c r="T11" i="3"/>
  <c r="T7" i="3"/>
  <c r="P35" i="3"/>
  <c r="O15" i="3"/>
  <c r="Q11" i="3"/>
  <c r="Q31" i="3"/>
  <c r="S39" i="3"/>
  <c r="S35" i="3"/>
  <c r="N19" i="3"/>
  <c r="N31" i="3"/>
  <c r="Q15" i="3"/>
  <c r="Q39" i="3"/>
  <c r="Q23" i="3"/>
  <c r="R27" i="3"/>
  <c r="T31" i="3"/>
  <c r="R39" i="3"/>
  <c r="S23" i="3"/>
  <c r="P23" i="3"/>
  <c r="R31" i="3"/>
  <c r="R15" i="3"/>
  <c r="R19" i="3"/>
  <c r="O31" i="3"/>
  <c r="N23" i="3"/>
  <c r="S11" i="3"/>
  <c r="R7" i="3"/>
  <c r="Q27" i="3"/>
  <c r="O23" i="3"/>
  <c r="N11" i="3"/>
  <c r="O35" i="3"/>
  <c r="O11" i="3"/>
  <c r="P27" i="3"/>
  <c r="N27" i="3"/>
  <c r="T23" i="3"/>
  <c r="P11" i="3"/>
  <c r="T35" i="3"/>
  <c r="S19" i="3"/>
  <c r="T19" i="3"/>
  <c r="T27" i="3"/>
  <c r="O7" i="3"/>
  <c r="R35" i="3"/>
  <c r="A80" i="3" l="1"/>
  <c r="A76" i="3"/>
  <c r="A79" i="3"/>
  <c r="A81" i="3"/>
  <c r="A78" i="3"/>
  <c r="A82" i="3"/>
  <c r="A75" i="3"/>
  <c r="A83" i="3"/>
  <c r="A77" i="3"/>
  <c r="A108" i="3" l="1"/>
</calcChain>
</file>

<file path=xl/comments1.xml><?xml version="1.0" encoding="utf-8"?>
<comments xmlns="http://schemas.openxmlformats.org/spreadsheetml/2006/main">
  <authors>
    <author>manager</author>
  </authors>
  <commentList>
    <comment ref="F7" authorId="0" shapeId="0">
      <text>
        <r>
          <rPr>
            <b/>
            <sz val="8"/>
            <color indexed="81"/>
            <rFont val="Tahoma"/>
            <family val="2"/>
          </rPr>
          <t>Bojan Gluvacevic:
Variance in % of participation towards cruise total revenue.</t>
        </r>
      </text>
    </comment>
    <comment ref="F11" authorId="0" shapeId="0">
      <text>
        <r>
          <rPr>
            <b/>
            <sz val="8"/>
            <color indexed="81"/>
            <rFont val="Tahoma"/>
            <family val="2"/>
          </rPr>
          <t>Bojan Gluvacevic:
Variance in % of participation towards cruise total revenue.</t>
        </r>
      </text>
    </comment>
    <comment ref="F15" authorId="0" shapeId="0">
      <text>
        <r>
          <rPr>
            <b/>
            <sz val="8"/>
            <color indexed="81"/>
            <rFont val="Tahoma"/>
            <family val="2"/>
          </rPr>
          <t>Bojan Gluvacevic:
Variance in % of participation towards cruise total revenue.</t>
        </r>
      </text>
    </comment>
    <comment ref="F19" authorId="0" shapeId="0">
      <text>
        <r>
          <rPr>
            <b/>
            <sz val="8"/>
            <color indexed="81"/>
            <rFont val="Tahoma"/>
            <family val="2"/>
          </rPr>
          <t>Bojan Gluvacevic:
Variance in % of participation towards cruise total revenue.</t>
        </r>
      </text>
    </comment>
    <comment ref="F23" authorId="0" shapeId="0">
      <text>
        <r>
          <rPr>
            <b/>
            <sz val="8"/>
            <color indexed="81"/>
            <rFont val="Tahoma"/>
            <family val="2"/>
          </rPr>
          <t>Bojan Gluvacevic:
Variance in % of participation towards cruise total revenue.</t>
        </r>
      </text>
    </comment>
    <comment ref="F27" authorId="0" shapeId="0">
      <text>
        <r>
          <rPr>
            <b/>
            <sz val="8"/>
            <color indexed="81"/>
            <rFont val="Tahoma"/>
            <family val="2"/>
          </rPr>
          <t>Bojan Gluvacevic:
Variance in % of participation towards cruise total revenue.</t>
        </r>
      </text>
    </comment>
    <comment ref="F31" authorId="0" shapeId="0">
      <text>
        <r>
          <rPr>
            <b/>
            <sz val="8"/>
            <color indexed="81"/>
            <rFont val="Tahoma"/>
            <family val="2"/>
          </rPr>
          <t>Bojan Gluvacevic:
Variance in % of participation towards cruise total revenue.</t>
        </r>
      </text>
    </comment>
    <comment ref="F35" authorId="0" shapeId="0">
      <text>
        <r>
          <rPr>
            <b/>
            <sz val="8"/>
            <color indexed="81"/>
            <rFont val="Tahoma"/>
            <family val="2"/>
          </rPr>
          <t>Bojan Gluvacevic:
Variance in % of participation towards cruise total revenue.</t>
        </r>
      </text>
    </comment>
    <comment ref="F39" authorId="0" shapeId="0">
      <text>
        <r>
          <rPr>
            <b/>
            <sz val="8"/>
            <color indexed="81"/>
            <rFont val="Tahoma"/>
            <family val="2"/>
          </rPr>
          <t>Bojan Gluvacevic:
Variance in % of participation towards cruise total revenue.</t>
        </r>
      </text>
    </comment>
  </commentList>
</comments>
</file>

<file path=xl/sharedStrings.xml><?xml version="1.0" encoding="utf-8"?>
<sst xmlns="http://schemas.openxmlformats.org/spreadsheetml/2006/main" count="1316" uniqueCount="190">
  <si>
    <t>Passenger Internet Statistics</t>
  </si>
  <si>
    <t xml:space="preserve"> </t>
  </si>
  <si>
    <t>Plan</t>
  </si>
  <si>
    <t>Day Total</t>
  </si>
  <si>
    <t xml:space="preserve"> % of Daily Total</t>
  </si>
  <si>
    <t xml:space="preserve"> % of Package Cruise Total</t>
  </si>
  <si>
    <t xml:space="preserve"> Day Total</t>
  </si>
  <si>
    <t>100 Minutes</t>
  </si>
  <si>
    <t>250 Minutes</t>
  </si>
  <si>
    <t>Activation Fee</t>
  </si>
  <si>
    <t>Choice Promo 250 - CHI250</t>
  </si>
  <si>
    <t>Choice Promo Latitudes 30</t>
  </si>
  <si>
    <t>Choice Promo Latitudes 60</t>
  </si>
  <si>
    <t>EOC 15 Minute Promo</t>
  </si>
  <si>
    <t>EOC 30 Minute Promo</t>
  </si>
  <si>
    <t>Pay As You Go</t>
  </si>
  <si>
    <t>Prepaid Internet Premium Wi-Fi 1 - 12 Days / 15% Discount</t>
  </si>
  <si>
    <t>Prepaid Internet Time Plan 250 MinutesÂ / 15% Discount</t>
  </si>
  <si>
    <t>Prepaid Internet Unlimited Social Media Wi-Fi</t>
  </si>
  <si>
    <t>Prepaid Internet Unlimited Wi-Fi 1 - 12 Days / 15% Discount</t>
  </si>
  <si>
    <t>Print Pax</t>
  </si>
  <si>
    <t>Unlimited Premium Wi-Fi 1 - 12 Days</t>
  </si>
  <si>
    <t>Unlimited Premium Wi-Fi Upgrade 1-12 Days</t>
  </si>
  <si>
    <t>Unlimited Social Media</t>
  </si>
  <si>
    <t>Unlimited Wi-Fi 1 - 12 Days</t>
  </si>
  <si>
    <t>Unlimited Wi-Fi Upgrade 1 - 12 Days</t>
  </si>
  <si>
    <t>Crew Internet Statistics</t>
  </si>
  <si>
    <t>MB Crew Plan #1</t>
  </si>
  <si>
    <t>MB Crew Plan #2</t>
  </si>
  <si>
    <t>MB Crew Plan #3</t>
  </si>
  <si>
    <t>MIN Crew Plan #1</t>
  </si>
  <si>
    <t>MIN Crew Plan #2</t>
  </si>
  <si>
    <t>MIN Crew Plan #3</t>
  </si>
  <si>
    <t>Crew Phone Statistics</t>
  </si>
  <si>
    <t>Oceanphone Plan #1</t>
  </si>
  <si>
    <t>Oceanphone Plan #2</t>
  </si>
  <si>
    <t>OceanPhone Postpaid Calling Plan</t>
  </si>
  <si>
    <t>Combined Cruise Sales Statistics</t>
  </si>
  <si>
    <t>Cruise Package - Passenger Summary</t>
  </si>
  <si>
    <t xml:space="preserve"> Count</t>
  </si>
  <si>
    <t xml:space="preserve"> Unique Users</t>
  </si>
  <si>
    <t xml:space="preserve"> Grand Total</t>
  </si>
  <si>
    <t xml:space="preserve"> % of Revenue Total</t>
  </si>
  <si>
    <t>Cruise Package - Crew Internet Summary</t>
  </si>
  <si>
    <t>Cruise Package - Crew Phone Summary</t>
  </si>
  <si>
    <t>Cruise Package - Summary All</t>
  </si>
  <si>
    <t>Package Sales Demographics - Passenger Summary</t>
  </si>
  <si>
    <t xml:space="preserve"> 1-21 yrs</t>
  </si>
  <si>
    <t xml:space="preserve"> 22-31 yrs</t>
  </si>
  <si>
    <t xml:space="preserve"> 32-41 yrs</t>
  </si>
  <si>
    <t xml:space="preserve"> 42-51 yrs</t>
  </si>
  <si>
    <t xml:space="preserve"> 52-61 yrs</t>
  </si>
  <si>
    <t xml:space="preserve"> 62-71 yrs</t>
  </si>
  <si>
    <t xml:space="preserve"> 72+ yrs</t>
  </si>
  <si>
    <t xml:space="preserve"> # Activations</t>
  </si>
  <si>
    <t xml:space="preserve"> % of PKG Sales</t>
  </si>
  <si>
    <t>Age group</t>
  </si>
  <si>
    <t>1 - 21 years</t>
  </si>
  <si>
    <t>22 - 31 years</t>
  </si>
  <si>
    <t>32 - 41 years</t>
  </si>
  <si>
    <t>42 - 51 years</t>
  </si>
  <si>
    <t>52 - 61 years</t>
  </si>
  <si>
    <t>62 - 71 years</t>
  </si>
  <si>
    <t>72+ years</t>
  </si>
  <si>
    <t>Package Sales Demographics - Crew Internet Summary</t>
  </si>
  <si>
    <t>Package Sales Demographics - Crew Phone Summary</t>
  </si>
  <si>
    <t>Choice Promo Casino Elite Plan</t>
  </si>
  <si>
    <t>Contractor Internet Plan 20</t>
  </si>
  <si>
    <t>Time Plan 250</t>
  </si>
  <si>
    <t>Unlimited Cruise Package</t>
  </si>
  <si>
    <t>Unlimited Premium Cruise Package</t>
  </si>
  <si>
    <t>Unlimited Packages</t>
  </si>
  <si>
    <t>Previous</t>
  </si>
  <si>
    <t>Current</t>
  </si>
  <si>
    <t>Cruise Length</t>
  </si>
  <si>
    <t>Settings</t>
  </si>
  <si>
    <t>MAX_WIDTH</t>
  </si>
  <si>
    <t>C_PIS_RANGE</t>
  </si>
  <si>
    <t>C_CIS_RANGE</t>
  </si>
  <si>
    <t>C_CPS_RANGE</t>
  </si>
  <si>
    <t>C_CCSS_RANGE</t>
  </si>
  <si>
    <t>Package Sales Demographics - Passenger Summary (Age Group)</t>
  </si>
  <si>
    <t>Package Sales Demographics - Crew Internet Summary (Age Group)</t>
  </si>
  <si>
    <t>Package Sales Demographics - Crew Phone Summary (Age Group)</t>
  </si>
  <si>
    <t>C_CPPS_RANGE</t>
  </si>
  <si>
    <t>C_CPCIS_RANGE</t>
  </si>
  <si>
    <t>C_CPCPS_RANGE</t>
  </si>
  <si>
    <t>C_PSDPS_RANGE</t>
  </si>
  <si>
    <t>C_CPSA</t>
  </si>
  <si>
    <t>C_PSDPSAG_RANGE</t>
  </si>
  <si>
    <t>C_PSDCIS_RANGE</t>
  </si>
  <si>
    <t>C_PSDCISAG_RANGE</t>
  </si>
  <si>
    <t>C_PSDCPS_RANGE</t>
  </si>
  <si>
    <t>C_PSDCPSAG_RANGE</t>
  </si>
  <si>
    <r>
      <t xml:space="preserve">PREFIX </t>
    </r>
    <r>
      <rPr>
        <b/>
        <sz val="9"/>
        <color theme="1"/>
        <rFont val="Calibri"/>
        <family val="2"/>
        <scheme val="minor"/>
      </rPr>
      <t>C</t>
    </r>
    <r>
      <rPr>
        <sz val="9"/>
        <color theme="1"/>
        <rFont val="Calibri"/>
        <family val="2"/>
        <scheme val="minor"/>
      </rPr>
      <t xml:space="preserve"> for Current and </t>
    </r>
    <r>
      <rPr>
        <b/>
        <sz val="9"/>
        <color theme="1"/>
        <rFont val="Calibri"/>
        <family val="2"/>
        <scheme val="minor"/>
      </rPr>
      <t>P</t>
    </r>
    <r>
      <rPr>
        <sz val="9"/>
        <color theme="1"/>
        <rFont val="Calibri"/>
        <family val="2"/>
        <scheme val="minor"/>
      </rPr>
      <t xml:space="preserve"> for Previous Cruise </t>
    </r>
  </si>
  <si>
    <t>CURRENT CRUISE'</t>
  </si>
  <si>
    <t>CURRENT</t>
  </si>
  <si>
    <t>PREVIOUS</t>
  </si>
  <si>
    <t>PREVIOUS CRUISE'</t>
  </si>
  <si>
    <t>CURRENT CRUISE</t>
  </si>
  <si>
    <t>PREVIOUS CRUISE</t>
  </si>
  <si>
    <t>START</t>
  </si>
  <si>
    <t>RANGE</t>
  </si>
  <si>
    <t>Time Plan 100</t>
  </si>
  <si>
    <t>PAYG</t>
  </si>
  <si>
    <t>EOC Packages</t>
  </si>
  <si>
    <t>Variance</t>
  </si>
  <si>
    <t>Cruise Revenue $:</t>
  </si>
  <si>
    <t>Cruise Revenue %:</t>
  </si>
  <si>
    <t>DEMOGRAPHICAL STATISTICS</t>
  </si>
  <si>
    <t>Current cruise:</t>
  </si>
  <si>
    <t>Compared to prev.:</t>
  </si>
  <si>
    <t>PACKAGE GROUP 1</t>
  </si>
  <si>
    <t>PACKAGE GROUP 2</t>
  </si>
  <si>
    <t>PACKAGE GROUP 3</t>
  </si>
  <si>
    <t>PACKAGE GROUP 4</t>
  </si>
  <si>
    <t>PACKAGE GROUP 5</t>
  </si>
  <si>
    <t>PACKAGE GROUP 6</t>
  </si>
  <si>
    <t>PACKAGE GROUP 7</t>
  </si>
  <si>
    <t>PACKAGE GROUP 8</t>
  </si>
  <si>
    <t>PACKAGE GROUP 9</t>
  </si>
  <si>
    <t>C_PG1_TOTAL</t>
  </si>
  <si>
    <t>C_PG2_TOTAL</t>
  </si>
  <si>
    <t>C_PG3_TOTAL</t>
  </si>
  <si>
    <t>C_PG4_TOTAL</t>
  </si>
  <si>
    <t>C_PG5_TOTAL</t>
  </si>
  <si>
    <t>C_PG6_TOTAL</t>
  </si>
  <si>
    <t>C_PG7_TOTAL</t>
  </si>
  <si>
    <t>C_PG8_TOTAL</t>
  </si>
  <si>
    <t>C_PG9_TOTAL</t>
  </si>
  <si>
    <t>C_PG1_UNIQUE</t>
  </si>
  <si>
    <t>C_PG2_UNIQUE</t>
  </si>
  <si>
    <t>C_PG3_UNIQUE</t>
  </si>
  <si>
    <t>C_PG4_UNIQUE</t>
  </si>
  <si>
    <t>C_PG5_UNIQUE</t>
  </si>
  <si>
    <t>C_PG6_UNIQUE</t>
  </si>
  <si>
    <t>C_PG7_UNIQUE</t>
  </si>
  <si>
    <t>C_PG8_UNIQUE</t>
  </si>
  <si>
    <t>C_PG9_UNIQUE</t>
  </si>
  <si>
    <t>P_PG1_TOTAL</t>
  </si>
  <si>
    <t>P_PG2_TOTAL</t>
  </si>
  <si>
    <t>P_PG3_TOTAL</t>
  </si>
  <si>
    <t>P_PG4_TOTAL</t>
  </si>
  <si>
    <t>P_PG5_TOTAL</t>
  </si>
  <si>
    <t>P_PG6_TOTAL</t>
  </si>
  <si>
    <t>P_PG7_TOTAL</t>
  </si>
  <si>
    <t>P_PG8_TOTAL</t>
  </si>
  <si>
    <t>P_PG9_TOTAL</t>
  </si>
  <si>
    <t>P_PG1_UNIQUE</t>
  </si>
  <si>
    <t>P_PG2_UNIQUE</t>
  </si>
  <si>
    <t>P_PG3_UNIQUE</t>
  </si>
  <si>
    <t>P_PG4_UNIQUE</t>
  </si>
  <si>
    <t>P_PG5_UNIQUE</t>
  </si>
  <si>
    <t>P_PG6_UNIQUE</t>
  </si>
  <si>
    <t>P_PG7_UNIQUE</t>
  </si>
  <si>
    <t>P_PG8_UNIQUE</t>
  </si>
  <si>
    <t>P_PG9_UNIQUE</t>
  </si>
  <si>
    <t>Distinctive Voyage (CHI250)</t>
  </si>
  <si>
    <t>CRUISE LENGTH (days):</t>
  </si>
  <si>
    <t>This is your EOC commentary:</t>
  </si>
  <si>
    <t>Cruise started off busy, but slightly less busy than the previous one. This is a Summer season cruise, we have a lot of families onboard and organized groups so demand for Internet Service is evident. Overall this is a younger population than what we usually experience at cruises, mainly due to fact that majority of them are on vacations and their younger family members are out of school. This also reflects on overall package sales, as well as the types of packages that are in demand.</t>
  </si>
  <si>
    <t xml:space="preserve">We had no issues during the cruise, overall guest were happy. While docked in Bermuda, we were connected to the TWN shoreside which worked without any interruptions during our stay. This greatly contributed to overall satisfaction because of huge amount of cruise long packages sold and guests uploading pictures/videos to social media services as well as sharing them with other family members / friends. </t>
  </si>
  <si>
    <t>Choice Promo -  60 UK</t>
  </si>
  <si>
    <t>Embarkation Revenue</t>
  </si>
  <si>
    <t>Last Day Revenue</t>
  </si>
  <si>
    <t>NCL QUICKBASE</t>
  </si>
  <si>
    <t># of Unique Users Actual</t>
  </si>
  <si>
    <t>Quantity</t>
  </si>
  <si>
    <t>Revenue</t>
  </si>
  <si>
    <t>Our main selling factor are the Unlimited options available, which are aside of being biggest revenue generators also a best overall happiness generators in relation of money vs value received. With hat being said, focus is on up-selling Distinctive Voyage packages to Unlimited and selling Unlimited options in general.</t>
  </si>
  <si>
    <t>Next Voyage Plan (EDITABLE)</t>
  </si>
  <si>
    <t>Describe any issues during this cruise: (EDITABLE)</t>
  </si>
  <si>
    <t>Personal opinion over cruise sales this cruise and service demand: (EDITABLE)</t>
  </si>
  <si>
    <t>*Package group names are editable, as well as report friendly name for Package Group*</t>
  </si>
  <si>
    <t>Credit report for cruise: (EDITABLE)</t>
  </si>
  <si>
    <t>35.96% - Automatic plan upgrades
20.58% - Incorrect plan purchase
17.98% - TP purchase instead of CHI activation
14.52% - Unable to logout / Unable to reach desired content
10.95% - Plan upgrade to UCP</t>
  </si>
  <si>
    <t>Total Credits:</t>
  </si>
  <si>
    <t xml:space="preserve"> 07/07/2013</t>
  </si>
  <si>
    <t xml:space="preserve"> 07/08/2013</t>
  </si>
  <si>
    <t xml:space="preserve"> 07/09/2013</t>
  </si>
  <si>
    <t xml:space="preserve"> 07/10/2013</t>
  </si>
  <si>
    <t xml:space="preserve"> 07/11/2013</t>
  </si>
  <si>
    <t xml:space="preserve"> 07/12/2013</t>
  </si>
  <si>
    <t xml:space="preserve"> 07/13/2013</t>
  </si>
  <si>
    <t xml:space="preserve"> 07/14/2013</t>
  </si>
  <si>
    <t xml:space="preserve"> 07/15/2013</t>
  </si>
  <si>
    <t xml:space="preserve"> 07/16/2013</t>
  </si>
  <si>
    <t xml:space="preserve"> 07/17/2013</t>
  </si>
  <si>
    <t xml:space="preserve"> 07/18/2013</t>
  </si>
  <si>
    <t xml:space="preserve"> 07/19/2013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</si>
</sst>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quot;#,##0_);[Red]\(&quot;$&quot;#,##0\)"/>
    <numFmt numFmtId="8" formatCode="&quot;$&quot;#,##0.00_);[Red]\(&quot;$&quot;#,##0.00\)"/>
    <numFmt numFmtId="44" formatCode="_(&quot;$&quot;* #,##0.00_);_(&quot;$&quot;* \(#,##0.00\);_(&quot;$&quot;* &quot;-&quot;??_);_(@_)"/>
    <numFmt numFmtId="43" formatCode="_(* #,##0.00_);_(* \(#,##0.00\);_(* &quot;-&quot;??_);_(@_)"/>
    <numFmt numFmtId="164" formatCode="\+&quot;$&quot;#,##0.00;\-&quot;$&quot;#,##0.00;\-"/>
    <numFmt numFmtId="165" formatCode="\+#,##0.00%;\-#,##0.00%;\-"/>
    <numFmt numFmtId="166" formatCode="&quot;$&quot;#,##0.00"/>
  </numFmts>
  <fonts count="11" x14ac:knownFonts="1">
    <font>
      <sz val="9"/>
      <color theme="1"/>
      <name val="Calibri"/>
      <family val="2"/>
      <scheme val="minor"/>
    </font>
    <font>
      <b/>
      <sz val="9"/>
      <color theme="0"/>
      <name val="Calibri"/>
      <family val="2"/>
      <scheme val="minor"/>
    </font>
    <font>
      <sz val="9"/>
      <color theme="1"/>
      <name val="Calibri"/>
      <family val="2"/>
      <scheme val="minor"/>
    </font>
    <font>
      <b/>
      <sz val="9"/>
      <color theme="1"/>
      <name val="Calibri"/>
      <family val="2"/>
      <scheme val="minor"/>
    </font>
    <font>
      <sz val="9"/>
      <color theme="0"/>
      <name val="Calibri"/>
      <family val="2"/>
      <scheme val="minor"/>
    </font>
    <font>
      <sz val="9"/>
      <name val="Calibri"/>
      <family val="2"/>
      <scheme val="minor"/>
    </font>
    <font>
      <b/>
      <sz val="8"/>
      <color indexed="81"/>
      <name val="Tahoma"/>
      <family val="2"/>
    </font>
    <font>
      <b/>
      <sz val="12"/>
      <color theme="0"/>
      <name val="Calibri"/>
      <family val="2"/>
      <scheme val="minor"/>
    </font>
    <font>
      <b/>
      <sz val="9"/>
      <name val="Calibri"/>
      <family val="2"/>
      <scheme val="minor"/>
    </font>
    <font>
      <b/>
      <sz val="12"/>
      <name val="Calibri"/>
      <family val="2"/>
      <scheme val="minor"/>
    </font>
    <font>
      <b/>
      <u/>
      <sz val="9"/>
      <name val="Calibri"/>
      <family val="2"/>
      <scheme val="minor"/>
    </font>
  </fonts>
  <fills count="11">
    <fill>
      <patternFill patternType="none"/>
    </fill>
    <fill>
      <patternFill patternType="gray125"/>
    </fill>
    <fill>
      <patternFill patternType="solid">
        <fgColor theme="5"/>
        <bgColor theme="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theme="1"/>
        <bgColor indexed="64"/>
      </patternFill>
    </fill>
    <fill>
      <patternFill patternType="solid">
        <fgColor rgb="FFFFC000"/>
        <bgColor indexed="64"/>
      </patternFill>
    </fill>
    <fill>
      <patternFill patternType="solid">
        <fgColor theme="9" tint="-0.249977111117893"/>
        <bgColor indexed="64"/>
      </patternFill>
    </fill>
    <fill>
      <patternFill patternType="solid">
        <fgColor rgb="FFC00000"/>
        <bgColor indexed="64"/>
      </patternFill>
    </fill>
    <fill>
      <patternFill patternType="solid">
        <fgColor theme="0"/>
        <bgColor indexed="64"/>
      </patternFill>
    </fill>
    <fill>
      <patternFill patternType="solid">
        <fgColor theme="9" tint="0.39997558519241921"/>
        <bgColor indexed="64"/>
      </patternFill>
    </fill>
  </fills>
  <borders count="23">
    <border>
      <left/>
      <right/>
      <top/>
      <bottom/>
      <diagonal/>
    </border>
    <border>
      <left style="medium">
        <color indexed="64"/>
      </left>
      <right style="thin">
        <color theme="0"/>
      </right>
      <top style="medium">
        <color indexed="64"/>
      </top>
      <bottom style="thick">
        <color theme="0"/>
      </bottom>
      <diagonal/>
    </border>
    <border>
      <left/>
      <right style="medium">
        <color indexed="64"/>
      </right>
      <top style="medium">
        <color indexed="64"/>
      </top>
      <bottom style="thick">
        <color theme="0"/>
      </bottom>
      <diagonal/>
    </border>
    <border>
      <left style="medium">
        <color indexed="64"/>
      </left>
      <right style="thin">
        <color theme="0"/>
      </right>
      <top/>
      <bottom style="thin">
        <color theme="0"/>
      </bottom>
      <diagonal/>
    </border>
    <border>
      <left style="thin">
        <color theme="0"/>
      </left>
      <right style="medium">
        <color indexed="64"/>
      </right>
      <top style="thick">
        <color theme="0"/>
      </top>
      <bottom/>
      <diagonal/>
    </border>
    <border>
      <left style="thin">
        <color theme="0"/>
      </left>
      <right style="medium">
        <color indexed="64"/>
      </right>
      <top/>
      <bottom/>
      <diagonal/>
    </border>
    <border>
      <left style="medium">
        <color indexed="64"/>
      </left>
      <right style="thin">
        <color theme="0"/>
      </right>
      <top style="thin">
        <color theme="0"/>
      </top>
      <bottom style="medium">
        <color indexed="64"/>
      </bottom>
      <diagonal/>
    </border>
    <border>
      <left style="thin">
        <color theme="0"/>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cellStyleXfs>
  <cellXfs count="173">
    <xf numFmtId="0" fontId="0" fillId="0" borderId="0" xfId="0"/>
    <xf numFmtId="14" fontId="0" fillId="0" borderId="0" xfId="0" applyNumberFormat="1"/>
    <xf numFmtId="6" fontId="0" fillId="0" borderId="0" xfId="0" applyNumberFormat="1"/>
    <xf numFmtId="10" fontId="0" fillId="0" borderId="0" xfId="0" applyNumberFormat="1"/>
    <xf numFmtId="9" fontId="0" fillId="0" borderId="0" xfId="0" applyNumberFormat="1"/>
    <xf numFmtId="8" fontId="0" fillId="0" borderId="0" xfId="0" applyNumberFormat="1"/>
    <xf numFmtId="0" fontId="1" fillId="2" borderId="1" xfId="0" applyFont="1" applyFill="1" applyBorder="1"/>
    <xf numFmtId="0" fontId="0" fillId="3" borderId="3" xfId="0" applyFont="1" applyFill="1" applyBorder="1"/>
    <xf numFmtId="0" fontId="0" fillId="4" borderId="3" xfId="0" applyFont="1" applyFill="1" applyBorder="1"/>
    <xf numFmtId="0" fontId="0" fillId="3" borderId="6" xfId="0" applyFont="1" applyFill="1" applyBorder="1"/>
    <xf numFmtId="0" fontId="0" fillId="3" borderId="3" xfId="0" applyFill="1" applyBorder="1"/>
    <xf numFmtId="0" fontId="0" fillId="4" borderId="3" xfId="0" applyFill="1" applyBorder="1"/>
    <xf numFmtId="0" fontId="0" fillId="5" borderId="8" xfId="0" applyFill="1" applyBorder="1"/>
    <xf numFmtId="0" fontId="1" fillId="5" borderId="10" xfId="0" applyFont="1" applyFill="1" applyBorder="1" applyAlignment="1">
      <alignment horizontal="right"/>
    </xf>
    <xf numFmtId="0" fontId="1" fillId="5" borderId="12" xfId="0" applyFont="1" applyFill="1" applyBorder="1" applyAlignment="1">
      <alignment horizontal="right"/>
    </xf>
    <xf numFmtId="0" fontId="0" fillId="0" borderId="0" xfId="0" applyAlignment="1">
      <alignment horizontal="center"/>
    </xf>
    <xf numFmtId="0" fontId="0" fillId="6" borderId="10" xfId="0" applyFill="1" applyBorder="1"/>
    <xf numFmtId="0" fontId="0" fillId="6" borderId="11" xfId="0" applyFill="1" applyBorder="1"/>
    <xf numFmtId="0" fontId="0" fillId="6" borderId="12" xfId="0" applyFill="1" applyBorder="1"/>
    <xf numFmtId="0" fontId="0" fillId="6" borderId="10" xfId="0" applyFill="1" applyBorder="1" applyAlignment="1">
      <alignment horizontal="center"/>
    </xf>
    <xf numFmtId="0" fontId="0" fillId="6" borderId="11" xfId="0" applyFill="1" applyBorder="1" applyAlignment="1">
      <alignment horizontal="center"/>
    </xf>
    <xf numFmtId="0" fontId="0" fillId="0" borderId="0" xfId="0" quotePrefix="1"/>
    <xf numFmtId="0" fontId="0" fillId="6" borderId="11" xfId="0" quotePrefix="1" applyFill="1" applyBorder="1"/>
    <xf numFmtId="0" fontId="0" fillId="6" borderId="14" xfId="0" quotePrefix="1" applyFill="1" applyBorder="1"/>
    <xf numFmtId="0" fontId="0" fillId="0" borderId="0" xfId="0" applyAlignment="1">
      <alignment horizontal="right"/>
    </xf>
    <xf numFmtId="0" fontId="0" fillId="0" borderId="0" xfId="0" applyAlignment="1">
      <alignment horizontal="left"/>
    </xf>
    <xf numFmtId="0" fontId="0" fillId="0" borderId="0" xfId="0" quotePrefix="1" applyAlignment="1">
      <alignment horizontal="left"/>
    </xf>
    <xf numFmtId="0" fontId="1" fillId="5" borderId="15" xfId="0" applyFont="1" applyFill="1" applyBorder="1" applyAlignment="1">
      <alignment horizontal="center"/>
    </xf>
    <xf numFmtId="0" fontId="1" fillId="5" borderId="16" xfId="0" applyFont="1" applyFill="1" applyBorder="1" applyAlignment="1">
      <alignment horizontal="center"/>
    </xf>
    <xf numFmtId="44" fontId="0" fillId="0" borderId="8" xfId="2" applyFont="1" applyBorder="1" applyAlignment="1">
      <alignment horizontal="center"/>
    </xf>
    <xf numFmtId="44" fontId="0" fillId="0" borderId="9" xfId="2" applyFont="1" applyBorder="1" applyAlignment="1">
      <alignment horizontal="center"/>
    </xf>
    <xf numFmtId="10" fontId="0" fillId="0" borderId="12" xfId="0" applyNumberFormat="1" applyBorder="1" applyAlignment="1">
      <alignment horizontal="center"/>
    </xf>
    <xf numFmtId="10" fontId="0" fillId="0" borderId="14" xfId="1" applyNumberFormat="1" applyFont="1" applyBorder="1" applyAlignment="1">
      <alignment horizontal="center"/>
    </xf>
    <xf numFmtId="10" fontId="0" fillId="0" borderId="14" xfId="0" applyNumberFormat="1" applyBorder="1" applyAlignment="1">
      <alignment horizontal="center"/>
    </xf>
    <xf numFmtId="44" fontId="0" fillId="0" borderId="9" xfId="0" applyNumberFormat="1" applyBorder="1" applyAlignment="1">
      <alignment horizontal="center"/>
    </xf>
    <xf numFmtId="0" fontId="1" fillId="5" borderId="17" xfId="0" applyFont="1" applyFill="1" applyBorder="1" applyAlignment="1">
      <alignment horizontal="center"/>
    </xf>
    <xf numFmtId="164" fontId="0" fillId="0" borderId="18" xfId="0" applyNumberFormat="1" applyBorder="1" applyAlignment="1">
      <alignment horizontal="right"/>
    </xf>
    <xf numFmtId="165" fontId="0" fillId="0" borderId="19" xfId="0" applyNumberFormat="1" applyBorder="1" applyAlignment="1">
      <alignment horizontal="right"/>
    </xf>
    <xf numFmtId="49" fontId="1" fillId="5" borderId="15" xfId="0" applyNumberFormat="1" applyFont="1" applyFill="1" applyBorder="1" applyAlignment="1">
      <alignment horizontal="center"/>
    </xf>
    <xf numFmtId="49" fontId="1" fillId="5" borderId="20" xfId="0" applyNumberFormat="1" applyFont="1" applyFill="1" applyBorder="1" applyAlignment="1">
      <alignment horizontal="center"/>
    </xf>
    <xf numFmtId="49" fontId="1" fillId="5" borderId="16" xfId="0" applyNumberFormat="1" applyFont="1" applyFill="1" applyBorder="1" applyAlignment="1">
      <alignment horizontal="center"/>
    </xf>
    <xf numFmtId="0" fontId="1" fillId="5" borderId="8" xfId="0" applyFont="1" applyFill="1" applyBorder="1" applyAlignment="1">
      <alignment horizontal="right"/>
    </xf>
    <xf numFmtId="9" fontId="0" fillId="0" borderId="10" xfId="3" applyFont="1" applyBorder="1"/>
    <xf numFmtId="9" fontId="0" fillId="0" borderId="0" xfId="3" applyFont="1" applyBorder="1"/>
    <xf numFmtId="9" fontId="0" fillId="0" borderId="11" xfId="3" applyFont="1" applyBorder="1"/>
    <xf numFmtId="0" fontId="4" fillId="9" borderId="0" xfId="0" applyFont="1" applyFill="1"/>
    <xf numFmtId="0" fontId="4" fillId="9" borderId="0" xfId="0" applyFont="1" applyFill="1" applyAlignment="1">
      <alignment horizontal="center"/>
    </xf>
    <xf numFmtId="0" fontId="4" fillId="9" borderId="10" xfId="0" applyFont="1" applyFill="1" applyBorder="1"/>
    <xf numFmtId="0" fontId="4" fillId="9" borderId="11" xfId="0" applyFont="1" applyFill="1" applyBorder="1"/>
    <xf numFmtId="0" fontId="4" fillId="9" borderId="0" xfId="0" quotePrefix="1" applyFont="1" applyFill="1"/>
    <xf numFmtId="0" fontId="4" fillId="9" borderId="0" xfId="0" quotePrefix="1" applyFont="1" applyFill="1" applyAlignment="1">
      <alignment horizontal="left"/>
    </xf>
    <xf numFmtId="0" fontId="4" fillId="9" borderId="0" xfId="0" applyFont="1" applyFill="1" applyAlignment="1">
      <alignment horizontal="right"/>
    </xf>
    <xf numFmtId="0" fontId="4" fillId="9" borderId="0" xfId="0" applyFont="1" applyFill="1" applyAlignment="1">
      <alignment horizontal="left"/>
    </xf>
    <xf numFmtId="0" fontId="1" fillId="5" borderId="17" xfId="0" applyFont="1" applyFill="1" applyBorder="1" applyAlignment="1">
      <alignment horizontal="right"/>
    </xf>
    <xf numFmtId="0" fontId="1" fillId="5" borderId="19" xfId="0" applyFont="1" applyFill="1" applyBorder="1" applyAlignment="1">
      <alignment horizontal="right"/>
    </xf>
    <xf numFmtId="165" fontId="0" fillId="0" borderId="12" xfId="3" applyNumberFormat="1" applyFont="1" applyBorder="1"/>
    <xf numFmtId="165" fontId="0" fillId="0" borderId="13" xfId="3" applyNumberFormat="1" applyFont="1" applyBorder="1"/>
    <xf numFmtId="165" fontId="0" fillId="0" borderId="14" xfId="3" applyNumberFormat="1" applyFont="1" applyBorder="1"/>
    <xf numFmtId="0" fontId="5" fillId="9" borderId="0" xfId="0" applyFont="1" applyFill="1"/>
    <xf numFmtId="0" fontId="5" fillId="9" borderId="0" xfId="0" applyFont="1" applyFill="1" applyAlignment="1">
      <alignment horizontal="center"/>
    </xf>
    <xf numFmtId="0" fontId="5" fillId="9" borderId="0" xfId="0" applyFont="1" applyFill="1" applyAlignment="1">
      <alignment horizontal="right"/>
    </xf>
    <xf numFmtId="0" fontId="0" fillId="9" borderId="0" xfId="0" applyFill="1"/>
    <xf numFmtId="0" fontId="0" fillId="9" borderId="0" xfId="0" applyFill="1" applyAlignment="1">
      <alignment horizontal="center"/>
    </xf>
    <xf numFmtId="0" fontId="0" fillId="9" borderId="0" xfId="0" applyFill="1" applyAlignment="1">
      <alignment horizontal="right"/>
    </xf>
    <xf numFmtId="0" fontId="1" fillId="2" borderId="2" xfId="0" applyFont="1" applyFill="1" applyBorder="1" applyAlignment="1">
      <alignment horizontal="left"/>
    </xf>
    <xf numFmtId="0" fontId="1" fillId="2" borderId="2" xfId="0" applyFont="1" applyFill="1" applyBorder="1" applyAlignment="1"/>
    <xf numFmtId="0" fontId="0" fillId="9" borderId="0" xfId="0" applyNumberFormat="1" applyFill="1"/>
    <xf numFmtId="0" fontId="0" fillId="9" borderId="0" xfId="0" applyFill="1" applyAlignment="1">
      <alignment vertical="top"/>
    </xf>
    <xf numFmtId="0" fontId="0" fillId="3" borderId="6" xfId="0" applyFill="1" applyBorder="1"/>
    <xf numFmtId="0" fontId="0" fillId="9" borderId="0" xfId="0" applyFill="1" applyAlignment="1">
      <alignment horizontal="left" vertical="top"/>
    </xf>
    <xf numFmtId="0" fontId="0" fillId="9" borderId="0" xfId="0" applyFill="1" applyAlignment="1">
      <alignment horizontal="left"/>
    </xf>
    <xf numFmtId="0" fontId="7" fillId="5" borderId="15" xfId="0" applyFont="1" applyFill="1" applyBorder="1" applyAlignment="1">
      <alignment horizontal="right"/>
    </xf>
    <xf numFmtId="1" fontId="7" fillId="5" borderId="16" xfId="0" applyNumberFormat="1" applyFont="1" applyFill="1" applyBorder="1" applyAlignment="1">
      <alignment horizontal="left"/>
    </xf>
    <xf numFmtId="0" fontId="3" fillId="9" borderId="0" xfId="0" applyFont="1" applyFill="1"/>
    <xf numFmtId="0" fontId="1" fillId="5" borderId="15" xfId="0" applyFont="1" applyFill="1" applyBorder="1" applyAlignment="1">
      <alignment horizontal="center"/>
    </xf>
    <xf numFmtId="0" fontId="1" fillId="5" borderId="16" xfId="0" applyFont="1" applyFill="1" applyBorder="1" applyAlignment="1">
      <alignment horizontal="center"/>
    </xf>
    <xf numFmtId="6" fontId="5" fillId="9" borderId="0" xfId="0" applyNumberFormat="1" applyFont="1" applyFill="1"/>
    <xf numFmtId="0" fontId="9" fillId="9" borderId="0" xfId="0" applyFont="1" applyFill="1" applyAlignment="1"/>
    <xf numFmtId="0" fontId="5" fillId="9" borderId="10" xfId="0" applyFont="1" applyFill="1" applyBorder="1"/>
    <xf numFmtId="0" fontId="5" fillId="9" borderId="0" xfId="0" applyFont="1" applyFill="1" applyBorder="1"/>
    <xf numFmtId="0" fontId="5" fillId="9" borderId="0" xfId="0" applyFont="1" applyFill="1" applyBorder="1" applyAlignment="1">
      <alignment horizontal="center"/>
    </xf>
    <xf numFmtId="0" fontId="8" fillId="9" borderId="0" xfId="0" applyFont="1" applyFill="1" applyBorder="1" applyAlignment="1">
      <alignment horizontal="center"/>
    </xf>
    <xf numFmtId="166" fontId="8" fillId="9" borderId="11" xfId="0" applyNumberFormat="1" applyFont="1" applyFill="1" applyBorder="1" applyAlignment="1">
      <alignment horizontal="center"/>
    </xf>
    <xf numFmtId="0" fontId="5" fillId="9" borderId="10" xfId="0" applyFont="1" applyFill="1" applyBorder="1" applyAlignment="1">
      <alignment horizontal="left"/>
    </xf>
    <xf numFmtId="0" fontId="5" fillId="9" borderId="0" xfId="0" applyFont="1" applyFill="1" applyBorder="1" applyAlignment="1">
      <alignment horizontal="left"/>
    </xf>
    <xf numFmtId="0" fontId="8" fillId="9" borderId="11" xfId="0" applyFont="1" applyFill="1" applyBorder="1" applyAlignment="1">
      <alignment horizontal="center"/>
    </xf>
    <xf numFmtId="0" fontId="4" fillId="9" borderId="10" xfId="0" applyFont="1" applyFill="1" applyBorder="1" applyAlignment="1">
      <alignment horizontal="left"/>
    </xf>
    <xf numFmtId="0" fontId="4" fillId="9" borderId="0" xfId="0" applyFont="1" applyFill="1" applyBorder="1" applyAlignment="1">
      <alignment horizontal="left"/>
    </xf>
    <xf numFmtId="0" fontId="4" fillId="9" borderId="0" xfId="0" applyFont="1" applyFill="1" applyBorder="1" applyAlignment="1">
      <alignment horizontal="center"/>
    </xf>
    <xf numFmtId="0" fontId="1" fillId="9" borderId="11" xfId="0" applyFont="1" applyFill="1" applyBorder="1" applyAlignment="1">
      <alignment horizontal="center"/>
    </xf>
    <xf numFmtId="0" fontId="4" fillId="9" borderId="12" xfId="0" applyFont="1" applyFill="1" applyBorder="1"/>
    <xf numFmtId="0" fontId="4" fillId="9" borderId="13" xfId="0" applyFont="1" applyFill="1" applyBorder="1"/>
    <xf numFmtId="0" fontId="1" fillId="9" borderId="14" xfId="0" applyFont="1" applyFill="1" applyBorder="1" applyAlignment="1">
      <alignment horizontal="center"/>
    </xf>
    <xf numFmtId="0" fontId="10" fillId="9" borderId="0" xfId="0" applyFont="1" applyFill="1" applyBorder="1" applyAlignment="1">
      <alignment horizontal="center"/>
    </xf>
    <xf numFmtId="0" fontId="10" fillId="9" borderId="11" xfId="0" applyFont="1" applyFill="1" applyBorder="1" applyAlignment="1">
      <alignment horizontal="center"/>
    </xf>
    <xf numFmtId="44" fontId="0" fillId="0" borderId="10" xfId="2" applyFont="1" applyBorder="1" applyAlignment="1">
      <alignment horizontal="center"/>
    </xf>
    <xf numFmtId="44" fontId="0" fillId="0" borderId="11" xfId="2" applyFont="1" applyBorder="1" applyAlignment="1">
      <alignment horizontal="center"/>
    </xf>
    <xf numFmtId="0" fontId="1" fillId="5" borderId="18" xfId="0" applyFont="1" applyFill="1" applyBorder="1" applyAlignment="1">
      <alignment horizontal="right"/>
    </xf>
    <xf numFmtId="0" fontId="0" fillId="5" borderId="21" xfId="0" applyFill="1" applyBorder="1" applyAlignment="1">
      <alignment horizontal="center"/>
    </xf>
    <xf numFmtId="0" fontId="0" fillId="0" borderId="21" xfId="0" applyBorder="1"/>
    <xf numFmtId="0" fontId="0" fillId="0" borderId="21" xfId="0" applyBorder="1" applyAlignment="1">
      <alignment horizontal="right"/>
    </xf>
    <xf numFmtId="0" fontId="1" fillId="5" borderId="9" xfId="0" applyFont="1" applyFill="1" applyBorder="1" applyAlignment="1">
      <alignment horizontal="right"/>
    </xf>
    <xf numFmtId="0" fontId="0" fillId="5" borderId="15" xfId="0" applyFill="1" applyBorder="1"/>
    <xf numFmtId="0" fontId="1" fillId="5" borderId="22" xfId="0" applyFont="1" applyFill="1" applyBorder="1" applyAlignment="1">
      <alignment horizontal="center"/>
    </xf>
    <xf numFmtId="0" fontId="1" fillId="8" borderId="12" xfId="0" applyFont="1" applyFill="1" applyBorder="1" applyAlignment="1">
      <alignment horizontal="center"/>
    </xf>
    <xf numFmtId="1" fontId="1" fillId="8" borderId="14" xfId="0" applyNumberFormat="1" applyFont="1" applyFill="1" applyBorder="1" applyAlignment="1">
      <alignment horizontal="center"/>
    </xf>
    <xf numFmtId="0" fontId="1" fillId="5" borderId="14" xfId="0" applyFont="1" applyFill="1" applyBorder="1" applyAlignment="1">
      <alignment horizontal="right"/>
    </xf>
    <xf numFmtId="0" fontId="3" fillId="10" borderId="15" xfId="0" applyFont="1" applyFill="1" applyBorder="1" applyAlignment="1">
      <alignment vertical="center"/>
    </xf>
    <xf numFmtId="166" fontId="3" fillId="10" borderId="16" xfId="2" applyNumberFormat="1" applyFont="1" applyFill="1" applyBorder="1" applyAlignment="1">
      <alignment horizontal="right" vertical="center"/>
    </xf>
    <xf numFmtId="0" fontId="3" fillId="9" borderId="13" xfId="0" applyFont="1" applyFill="1" applyBorder="1" applyAlignment="1">
      <alignment horizontal="center"/>
    </xf>
    <xf numFmtId="0" fontId="5" fillId="9" borderId="8" xfId="0" applyFont="1" applyFill="1" applyBorder="1" applyAlignment="1">
      <alignment horizontal="left" vertical="top" wrapText="1"/>
    </xf>
    <xf numFmtId="0" fontId="5" fillId="9" borderId="21" xfId="0" applyFont="1" applyFill="1" applyBorder="1" applyAlignment="1">
      <alignment horizontal="left" vertical="top" wrapText="1"/>
    </xf>
    <xf numFmtId="0" fontId="5" fillId="9" borderId="9" xfId="0" applyFont="1" applyFill="1" applyBorder="1" applyAlignment="1">
      <alignment horizontal="left" vertical="top" wrapText="1"/>
    </xf>
    <xf numFmtId="0" fontId="5" fillId="9" borderId="10" xfId="0" applyFont="1" applyFill="1" applyBorder="1" applyAlignment="1">
      <alignment horizontal="left" vertical="top" wrapText="1"/>
    </xf>
    <xf numFmtId="0" fontId="5" fillId="9" borderId="0" xfId="0" applyFont="1" applyFill="1" applyBorder="1" applyAlignment="1">
      <alignment horizontal="left" vertical="top" wrapText="1"/>
    </xf>
    <xf numFmtId="0" fontId="5" fillId="9" borderId="11" xfId="0" applyFont="1" applyFill="1" applyBorder="1" applyAlignment="1">
      <alignment horizontal="left" vertical="top" wrapText="1"/>
    </xf>
    <xf numFmtId="0" fontId="5" fillId="9" borderId="12" xfId="0" applyFont="1" applyFill="1" applyBorder="1" applyAlignment="1">
      <alignment horizontal="left" vertical="top" wrapText="1"/>
    </xf>
    <xf numFmtId="0" fontId="5" fillId="9" borderId="13" xfId="0" applyFont="1" applyFill="1" applyBorder="1" applyAlignment="1">
      <alignment horizontal="left" vertical="top" wrapText="1"/>
    </xf>
    <xf numFmtId="0" fontId="5" fillId="9" borderId="14" xfId="0" applyFont="1" applyFill="1" applyBorder="1" applyAlignment="1">
      <alignment horizontal="left" vertical="top" wrapText="1"/>
    </xf>
    <xf numFmtId="0" fontId="8" fillId="9" borderId="13" xfId="0" applyFont="1" applyFill="1" applyBorder="1" applyAlignment="1">
      <alignment horizontal="left"/>
    </xf>
    <xf numFmtId="0" fontId="5" fillId="9" borderId="10" xfId="0" applyFont="1" applyFill="1" applyBorder="1" applyAlignment="1">
      <alignment horizontal="left"/>
    </xf>
    <xf numFmtId="0" fontId="5" fillId="9" borderId="0" xfId="0" applyFont="1" applyFill="1" applyBorder="1" applyAlignment="1">
      <alignment horizontal="left"/>
    </xf>
    <xf numFmtId="166" fontId="8" fillId="9" borderId="0" xfId="2" applyNumberFormat="1" applyFont="1" applyFill="1" applyBorder="1" applyAlignment="1">
      <alignment horizontal="center"/>
    </xf>
    <xf numFmtId="166" fontId="8" fillId="9" borderId="11" xfId="2" applyNumberFormat="1" applyFont="1" applyFill="1" applyBorder="1" applyAlignment="1">
      <alignment horizontal="center"/>
    </xf>
    <xf numFmtId="0" fontId="8" fillId="9" borderId="0" xfId="0" applyFont="1" applyFill="1" applyBorder="1" applyAlignment="1">
      <alignment horizontal="center"/>
    </xf>
    <xf numFmtId="0" fontId="8" fillId="9" borderId="11" xfId="0" applyFont="1" applyFill="1" applyBorder="1" applyAlignment="1">
      <alignment horizontal="center"/>
    </xf>
    <xf numFmtId="0" fontId="9" fillId="9" borderId="8" xfId="0" applyFont="1" applyFill="1" applyBorder="1" applyAlignment="1">
      <alignment horizontal="center"/>
    </xf>
    <xf numFmtId="0" fontId="9" fillId="9" borderId="21" xfId="0" applyFont="1" applyFill="1" applyBorder="1" applyAlignment="1">
      <alignment horizontal="center"/>
    </xf>
    <xf numFmtId="0" fontId="9" fillId="9" borderId="9" xfId="0" applyFont="1" applyFill="1" applyBorder="1" applyAlignment="1">
      <alignment horizontal="center"/>
    </xf>
    <xf numFmtId="0" fontId="0" fillId="3" borderId="4" xfId="0" applyFill="1" applyBorder="1" applyAlignment="1">
      <alignment horizontal="center" vertical="center"/>
    </xf>
    <xf numFmtId="0" fontId="0" fillId="3" borderId="5" xfId="0" applyFont="1" applyFill="1" applyBorder="1" applyAlignment="1">
      <alignment horizontal="center" vertical="center"/>
    </xf>
    <xf numFmtId="0" fontId="0" fillId="3" borderId="7" xfId="0" applyFont="1" applyFill="1" applyBorder="1" applyAlignment="1">
      <alignment horizontal="center" vertical="center"/>
    </xf>
    <xf numFmtId="0" fontId="0" fillId="3" borderId="4" xfId="0" applyFont="1" applyFill="1" applyBorder="1" applyAlignment="1">
      <alignment horizontal="center" vertical="center"/>
    </xf>
    <xf numFmtId="0" fontId="1" fillId="5" borderId="15" xfId="0" applyFont="1" applyFill="1" applyBorder="1" applyAlignment="1">
      <alignment horizontal="center"/>
    </xf>
    <xf numFmtId="0" fontId="1" fillId="5" borderId="20" xfId="0" applyFont="1" applyFill="1" applyBorder="1" applyAlignment="1">
      <alignment horizontal="center"/>
    </xf>
    <xf numFmtId="0" fontId="1" fillId="5" borderId="16" xfId="0" applyFont="1" applyFill="1" applyBorder="1" applyAlignment="1">
      <alignment horizontal="center"/>
    </xf>
    <xf numFmtId="0" fontId="3" fillId="7" borderId="15" xfId="0" applyFont="1" applyFill="1" applyBorder="1" applyAlignment="1">
      <alignment horizontal="center"/>
    </xf>
    <xf numFmtId="0" fontId="3" fillId="7" borderId="16" xfId="0" applyFont="1" applyFill="1" applyBorder="1" applyAlignment="1">
      <alignment horizontal="center"/>
    </xf>
    <xf numFmtId="0" fontId="0" fillId="7" borderId="10" xfId="0" applyFill="1" applyBorder="1" applyAlignment="1">
      <alignment horizontal="center"/>
    </xf>
    <xf numFmtId="0" fontId="0" fillId="7" borderId="11" xfId="0" applyFill="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9" borderId="0" xfId="0" applyFill="1" applyAlignment="1">
      <alignment horizontal="left" vertical="top"/>
    </xf>
    <xf numFmtId="0" fontId="0" fillId="9" borderId="8" xfId="0" applyFill="1" applyBorder="1" applyAlignment="1">
      <alignment vertical="top" wrapText="1"/>
    </xf>
    <xf numFmtId="0" fontId="0" fillId="9" borderId="21" xfId="0" applyFill="1" applyBorder="1" applyAlignment="1">
      <alignment vertical="top" wrapText="1"/>
    </xf>
    <xf numFmtId="0" fontId="0" fillId="9" borderId="9" xfId="0" applyFill="1" applyBorder="1" applyAlignment="1">
      <alignment vertical="top" wrapText="1"/>
    </xf>
    <xf numFmtId="0" fontId="0" fillId="9" borderId="10" xfId="0" applyFill="1" applyBorder="1" applyAlignment="1">
      <alignment vertical="top" wrapText="1"/>
    </xf>
    <xf numFmtId="0" fontId="0" fillId="9" borderId="0" xfId="0" applyFill="1" applyBorder="1" applyAlignment="1">
      <alignment vertical="top" wrapText="1"/>
    </xf>
    <xf numFmtId="0" fontId="0" fillId="9" borderId="11" xfId="0" applyFill="1" applyBorder="1" applyAlignment="1">
      <alignment vertical="top" wrapText="1"/>
    </xf>
    <xf numFmtId="0" fontId="0" fillId="9" borderId="12" xfId="0" applyFill="1" applyBorder="1" applyAlignment="1">
      <alignment vertical="top" wrapText="1"/>
    </xf>
    <xf numFmtId="0" fontId="0" fillId="9" borderId="13" xfId="0" applyFill="1" applyBorder="1" applyAlignment="1">
      <alignment vertical="top" wrapText="1"/>
    </xf>
    <xf numFmtId="0" fontId="0" fillId="9" borderId="14" xfId="0" applyFill="1" applyBorder="1" applyAlignment="1">
      <alignment vertical="top" wrapText="1"/>
    </xf>
    <xf numFmtId="0" fontId="5" fillId="9" borderId="8" xfId="0" applyFont="1" applyFill="1" applyBorder="1" applyAlignment="1">
      <alignment vertical="top" wrapText="1"/>
    </xf>
    <xf numFmtId="0" fontId="5" fillId="9" borderId="21" xfId="0" applyFont="1" applyFill="1" applyBorder="1" applyAlignment="1">
      <alignment vertical="top" wrapText="1"/>
    </xf>
    <xf numFmtId="0" fontId="5" fillId="9" borderId="9"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11" xfId="0" applyFont="1" applyFill="1" applyBorder="1" applyAlignment="1">
      <alignment vertical="top" wrapText="1"/>
    </xf>
    <xf numFmtId="0" fontId="5" fillId="9" borderId="12" xfId="0" applyFont="1" applyFill="1" applyBorder="1" applyAlignment="1">
      <alignment vertical="top" wrapText="1"/>
    </xf>
    <xf numFmtId="0" fontId="5" fillId="9" borderId="13" xfId="0" applyFont="1" applyFill="1" applyBorder="1" applyAlignment="1">
      <alignment vertical="top" wrapText="1"/>
    </xf>
    <xf numFmtId="0" fontId="5" fillId="9" borderId="14" xfId="0" applyFont="1" applyFill="1" applyBorder="1" applyAlignment="1">
      <alignment vertical="top" wrapText="1"/>
    </xf>
    <xf numFmtId="0" fontId="0" fillId="9" borderId="0" xfId="0" applyFill="1" applyAlignment="1">
      <alignment horizontal="left"/>
    </xf>
    <xf numFmtId="0" fontId="0" fillId="9" borderId="8" xfId="0" applyFill="1" applyBorder="1" applyAlignment="1">
      <alignment horizontal="left" vertical="top" wrapText="1"/>
    </xf>
    <xf numFmtId="0" fontId="0" fillId="9" borderId="21" xfId="0" applyFill="1" applyBorder="1" applyAlignment="1">
      <alignment horizontal="left" vertical="top"/>
    </xf>
    <xf numFmtId="0" fontId="0" fillId="9" borderId="9" xfId="0" applyFill="1" applyBorder="1" applyAlignment="1">
      <alignment horizontal="left" vertical="top"/>
    </xf>
    <xf numFmtId="0" fontId="0" fillId="9" borderId="10" xfId="0" applyFill="1" applyBorder="1" applyAlignment="1">
      <alignment horizontal="left" vertical="top"/>
    </xf>
    <xf numFmtId="0" fontId="0" fillId="9" borderId="0" xfId="0" applyFill="1" applyBorder="1" applyAlignment="1">
      <alignment horizontal="left" vertical="top"/>
    </xf>
    <xf numFmtId="0" fontId="0" fillId="9" borderId="11" xfId="0" applyFill="1" applyBorder="1" applyAlignment="1">
      <alignment horizontal="left" vertical="top"/>
    </xf>
    <xf numFmtId="0" fontId="0" fillId="9" borderId="12" xfId="0" applyFill="1" applyBorder="1" applyAlignment="1">
      <alignment horizontal="left" vertical="top"/>
    </xf>
    <xf numFmtId="0" fontId="0" fillId="9" borderId="13" xfId="0" applyFill="1" applyBorder="1" applyAlignment="1">
      <alignment horizontal="left" vertical="top"/>
    </xf>
    <xf numFmtId="0" fontId="0" fillId="9" borderId="14" xfId="0" applyFill="1" applyBorder="1" applyAlignment="1">
      <alignment horizontal="left" vertical="top"/>
    </xf>
    <xf numFmtId="0" fontId="3" fillId="9" borderId="13" xfId="0" applyFont="1" applyFill="1" applyBorder="1" applyAlignment="1">
      <alignment horizontal="left" vertical="center"/>
    </xf>
    <xf numFmtId="0" fontId="3" fillId="9" borderId="14" xfId="0" applyFont="1" applyFill="1" applyBorder="1" applyAlignment="1">
      <alignment horizontal="left" vertical="center"/>
    </xf>
  </cellXfs>
  <cellStyles count="4">
    <cellStyle name="Comma" xfId="1" builtinId="3"/>
    <cellStyle name="Currency" xfId="2" builtinId="4"/>
    <cellStyle name="Normal" xfId="0" builtinId="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Z226"/>
  <sheetViews>
    <sheetView tabSelected="1" workbookViewId="0">
      <selection activeCell="B2" sqref="B2"/>
    </sheetView>
  </sheetViews>
  <sheetFormatPr defaultRowHeight="12" x14ac:dyDescent="0.3"/>
  <cols>
    <col min="1" max="1" width="56.6640625" bestFit="1" customWidth="1"/>
    <col min="2" max="2" width="12.33203125" bestFit="1" customWidth="1"/>
    <col min="3" max="3" width="19.33203125" bestFit="1" customWidth="1"/>
    <col min="4" max="4" width="25.109375" bestFit="1" customWidth="1"/>
    <col min="5" max="5" width="19.33203125" bestFit="1" customWidth="1"/>
    <col min="6" max="6" width="16" bestFit="1" customWidth="1"/>
    <col min="7" max="7" width="25.109375" bestFit="1" customWidth="1"/>
    <col min="8" max="8" width="13.33203125" bestFit="1" customWidth="1"/>
    <col min="9" max="9" width="16" bestFit="1" customWidth="1"/>
    <col min="10" max="10" width="25.109375" bestFit="1" customWidth="1"/>
    <col min="11" max="11" width="15" bestFit="1" customWidth="1"/>
    <col min="12" max="12" width="16" bestFit="1" customWidth="1"/>
    <col min="13" max="13" width="25.109375" bestFit="1" customWidth="1"/>
    <col min="14" max="14" width="13.33203125" bestFit="1" customWidth="1"/>
    <col min="15" max="15" width="16" bestFit="1" customWidth="1"/>
    <col min="16" max="16" width="25.109375" bestFit="1" customWidth="1"/>
    <col min="17" max="17" width="15" bestFit="1" customWidth="1"/>
    <col min="18" max="18" width="16" bestFit="1" customWidth="1"/>
    <col min="19" max="19" width="25.109375" bestFit="1" customWidth="1"/>
    <col min="20" max="20" width="11.33203125" bestFit="1" customWidth="1"/>
    <col min="21" max="21" width="16" bestFit="1" customWidth="1"/>
    <col min="22" max="22" width="25.109375" bestFit="1" customWidth="1"/>
    <col min="23" max="23" width="11.33203125" bestFit="1" customWidth="1"/>
    <col min="24" max="24" width="16" bestFit="1" customWidth="1"/>
    <col min="25" max="25" width="25.109375" bestFit="1" customWidth="1"/>
    <col min="26" max="26" width="1.6640625" bestFit="1" customWidth="1"/>
  </cols>
  <sheetData>
    <row r="1" spans="1:23" x14ac:dyDescent="0.3">
      <c r="A1" t="s">
        <v>0</v>
      </c>
    </row>
    <row r="2" spans="1:23" x14ac:dyDescent="0.3">
      <c r="B2" s="1">
        <v>41461</v>
      </c>
      <c r="C2" t="s">
        <v>1</v>
      </c>
      <c r="D2" t="s">
        <v>1</v>
      </c>
      <c r="E2" t="s">
        <v>177</v>
      </c>
      <c r="F2" t="s">
        <v>1</v>
      </c>
      <c r="G2" t="s">
        <v>1</v>
      </c>
      <c r="H2" t="s">
        <v>178</v>
      </c>
      <c r="I2" t="s">
        <v>1</v>
      </c>
      <c r="J2" t="s">
        <v>1</v>
      </c>
      <c r="K2" t="s">
        <v>179</v>
      </c>
      <c r="L2" t="s">
        <v>1</v>
      </c>
      <c r="M2" t="s">
        <v>1</v>
      </c>
      <c r="N2" t="s">
        <v>180</v>
      </c>
      <c r="O2" t="s">
        <v>1</v>
      </c>
      <c r="P2" t="s">
        <v>1</v>
      </c>
      <c r="Q2" t="s">
        <v>181</v>
      </c>
      <c r="R2" t="s">
        <v>1</v>
      </c>
      <c r="S2" t="s">
        <v>1</v>
      </c>
      <c r="T2" t="s">
        <v>182</v>
      </c>
      <c r="U2" t="s">
        <v>1</v>
      </c>
      <c r="V2" t="s">
        <v>1</v>
      </c>
      <c r="W2" t="s">
        <v>1</v>
      </c>
    </row>
    <row r="3" spans="1:23" x14ac:dyDescent="0.3">
      <c r="A3" t="s">
        <v>2</v>
      </c>
      <c r="B3" t="s">
        <v>3</v>
      </c>
      <c r="C3" t="s">
        <v>4</v>
      </c>
      <c r="D3" t="s">
        <v>5</v>
      </c>
      <c r="E3" t="s">
        <v>6</v>
      </c>
      <c r="F3" t="s">
        <v>4</v>
      </c>
      <c r="G3" t="s">
        <v>5</v>
      </c>
      <c r="H3" t="s">
        <v>6</v>
      </c>
      <c r="I3" t="s">
        <v>4</v>
      </c>
      <c r="J3" t="s">
        <v>5</v>
      </c>
      <c r="K3" t="s">
        <v>6</v>
      </c>
      <c r="L3" t="s">
        <v>4</v>
      </c>
      <c r="M3" t="s">
        <v>5</v>
      </c>
      <c r="N3" t="s">
        <v>6</v>
      </c>
      <c r="O3" t="s">
        <v>4</v>
      </c>
      <c r="P3" t="s">
        <v>5</v>
      </c>
      <c r="Q3" t="s">
        <v>6</v>
      </c>
      <c r="R3" t="s">
        <v>4</v>
      </c>
      <c r="S3" t="s">
        <v>5</v>
      </c>
      <c r="T3" t="s">
        <v>6</v>
      </c>
      <c r="U3" t="s">
        <v>4</v>
      </c>
      <c r="V3" t="s">
        <v>5</v>
      </c>
      <c r="W3" t="s">
        <v>1</v>
      </c>
    </row>
    <row r="4" spans="1:23" x14ac:dyDescent="0.3">
      <c r="A4" t="s">
        <v>7</v>
      </c>
      <c r="B4" s="2">
        <v>150</v>
      </c>
      <c r="C4" s="3">
        <v>6.4669999999999997E-3</v>
      </c>
      <c r="D4" s="3">
        <v>8.7719000000000005E-2</v>
      </c>
      <c r="E4" s="2">
        <v>300</v>
      </c>
      <c r="F4" s="3">
        <v>1.9522999999999999E-2</v>
      </c>
      <c r="G4" s="3">
        <v>0.17543900000000001</v>
      </c>
      <c r="H4" s="2">
        <v>225</v>
      </c>
      <c r="I4" s="3">
        <v>0.113275</v>
      </c>
      <c r="J4" s="3">
        <v>0.131579</v>
      </c>
      <c r="K4" s="2">
        <v>225</v>
      </c>
      <c r="L4" s="3">
        <v>0.15482199999999999</v>
      </c>
      <c r="M4" s="3">
        <v>0.131579</v>
      </c>
      <c r="N4" s="2">
        <v>450</v>
      </c>
      <c r="O4" s="3">
        <v>0.31647799999999998</v>
      </c>
      <c r="P4" s="3">
        <v>0.263158</v>
      </c>
      <c r="Q4" s="2">
        <v>285</v>
      </c>
      <c r="R4" s="3">
        <v>0.16225600000000001</v>
      </c>
      <c r="S4" s="3">
        <v>0.16666700000000001</v>
      </c>
      <c r="T4" s="2">
        <v>75</v>
      </c>
      <c r="U4" s="3">
        <v>5.2103999999999998E-2</v>
      </c>
      <c r="V4" s="3">
        <v>4.3860000000000003E-2</v>
      </c>
      <c r="W4" t="s">
        <v>1</v>
      </c>
    </row>
    <row r="5" spans="1:23" x14ac:dyDescent="0.3">
      <c r="A5" t="s">
        <v>8</v>
      </c>
      <c r="B5" s="2">
        <v>1000</v>
      </c>
      <c r="C5" s="3">
        <v>4.3112999999999999E-2</v>
      </c>
      <c r="D5" s="3">
        <v>0.38095200000000001</v>
      </c>
      <c r="E5" s="2">
        <v>625</v>
      </c>
      <c r="F5" s="3">
        <v>4.0673000000000001E-2</v>
      </c>
      <c r="G5" s="3">
        <v>0.238095</v>
      </c>
      <c r="H5" s="2">
        <v>125</v>
      </c>
      <c r="I5" s="3">
        <v>6.293E-2</v>
      </c>
      <c r="J5" s="3">
        <v>4.7619000000000002E-2</v>
      </c>
      <c r="K5" s="2">
        <v>375</v>
      </c>
      <c r="L5" s="3">
        <v>0.25803700000000002</v>
      </c>
      <c r="M5" s="3">
        <v>0.14285700000000001</v>
      </c>
      <c r="N5" s="2">
        <v>250</v>
      </c>
      <c r="O5" s="3">
        <v>0.17582100000000001</v>
      </c>
      <c r="P5" s="3">
        <v>9.5238000000000003E-2</v>
      </c>
      <c r="Q5" s="2">
        <v>250</v>
      </c>
      <c r="R5" s="3">
        <v>0.14233000000000001</v>
      </c>
      <c r="S5" s="3">
        <v>9.5238000000000003E-2</v>
      </c>
      <c r="T5" s="2">
        <v>0</v>
      </c>
      <c r="U5" s="4">
        <v>0</v>
      </c>
      <c r="V5" s="4">
        <v>0</v>
      </c>
      <c r="W5" t="s">
        <v>1</v>
      </c>
    </row>
    <row r="6" spans="1:23" x14ac:dyDescent="0.3">
      <c r="A6" t="s">
        <v>9</v>
      </c>
      <c r="B6" s="5">
        <v>82.95</v>
      </c>
      <c r="C6" s="3">
        <v>3.5760000000000002E-3</v>
      </c>
      <c r="D6" s="3">
        <v>0.19444400000000001</v>
      </c>
      <c r="E6" s="5">
        <v>126.4</v>
      </c>
      <c r="F6" s="3">
        <v>8.2260000000000007E-3</v>
      </c>
      <c r="G6" s="3">
        <v>0.296296</v>
      </c>
      <c r="H6" s="5">
        <v>39.5</v>
      </c>
      <c r="I6" s="3">
        <v>1.9886000000000001E-2</v>
      </c>
      <c r="J6" s="3">
        <v>9.2592999999999995E-2</v>
      </c>
      <c r="K6" s="5">
        <v>47.4</v>
      </c>
      <c r="L6" s="3">
        <v>3.2615999999999999E-2</v>
      </c>
      <c r="M6" s="3">
        <v>0.111111</v>
      </c>
      <c r="N6" s="5">
        <v>47.4</v>
      </c>
      <c r="O6" s="3">
        <v>3.3335999999999998E-2</v>
      </c>
      <c r="P6" s="3">
        <v>0.111111</v>
      </c>
      <c r="Q6" s="5">
        <v>47.4</v>
      </c>
      <c r="R6" s="3">
        <v>2.6986E-2</v>
      </c>
      <c r="S6" s="3">
        <v>0.111111</v>
      </c>
      <c r="T6" s="5">
        <v>35.549999999999997</v>
      </c>
      <c r="U6" s="3">
        <v>2.4697E-2</v>
      </c>
      <c r="V6" s="3">
        <v>8.3333000000000004E-2</v>
      </c>
      <c r="W6" t="s">
        <v>1</v>
      </c>
    </row>
    <row r="7" spans="1:23" x14ac:dyDescent="0.3">
      <c r="A7" t="s">
        <v>162</v>
      </c>
      <c r="B7" s="2">
        <v>28</v>
      </c>
      <c r="C7" s="3">
        <v>1.207E-3</v>
      </c>
      <c r="D7" s="3">
        <v>0.66666700000000001</v>
      </c>
      <c r="E7" s="2">
        <v>14</v>
      </c>
      <c r="F7" s="3">
        <v>9.1100000000000003E-4</v>
      </c>
      <c r="G7" s="3">
        <v>0.33333299999999999</v>
      </c>
      <c r="H7" s="2">
        <v>0</v>
      </c>
      <c r="I7" s="4">
        <v>0</v>
      </c>
      <c r="J7" s="4">
        <v>0</v>
      </c>
      <c r="K7" s="2">
        <v>0</v>
      </c>
      <c r="L7" s="4">
        <v>0</v>
      </c>
      <c r="M7" s="4">
        <v>0</v>
      </c>
      <c r="N7" s="2">
        <v>0</v>
      </c>
      <c r="O7" s="4">
        <v>0</v>
      </c>
      <c r="P7" s="4">
        <v>0</v>
      </c>
      <c r="Q7" s="2">
        <v>0</v>
      </c>
      <c r="R7" s="4">
        <v>0</v>
      </c>
      <c r="S7" s="4">
        <v>0</v>
      </c>
      <c r="T7" s="2">
        <v>0</v>
      </c>
      <c r="U7" s="4">
        <v>0</v>
      </c>
      <c r="V7" s="4">
        <v>0</v>
      </c>
      <c r="W7" t="s">
        <v>1</v>
      </c>
    </row>
    <row r="8" spans="1:23" x14ac:dyDescent="0.3">
      <c r="A8" t="s">
        <v>10</v>
      </c>
      <c r="B8" s="2">
        <v>3120</v>
      </c>
      <c r="C8" s="3">
        <v>0.13451199999999999</v>
      </c>
      <c r="D8" s="3">
        <v>0.34210499999999999</v>
      </c>
      <c r="E8" s="2">
        <v>3600</v>
      </c>
      <c r="F8" s="3">
        <v>0.23427600000000001</v>
      </c>
      <c r="G8" s="3">
        <v>0.394737</v>
      </c>
      <c r="H8" s="2">
        <v>1080</v>
      </c>
      <c r="I8" s="3">
        <v>0.54371899999999995</v>
      </c>
      <c r="J8" s="3">
        <v>0.118421</v>
      </c>
      <c r="K8" s="2">
        <v>360</v>
      </c>
      <c r="L8" s="3">
        <v>0.24771599999999999</v>
      </c>
      <c r="M8" s="3">
        <v>3.9474000000000002E-2</v>
      </c>
      <c r="N8" s="2">
        <v>300</v>
      </c>
      <c r="O8" s="3">
        <v>0.21098500000000001</v>
      </c>
      <c r="P8" s="3">
        <v>3.2895000000000001E-2</v>
      </c>
      <c r="Q8" s="2">
        <v>300</v>
      </c>
      <c r="R8" s="3">
        <v>0.170796</v>
      </c>
      <c r="S8" s="3">
        <v>3.2895000000000001E-2</v>
      </c>
      <c r="T8" s="2">
        <v>360</v>
      </c>
      <c r="U8" s="3">
        <v>0.25009700000000001</v>
      </c>
      <c r="V8" s="3">
        <v>3.9474000000000002E-2</v>
      </c>
      <c r="W8" t="s">
        <v>1</v>
      </c>
    </row>
    <row r="9" spans="1:23" x14ac:dyDescent="0.3">
      <c r="A9" t="s">
        <v>11</v>
      </c>
      <c r="B9" s="2">
        <v>14</v>
      </c>
      <c r="C9" s="3">
        <v>6.0400000000000004E-4</v>
      </c>
      <c r="D9" s="3">
        <v>8.6957000000000007E-2</v>
      </c>
      <c r="E9" s="2">
        <v>56</v>
      </c>
      <c r="F9" s="3">
        <v>3.6440000000000001E-3</v>
      </c>
      <c r="G9" s="3">
        <v>0.34782600000000002</v>
      </c>
      <c r="H9" s="2">
        <v>28</v>
      </c>
      <c r="I9" s="3">
        <v>1.4095999999999999E-2</v>
      </c>
      <c r="J9" s="3">
        <v>0.17391300000000001</v>
      </c>
      <c r="K9" s="2">
        <v>7</v>
      </c>
      <c r="L9" s="3">
        <v>4.8170000000000001E-3</v>
      </c>
      <c r="M9" s="3">
        <v>4.3478000000000003E-2</v>
      </c>
      <c r="N9" s="2">
        <v>14</v>
      </c>
      <c r="O9" s="3">
        <v>9.8460000000000006E-3</v>
      </c>
      <c r="P9" s="3">
        <v>8.6957000000000007E-2</v>
      </c>
      <c r="Q9" s="2">
        <v>7</v>
      </c>
      <c r="R9" s="3">
        <v>3.9849999999999998E-3</v>
      </c>
      <c r="S9" s="3">
        <v>4.3478000000000003E-2</v>
      </c>
      <c r="T9" s="2">
        <v>35</v>
      </c>
      <c r="U9" s="3">
        <v>2.4315E-2</v>
      </c>
      <c r="V9" s="3">
        <v>0.217391</v>
      </c>
      <c r="W9" t="s">
        <v>1</v>
      </c>
    </row>
    <row r="10" spans="1:23" x14ac:dyDescent="0.3">
      <c r="A10" t="s">
        <v>12</v>
      </c>
      <c r="B10" s="2">
        <v>28</v>
      </c>
      <c r="C10" s="3">
        <v>1.207E-3</v>
      </c>
      <c r="D10" s="3">
        <v>0.28571400000000002</v>
      </c>
      <c r="E10" s="2">
        <v>14</v>
      </c>
      <c r="F10" s="3">
        <v>9.1100000000000003E-4</v>
      </c>
      <c r="G10" s="3">
        <v>0.14285700000000001</v>
      </c>
      <c r="H10" s="2">
        <v>14</v>
      </c>
      <c r="I10" s="3">
        <v>7.0479999999999996E-3</v>
      </c>
      <c r="J10" s="3">
        <v>0.14285700000000001</v>
      </c>
      <c r="K10" s="2">
        <v>0</v>
      </c>
      <c r="L10" s="4">
        <v>0</v>
      </c>
      <c r="M10" s="4">
        <v>0</v>
      </c>
      <c r="N10" s="2">
        <v>14</v>
      </c>
      <c r="O10" s="3">
        <v>9.8460000000000006E-3</v>
      </c>
      <c r="P10" s="3">
        <v>0.14285700000000001</v>
      </c>
      <c r="Q10" s="2">
        <v>28</v>
      </c>
      <c r="R10" s="3">
        <v>1.5941E-2</v>
      </c>
      <c r="S10" s="3">
        <v>0.28571400000000002</v>
      </c>
      <c r="T10" s="2">
        <v>0</v>
      </c>
      <c r="U10" s="4">
        <v>0</v>
      </c>
      <c r="V10" s="4">
        <v>0</v>
      </c>
      <c r="W10" t="s">
        <v>1</v>
      </c>
    </row>
    <row r="11" spans="1:23" x14ac:dyDescent="0.3">
      <c r="A11" t="s">
        <v>67</v>
      </c>
      <c r="B11" s="2">
        <v>0</v>
      </c>
      <c r="C11" s="4">
        <v>0</v>
      </c>
      <c r="D11" s="4">
        <v>0</v>
      </c>
      <c r="E11" s="2">
        <v>0</v>
      </c>
      <c r="F11" s="4">
        <v>0</v>
      </c>
      <c r="G11" s="4">
        <v>0</v>
      </c>
      <c r="H11" s="2">
        <v>0</v>
      </c>
      <c r="I11" s="4">
        <v>0</v>
      </c>
      <c r="J11" s="4">
        <v>0</v>
      </c>
      <c r="K11" s="2">
        <v>0</v>
      </c>
      <c r="L11" s="4">
        <v>0</v>
      </c>
      <c r="M11" s="4">
        <v>0</v>
      </c>
      <c r="N11" s="2">
        <v>0</v>
      </c>
      <c r="O11" s="4">
        <v>0</v>
      </c>
      <c r="P11" s="4">
        <v>0</v>
      </c>
      <c r="Q11" s="2">
        <v>20</v>
      </c>
      <c r="R11" s="3">
        <v>1.1386E-2</v>
      </c>
      <c r="S11" s="4">
        <v>1</v>
      </c>
      <c r="T11" s="2">
        <v>0</v>
      </c>
      <c r="U11" s="4">
        <v>0</v>
      </c>
      <c r="V11" s="4">
        <v>0</v>
      </c>
      <c r="W11" t="s">
        <v>1</v>
      </c>
    </row>
    <row r="12" spans="1:23" x14ac:dyDescent="0.3">
      <c r="A12" t="s">
        <v>13</v>
      </c>
      <c r="B12" s="2">
        <v>0</v>
      </c>
      <c r="C12" s="4">
        <v>0</v>
      </c>
      <c r="D12" s="4">
        <v>0</v>
      </c>
      <c r="E12" s="2">
        <v>0</v>
      </c>
      <c r="F12" s="4">
        <v>0</v>
      </c>
      <c r="G12" s="4">
        <v>0</v>
      </c>
      <c r="H12" s="2">
        <v>0</v>
      </c>
      <c r="I12" s="4">
        <v>0</v>
      </c>
      <c r="J12" s="4">
        <v>0</v>
      </c>
      <c r="K12" s="2">
        <v>0</v>
      </c>
      <c r="L12" s="4">
        <v>0</v>
      </c>
      <c r="M12" s="4">
        <v>0</v>
      </c>
      <c r="N12" s="2">
        <v>0</v>
      </c>
      <c r="O12" s="4">
        <v>0</v>
      </c>
      <c r="P12" s="4">
        <v>0</v>
      </c>
      <c r="Q12" s="2">
        <v>0</v>
      </c>
      <c r="R12" s="4">
        <v>0</v>
      </c>
      <c r="S12" s="4">
        <v>0</v>
      </c>
      <c r="T12" s="5">
        <v>89.55</v>
      </c>
      <c r="U12" s="3">
        <v>6.2212000000000003E-2</v>
      </c>
      <c r="V12" s="4">
        <v>1</v>
      </c>
      <c r="W12" t="s">
        <v>1</v>
      </c>
    </row>
    <row r="13" spans="1:23" x14ac:dyDescent="0.3">
      <c r="A13" t="s">
        <v>14</v>
      </c>
      <c r="B13" s="2">
        <v>0</v>
      </c>
      <c r="C13" s="4">
        <v>0</v>
      </c>
      <c r="D13" s="4">
        <v>0</v>
      </c>
      <c r="E13" s="2">
        <v>0</v>
      </c>
      <c r="F13" s="4">
        <v>0</v>
      </c>
      <c r="G13" s="4">
        <v>0</v>
      </c>
      <c r="H13" s="2">
        <v>0</v>
      </c>
      <c r="I13" s="4">
        <v>0</v>
      </c>
      <c r="J13" s="4">
        <v>0</v>
      </c>
      <c r="K13" s="2">
        <v>0</v>
      </c>
      <c r="L13" s="4">
        <v>0</v>
      </c>
      <c r="M13" s="4">
        <v>0</v>
      </c>
      <c r="N13" s="2">
        <v>0</v>
      </c>
      <c r="O13" s="4">
        <v>0</v>
      </c>
      <c r="P13" s="4">
        <v>0</v>
      </c>
      <c r="Q13" s="2">
        <v>0</v>
      </c>
      <c r="R13" s="4">
        <v>0</v>
      </c>
      <c r="S13" s="4">
        <v>0</v>
      </c>
      <c r="T13" s="5">
        <v>164.45</v>
      </c>
      <c r="U13" s="3">
        <v>0.114246</v>
      </c>
      <c r="V13" s="4">
        <v>1</v>
      </c>
      <c r="W13" t="s">
        <v>1</v>
      </c>
    </row>
    <row r="14" spans="1:23" x14ac:dyDescent="0.3">
      <c r="A14" t="s">
        <v>15</v>
      </c>
      <c r="B14" s="5">
        <v>159.38999999999999</v>
      </c>
      <c r="C14" s="3">
        <v>6.8719999999999996E-3</v>
      </c>
      <c r="D14" s="3">
        <v>6.5554000000000001E-2</v>
      </c>
      <c r="E14" s="5">
        <v>279.18</v>
      </c>
      <c r="F14" s="3">
        <v>1.8168E-2</v>
      </c>
      <c r="G14" s="3">
        <v>0.11482100000000001</v>
      </c>
      <c r="H14" s="5">
        <v>209.88</v>
      </c>
      <c r="I14" s="3">
        <v>0.10566300000000001</v>
      </c>
      <c r="J14" s="3">
        <v>8.6319000000000007E-2</v>
      </c>
      <c r="K14" s="5">
        <v>358.38</v>
      </c>
      <c r="L14" s="3">
        <v>0.24660099999999999</v>
      </c>
      <c r="M14" s="3">
        <v>0.147394</v>
      </c>
      <c r="N14" s="5">
        <v>346.5</v>
      </c>
      <c r="O14" s="3">
        <v>0.24368799999999999</v>
      </c>
      <c r="P14" s="3">
        <v>0.142508</v>
      </c>
      <c r="Q14" s="5">
        <v>578.16</v>
      </c>
      <c r="R14" s="3">
        <v>0.32915800000000001</v>
      </c>
      <c r="S14" s="3">
        <v>0.237785</v>
      </c>
      <c r="T14" s="5">
        <v>499.95</v>
      </c>
      <c r="U14" s="3">
        <v>0.34732299999999999</v>
      </c>
      <c r="V14" s="3">
        <v>0.205619</v>
      </c>
      <c r="W14" t="s">
        <v>1</v>
      </c>
    </row>
    <row r="15" spans="1:23" x14ac:dyDescent="0.3">
      <c r="A15" t="s">
        <v>16</v>
      </c>
      <c r="B15" s="2">
        <v>2891</v>
      </c>
      <c r="C15" s="3">
        <v>0.12464</v>
      </c>
      <c r="D15" s="3">
        <v>0.75384600000000002</v>
      </c>
      <c r="E15" s="5">
        <v>914.5</v>
      </c>
      <c r="F15" s="3">
        <v>5.9513000000000003E-2</v>
      </c>
      <c r="G15" s="3">
        <v>0.23846200000000001</v>
      </c>
      <c r="H15" s="2">
        <v>0</v>
      </c>
      <c r="I15" s="4">
        <v>0</v>
      </c>
      <c r="J15" s="4">
        <v>0</v>
      </c>
      <c r="K15" s="5">
        <v>29.5</v>
      </c>
      <c r="L15" s="3">
        <v>2.0299000000000001E-2</v>
      </c>
      <c r="M15" s="3">
        <v>7.6920000000000001E-3</v>
      </c>
      <c r="N15" s="2">
        <v>0</v>
      </c>
      <c r="O15" s="4">
        <v>0</v>
      </c>
      <c r="P15" s="4">
        <v>0</v>
      </c>
      <c r="Q15" s="2">
        <v>0</v>
      </c>
      <c r="R15" s="4">
        <v>0</v>
      </c>
      <c r="S15" s="4">
        <v>0</v>
      </c>
      <c r="T15" s="2">
        <v>0</v>
      </c>
      <c r="U15" s="4">
        <v>0</v>
      </c>
      <c r="V15" s="4">
        <v>0</v>
      </c>
      <c r="W15" t="s">
        <v>1</v>
      </c>
    </row>
    <row r="16" spans="1:23" x14ac:dyDescent="0.3">
      <c r="A16" t="s">
        <v>17</v>
      </c>
      <c r="B16" s="2">
        <v>315</v>
      </c>
      <c r="C16" s="3">
        <v>1.3580999999999999E-2</v>
      </c>
      <c r="D16" s="3">
        <v>0.214286</v>
      </c>
      <c r="E16" s="2">
        <v>945</v>
      </c>
      <c r="F16" s="3">
        <v>6.1497999999999997E-2</v>
      </c>
      <c r="G16" s="3">
        <v>0.64285700000000001</v>
      </c>
      <c r="H16" s="2">
        <v>0</v>
      </c>
      <c r="I16" s="4">
        <v>0</v>
      </c>
      <c r="J16" s="4">
        <v>0</v>
      </c>
      <c r="K16" s="2">
        <v>0</v>
      </c>
      <c r="L16" s="4">
        <v>0</v>
      </c>
      <c r="M16" s="4">
        <v>0</v>
      </c>
      <c r="N16" s="2">
        <v>0</v>
      </c>
      <c r="O16" s="4">
        <v>0</v>
      </c>
      <c r="P16" s="4">
        <v>0</v>
      </c>
      <c r="Q16" s="2">
        <v>105</v>
      </c>
      <c r="R16" s="3">
        <v>5.9778999999999999E-2</v>
      </c>
      <c r="S16" s="3">
        <v>7.1429000000000006E-2</v>
      </c>
      <c r="T16" s="2">
        <v>105</v>
      </c>
      <c r="U16" s="3">
        <v>7.2944999999999996E-2</v>
      </c>
      <c r="V16" s="3">
        <v>7.1429000000000006E-2</v>
      </c>
      <c r="W16" t="s">
        <v>1</v>
      </c>
    </row>
    <row r="17" spans="1:23" x14ac:dyDescent="0.3">
      <c r="A17" t="s">
        <v>18</v>
      </c>
      <c r="B17" s="5">
        <v>2187.5</v>
      </c>
      <c r="C17" s="3">
        <v>9.4310000000000005E-2</v>
      </c>
      <c r="D17" s="3">
        <v>0.767544</v>
      </c>
      <c r="E17" s="5">
        <v>487.5</v>
      </c>
      <c r="F17" s="3">
        <v>3.1725000000000003E-2</v>
      </c>
      <c r="G17" s="3">
        <v>0.17105300000000001</v>
      </c>
      <c r="H17" s="2">
        <v>175</v>
      </c>
      <c r="I17" s="3">
        <v>8.8103000000000001E-2</v>
      </c>
      <c r="J17" s="3">
        <v>6.1404E-2</v>
      </c>
      <c r="K17" s="2">
        <v>0</v>
      </c>
      <c r="L17" s="4">
        <v>0</v>
      </c>
      <c r="M17" s="4">
        <v>0</v>
      </c>
      <c r="N17" s="2">
        <v>0</v>
      </c>
      <c r="O17" s="4">
        <v>0</v>
      </c>
      <c r="P17" s="4">
        <v>0</v>
      </c>
      <c r="Q17" s="2">
        <v>0</v>
      </c>
      <c r="R17" s="4">
        <v>0</v>
      </c>
      <c r="S17" s="4">
        <v>0</v>
      </c>
      <c r="T17" s="2">
        <v>0</v>
      </c>
      <c r="U17" s="4">
        <v>0</v>
      </c>
      <c r="V17" s="4">
        <v>0</v>
      </c>
      <c r="W17" t="s">
        <v>1</v>
      </c>
    </row>
    <row r="18" spans="1:23" x14ac:dyDescent="0.3">
      <c r="A18" t="s">
        <v>19</v>
      </c>
      <c r="B18" s="2">
        <v>2499</v>
      </c>
      <c r="C18" s="3">
        <v>0.107739</v>
      </c>
      <c r="D18" s="3">
        <v>0.77777799999999997</v>
      </c>
      <c r="E18" s="2">
        <v>663</v>
      </c>
      <c r="F18" s="3">
        <v>4.3145999999999997E-2</v>
      </c>
      <c r="G18" s="3">
        <v>0.206349</v>
      </c>
      <c r="H18" s="2">
        <v>0</v>
      </c>
      <c r="I18" s="4">
        <v>0</v>
      </c>
      <c r="J18" s="4">
        <v>0</v>
      </c>
      <c r="K18" s="2">
        <v>51</v>
      </c>
      <c r="L18" s="3">
        <v>3.5092999999999999E-2</v>
      </c>
      <c r="M18" s="3">
        <v>1.5873000000000002E-2</v>
      </c>
      <c r="N18" s="2">
        <v>0</v>
      </c>
      <c r="O18" s="4">
        <v>0</v>
      </c>
      <c r="P18" s="4">
        <v>0</v>
      </c>
      <c r="Q18" s="2">
        <v>0</v>
      </c>
      <c r="R18" s="4">
        <v>0</v>
      </c>
      <c r="S18" s="4">
        <v>0</v>
      </c>
      <c r="T18" s="2">
        <v>0</v>
      </c>
      <c r="U18" s="4">
        <v>0</v>
      </c>
      <c r="V18" s="4">
        <v>0</v>
      </c>
      <c r="W18" t="s">
        <v>1</v>
      </c>
    </row>
    <row r="19" spans="1:23" x14ac:dyDescent="0.3">
      <c r="A19" t="s">
        <v>20</v>
      </c>
      <c r="B19" s="2">
        <v>0</v>
      </c>
      <c r="C19" s="4">
        <v>0</v>
      </c>
      <c r="D19" s="4">
        <v>0</v>
      </c>
      <c r="E19" s="5">
        <v>0.5</v>
      </c>
      <c r="F19" s="3">
        <v>3.3000000000000003E-5</v>
      </c>
      <c r="G19" s="4">
        <v>1</v>
      </c>
      <c r="H19" s="2">
        <v>0</v>
      </c>
      <c r="I19" s="4">
        <v>0</v>
      </c>
      <c r="J19" s="4">
        <v>0</v>
      </c>
      <c r="K19" s="2">
        <v>0</v>
      </c>
      <c r="L19" s="4">
        <v>0</v>
      </c>
      <c r="M19" s="4">
        <v>0</v>
      </c>
      <c r="N19" s="2">
        <v>0</v>
      </c>
      <c r="O19" s="4">
        <v>0</v>
      </c>
      <c r="P19" s="4">
        <v>0</v>
      </c>
      <c r="Q19" s="2">
        <v>0</v>
      </c>
      <c r="R19" s="4">
        <v>0</v>
      </c>
      <c r="S19" s="4">
        <v>0</v>
      </c>
      <c r="T19" s="2">
        <v>0</v>
      </c>
      <c r="U19" s="4">
        <v>0</v>
      </c>
      <c r="V19" s="4">
        <v>0</v>
      </c>
      <c r="W19" t="s">
        <v>1</v>
      </c>
    </row>
    <row r="20" spans="1:23" x14ac:dyDescent="0.3">
      <c r="A20" t="s">
        <v>21</v>
      </c>
      <c r="B20" s="5">
        <v>3758.89</v>
      </c>
      <c r="C20" s="3">
        <v>0.16205700000000001</v>
      </c>
      <c r="D20" s="3">
        <v>0.61088799999999999</v>
      </c>
      <c r="E20" s="5">
        <v>2394.27</v>
      </c>
      <c r="F20" s="3">
        <v>0.15581100000000001</v>
      </c>
      <c r="G20" s="3">
        <v>0.38911200000000001</v>
      </c>
      <c r="H20" s="2">
        <v>0</v>
      </c>
      <c r="I20" s="4">
        <v>0</v>
      </c>
      <c r="J20" s="4">
        <v>0</v>
      </c>
      <c r="K20" s="2">
        <v>0</v>
      </c>
      <c r="L20" s="4">
        <v>0</v>
      </c>
      <c r="M20" s="4">
        <v>0</v>
      </c>
      <c r="N20" s="2">
        <v>0</v>
      </c>
      <c r="O20" s="4">
        <v>0</v>
      </c>
      <c r="P20" s="4">
        <v>0</v>
      </c>
      <c r="Q20" s="2">
        <v>0</v>
      </c>
      <c r="R20" s="4">
        <v>0</v>
      </c>
      <c r="S20" s="4">
        <v>0</v>
      </c>
      <c r="T20" s="2">
        <v>0</v>
      </c>
      <c r="U20" s="4">
        <v>0</v>
      </c>
      <c r="V20" s="4">
        <v>0</v>
      </c>
      <c r="W20" t="s">
        <v>1</v>
      </c>
    </row>
    <row r="21" spans="1:23" x14ac:dyDescent="0.3">
      <c r="A21" t="s">
        <v>22</v>
      </c>
      <c r="B21" s="5">
        <v>719.58</v>
      </c>
      <c r="C21" s="3">
        <v>3.1022999999999998E-2</v>
      </c>
      <c r="D21" s="3">
        <v>0.62885000000000002</v>
      </c>
      <c r="E21" s="5">
        <v>424.7</v>
      </c>
      <c r="F21" s="3">
        <v>2.7637999999999999E-2</v>
      </c>
      <c r="G21" s="3">
        <v>0.37114999999999998</v>
      </c>
      <c r="H21" s="2">
        <v>0</v>
      </c>
      <c r="I21" s="4">
        <v>0</v>
      </c>
      <c r="J21" s="4">
        <v>0</v>
      </c>
      <c r="K21" s="2">
        <v>0</v>
      </c>
      <c r="L21" s="4">
        <v>0</v>
      </c>
      <c r="M21" s="4">
        <v>0</v>
      </c>
      <c r="N21" s="2">
        <v>0</v>
      </c>
      <c r="O21" s="4">
        <v>0</v>
      </c>
      <c r="P21" s="4">
        <v>0</v>
      </c>
      <c r="Q21" s="2">
        <v>0</v>
      </c>
      <c r="R21" s="4">
        <v>0</v>
      </c>
      <c r="S21" s="4">
        <v>0</v>
      </c>
      <c r="T21" s="2">
        <v>0</v>
      </c>
      <c r="U21" s="4">
        <v>0</v>
      </c>
      <c r="V21" s="4">
        <v>0</v>
      </c>
      <c r="W21" t="s">
        <v>1</v>
      </c>
    </row>
    <row r="22" spans="1:23" x14ac:dyDescent="0.3">
      <c r="A22" t="s">
        <v>23</v>
      </c>
      <c r="B22" s="5">
        <v>3042.97</v>
      </c>
      <c r="C22" s="3">
        <v>0.131191</v>
      </c>
      <c r="D22" s="3">
        <v>0.55616399999999999</v>
      </c>
      <c r="E22" s="5">
        <v>2338.44</v>
      </c>
      <c r="F22" s="3">
        <v>0.15217800000000001</v>
      </c>
      <c r="G22" s="3">
        <v>0.42739700000000003</v>
      </c>
      <c r="H22" s="5">
        <v>89.94</v>
      </c>
      <c r="I22" s="3">
        <v>4.5280000000000001E-2</v>
      </c>
      <c r="J22" s="3">
        <v>1.6438000000000001E-2</v>
      </c>
      <c r="K22" s="2">
        <v>0</v>
      </c>
      <c r="L22" s="4">
        <v>0</v>
      </c>
      <c r="M22" s="4">
        <v>0</v>
      </c>
      <c r="N22" s="2">
        <v>0</v>
      </c>
      <c r="O22" s="4">
        <v>0</v>
      </c>
      <c r="P22" s="4">
        <v>0</v>
      </c>
      <c r="Q22" s="2">
        <v>0</v>
      </c>
      <c r="R22" s="4">
        <v>0</v>
      </c>
      <c r="S22" s="4">
        <v>0</v>
      </c>
      <c r="T22" s="2">
        <v>0</v>
      </c>
      <c r="U22" s="4">
        <v>0</v>
      </c>
      <c r="V22" s="4">
        <v>0</v>
      </c>
      <c r="W22" t="s">
        <v>1</v>
      </c>
    </row>
    <row r="23" spans="1:23" x14ac:dyDescent="0.3">
      <c r="A23" t="s">
        <v>24</v>
      </c>
      <c r="B23" s="5">
        <v>2604.09</v>
      </c>
      <c r="C23" s="3">
        <v>0.11226999999999999</v>
      </c>
      <c r="D23" s="3">
        <v>0.55122000000000004</v>
      </c>
      <c r="E23" s="5">
        <v>1909.28</v>
      </c>
      <c r="F23" s="3">
        <v>0.12425</v>
      </c>
      <c r="G23" s="3">
        <v>0.40414600000000001</v>
      </c>
      <c r="H23" s="2">
        <v>0</v>
      </c>
      <c r="I23" s="4">
        <v>0</v>
      </c>
      <c r="J23" s="4">
        <v>0</v>
      </c>
      <c r="K23" s="2">
        <v>0</v>
      </c>
      <c r="L23" s="4">
        <v>0</v>
      </c>
      <c r="M23" s="4">
        <v>0</v>
      </c>
      <c r="N23" s="2">
        <v>0</v>
      </c>
      <c r="O23" s="4">
        <v>0</v>
      </c>
      <c r="P23" s="4">
        <v>0</v>
      </c>
      <c r="Q23" s="5">
        <v>135.91999999999999</v>
      </c>
      <c r="R23" s="3">
        <v>7.7382000000000006E-2</v>
      </c>
      <c r="S23" s="3">
        <v>2.8771000000000001E-2</v>
      </c>
      <c r="T23" s="5">
        <v>74.94</v>
      </c>
      <c r="U23" s="3">
        <v>5.2061999999999997E-2</v>
      </c>
      <c r="V23" s="3">
        <v>1.5862999999999999E-2</v>
      </c>
      <c r="W23" t="s">
        <v>1</v>
      </c>
    </row>
    <row r="24" spans="1:23" x14ac:dyDescent="0.3">
      <c r="A24" t="s">
        <v>25</v>
      </c>
      <c r="B24" s="5">
        <v>594.50990000000002</v>
      </c>
      <c r="C24" s="3">
        <v>2.5631000000000001E-2</v>
      </c>
      <c r="D24" s="3">
        <v>0.68396599999999996</v>
      </c>
      <c r="E24" s="5">
        <v>274.7</v>
      </c>
      <c r="F24" s="3">
        <v>1.7877000000000001E-2</v>
      </c>
      <c r="G24" s="3">
        <v>0.31603399999999998</v>
      </c>
      <c r="H24" s="2">
        <v>0</v>
      </c>
      <c r="I24" s="4">
        <v>0</v>
      </c>
      <c r="J24" s="4">
        <v>0</v>
      </c>
      <c r="K24" s="2">
        <v>0</v>
      </c>
      <c r="L24" s="4">
        <v>0</v>
      </c>
      <c r="M24" s="4">
        <v>0</v>
      </c>
      <c r="N24" s="2">
        <v>0</v>
      </c>
      <c r="O24" s="4">
        <v>0</v>
      </c>
      <c r="P24" s="4">
        <v>0</v>
      </c>
      <c r="Q24" s="2">
        <v>0</v>
      </c>
      <c r="R24" s="4">
        <v>0</v>
      </c>
      <c r="S24" s="4">
        <v>0</v>
      </c>
      <c r="T24" s="2">
        <v>0</v>
      </c>
      <c r="U24" s="4">
        <v>0</v>
      </c>
      <c r="V24" s="4">
        <v>0</v>
      </c>
      <c r="W24" t="s">
        <v>1</v>
      </c>
    </row>
    <row r="27" spans="1:23" x14ac:dyDescent="0.3">
      <c r="A27" t="s">
        <v>26</v>
      </c>
    </row>
    <row r="28" spans="1:23" x14ac:dyDescent="0.3">
      <c r="B28" s="1">
        <v>41461</v>
      </c>
      <c r="C28" t="s">
        <v>1</v>
      </c>
      <c r="D28" t="s">
        <v>1</v>
      </c>
      <c r="E28" t="s">
        <v>177</v>
      </c>
      <c r="F28" t="s">
        <v>1</v>
      </c>
      <c r="G28" t="s">
        <v>1</v>
      </c>
      <c r="H28" t="s">
        <v>178</v>
      </c>
      <c r="I28" t="s">
        <v>1</v>
      </c>
      <c r="J28" t="s">
        <v>1</v>
      </c>
      <c r="K28" t="s">
        <v>179</v>
      </c>
      <c r="L28" t="s">
        <v>1</v>
      </c>
      <c r="M28" t="s">
        <v>1</v>
      </c>
      <c r="N28" t="s">
        <v>180</v>
      </c>
      <c r="O28" t="s">
        <v>1</v>
      </c>
      <c r="P28" t="s">
        <v>1</v>
      </c>
      <c r="Q28" t="s">
        <v>181</v>
      </c>
      <c r="R28" t="s">
        <v>1</v>
      </c>
      <c r="S28" t="s">
        <v>1</v>
      </c>
      <c r="T28" t="s">
        <v>182</v>
      </c>
      <c r="U28" t="s">
        <v>1</v>
      </c>
      <c r="V28" t="s">
        <v>1</v>
      </c>
      <c r="W28" t="s">
        <v>1</v>
      </c>
    </row>
    <row r="29" spans="1:23" x14ac:dyDescent="0.3">
      <c r="A29" t="s">
        <v>2</v>
      </c>
      <c r="B29" t="s">
        <v>3</v>
      </c>
      <c r="C29" t="s">
        <v>4</v>
      </c>
      <c r="D29" t="s">
        <v>5</v>
      </c>
      <c r="E29" t="s">
        <v>6</v>
      </c>
      <c r="F29" t="s">
        <v>4</v>
      </c>
      <c r="G29" t="s">
        <v>5</v>
      </c>
      <c r="H29" t="s">
        <v>6</v>
      </c>
      <c r="I29" t="s">
        <v>4</v>
      </c>
      <c r="J29" t="s">
        <v>5</v>
      </c>
      <c r="K29" t="s">
        <v>6</v>
      </c>
      <c r="L29" t="s">
        <v>4</v>
      </c>
      <c r="M29" t="s">
        <v>5</v>
      </c>
      <c r="N29" t="s">
        <v>6</v>
      </c>
      <c r="O29" t="s">
        <v>4</v>
      </c>
      <c r="P29" t="s">
        <v>5</v>
      </c>
      <c r="Q29" t="s">
        <v>6</v>
      </c>
      <c r="R29" t="s">
        <v>4</v>
      </c>
      <c r="S29" t="s">
        <v>5</v>
      </c>
      <c r="T29" t="s">
        <v>6</v>
      </c>
      <c r="U29" t="s">
        <v>4</v>
      </c>
      <c r="V29" t="s">
        <v>5</v>
      </c>
      <c r="W29" t="s">
        <v>1</v>
      </c>
    </row>
    <row r="30" spans="1:23" x14ac:dyDescent="0.3">
      <c r="A30" t="s">
        <v>27</v>
      </c>
      <c r="B30" s="2">
        <v>80</v>
      </c>
      <c r="C30" s="3">
        <v>6.5041000000000002E-2</v>
      </c>
      <c r="D30" s="3">
        <v>0.14285700000000001</v>
      </c>
      <c r="E30" s="2">
        <v>100</v>
      </c>
      <c r="F30" s="3">
        <v>4.4843000000000001E-2</v>
      </c>
      <c r="G30" s="3">
        <v>0.17857100000000001</v>
      </c>
      <c r="H30" s="2">
        <v>120</v>
      </c>
      <c r="I30" s="3">
        <v>6.0914000000000003E-2</v>
      </c>
      <c r="J30" s="3">
        <v>0.214286</v>
      </c>
      <c r="K30" s="2">
        <v>40</v>
      </c>
      <c r="L30" s="3">
        <v>2.3880999999999999E-2</v>
      </c>
      <c r="M30" s="3">
        <v>7.1429000000000006E-2</v>
      </c>
      <c r="N30" s="2">
        <v>40</v>
      </c>
      <c r="O30" s="3">
        <v>2.3255999999999999E-2</v>
      </c>
      <c r="P30" s="3">
        <v>7.1429000000000006E-2</v>
      </c>
      <c r="Q30" s="2">
        <v>80</v>
      </c>
      <c r="R30" s="3">
        <v>3.5319999999999997E-2</v>
      </c>
      <c r="S30" s="3">
        <v>0.14285700000000001</v>
      </c>
      <c r="T30" s="2">
        <v>100</v>
      </c>
      <c r="U30" s="3">
        <v>3.9919999999999997E-2</v>
      </c>
      <c r="V30" s="3">
        <v>0.17857100000000001</v>
      </c>
      <c r="W30" t="s">
        <v>1</v>
      </c>
    </row>
    <row r="31" spans="1:23" x14ac:dyDescent="0.3">
      <c r="A31" t="s">
        <v>28</v>
      </c>
      <c r="B31" s="2">
        <v>20</v>
      </c>
      <c r="C31" s="3">
        <v>1.626E-2</v>
      </c>
      <c r="D31" s="3">
        <v>3.6364E-2</v>
      </c>
      <c r="E31" s="2">
        <v>130</v>
      </c>
      <c r="F31" s="3">
        <v>5.8296000000000001E-2</v>
      </c>
      <c r="G31" s="3">
        <v>0.23636399999999999</v>
      </c>
      <c r="H31" s="2">
        <v>40</v>
      </c>
      <c r="I31" s="3">
        <v>2.0305E-2</v>
      </c>
      <c r="J31" s="3">
        <v>7.2727E-2</v>
      </c>
      <c r="K31" s="2">
        <v>70</v>
      </c>
      <c r="L31" s="3">
        <v>4.1791000000000002E-2</v>
      </c>
      <c r="M31" s="3">
        <v>0.127273</v>
      </c>
      <c r="N31" s="2">
        <v>40</v>
      </c>
      <c r="O31" s="3">
        <v>2.3255999999999999E-2</v>
      </c>
      <c r="P31" s="3">
        <v>7.2727E-2</v>
      </c>
      <c r="Q31" s="2">
        <v>90</v>
      </c>
      <c r="R31" s="3">
        <v>3.9734999999999999E-2</v>
      </c>
      <c r="S31" s="3">
        <v>0.163636</v>
      </c>
      <c r="T31" s="2">
        <v>160</v>
      </c>
      <c r="U31" s="3">
        <v>6.3871999999999998E-2</v>
      </c>
      <c r="V31" s="3">
        <v>0.29090899999999997</v>
      </c>
      <c r="W31" t="s">
        <v>1</v>
      </c>
    </row>
    <row r="32" spans="1:23" x14ac:dyDescent="0.3">
      <c r="A32" t="s">
        <v>29</v>
      </c>
      <c r="B32" s="2">
        <v>235</v>
      </c>
      <c r="C32" s="3">
        <v>0.191057</v>
      </c>
      <c r="D32" s="3">
        <v>9.7509999999999999E-2</v>
      </c>
      <c r="E32" s="2">
        <v>380</v>
      </c>
      <c r="F32" s="3">
        <v>0.170404</v>
      </c>
      <c r="G32" s="3">
        <v>0.15767600000000001</v>
      </c>
      <c r="H32" s="2">
        <v>390</v>
      </c>
      <c r="I32" s="3">
        <v>0.19797000000000001</v>
      </c>
      <c r="J32" s="3">
        <v>0.161826</v>
      </c>
      <c r="K32" s="2">
        <v>345</v>
      </c>
      <c r="L32" s="3">
        <v>0.20596999999999999</v>
      </c>
      <c r="M32" s="3">
        <v>0.143154</v>
      </c>
      <c r="N32" s="2">
        <v>295</v>
      </c>
      <c r="O32" s="3">
        <v>0.171512</v>
      </c>
      <c r="P32" s="3">
        <v>0.122407</v>
      </c>
      <c r="Q32" s="2">
        <v>425</v>
      </c>
      <c r="R32" s="3">
        <v>0.187638</v>
      </c>
      <c r="S32" s="3">
        <v>0.17634900000000001</v>
      </c>
      <c r="T32" s="2">
        <v>340</v>
      </c>
      <c r="U32" s="3">
        <v>0.13572899999999999</v>
      </c>
      <c r="V32" s="3">
        <v>0.14107900000000001</v>
      </c>
      <c r="W32" t="s">
        <v>1</v>
      </c>
    </row>
    <row r="33" spans="1:26" x14ac:dyDescent="0.3">
      <c r="A33" t="s">
        <v>30</v>
      </c>
      <c r="B33" s="2">
        <v>120</v>
      </c>
      <c r="C33" s="3">
        <v>9.7560999999999995E-2</v>
      </c>
      <c r="D33" s="3">
        <v>9.6773999999999999E-2</v>
      </c>
      <c r="E33" s="2">
        <v>220</v>
      </c>
      <c r="F33" s="3">
        <v>9.8655000000000007E-2</v>
      </c>
      <c r="G33" s="3">
        <v>0.17741899999999999</v>
      </c>
      <c r="H33" s="2">
        <v>140</v>
      </c>
      <c r="I33" s="3">
        <v>7.1066000000000004E-2</v>
      </c>
      <c r="J33" s="3">
        <v>0.112903</v>
      </c>
      <c r="K33" s="2">
        <v>120</v>
      </c>
      <c r="L33" s="3">
        <v>7.1641999999999997E-2</v>
      </c>
      <c r="M33" s="3">
        <v>9.6773999999999999E-2</v>
      </c>
      <c r="N33" s="2">
        <v>180</v>
      </c>
      <c r="O33" s="3">
        <v>0.10465099999999999</v>
      </c>
      <c r="P33" s="3">
        <v>0.14516100000000001</v>
      </c>
      <c r="Q33" s="2">
        <v>220</v>
      </c>
      <c r="R33" s="3">
        <v>9.7129999999999994E-2</v>
      </c>
      <c r="S33" s="3">
        <v>0.17741899999999999</v>
      </c>
      <c r="T33" s="2">
        <v>240</v>
      </c>
      <c r="U33" s="3">
        <v>9.5808000000000004E-2</v>
      </c>
      <c r="V33" s="3">
        <v>0.193548</v>
      </c>
      <c r="W33" t="s">
        <v>1</v>
      </c>
    </row>
    <row r="34" spans="1:26" x14ac:dyDescent="0.3">
      <c r="A34" t="s">
        <v>31</v>
      </c>
      <c r="B34" s="2">
        <v>170</v>
      </c>
      <c r="C34" s="3">
        <v>0.138211</v>
      </c>
      <c r="D34" s="3">
        <v>8.9473999999999998E-2</v>
      </c>
      <c r="E34" s="2">
        <v>350</v>
      </c>
      <c r="F34" s="3">
        <v>0.15695100000000001</v>
      </c>
      <c r="G34" s="3">
        <v>0.18421100000000001</v>
      </c>
      <c r="H34" s="2">
        <v>290</v>
      </c>
      <c r="I34" s="3">
        <v>0.14720800000000001</v>
      </c>
      <c r="J34" s="3">
        <v>0.15263199999999999</v>
      </c>
      <c r="K34" s="2">
        <v>190</v>
      </c>
      <c r="L34" s="3">
        <v>0.11343300000000001</v>
      </c>
      <c r="M34" s="3">
        <v>0.1</v>
      </c>
      <c r="N34" s="2">
        <v>240</v>
      </c>
      <c r="O34" s="3">
        <v>0.13953499999999999</v>
      </c>
      <c r="P34" s="3">
        <v>0.12631600000000001</v>
      </c>
      <c r="Q34" s="2">
        <v>330</v>
      </c>
      <c r="R34" s="3">
        <v>0.14569499999999999</v>
      </c>
      <c r="S34" s="3">
        <v>0.17368400000000001</v>
      </c>
      <c r="T34" s="2">
        <v>330</v>
      </c>
      <c r="U34" s="3">
        <v>0.13173699999999999</v>
      </c>
      <c r="V34" s="3">
        <v>0.17368400000000001</v>
      </c>
      <c r="W34" t="s">
        <v>1</v>
      </c>
    </row>
    <row r="35" spans="1:26" x14ac:dyDescent="0.3">
      <c r="A35" t="s">
        <v>32</v>
      </c>
      <c r="B35" s="2">
        <v>605</v>
      </c>
      <c r="C35" s="3">
        <v>0.49186999999999997</v>
      </c>
      <c r="D35" s="3">
        <v>8.7238999999999997E-2</v>
      </c>
      <c r="E35" s="2">
        <v>1050</v>
      </c>
      <c r="F35" s="3">
        <v>0.47085199999999999</v>
      </c>
      <c r="G35" s="3">
        <v>0.15140600000000001</v>
      </c>
      <c r="H35" s="2">
        <v>990</v>
      </c>
      <c r="I35" s="3">
        <v>0.50253800000000004</v>
      </c>
      <c r="J35" s="3">
        <v>0.14275399999999999</v>
      </c>
      <c r="K35" s="2">
        <v>910</v>
      </c>
      <c r="L35" s="3">
        <v>0.54328399999999999</v>
      </c>
      <c r="M35" s="3">
        <v>0.131218</v>
      </c>
      <c r="N35" s="2">
        <v>925</v>
      </c>
      <c r="O35" s="3">
        <v>0.53779100000000002</v>
      </c>
      <c r="P35" s="3">
        <v>0.133381</v>
      </c>
      <c r="Q35" s="2">
        <v>1120</v>
      </c>
      <c r="R35" s="3">
        <v>0.494481</v>
      </c>
      <c r="S35" s="3">
        <v>0.1615</v>
      </c>
      <c r="T35" s="2">
        <v>1335</v>
      </c>
      <c r="U35" s="3">
        <v>0.53293400000000002</v>
      </c>
      <c r="V35" s="3">
        <v>0.19250200000000001</v>
      </c>
      <c r="W35" t="s">
        <v>1</v>
      </c>
    </row>
    <row r="38" spans="1:26" x14ac:dyDescent="0.3">
      <c r="A38" t="s">
        <v>33</v>
      </c>
    </row>
    <row r="39" spans="1:26" x14ac:dyDescent="0.3">
      <c r="B39" s="1">
        <v>41461</v>
      </c>
      <c r="C39" t="s">
        <v>1</v>
      </c>
      <c r="D39" t="s">
        <v>1</v>
      </c>
      <c r="E39" t="s">
        <v>177</v>
      </c>
      <c r="F39" t="s">
        <v>1</v>
      </c>
      <c r="G39" t="s">
        <v>1</v>
      </c>
      <c r="H39" t="s">
        <v>178</v>
      </c>
      <c r="I39" t="s">
        <v>1</v>
      </c>
      <c r="J39" t="s">
        <v>1</v>
      </c>
      <c r="K39" t="s">
        <v>179</v>
      </c>
      <c r="L39" t="s">
        <v>1</v>
      </c>
      <c r="M39" t="s">
        <v>1</v>
      </c>
      <c r="N39" t="s">
        <v>180</v>
      </c>
      <c r="O39" t="s">
        <v>1</v>
      </c>
      <c r="P39" t="s">
        <v>1</v>
      </c>
      <c r="Q39" t="s">
        <v>181</v>
      </c>
      <c r="R39" t="s">
        <v>1</v>
      </c>
      <c r="S39" t="s">
        <v>1</v>
      </c>
      <c r="T39" t="s">
        <v>182</v>
      </c>
      <c r="U39" t="s">
        <v>1</v>
      </c>
      <c r="V39" t="s">
        <v>1</v>
      </c>
      <c r="W39" t="s">
        <v>183</v>
      </c>
      <c r="X39" t="s">
        <v>1</v>
      </c>
      <c r="Y39" t="s">
        <v>1</v>
      </c>
      <c r="Z39" t="s">
        <v>1</v>
      </c>
    </row>
    <row r="40" spans="1:26" x14ac:dyDescent="0.3">
      <c r="A40" t="s">
        <v>2</v>
      </c>
      <c r="B40" t="s">
        <v>3</v>
      </c>
      <c r="C40" t="s">
        <v>4</v>
      </c>
      <c r="D40" t="s">
        <v>5</v>
      </c>
      <c r="E40" t="s">
        <v>6</v>
      </c>
      <c r="F40" t="s">
        <v>4</v>
      </c>
      <c r="G40" t="s">
        <v>5</v>
      </c>
      <c r="H40" t="s">
        <v>6</v>
      </c>
      <c r="I40" t="s">
        <v>4</v>
      </c>
      <c r="J40" t="s">
        <v>5</v>
      </c>
      <c r="K40" t="s">
        <v>6</v>
      </c>
      <c r="L40" t="s">
        <v>4</v>
      </c>
      <c r="M40" t="s">
        <v>5</v>
      </c>
      <c r="N40" t="s">
        <v>6</v>
      </c>
      <c r="O40" t="s">
        <v>4</v>
      </c>
      <c r="P40" t="s">
        <v>5</v>
      </c>
      <c r="Q40" t="s">
        <v>6</v>
      </c>
      <c r="R40" t="s">
        <v>4</v>
      </c>
      <c r="S40" t="s">
        <v>5</v>
      </c>
      <c r="T40" t="s">
        <v>6</v>
      </c>
      <c r="U40" t="s">
        <v>4</v>
      </c>
      <c r="V40" t="s">
        <v>5</v>
      </c>
      <c r="W40" t="s">
        <v>6</v>
      </c>
      <c r="X40" t="s">
        <v>4</v>
      </c>
      <c r="Y40" t="s">
        <v>5</v>
      </c>
      <c r="Z40" t="s">
        <v>1</v>
      </c>
    </row>
    <row r="41" spans="1:26" x14ac:dyDescent="0.3">
      <c r="A41" t="s">
        <v>34</v>
      </c>
      <c r="B41" s="2">
        <v>60</v>
      </c>
      <c r="C41" s="3">
        <v>0.75</v>
      </c>
      <c r="D41" s="3">
        <v>0.115385</v>
      </c>
      <c r="E41" s="2">
        <v>120</v>
      </c>
      <c r="F41" s="3">
        <v>0.59704500000000005</v>
      </c>
      <c r="G41" s="3">
        <v>0.230769</v>
      </c>
      <c r="H41" s="2">
        <v>90</v>
      </c>
      <c r="I41" s="3">
        <v>0.92156499999999997</v>
      </c>
      <c r="J41" s="3">
        <v>0.17307700000000001</v>
      </c>
      <c r="K41" s="2">
        <v>60</v>
      </c>
      <c r="L41" s="3">
        <v>0.75</v>
      </c>
      <c r="M41" s="3">
        <v>0.115385</v>
      </c>
      <c r="N41" s="2">
        <v>80</v>
      </c>
      <c r="O41" s="3">
        <v>0.66688899999999995</v>
      </c>
      <c r="P41" s="3">
        <v>0.15384600000000001</v>
      </c>
      <c r="Q41" s="2">
        <v>40</v>
      </c>
      <c r="R41" s="3">
        <v>0.4</v>
      </c>
      <c r="S41" s="3">
        <v>7.6923000000000005E-2</v>
      </c>
      <c r="T41" s="2">
        <v>70</v>
      </c>
      <c r="U41" s="3">
        <v>0.77777799999999997</v>
      </c>
      <c r="V41" s="3">
        <v>0.13461500000000001</v>
      </c>
      <c r="W41" s="2">
        <v>0</v>
      </c>
      <c r="X41" s="4">
        <v>0</v>
      </c>
      <c r="Y41" s="4">
        <v>0</v>
      </c>
      <c r="Z41" t="s">
        <v>1</v>
      </c>
    </row>
    <row r="42" spans="1:26" x14ac:dyDescent="0.3">
      <c r="A42" t="s">
        <v>35</v>
      </c>
      <c r="B42" s="2">
        <v>20</v>
      </c>
      <c r="C42" s="3">
        <v>0.25</v>
      </c>
      <c r="D42" s="3">
        <v>0.14285700000000001</v>
      </c>
      <c r="E42" s="2">
        <v>0</v>
      </c>
      <c r="F42" s="4">
        <v>0</v>
      </c>
      <c r="G42" s="4">
        <v>0</v>
      </c>
      <c r="H42" s="2">
        <v>0</v>
      </c>
      <c r="I42" s="4">
        <v>0</v>
      </c>
      <c r="J42" s="4">
        <v>0</v>
      </c>
      <c r="K42" s="2">
        <v>20</v>
      </c>
      <c r="L42" s="3">
        <v>0.25</v>
      </c>
      <c r="M42" s="3">
        <v>0.14285700000000001</v>
      </c>
      <c r="N42" s="2">
        <v>20</v>
      </c>
      <c r="O42" s="3">
        <v>0.16672200000000001</v>
      </c>
      <c r="P42" s="3">
        <v>0.14285700000000001</v>
      </c>
      <c r="Q42" s="2">
        <v>60</v>
      </c>
      <c r="R42" s="3">
        <v>0.6</v>
      </c>
      <c r="S42" s="3">
        <v>0.42857099999999998</v>
      </c>
      <c r="T42" s="2">
        <v>20</v>
      </c>
      <c r="U42" s="3">
        <v>0.222222</v>
      </c>
      <c r="V42" s="3">
        <v>0.14285700000000001</v>
      </c>
      <c r="W42" s="2">
        <v>0</v>
      </c>
      <c r="X42" s="4">
        <v>0</v>
      </c>
      <c r="Y42" s="4">
        <v>0</v>
      </c>
      <c r="Z42" t="s">
        <v>1</v>
      </c>
    </row>
    <row r="43" spans="1:26" x14ac:dyDescent="0.3">
      <c r="A43" t="s">
        <v>36</v>
      </c>
      <c r="B43" s="2">
        <v>0</v>
      </c>
      <c r="C43" s="4">
        <v>0</v>
      </c>
      <c r="D43" s="4">
        <v>0</v>
      </c>
      <c r="E43" s="5">
        <v>80.990009999999998</v>
      </c>
      <c r="F43" s="3">
        <v>0.40295500000000001</v>
      </c>
      <c r="G43" s="3">
        <v>0.51100999999999996</v>
      </c>
      <c r="H43" s="5">
        <v>7.66</v>
      </c>
      <c r="I43" s="3">
        <v>7.8435000000000005E-2</v>
      </c>
      <c r="J43" s="3">
        <v>4.8330999999999999E-2</v>
      </c>
      <c r="K43" s="2">
        <v>0</v>
      </c>
      <c r="L43" s="4">
        <v>0</v>
      </c>
      <c r="M43" s="4">
        <v>0</v>
      </c>
      <c r="N43" s="5">
        <v>19.96</v>
      </c>
      <c r="O43" s="3">
        <v>0.16638900000000001</v>
      </c>
      <c r="P43" s="3">
        <v>0.125939</v>
      </c>
      <c r="Q43" s="2">
        <v>0</v>
      </c>
      <c r="R43" s="4">
        <v>0</v>
      </c>
      <c r="S43" s="4">
        <v>0</v>
      </c>
      <c r="T43" s="2">
        <v>0</v>
      </c>
      <c r="U43" s="4">
        <v>0</v>
      </c>
      <c r="V43" s="4">
        <v>0</v>
      </c>
      <c r="W43" s="5">
        <v>49.88</v>
      </c>
      <c r="X43" s="4">
        <v>1</v>
      </c>
      <c r="Y43" s="3">
        <v>0.31472</v>
      </c>
      <c r="Z43" t="s">
        <v>1</v>
      </c>
    </row>
    <row r="46" spans="1:26" x14ac:dyDescent="0.3">
      <c r="A46" t="s">
        <v>37</v>
      </c>
    </row>
    <row r="47" spans="1:26" x14ac:dyDescent="0.3">
      <c r="B47" s="1">
        <v>41461</v>
      </c>
      <c r="C47" t="s">
        <v>1</v>
      </c>
      <c r="D47" t="s">
        <v>1</v>
      </c>
      <c r="E47" t="s">
        <v>177</v>
      </c>
      <c r="F47" t="s">
        <v>1</v>
      </c>
      <c r="G47" t="s">
        <v>1</v>
      </c>
      <c r="H47" t="s">
        <v>178</v>
      </c>
      <c r="I47" t="s">
        <v>1</v>
      </c>
      <c r="J47" t="s">
        <v>1</v>
      </c>
      <c r="K47" t="s">
        <v>179</v>
      </c>
      <c r="L47" t="s">
        <v>1</v>
      </c>
      <c r="M47" t="s">
        <v>1</v>
      </c>
      <c r="N47" t="s">
        <v>180</v>
      </c>
      <c r="O47" t="s">
        <v>1</v>
      </c>
      <c r="P47" t="s">
        <v>1</v>
      </c>
      <c r="Q47" t="s">
        <v>181</v>
      </c>
      <c r="R47" t="s">
        <v>1</v>
      </c>
      <c r="S47" t="s">
        <v>1</v>
      </c>
      <c r="T47" t="s">
        <v>182</v>
      </c>
      <c r="U47" t="s">
        <v>1</v>
      </c>
      <c r="V47" t="s">
        <v>1</v>
      </c>
      <c r="W47" t="s">
        <v>183</v>
      </c>
      <c r="X47" t="s">
        <v>1</v>
      </c>
      <c r="Y47" t="s">
        <v>1</v>
      </c>
      <c r="Z47" t="s">
        <v>1</v>
      </c>
    </row>
    <row r="48" spans="1:26" x14ac:dyDescent="0.3">
      <c r="A48" t="s">
        <v>2</v>
      </c>
      <c r="B48" t="s">
        <v>3</v>
      </c>
      <c r="C48" t="s">
        <v>4</v>
      </c>
      <c r="D48" t="s">
        <v>5</v>
      </c>
      <c r="E48" t="s">
        <v>6</v>
      </c>
      <c r="F48" t="s">
        <v>4</v>
      </c>
      <c r="G48" t="s">
        <v>5</v>
      </c>
      <c r="H48" t="s">
        <v>6</v>
      </c>
      <c r="I48" t="s">
        <v>4</v>
      </c>
      <c r="J48" t="s">
        <v>5</v>
      </c>
      <c r="K48" t="s">
        <v>6</v>
      </c>
      <c r="L48" t="s">
        <v>4</v>
      </c>
      <c r="M48" t="s">
        <v>5</v>
      </c>
      <c r="N48" t="s">
        <v>6</v>
      </c>
      <c r="O48" t="s">
        <v>4</v>
      </c>
      <c r="P48" t="s">
        <v>5</v>
      </c>
      <c r="Q48" t="s">
        <v>6</v>
      </c>
      <c r="R48" t="s">
        <v>4</v>
      </c>
      <c r="S48" t="s">
        <v>5</v>
      </c>
      <c r="T48" t="s">
        <v>6</v>
      </c>
      <c r="U48" t="s">
        <v>4</v>
      </c>
      <c r="V48" t="s">
        <v>5</v>
      </c>
      <c r="W48" t="s">
        <v>6</v>
      </c>
      <c r="X48" t="s">
        <v>4</v>
      </c>
      <c r="Y48" t="s">
        <v>5</v>
      </c>
      <c r="Z48" t="s">
        <v>1</v>
      </c>
    </row>
    <row r="49" spans="1:26" x14ac:dyDescent="0.3">
      <c r="A49" t="s">
        <v>7</v>
      </c>
      <c r="B49" s="2">
        <v>150</v>
      </c>
      <c r="C49" s="3">
        <v>6.1209999999999997E-3</v>
      </c>
      <c r="D49" s="3">
        <v>8.7719000000000005E-2</v>
      </c>
      <c r="E49" s="2">
        <v>300</v>
      </c>
      <c r="F49" s="3">
        <v>1.6855999999999999E-2</v>
      </c>
      <c r="G49" s="3">
        <v>0.17543900000000001</v>
      </c>
      <c r="H49" s="2">
        <v>225</v>
      </c>
      <c r="I49" s="3">
        <v>5.5501000000000002E-2</v>
      </c>
      <c r="J49" s="3">
        <v>0.131579</v>
      </c>
      <c r="K49" s="2">
        <v>225</v>
      </c>
      <c r="L49" s="3">
        <v>7.0130999999999999E-2</v>
      </c>
      <c r="M49" s="3">
        <v>0.131579</v>
      </c>
      <c r="N49" s="2">
        <v>450</v>
      </c>
      <c r="O49" s="3">
        <v>0.137958</v>
      </c>
      <c r="P49" s="3">
        <v>0.263158</v>
      </c>
      <c r="Q49" s="2">
        <v>285</v>
      </c>
      <c r="R49" s="3">
        <v>6.9150000000000003E-2</v>
      </c>
      <c r="S49" s="3">
        <v>0.16666700000000001</v>
      </c>
      <c r="T49" s="2">
        <v>75</v>
      </c>
      <c r="U49" s="3">
        <v>1.8589999999999999E-2</v>
      </c>
      <c r="V49" s="3">
        <v>4.3860000000000003E-2</v>
      </c>
      <c r="W49" s="2">
        <v>0</v>
      </c>
      <c r="X49" s="4">
        <v>0</v>
      </c>
      <c r="Y49" s="4">
        <v>0</v>
      </c>
      <c r="Z49" t="s">
        <v>1</v>
      </c>
    </row>
    <row r="50" spans="1:26" x14ac:dyDescent="0.3">
      <c r="A50" t="s">
        <v>8</v>
      </c>
      <c r="B50" s="2">
        <v>1000</v>
      </c>
      <c r="C50" s="3">
        <v>4.0807999999999997E-2</v>
      </c>
      <c r="D50" s="3">
        <v>0.38095200000000001</v>
      </c>
      <c r="E50" s="2">
        <v>625</v>
      </c>
      <c r="F50" s="3">
        <v>3.5117000000000002E-2</v>
      </c>
      <c r="G50" s="3">
        <v>0.238095</v>
      </c>
      <c r="H50" s="2">
        <v>125</v>
      </c>
      <c r="I50" s="3">
        <v>3.0834E-2</v>
      </c>
      <c r="J50" s="3">
        <v>4.7619000000000002E-2</v>
      </c>
      <c r="K50" s="2">
        <v>375</v>
      </c>
      <c r="L50" s="3">
        <v>0.116885</v>
      </c>
      <c r="M50" s="3">
        <v>0.14285700000000001</v>
      </c>
      <c r="N50" s="2">
        <v>250</v>
      </c>
      <c r="O50" s="3">
        <v>7.6643000000000003E-2</v>
      </c>
      <c r="P50" s="3">
        <v>9.5238000000000003E-2</v>
      </c>
      <c r="Q50" s="2">
        <v>250</v>
      </c>
      <c r="R50" s="3">
        <v>6.0657999999999997E-2</v>
      </c>
      <c r="S50" s="3">
        <v>9.5238000000000003E-2</v>
      </c>
      <c r="T50" s="2">
        <v>0</v>
      </c>
      <c r="U50" s="4">
        <v>0</v>
      </c>
      <c r="V50" s="4">
        <v>0</v>
      </c>
      <c r="W50" s="2">
        <v>0</v>
      </c>
      <c r="X50" s="4">
        <v>0</v>
      </c>
      <c r="Y50" s="4">
        <v>0</v>
      </c>
      <c r="Z50" t="s">
        <v>1</v>
      </c>
    </row>
    <row r="51" spans="1:26" x14ac:dyDescent="0.3">
      <c r="A51" t="s">
        <v>9</v>
      </c>
      <c r="B51" s="5">
        <v>82.95</v>
      </c>
      <c r="C51" s="3">
        <v>3.385E-3</v>
      </c>
      <c r="D51" s="3">
        <v>0.19444400000000001</v>
      </c>
      <c r="E51" s="5">
        <v>126.4</v>
      </c>
      <c r="F51" s="3">
        <v>7.1019999999999998E-3</v>
      </c>
      <c r="G51" s="3">
        <v>0.296296</v>
      </c>
      <c r="H51" s="5">
        <v>39.5</v>
      </c>
      <c r="I51" s="3">
        <v>9.7439999999999992E-3</v>
      </c>
      <c r="J51" s="3">
        <v>9.2592999999999995E-2</v>
      </c>
      <c r="K51" s="5">
        <v>47.4</v>
      </c>
      <c r="L51" s="3">
        <v>1.4774000000000001E-2</v>
      </c>
      <c r="M51" s="3">
        <v>0.111111</v>
      </c>
      <c r="N51" s="5">
        <v>47.4</v>
      </c>
      <c r="O51" s="3">
        <v>1.4532E-2</v>
      </c>
      <c r="P51" s="3">
        <v>0.111111</v>
      </c>
      <c r="Q51" s="5">
        <v>47.4</v>
      </c>
      <c r="R51" s="3">
        <v>1.1501000000000001E-2</v>
      </c>
      <c r="S51" s="3">
        <v>0.111111</v>
      </c>
      <c r="T51" s="5">
        <v>35.549999999999997</v>
      </c>
      <c r="U51" s="3">
        <v>8.8120000000000004E-3</v>
      </c>
      <c r="V51" s="3">
        <v>8.3333000000000004E-2</v>
      </c>
      <c r="W51" s="2">
        <v>0</v>
      </c>
      <c r="X51" s="4">
        <v>0</v>
      </c>
      <c r="Y51" s="4">
        <v>0</v>
      </c>
      <c r="Z51" t="s">
        <v>1</v>
      </c>
    </row>
    <row r="52" spans="1:26" x14ac:dyDescent="0.3">
      <c r="A52" t="s">
        <v>162</v>
      </c>
      <c r="B52" s="2">
        <v>28</v>
      </c>
      <c r="C52" s="3">
        <v>1.1429999999999999E-3</v>
      </c>
      <c r="D52" s="3">
        <v>0.66666700000000001</v>
      </c>
      <c r="E52" s="2">
        <v>14</v>
      </c>
      <c r="F52" s="3">
        <v>7.8700000000000005E-4</v>
      </c>
      <c r="G52" s="3">
        <v>0.33333299999999999</v>
      </c>
      <c r="H52" s="2">
        <v>0</v>
      </c>
      <c r="I52" s="4">
        <v>0</v>
      </c>
      <c r="J52" s="4">
        <v>0</v>
      </c>
      <c r="K52" s="2">
        <v>0</v>
      </c>
      <c r="L52" s="4">
        <v>0</v>
      </c>
      <c r="M52" s="4">
        <v>0</v>
      </c>
      <c r="N52" s="2">
        <v>0</v>
      </c>
      <c r="O52" s="4">
        <v>0</v>
      </c>
      <c r="P52" s="4">
        <v>0</v>
      </c>
      <c r="Q52" s="2">
        <v>0</v>
      </c>
      <c r="R52" s="4">
        <v>0</v>
      </c>
      <c r="S52" s="4">
        <v>0</v>
      </c>
      <c r="T52" s="2">
        <v>0</v>
      </c>
      <c r="U52" s="4">
        <v>0</v>
      </c>
      <c r="V52" s="4">
        <v>0</v>
      </c>
      <c r="W52" s="2">
        <v>0</v>
      </c>
      <c r="X52" s="4">
        <v>0</v>
      </c>
      <c r="Y52" s="4">
        <v>0</v>
      </c>
      <c r="Z52" t="s">
        <v>1</v>
      </c>
    </row>
    <row r="53" spans="1:26" x14ac:dyDescent="0.3">
      <c r="A53" t="s">
        <v>10</v>
      </c>
      <c r="B53" s="2">
        <v>3120</v>
      </c>
      <c r="C53" s="3">
        <v>0.12732199999999999</v>
      </c>
      <c r="D53" s="3">
        <v>0.34210499999999999</v>
      </c>
      <c r="E53" s="2">
        <v>3600</v>
      </c>
      <c r="F53" s="3">
        <v>0.20227600000000001</v>
      </c>
      <c r="G53" s="3">
        <v>0.394737</v>
      </c>
      <c r="H53" s="2">
        <v>1080</v>
      </c>
      <c r="I53" s="3">
        <v>0.266405</v>
      </c>
      <c r="J53" s="3">
        <v>0.118421</v>
      </c>
      <c r="K53" s="2">
        <v>360</v>
      </c>
      <c r="L53" s="3">
        <v>0.11221</v>
      </c>
      <c r="M53" s="3">
        <v>3.9474000000000002E-2</v>
      </c>
      <c r="N53" s="2">
        <v>300</v>
      </c>
      <c r="O53" s="3">
        <v>9.1971999999999998E-2</v>
      </c>
      <c r="P53" s="3">
        <v>3.2895000000000001E-2</v>
      </c>
      <c r="Q53" s="2">
        <v>300</v>
      </c>
      <c r="R53" s="3">
        <v>7.2789000000000006E-2</v>
      </c>
      <c r="S53" s="3">
        <v>3.2895000000000001E-2</v>
      </c>
      <c r="T53" s="2">
        <v>360</v>
      </c>
      <c r="U53" s="3">
        <v>8.9232000000000006E-2</v>
      </c>
      <c r="V53" s="3">
        <v>3.9474000000000002E-2</v>
      </c>
      <c r="W53" s="2">
        <v>0</v>
      </c>
      <c r="X53" s="4">
        <v>0</v>
      </c>
      <c r="Y53" s="4">
        <v>0</v>
      </c>
      <c r="Z53" t="s">
        <v>1</v>
      </c>
    </row>
    <row r="54" spans="1:26" x14ac:dyDescent="0.3">
      <c r="A54" t="s">
        <v>11</v>
      </c>
      <c r="B54" s="2">
        <v>14</v>
      </c>
      <c r="C54" s="3">
        <v>5.71E-4</v>
      </c>
      <c r="D54" s="3">
        <v>8.6957000000000007E-2</v>
      </c>
      <c r="E54" s="2">
        <v>56</v>
      </c>
      <c r="F54" s="3">
        <v>3.1470000000000001E-3</v>
      </c>
      <c r="G54" s="3">
        <v>0.34782600000000002</v>
      </c>
      <c r="H54" s="2">
        <v>28</v>
      </c>
      <c r="I54" s="3">
        <v>6.9069999999999999E-3</v>
      </c>
      <c r="J54" s="3">
        <v>0.17391300000000001</v>
      </c>
      <c r="K54" s="2">
        <v>7</v>
      </c>
      <c r="L54" s="3">
        <v>2.1819999999999999E-3</v>
      </c>
      <c r="M54" s="3">
        <v>4.3478000000000003E-2</v>
      </c>
      <c r="N54" s="2">
        <v>14</v>
      </c>
      <c r="O54" s="3">
        <v>4.2919999999999998E-3</v>
      </c>
      <c r="P54" s="3">
        <v>8.6957000000000007E-2</v>
      </c>
      <c r="Q54" s="2">
        <v>7</v>
      </c>
      <c r="R54" s="3">
        <v>1.6980000000000001E-3</v>
      </c>
      <c r="S54" s="3">
        <v>4.3478000000000003E-2</v>
      </c>
      <c r="T54" s="2">
        <v>35</v>
      </c>
      <c r="U54" s="3">
        <v>8.6750000000000004E-3</v>
      </c>
      <c r="V54" s="3">
        <v>0.217391</v>
      </c>
      <c r="W54" s="2">
        <v>0</v>
      </c>
      <c r="X54" s="4">
        <v>0</v>
      </c>
      <c r="Y54" s="4">
        <v>0</v>
      </c>
      <c r="Z54" t="s">
        <v>1</v>
      </c>
    </row>
    <row r="55" spans="1:26" x14ac:dyDescent="0.3">
      <c r="A55" t="s">
        <v>12</v>
      </c>
      <c r="B55" s="2">
        <v>28</v>
      </c>
      <c r="C55" s="3">
        <v>1.1429999999999999E-3</v>
      </c>
      <c r="D55" s="3">
        <v>0.28571400000000002</v>
      </c>
      <c r="E55" s="2">
        <v>14</v>
      </c>
      <c r="F55" s="3">
        <v>7.8700000000000005E-4</v>
      </c>
      <c r="G55" s="3">
        <v>0.14285700000000001</v>
      </c>
      <c r="H55" s="2">
        <v>14</v>
      </c>
      <c r="I55" s="3">
        <v>3.4529999999999999E-3</v>
      </c>
      <c r="J55" s="3">
        <v>0.14285700000000001</v>
      </c>
      <c r="K55" s="2">
        <v>0</v>
      </c>
      <c r="L55" s="4">
        <v>0</v>
      </c>
      <c r="M55" s="4">
        <v>0</v>
      </c>
      <c r="N55" s="2">
        <v>14</v>
      </c>
      <c r="O55" s="3">
        <v>4.2919999999999998E-3</v>
      </c>
      <c r="P55" s="3">
        <v>0.14285700000000001</v>
      </c>
      <c r="Q55" s="2">
        <v>28</v>
      </c>
      <c r="R55" s="3">
        <v>6.7939999999999997E-3</v>
      </c>
      <c r="S55" s="3">
        <v>0.28571400000000002</v>
      </c>
      <c r="T55" s="2">
        <v>0</v>
      </c>
      <c r="U55" s="4">
        <v>0</v>
      </c>
      <c r="V55" s="4">
        <v>0</v>
      </c>
      <c r="W55" s="2">
        <v>0</v>
      </c>
      <c r="X55" s="4">
        <v>0</v>
      </c>
      <c r="Y55" s="4">
        <v>0</v>
      </c>
      <c r="Z55" t="s">
        <v>1</v>
      </c>
    </row>
    <row r="56" spans="1:26" x14ac:dyDescent="0.3">
      <c r="A56" t="s">
        <v>67</v>
      </c>
      <c r="B56" s="2">
        <v>0</v>
      </c>
      <c r="C56" s="4">
        <v>0</v>
      </c>
      <c r="D56" s="4">
        <v>0</v>
      </c>
      <c r="E56" s="2">
        <v>0</v>
      </c>
      <c r="F56" s="4">
        <v>0</v>
      </c>
      <c r="G56" s="4">
        <v>0</v>
      </c>
      <c r="H56" s="2">
        <v>0</v>
      </c>
      <c r="I56" s="4">
        <v>0</v>
      </c>
      <c r="J56" s="4">
        <v>0</v>
      </c>
      <c r="K56" s="2">
        <v>0</v>
      </c>
      <c r="L56" s="4">
        <v>0</v>
      </c>
      <c r="M56" s="4">
        <v>0</v>
      </c>
      <c r="N56" s="2">
        <v>0</v>
      </c>
      <c r="O56" s="4">
        <v>0</v>
      </c>
      <c r="P56" s="4">
        <v>0</v>
      </c>
      <c r="Q56" s="2">
        <v>20</v>
      </c>
      <c r="R56" s="3">
        <v>4.8529999999999997E-3</v>
      </c>
      <c r="S56" s="4">
        <v>1</v>
      </c>
      <c r="T56" s="2">
        <v>0</v>
      </c>
      <c r="U56" s="4">
        <v>0</v>
      </c>
      <c r="V56" s="4">
        <v>0</v>
      </c>
      <c r="W56" s="2">
        <v>0</v>
      </c>
      <c r="X56" s="4">
        <v>0</v>
      </c>
      <c r="Y56" s="4">
        <v>0</v>
      </c>
      <c r="Z56" t="s">
        <v>1</v>
      </c>
    </row>
    <row r="57" spans="1:26" x14ac:dyDescent="0.3">
      <c r="A57" t="s">
        <v>13</v>
      </c>
      <c r="B57" s="2">
        <v>0</v>
      </c>
      <c r="C57" s="4">
        <v>0</v>
      </c>
      <c r="D57" s="4">
        <v>0</v>
      </c>
      <c r="E57" s="2">
        <v>0</v>
      </c>
      <c r="F57" s="4">
        <v>0</v>
      </c>
      <c r="G57" s="4">
        <v>0</v>
      </c>
      <c r="H57" s="2">
        <v>0</v>
      </c>
      <c r="I57" s="4">
        <v>0</v>
      </c>
      <c r="J57" s="4">
        <v>0</v>
      </c>
      <c r="K57" s="2">
        <v>0</v>
      </c>
      <c r="L57" s="4">
        <v>0</v>
      </c>
      <c r="M57" s="4">
        <v>0</v>
      </c>
      <c r="N57" s="2">
        <v>0</v>
      </c>
      <c r="O57" s="4">
        <v>0</v>
      </c>
      <c r="P57" s="4">
        <v>0</v>
      </c>
      <c r="Q57" s="2">
        <v>0</v>
      </c>
      <c r="R57" s="4">
        <v>0</v>
      </c>
      <c r="S57" s="4">
        <v>0</v>
      </c>
      <c r="T57" s="5">
        <v>89.55</v>
      </c>
      <c r="U57" s="3">
        <v>2.2196E-2</v>
      </c>
      <c r="V57" s="4">
        <v>1</v>
      </c>
      <c r="W57" s="2">
        <v>0</v>
      </c>
      <c r="X57" s="4">
        <v>0</v>
      </c>
      <c r="Y57" s="4">
        <v>0</v>
      </c>
      <c r="Z57" t="s">
        <v>1</v>
      </c>
    </row>
    <row r="58" spans="1:26" x14ac:dyDescent="0.3">
      <c r="A58" t="s">
        <v>14</v>
      </c>
      <c r="B58" s="2">
        <v>0</v>
      </c>
      <c r="C58" s="4">
        <v>0</v>
      </c>
      <c r="D58" s="4">
        <v>0</v>
      </c>
      <c r="E58" s="2">
        <v>0</v>
      </c>
      <c r="F58" s="4">
        <v>0</v>
      </c>
      <c r="G58" s="4">
        <v>0</v>
      </c>
      <c r="H58" s="2">
        <v>0</v>
      </c>
      <c r="I58" s="4">
        <v>0</v>
      </c>
      <c r="J58" s="4">
        <v>0</v>
      </c>
      <c r="K58" s="2">
        <v>0</v>
      </c>
      <c r="L58" s="4">
        <v>0</v>
      </c>
      <c r="M58" s="4">
        <v>0</v>
      </c>
      <c r="N58" s="2">
        <v>0</v>
      </c>
      <c r="O58" s="4">
        <v>0</v>
      </c>
      <c r="P58" s="4">
        <v>0</v>
      </c>
      <c r="Q58" s="2">
        <v>0</v>
      </c>
      <c r="R58" s="4">
        <v>0</v>
      </c>
      <c r="S58" s="4">
        <v>0</v>
      </c>
      <c r="T58" s="5">
        <v>164.45</v>
      </c>
      <c r="U58" s="3">
        <v>4.0762E-2</v>
      </c>
      <c r="V58" s="4">
        <v>1</v>
      </c>
      <c r="W58" s="2">
        <v>0</v>
      </c>
      <c r="X58" s="4">
        <v>0</v>
      </c>
      <c r="Y58" s="4">
        <v>0</v>
      </c>
      <c r="Z58" t="s">
        <v>1</v>
      </c>
    </row>
    <row r="59" spans="1:26" x14ac:dyDescent="0.3">
      <c r="A59" t="s">
        <v>27</v>
      </c>
      <c r="B59" s="2">
        <v>80</v>
      </c>
      <c r="C59" s="3">
        <v>3.2650000000000001E-3</v>
      </c>
      <c r="D59" s="3">
        <v>0.14285700000000001</v>
      </c>
      <c r="E59" s="2">
        <v>100</v>
      </c>
      <c r="F59" s="3">
        <v>5.6189999999999999E-3</v>
      </c>
      <c r="G59" s="3">
        <v>0.17857100000000001</v>
      </c>
      <c r="H59" s="2">
        <v>120</v>
      </c>
      <c r="I59" s="3">
        <v>2.9600999999999999E-2</v>
      </c>
      <c r="J59" s="3">
        <v>0.214286</v>
      </c>
      <c r="K59" s="2">
        <v>40</v>
      </c>
      <c r="L59" s="3">
        <v>1.2468E-2</v>
      </c>
      <c r="M59" s="3">
        <v>7.1429000000000006E-2</v>
      </c>
      <c r="N59" s="2">
        <v>40</v>
      </c>
      <c r="O59" s="3">
        <v>1.2263E-2</v>
      </c>
      <c r="P59" s="3">
        <v>7.1429000000000006E-2</v>
      </c>
      <c r="Q59" s="2">
        <v>80</v>
      </c>
      <c r="R59" s="3">
        <v>1.9411000000000001E-2</v>
      </c>
      <c r="S59" s="3">
        <v>0.14285700000000001</v>
      </c>
      <c r="T59" s="2">
        <v>100</v>
      </c>
      <c r="U59" s="3">
        <v>2.4787E-2</v>
      </c>
      <c r="V59" s="3">
        <v>0.17857100000000001</v>
      </c>
      <c r="W59" s="2">
        <v>0</v>
      </c>
      <c r="X59" s="4">
        <v>0</v>
      </c>
      <c r="Y59" s="4">
        <v>0</v>
      </c>
      <c r="Z59" t="s">
        <v>1</v>
      </c>
    </row>
    <row r="60" spans="1:26" x14ac:dyDescent="0.3">
      <c r="A60" t="s">
        <v>28</v>
      </c>
      <c r="B60" s="2">
        <v>20</v>
      </c>
      <c r="C60" s="3">
        <v>8.1599999999999999E-4</v>
      </c>
      <c r="D60" s="3">
        <v>3.6364E-2</v>
      </c>
      <c r="E60" s="2">
        <v>130</v>
      </c>
      <c r="F60" s="3">
        <v>7.3039999999999997E-3</v>
      </c>
      <c r="G60" s="3">
        <v>0.23636399999999999</v>
      </c>
      <c r="H60" s="2">
        <v>40</v>
      </c>
      <c r="I60" s="3">
        <v>9.8670000000000008E-3</v>
      </c>
      <c r="J60" s="3">
        <v>7.2727E-2</v>
      </c>
      <c r="K60" s="2">
        <v>70</v>
      </c>
      <c r="L60" s="3">
        <v>2.1819000000000002E-2</v>
      </c>
      <c r="M60" s="3">
        <v>0.127273</v>
      </c>
      <c r="N60" s="2">
        <v>40</v>
      </c>
      <c r="O60" s="3">
        <v>1.2263E-2</v>
      </c>
      <c r="P60" s="3">
        <v>7.2727E-2</v>
      </c>
      <c r="Q60" s="2">
        <v>90</v>
      </c>
      <c r="R60" s="3">
        <v>2.1836999999999999E-2</v>
      </c>
      <c r="S60" s="3">
        <v>0.163636</v>
      </c>
      <c r="T60" s="2">
        <v>160</v>
      </c>
      <c r="U60" s="3">
        <v>3.9659E-2</v>
      </c>
      <c r="V60" s="3">
        <v>0.29090899999999997</v>
      </c>
      <c r="W60" s="2">
        <v>0</v>
      </c>
      <c r="X60" s="4">
        <v>0</v>
      </c>
      <c r="Y60" s="4">
        <v>0</v>
      </c>
      <c r="Z60" t="s">
        <v>1</v>
      </c>
    </row>
    <row r="61" spans="1:26" x14ac:dyDescent="0.3">
      <c r="A61" t="s">
        <v>29</v>
      </c>
      <c r="B61" s="2">
        <v>235</v>
      </c>
      <c r="C61" s="3">
        <v>9.5899999999999996E-3</v>
      </c>
      <c r="D61" s="3">
        <v>9.7509999999999999E-2</v>
      </c>
      <c r="E61" s="2">
        <v>380</v>
      </c>
      <c r="F61" s="3">
        <v>2.1350999999999998E-2</v>
      </c>
      <c r="G61" s="3">
        <v>0.15767600000000001</v>
      </c>
      <c r="H61" s="2">
        <v>390</v>
      </c>
      <c r="I61" s="3">
        <v>9.6201999999999996E-2</v>
      </c>
      <c r="J61" s="3">
        <v>0.161826</v>
      </c>
      <c r="K61" s="2">
        <v>345</v>
      </c>
      <c r="L61" s="3">
        <v>0.107534</v>
      </c>
      <c r="M61" s="3">
        <v>0.143154</v>
      </c>
      <c r="N61" s="2">
        <v>295</v>
      </c>
      <c r="O61" s="3">
        <v>9.0439000000000005E-2</v>
      </c>
      <c r="P61" s="3">
        <v>0.122407</v>
      </c>
      <c r="Q61" s="2">
        <v>425</v>
      </c>
      <c r="R61" s="3">
        <v>0.103118</v>
      </c>
      <c r="S61" s="3">
        <v>0.17634900000000001</v>
      </c>
      <c r="T61" s="2">
        <v>340</v>
      </c>
      <c r="U61" s="3">
        <v>8.4274000000000002E-2</v>
      </c>
      <c r="V61" s="3">
        <v>0.14107900000000001</v>
      </c>
      <c r="W61" s="2">
        <v>0</v>
      </c>
      <c r="X61" s="4">
        <v>0</v>
      </c>
      <c r="Y61" s="4">
        <v>0</v>
      </c>
      <c r="Z61" t="s">
        <v>1</v>
      </c>
    </row>
    <row r="62" spans="1:26" x14ac:dyDescent="0.3">
      <c r="A62" t="s">
        <v>30</v>
      </c>
      <c r="B62" s="2">
        <v>120</v>
      </c>
      <c r="C62" s="3">
        <v>4.8970000000000003E-3</v>
      </c>
      <c r="D62" s="3">
        <v>9.6773999999999999E-2</v>
      </c>
      <c r="E62" s="2">
        <v>220</v>
      </c>
      <c r="F62" s="3">
        <v>1.2361E-2</v>
      </c>
      <c r="G62" s="3">
        <v>0.17741899999999999</v>
      </c>
      <c r="H62" s="2">
        <v>140</v>
      </c>
      <c r="I62" s="3">
        <v>3.4534000000000002E-2</v>
      </c>
      <c r="J62" s="3">
        <v>0.112903</v>
      </c>
      <c r="K62" s="2">
        <v>120</v>
      </c>
      <c r="L62" s="3">
        <v>3.7402999999999999E-2</v>
      </c>
      <c r="M62" s="3">
        <v>9.6773999999999999E-2</v>
      </c>
      <c r="N62" s="2">
        <v>180</v>
      </c>
      <c r="O62" s="3">
        <v>5.5183000000000003E-2</v>
      </c>
      <c r="P62" s="3">
        <v>0.14516100000000001</v>
      </c>
      <c r="Q62" s="2">
        <v>220</v>
      </c>
      <c r="R62" s="3">
        <v>5.3379000000000003E-2</v>
      </c>
      <c r="S62" s="3">
        <v>0.17741899999999999</v>
      </c>
      <c r="T62" s="2">
        <v>240</v>
      </c>
      <c r="U62" s="3">
        <v>5.9487999999999999E-2</v>
      </c>
      <c r="V62" s="3">
        <v>0.193548</v>
      </c>
      <c r="W62" s="2">
        <v>0</v>
      </c>
      <c r="X62" s="4">
        <v>0</v>
      </c>
      <c r="Y62" s="4">
        <v>0</v>
      </c>
      <c r="Z62" t="s">
        <v>1</v>
      </c>
    </row>
    <row r="63" spans="1:26" x14ac:dyDescent="0.3">
      <c r="A63" t="s">
        <v>31</v>
      </c>
      <c r="B63" s="2">
        <v>170</v>
      </c>
      <c r="C63" s="3">
        <v>6.9369999999999996E-3</v>
      </c>
      <c r="D63" s="3">
        <v>8.9473999999999998E-2</v>
      </c>
      <c r="E63" s="2">
        <v>350</v>
      </c>
      <c r="F63" s="3">
        <v>1.9665999999999999E-2</v>
      </c>
      <c r="G63" s="3">
        <v>0.18421100000000001</v>
      </c>
      <c r="H63" s="2">
        <v>290</v>
      </c>
      <c r="I63" s="3">
        <v>7.1535000000000001E-2</v>
      </c>
      <c r="J63" s="3">
        <v>0.15263199999999999</v>
      </c>
      <c r="K63" s="2">
        <v>190</v>
      </c>
      <c r="L63" s="3">
        <v>5.9221999999999997E-2</v>
      </c>
      <c r="M63" s="3">
        <v>0.1</v>
      </c>
      <c r="N63" s="2">
        <v>240</v>
      </c>
      <c r="O63" s="3">
        <v>7.3578000000000005E-2</v>
      </c>
      <c r="P63" s="3">
        <v>0.12631600000000001</v>
      </c>
      <c r="Q63" s="2">
        <v>330</v>
      </c>
      <c r="R63" s="3">
        <v>8.0068E-2</v>
      </c>
      <c r="S63" s="3">
        <v>0.17368400000000001</v>
      </c>
      <c r="T63" s="2">
        <v>330</v>
      </c>
      <c r="U63" s="3">
        <v>8.1795999999999994E-2</v>
      </c>
      <c r="V63" s="3">
        <v>0.17368400000000001</v>
      </c>
      <c r="W63" s="2">
        <v>0</v>
      </c>
      <c r="X63" s="4">
        <v>0</v>
      </c>
      <c r="Y63" s="4">
        <v>0</v>
      </c>
      <c r="Z63" t="s">
        <v>1</v>
      </c>
    </row>
    <row r="64" spans="1:26" x14ac:dyDescent="0.3">
      <c r="A64" t="s">
        <v>32</v>
      </c>
      <c r="B64" s="2">
        <v>605</v>
      </c>
      <c r="C64" s="3">
        <v>2.4688999999999999E-2</v>
      </c>
      <c r="D64" s="3">
        <v>8.7238999999999997E-2</v>
      </c>
      <c r="E64" s="2">
        <v>1050</v>
      </c>
      <c r="F64" s="3">
        <v>5.8997000000000001E-2</v>
      </c>
      <c r="G64" s="3">
        <v>0.15140600000000001</v>
      </c>
      <c r="H64" s="2">
        <v>990</v>
      </c>
      <c r="I64" s="3">
        <v>0.244204</v>
      </c>
      <c r="J64" s="3">
        <v>0.14275399999999999</v>
      </c>
      <c r="K64" s="2">
        <v>910</v>
      </c>
      <c r="L64" s="3">
        <v>0.28364099999999998</v>
      </c>
      <c r="M64" s="3">
        <v>0.131218</v>
      </c>
      <c r="N64" s="2">
        <v>925</v>
      </c>
      <c r="O64" s="3">
        <v>0.28358100000000003</v>
      </c>
      <c r="P64" s="3">
        <v>0.133381</v>
      </c>
      <c r="Q64" s="2">
        <v>1120</v>
      </c>
      <c r="R64" s="3">
        <v>0.27174700000000002</v>
      </c>
      <c r="S64" s="3">
        <v>0.1615</v>
      </c>
      <c r="T64" s="2">
        <v>1335</v>
      </c>
      <c r="U64" s="3">
        <v>0.330901</v>
      </c>
      <c r="V64" s="3">
        <v>0.19250200000000001</v>
      </c>
      <c r="W64" s="2">
        <v>0</v>
      </c>
      <c r="X64" s="4">
        <v>0</v>
      </c>
      <c r="Y64" s="4">
        <v>0</v>
      </c>
      <c r="Z64" t="s">
        <v>1</v>
      </c>
    </row>
    <row r="65" spans="1:26" x14ac:dyDescent="0.3">
      <c r="A65" t="s">
        <v>34</v>
      </c>
      <c r="B65" s="2">
        <v>60</v>
      </c>
      <c r="C65" s="3">
        <v>2.4480000000000001E-3</v>
      </c>
      <c r="D65" s="3">
        <v>0.115385</v>
      </c>
      <c r="E65" s="2">
        <v>120</v>
      </c>
      <c r="F65" s="3">
        <v>6.7429999999999999E-3</v>
      </c>
      <c r="G65" s="3">
        <v>0.230769</v>
      </c>
      <c r="H65" s="2">
        <v>90</v>
      </c>
      <c r="I65" s="3">
        <v>2.2200000000000001E-2</v>
      </c>
      <c r="J65" s="3">
        <v>0.17307700000000001</v>
      </c>
      <c r="K65" s="2">
        <v>60</v>
      </c>
      <c r="L65" s="3">
        <v>1.8702E-2</v>
      </c>
      <c r="M65" s="3">
        <v>0.115385</v>
      </c>
      <c r="N65" s="2">
        <v>80</v>
      </c>
      <c r="O65" s="3">
        <v>2.4525999999999999E-2</v>
      </c>
      <c r="P65" s="3">
        <v>0.15384600000000001</v>
      </c>
      <c r="Q65" s="2">
        <v>40</v>
      </c>
      <c r="R65" s="3">
        <v>9.7050000000000001E-3</v>
      </c>
      <c r="S65" s="3">
        <v>7.6923000000000005E-2</v>
      </c>
      <c r="T65" s="2">
        <v>70</v>
      </c>
      <c r="U65" s="3">
        <v>1.7350999999999998E-2</v>
      </c>
      <c r="V65" s="3">
        <v>0.13461500000000001</v>
      </c>
      <c r="W65" s="2">
        <v>0</v>
      </c>
      <c r="X65" s="4">
        <v>0</v>
      </c>
      <c r="Y65" s="4">
        <v>0</v>
      </c>
      <c r="Z65" t="s">
        <v>1</v>
      </c>
    </row>
    <row r="66" spans="1:26" x14ac:dyDescent="0.3">
      <c r="A66" t="s">
        <v>35</v>
      </c>
      <c r="B66" s="2">
        <v>20</v>
      </c>
      <c r="C66" s="3">
        <v>8.1599999999999999E-4</v>
      </c>
      <c r="D66" s="3">
        <v>0.14285700000000001</v>
      </c>
      <c r="E66" s="2">
        <v>0</v>
      </c>
      <c r="F66" s="4">
        <v>0</v>
      </c>
      <c r="G66" s="4">
        <v>0</v>
      </c>
      <c r="H66" s="2">
        <v>0</v>
      </c>
      <c r="I66" s="4">
        <v>0</v>
      </c>
      <c r="J66" s="4">
        <v>0</v>
      </c>
      <c r="K66" s="2">
        <v>20</v>
      </c>
      <c r="L66" s="3">
        <v>6.234E-3</v>
      </c>
      <c r="M66" s="3">
        <v>0.14285700000000001</v>
      </c>
      <c r="N66" s="2">
        <v>20</v>
      </c>
      <c r="O66" s="3">
        <v>6.1310000000000002E-3</v>
      </c>
      <c r="P66" s="3">
        <v>0.14285700000000001</v>
      </c>
      <c r="Q66" s="2">
        <v>60</v>
      </c>
      <c r="R66" s="3">
        <v>1.4558E-2</v>
      </c>
      <c r="S66" s="3">
        <v>0.42857099999999998</v>
      </c>
      <c r="T66" s="2">
        <v>20</v>
      </c>
      <c r="U66" s="3">
        <v>4.9569999999999996E-3</v>
      </c>
      <c r="V66" s="3">
        <v>0.14285700000000001</v>
      </c>
      <c r="W66" s="2">
        <v>0</v>
      </c>
      <c r="X66" s="4">
        <v>0</v>
      </c>
      <c r="Y66" s="4">
        <v>0</v>
      </c>
      <c r="Z66" t="s">
        <v>1</v>
      </c>
    </row>
    <row r="67" spans="1:26" x14ac:dyDescent="0.3">
      <c r="A67" t="s">
        <v>36</v>
      </c>
      <c r="B67" s="2">
        <v>0</v>
      </c>
      <c r="C67" s="4">
        <v>0</v>
      </c>
      <c r="D67" s="4">
        <v>0</v>
      </c>
      <c r="E67" s="5">
        <v>80.990009999999998</v>
      </c>
      <c r="F67" s="3">
        <v>4.5510000000000004E-3</v>
      </c>
      <c r="G67" s="3">
        <v>0.51100999999999996</v>
      </c>
      <c r="H67" s="5">
        <v>7.66</v>
      </c>
      <c r="I67" s="3">
        <v>1.89E-3</v>
      </c>
      <c r="J67" s="3">
        <v>4.8330999999999999E-2</v>
      </c>
      <c r="K67" s="2">
        <v>0</v>
      </c>
      <c r="L67" s="4">
        <v>0</v>
      </c>
      <c r="M67" s="4">
        <v>0</v>
      </c>
      <c r="N67" s="5">
        <v>19.96</v>
      </c>
      <c r="O67" s="3">
        <v>6.1190000000000003E-3</v>
      </c>
      <c r="P67" s="3">
        <v>0.125939</v>
      </c>
      <c r="Q67" s="2">
        <v>0</v>
      </c>
      <c r="R67" s="4">
        <v>0</v>
      </c>
      <c r="S67" s="4">
        <v>0</v>
      </c>
      <c r="T67" s="2">
        <v>0</v>
      </c>
      <c r="U67" s="4">
        <v>0</v>
      </c>
      <c r="V67" s="4">
        <v>0</v>
      </c>
      <c r="W67" s="5">
        <v>49.88</v>
      </c>
      <c r="X67" s="4">
        <v>1</v>
      </c>
      <c r="Y67" s="3">
        <v>0.31472</v>
      </c>
      <c r="Z67" t="s">
        <v>1</v>
      </c>
    </row>
    <row r="68" spans="1:26" x14ac:dyDescent="0.3">
      <c r="A68" t="s">
        <v>15</v>
      </c>
      <c r="B68" s="5">
        <v>159.38999999999999</v>
      </c>
      <c r="C68" s="3">
        <v>6.5040000000000002E-3</v>
      </c>
      <c r="D68" s="3">
        <v>6.5554000000000001E-2</v>
      </c>
      <c r="E68" s="5">
        <v>279.18</v>
      </c>
      <c r="F68" s="3">
        <v>1.5687E-2</v>
      </c>
      <c r="G68" s="3">
        <v>0.11482100000000001</v>
      </c>
      <c r="H68" s="5">
        <v>209.88</v>
      </c>
      <c r="I68" s="3">
        <v>5.1770999999999998E-2</v>
      </c>
      <c r="J68" s="3">
        <v>8.6319000000000007E-2</v>
      </c>
      <c r="K68" s="5">
        <v>358.38</v>
      </c>
      <c r="L68" s="3">
        <v>0.111705</v>
      </c>
      <c r="M68" s="3">
        <v>0.147394</v>
      </c>
      <c r="N68" s="5">
        <v>346.5</v>
      </c>
      <c r="O68" s="3">
        <v>0.106228</v>
      </c>
      <c r="P68" s="3">
        <v>0.142508</v>
      </c>
      <c r="Q68" s="5">
        <v>578.16</v>
      </c>
      <c r="R68" s="3">
        <v>0.14027999999999999</v>
      </c>
      <c r="S68" s="3">
        <v>0.237785</v>
      </c>
      <c r="T68" s="5">
        <v>499.95</v>
      </c>
      <c r="U68" s="3">
        <v>0.123921</v>
      </c>
      <c r="V68" s="3">
        <v>0.205619</v>
      </c>
      <c r="W68" s="2">
        <v>0</v>
      </c>
      <c r="X68" s="4">
        <v>0</v>
      </c>
      <c r="Y68" s="4">
        <v>0</v>
      </c>
      <c r="Z68" t="s">
        <v>1</v>
      </c>
    </row>
    <row r="69" spans="1:26" x14ac:dyDescent="0.3">
      <c r="A69" t="s">
        <v>16</v>
      </c>
      <c r="B69" s="2">
        <v>2891</v>
      </c>
      <c r="C69" s="3">
        <v>0.117977</v>
      </c>
      <c r="D69" s="3">
        <v>0.75384600000000002</v>
      </c>
      <c r="E69" s="5">
        <v>914.5</v>
      </c>
      <c r="F69" s="3">
        <v>5.1383999999999999E-2</v>
      </c>
      <c r="G69" s="3">
        <v>0.23846200000000001</v>
      </c>
      <c r="H69" s="2">
        <v>0</v>
      </c>
      <c r="I69" s="4">
        <v>0</v>
      </c>
      <c r="J69" s="4">
        <v>0</v>
      </c>
      <c r="K69" s="5">
        <v>29.5</v>
      </c>
      <c r="L69" s="3">
        <v>9.195E-3</v>
      </c>
      <c r="M69" s="3">
        <v>7.6920000000000001E-3</v>
      </c>
      <c r="N69" s="2">
        <v>0</v>
      </c>
      <c r="O69" s="4">
        <v>0</v>
      </c>
      <c r="P69" s="4">
        <v>0</v>
      </c>
      <c r="Q69" s="2">
        <v>0</v>
      </c>
      <c r="R69" s="4">
        <v>0</v>
      </c>
      <c r="S69" s="4">
        <v>0</v>
      </c>
      <c r="T69" s="2">
        <v>0</v>
      </c>
      <c r="U69" s="4">
        <v>0</v>
      </c>
      <c r="V69" s="4">
        <v>0</v>
      </c>
      <c r="W69" s="2">
        <v>0</v>
      </c>
      <c r="X69" s="4">
        <v>0</v>
      </c>
      <c r="Y69" s="4">
        <v>0</v>
      </c>
      <c r="Z69" t="s">
        <v>1</v>
      </c>
    </row>
    <row r="70" spans="1:26" x14ac:dyDescent="0.3">
      <c r="A70" t="s">
        <v>17</v>
      </c>
      <c r="B70" s="2">
        <v>315</v>
      </c>
      <c r="C70" s="3">
        <v>1.2855E-2</v>
      </c>
      <c r="D70" s="3">
        <v>0.214286</v>
      </c>
      <c r="E70" s="2">
        <v>945</v>
      </c>
      <c r="F70" s="3">
        <v>5.3096999999999998E-2</v>
      </c>
      <c r="G70" s="3">
        <v>0.64285700000000001</v>
      </c>
      <c r="H70" s="2">
        <v>0</v>
      </c>
      <c r="I70" s="4">
        <v>0</v>
      </c>
      <c r="J70" s="4">
        <v>0</v>
      </c>
      <c r="K70" s="2">
        <v>0</v>
      </c>
      <c r="L70" s="4">
        <v>0</v>
      </c>
      <c r="M70" s="4">
        <v>0</v>
      </c>
      <c r="N70" s="2">
        <v>0</v>
      </c>
      <c r="O70" s="4">
        <v>0</v>
      </c>
      <c r="P70" s="4">
        <v>0</v>
      </c>
      <c r="Q70" s="2">
        <v>105</v>
      </c>
      <c r="R70" s="3">
        <v>2.5475999999999999E-2</v>
      </c>
      <c r="S70" s="3">
        <v>7.1429000000000006E-2</v>
      </c>
      <c r="T70" s="2">
        <v>105</v>
      </c>
      <c r="U70" s="3">
        <v>2.6026000000000001E-2</v>
      </c>
      <c r="V70" s="3">
        <v>7.1429000000000006E-2</v>
      </c>
      <c r="W70" s="2">
        <v>0</v>
      </c>
      <c r="X70" s="4">
        <v>0</v>
      </c>
      <c r="Y70" s="4">
        <v>0</v>
      </c>
      <c r="Z70" t="s">
        <v>1</v>
      </c>
    </row>
    <row r="71" spans="1:26" x14ac:dyDescent="0.3">
      <c r="A71" t="s">
        <v>18</v>
      </c>
      <c r="B71" s="5">
        <v>2187.5</v>
      </c>
      <c r="C71" s="3">
        <v>8.9268E-2</v>
      </c>
      <c r="D71" s="3">
        <v>0.767544</v>
      </c>
      <c r="E71" s="5">
        <v>487.5</v>
      </c>
      <c r="F71" s="3">
        <v>2.7392E-2</v>
      </c>
      <c r="G71" s="3">
        <v>0.17105300000000001</v>
      </c>
      <c r="H71" s="2">
        <v>175</v>
      </c>
      <c r="I71" s="3">
        <v>4.3166999999999997E-2</v>
      </c>
      <c r="J71" s="3">
        <v>6.1404E-2</v>
      </c>
      <c r="K71" s="2">
        <v>0</v>
      </c>
      <c r="L71" s="4">
        <v>0</v>
      </c>
      <c r="M71" s="4">
        <v>0</v>
      </c>
      <c r="N71" s="2">
        <v>0</v>
      </c>
      <c r="O71" s="4">
        <v>0</v>
      </c>
      <c r="P71" s="4">
        <v>0</v>
      </c>
      <c r="Q71" s="2">
        <v>0</v>
      </c>
      <c r="R71" s="4">
        <v>0</v>
      </c>
      <c r="S71" s="4">
        <v>0</v>
      </c>
      <c r="T71" s="2">
        <v>0</v>
      </c>
      <c r="U71" s="4">
        <v>0</v>
      </c>
      <c r="V71" s="4">
        <v>0</v>
      </c>
      <c r="W71" s="2">
        <v>0</v>
      </c>
      <c r="X71" s="4">
        <v>0</v>
      </c>
      <c r="Y71" s="4">
        <v>0</v>
      </c>
      <c r="Z71" t="s">
        <v>1</v>
      </c>
    </row>
    <row r="72" spans="1:26" x14ac:dyDescent="0.3">
      <c r="A72" t="s">
        <v>19</v>
      </c>
      <c r="B72" s="2">
        <v>2499</v>
      </c>
      <c r="C72" s="3">
        <v>0.10198</v>
      </c>
      <c r="D72" s="3">
        <v>0.77777799999999997</v>
      </c>
      <c r="E72" s="2">
        <v>663</v>
      </c>
      <c r="F72" s="3">
        <v>3.7253000000000001E-2</v>
      </c>
      <c r="G72" s="3">
        <v>0.206349</v>
      </c>
      <c r="H72" s="2">
        <v>0</v>
      </c>
      <c r="I72" s="4">
        <v>0</v>
      </c>
      <c r="J72" s="4">
        <v>0</v>
      </c>
      <c r="K72" s="2">
        <v>51</v>
      </c>
      <c r="L72" s="3">
        <v>1.5896E-2</v>
      </c>
      <c r="M72" s="3">
        <v>1.5873000000000002E-2</v>
      </c>
      <c r="N72" s="2">
        <v>0</v>
      </c>
      <c r="O72" s="4">
        <v>0</v>
      </c>
      <c r="P72" s="4">
        <v>0</v>
      </c>
      <c r="Q72" s="2">
        <v>0</v>
      </c>
      <c r="R72" s="4">
        <v>0</v>
      </c>
      <c r="S72" s="4">
        <v>0</v>
      </c>
      <c r="T72" s="2">
        <v>0</v>
      </c>
      <c r="U72" s="4">
        <v>0</v>
      </c>
      <c r="V72" s="4">
        <v>0</v>
      </c>
      <c r="W72" s="2">
        <v>0</v>
      </c>
      <c r="X72" s="4">
        <v>0</v>
      </c>
      <c r="Y72" s="4">
        <v>0</v>
      </c>
      <c r="Z72" t="s">
        <v>1</v>
      </c>
    </row>
    <row r="73" spans="1:26" x14ac:dyDescent="0.3">
      <c r="A73" t="s">
        <v>20</v>
      </c>
      <c r="B73" s="2">
        <v>0</v>
      </c>
      <c r="C73" s="4">
        <v>0</v>
      </c>
      <c r="D73" s="4">
        <v>0</v>
      </c>
      <c r="E73" s="5">
        <v>0.5</v>
      </c>
      <c r="F73" s="3">
        <v>2.8E-5</v>
      </c>
      <c r="G73" s="4">
        <v>1</v>
      </c>
      <c r="H73" s="2">
        <v>0</v>
      </c>
      <c r="I73" s="4">
        <v>0</v>
      </c>
      <c r="J73" s="4">
        <v>0</v>
      </c>
      <c r="K73" s="2">
        <v>0</v>
      </c>
      <c r="L73" s="4">
        <v>0</v>
      </c>
      <c r="M73" s="4">
        <v>0</v>
      </c>
      <c r="N73" s="2">
        <v>0</v>
      </c>
      <c r="O73" s="4">
        <v>0</v>
      </c>
      <c r="P73" s="4">
        <v>0</v>
      </c>
      <c r="Q73" s="2">
        <v>0</v>
      </c>
      <c r="R73" s="4">
        <v>0</v>
      </c>
      <c r="S73" s="4">
        <v>0</v>
      </c>
      <c r="T73" s="2">
        <v>0</v>
      </c>
      <c r="U73" s="4">
        <v>0</v>
      </c>
      <c r="V73" s="4">
        <v>0</v>
      </c>
      <c r="W73" s="2">
        <v>0</v>
      </c>
      <c r="X73" s="4">
        <v>0</v>
      </c>
      <c r="Y73" s="4">
        <v>0</v>
      </c>
      <c r="Z73" t="s">
        <v>1</v>
      </c>
    </row>
    <row r="74" spans="1:26" x14ac:dyDescent="0.3">
      <c r="A74" t="s">
        <v>21</v>
      </c>
      <c r="B74" s="5">
        <v>3758.89</v>
      </c>
      <c r="C74" s="3">
        <v>0.153394</v>
      </c>
      <c r="D74" s="3">
        <v>0.61088799999999999</v>
      </c>
      <c r="E74" s="5">
        <v>2394.27</v>
      </c>
      <c r="F74" s="3">
        <v>0.13452900000000001</v>
      </c>
      <c r="G74" s="3">
        <v>0.38911200000000001</v>
      </c>
      <c r="H74" s="2">
        <v>0</v>
      </c>
      <c r="I74" s="4">
        <v>0</v>
      </c>
      <c r="J74" s="4">
        <v>0</v>
      </c>
      <c r="K74" s="2">
        <v>0</v>
      </c>
      <c r="L74" s="4">
        <v>0</v>
      </c>
      <c r="M74" s="4">
        <v>0</v>
      </c>
      <c r="N74" s="2">
        <v>0</v>
      </c>
      <c r="O74" s="4">
        <v>0</v>
      </c>
      <c r="P74" s="4">
        <v>0</v>
      </c>
      <c r="Q74" s="2">
        <v>0</v>
      </c>
      <c r="R74" s="4">
        <v>0</v>
      </c>
      <c r="S74" s="4">
        <v>0</v>
      </c>
      <c r="T74" s="2">
        <v>0</v>
      </c>
      <c r="U74" s="4">
        <v>0</v>
      </c>
      <c r="V74" s="4">
        <v>0</v>
      </c>
      <c r="W74" s="2">
        <v>0</v>
      </c>
      <c r="X74" s="4">
        <v>0</v>
      </c>
      <c r="Y74" s="4">
        <v>0</v>
      </c>
      <c r="Z74" t="s">
        <v>1</v>
      </c>
    </row>
    <row r="75" spans="1:26" x14ac:dyDescent="0.3">
      <c r="A75" t="s">
        <v>22</v>
      </c>
      <c r="B75" s="5">
        <v>719.58</v>
      </c>
      <c r="C75" s="3">
        <v>2.9364999999999999E-2</v>
      </c>
      <c r="D75" s="3">
        <v>0.62885000000000002</v>
      </c>
      <c r="E75" s="5">
        <v>424.7</v>
      </c>
      <c r="F75" s="3">
        <v>2.3862999999999999E-2</v>
      </c>
      <c r="G75" s="3">
        <v>0.37114999999999998</v>
      </c>
      <c r="H75" s="2">
        <v>0</v>
      </c>
      <c r="I75" s="4">
        <v>0</v>
      </c>
      <c r="J75" s="4">
        <v>0</v>
      </c>
      <c r="K75" s="2">
        <v>0</v>
      </c>
      <c r="L75" s="4">
        <v>0</v>
      </c>
      <c r="M75" s="4">
        <v>0</v>
      </c>
      <c r="N75" s="2">
        <v>0</v>
      </c>
      <c r="O75" s="4">
        <v>0</v>
      </c>
      <c r="P75" s="4">
        <v>0</v>
      </c>
      <c r="Q75" s="2">
        <v>0</v>
      </c>
      <c r="R75" s="4">
        <v>0</v>
      </c>
      <c r="S75" s="4">
        <v>0</v>
      </c>
      <c r="T75" s="2">
        <v>0</v>
      </c>
      <c r="U75" s="4">
        <v>0</v>
      </c>
      <c r="V75" s="4">
        <v>0</v>
      </c>
      <c r="W75" s="2">
        <v>0</v>
      </c>
      <c r="X75" s="4">
        <v>0</v>
      </c>
      <c r="Y75" s="4">
        <v>0</v>
      </c>
      <c r="Z75" t="s">
        <v>1</v>
      </c>
    </row>
    <row r="76" spans="1:26" x14ac:dyDescent="0.3">
      <c r="A76" t="s">
        <v>23</v>
      </c>
      <c r="B76" s="5">
        <v>3042.97</v>
      </c>
      <c r="C76" s="3">
        <v>0.124178</v>
      </c>
      <c r="D76" s="3">
        <v>0.55616399999999999</v>
      </c>
      <c r="E76" s="5">
        <v>2338.44</v>
      </c>
      <c r="F76" s="3">
        <v>0.13139200000000001</v>
      </c>
      <c r="G76" s="3">
        <v>0.42739700000000003</v>
      </c>
      <c r="H76" s="5">
        <v>89.94</v>
      </c>
      <c r="I76" s="3">
        <v>2.2186000000000001E-2</v>
      </c>
      <c r="J76" s="3">
        <v>1.6438000000000001E-2</v>
      </c>
      <c r="K76" s="2">
        <v>0</v>
      </c>
      <c r="L76" s="4">
        <v>0</v>
      </c>
      <c r="M76" s="4">
        <v>0</v>
      </c>
      <c r="N76" s="2">
        <v>0</v>
      </c>
      <c r="O76" s="4">
        <v>0</v>
      </c>
      <c r="P76" s="4">
        <v>0</v>
      </c>
      <c r="Q76" s="2">
        <v>0</v>
      </c>
      <c r="R76" s="4">
        <v>0</v>
      </c>
      <c r="S76" s="4">
        <v>0</v>
      </c>
      <c r="T76" s="2">
        <v>0</v>
      </c>
      <c r="U76" s="4">
        <v>0</v>
      </c>
      <c r="V76" s="4">
        <v>0</v>
      </c>
      <c r="W76" s="2">
        <v>0</v>
      </c>
      <c r="X76" s="4">
        <v>0</v>
      </c>
      <c r="Y76" s="4">
        <v>0</v>
      </c>
      <c r="Z76" t="s">
        <v>1</v>
      </c>
    </row>
    <row r="77" spans="1:26" x14ac:dyDescent="0.3">
      <c r="A77" t="s">
        <v>24</v>
      </c>
      <c r="B77" s="5">
        <v>2604.09</v>
      </c>
      <c r="C77" s="3">
        <v>0.106268</v>
      </c>
      <c r="D77" s="3">
        <v>0.55122000000000004</v>
      </c>
      <c r="E77" s="5">
        <v>1909.28</v>
      </c>
      <c r="F77" s="3">
        <v>0.107278</v>
      </c>
      <c r="G77" s="3">
        <v>0.40414600000000001</v>
      </c>
      <c r="H77" s="2">
        <v>0</v>
      </c>
      <c r="I77" s="4">
        <v>0</v>
      </c>
      <c r="J77" s="4">
        <v>0</v>
      </c>
      <c r="K77" s="2">
        <v>0</v>
      </c>
      <c r="L77" s="4">
        <v>0</v>
      </c>
      <c r="M77" s="4">
        <v>0</v>
      </c>
      <c r="N77" s="2">
        <v>0</v>
      </c>
      <c r="O77" s="4">
        <v>0</v>
      </c>
      <c r="P77" s="4">
        <v>0</v>
      </c>
      <c r="Q77" s="5">
        <v>135.91999999999999</v>
      </c>
      <c r="R77" s="3">
        <v>3.2978E-2</v>
      </c>
      <c r="S77" s="3">
        <v>2.8771000000000001E-2</v>
      </c>
      <c r="T77" s="5">
        <v>74.94</v>
      </c>
      <c r="U77" s="3">
        <v>1.8575000000000001E-2</v>
      </c>
      <c r="V77" s="3">
        <v>1.5862999999999999E-2</v>
      </c>
      <c r="W77" s="2">
        <v>0</v>
      </c>
      <c r="X77" s="4">
        <v>0</v>
      </c>
      <c r="Y77" s="4">
        <v>0</v>
      </c>
      <c r="Z77" t="s">
        <v>1</v>
      </c>
    </row>
    <row r="78" spans="1:26" x14ac:dyDescent="0.3">
      <c r="A78" t="s">
        <v>25</v>
      </c>
      <c r="B78" s="5">
        <v>594.50990000000002</v>
      </c>
      <c r="C78" s="3">
        <v>2.4261000000000001E-2</v>
      </c>
      <c r="D78" s="3">
        <v>0.68396599999999996</v>
      </c>
      <c r="E78" s="5">
        <v>274.7</v>
      </c>
      <c r="F78" s="3">
        <v>1.5435000000000001E-2</v>
      </c>
      <c r="G78" s="3">
        <v>0.31603399999999998</v>
      </c>
      <c r="H78" s="2">
        <v>0</v>
      </c>
      <c r="I78" s="4">
        <v>0</v>
      </c>
      <c r="J78" s="4">
        <v>0</v>
      </c>
      <c r="K78" s="2">
        <v>0</v>
      </c>
      <c r="L78" s="4">
        <v>0</v>
      </c>
      <c r="M78" s="4">
        <v>0</v>
      </c>
      <c r="N78" s="2">
        <v>0</v>
      </c>
      <c r="O78" s="4">
        <v>0</v>
      </c>
      <c r="P78" s="4">
        <v>0</v>
      </c>
      <c r="Q78" s="2">
        <v>0</v>
      </c>
      <c r="R78" s="4">
        <v>0</v>
      </c>
      <c r="S78" s="4">
        <v>0</v>
      </c>
      <c r="T78" s="2">
        <v>0</v>
      </c>
      <c r="U78" s="4">
        <v>0</v>
      </c>
      <c r="V78" s="4">
        <v>0</v>
      </c>
      <c r="W78" s="2">
        <v>0</v>
      </c>
      <c r="X78" s="4">
        <v>0</v>
      </c>
      <c r="Y78" s="4">
        <v>0</v>
      </c>
      <c r="Z78" t="s">
        <v>1</v>
      </c>
    </row>
    <row r="81" spans="1:5" x14ac:dyDescent="0.3">
      <c r="A81" t="s">
        <v>38</v>
      </c>
    </row>
    <row r="82" spans="1:5" x14ac:dyDescent="0.3">
      <c r="A82" t="s">
        <v>2</v>
      </c>
      <c r="B82" t="s">
        <v>39</v>
      </c>
      <c r="C82" t="s">
        <v>40</v>
      </c>
      <c r="D82" t="s">
        <v>41</v>
      </c>
      <c r="E82" t="s">
        <v>42</v>
      </c>
    </row>
    <row r="83" spans="1:5" x14ac:dyDescent="0.3">
      <c r="A83" t="s">
        <v>7</v>
      </c>
      <c r="B83">
        <v>23</v>
      </c>
      <c r="C83">
        <v>22</v>
      </c>
      <c r="D83" s="2">
        <v>1710</v>
      </c>
      <c r="E83" s="3">
        <v>3.6680999999999998E-2</v>
      </c>
    </row>
    <row r="84" spans="1:5" x14ac:dyDescent="0.3">
      <c r="A84" t="s">
        <v>8</v>
      </c>
      <c r="B84">
        <v>21</v>
      </c>
      <c r="C84">
        <v>21</v>
      </c>
      <c r="D84" s="2">
        <v>2625</v>
      </c>
      <c r="E84" s="3">
        <v>5.6307999999999997E-2</v>
      </c>
    </row>
    <row r="85" spans="1:5" x14ac:dyDescent="0.3">
      <c r="A85" t="s">
        <v>9</v>
      </c>
      <c r="B85">
        <v>108</v>
      </c>
      <c r="C85">
        <v>108</v>
      </c>
      <c r="D85" s="5">
        <v>426.6</v>
      </c>
      <c r="E85" s="3">
        <v>9.1509999999999994E-3</v>
      </c>
    </row>
    <row r="86" spans="1:5" x14ac:dyDescent="0.3">
      <c r="A86" t="s">
        <v>162</v>
      </c>
      <c r="B86">
        <v>3</v>
      </c>
      <c r="C86">
        <v>3</v>
      </c>
      <c r="D86" s="2">
        <v>42</v>
      </c>
      <c r="E86" s="3">
        <v>9.01E-4</v>
      </c>
    </row>
    <row r="87" spans="1:5" x14ac:dyDescent="0.3">
      <c r="A87" t="s">
        <v>10</v>
      </c>
      <c r="B87">
        <v>152</v>
      </c>
      <c r="C87">
        <v>152</v>
      </c>
      <c r="D87" s="2">
        <v>9120</v>
      </c>
      <c r="E87" s="3">
        <v>0.195629</v>
      </c>
    </row>
    <row r="88" spans="1:5" x14ac:dyDescent="0.3">
      <c r="A88" t="s">
        <v>11</v>
      </c>
      <c r="B88">
        <v>23</v>
      </c>
      <c r="C88">
        <v>22</v>
      </c>
      <c r="D88" s="2">
        <v>161</v>
      </c>
      <c r="E88" s="3">
        <v>3.454E-3</v>
      </c>
    </row>
    <row r="89" spans="1:5" x14ac:dyDescent="0.3">
      <c r="A89" t="s">
        <v>12</v>
      </c>
      <c r="B89">
        <v>7</v>
      </c>
      <c r="C89">
        <v>6</v>
      </c>
      <c r="D89" s="2">
        <v>98</v>
      </c>
      <c r="E89" s="3">
        <v>2.1020000000000001E-3</v>
      </c>
    </row>
    <row r="90" spans="1:5" x14ac:dyDescent="0.3">
      <c r="A90" t="s">
        <v>67</v>
      </c>
      <c r="B90">
        <v>1</v>
      </c>
      <c r="C90">
        <v>1</v>
      </c>
      <c r="D90" s="2">
        <v>20</v>
      </c>
      <c r="E90" s="3">
        <v>4.2900000000000002E-4</v>
      </c>
    </row>
    <row r="91" spans="1:5" x14ac:dyDescent="0.3">
      <c r="A91" t="s">
        <v>13</v>
      </c>
      <c r="B91">
        <v>9</v>
      </c>
      <c r="C91">
        <v>9</v>
      </c>
      <c r="D91" s="5">
        <v>89.55</v>
      </c>
      <c r="E91" s="3">
        <v>1.921E-3</v>
      </c>
    </row>
    <row r="92" spans="1:5" x14ac:dyDescent="0.3">
      <c r="A92" t="s">
        <v>14</v>
      </c>
      <c r="B92">
        <v>11</v>
      </c>
      <c r="C92">
        <v>10</v>
      </c>
      <c r="D92" s="5">
        <v>164.45</v>
      </c>
      <c r="E92" s="3">
        <v>3.5279999999999999E-3</v>
      </c>
    </row>
    <row r="93" spans="1:5" x14ac:dyDescent="0.3">
      <c r="A93" t="s">
        <v>15</v>
      </c>
      <c r="B93">
        <v>2456</v>
      </c>
      <c r="C93">
        <v>71</v>
      </c>
      <c r="D93" s="5">
        <v>2431.44</v>
      </c>
      <c r="E93" s="3">
        <v>5.2156000000000001E-2</v>
      </c>
    </row>
    <row r="94" spans="1:5" x14ac:dyDescent="0.3">
      <c r="A94" t="s">
        <v>16</v>
      </c>
      <c r="B94">
        <v>19</v>
      </c>
      <c r="C94">
        <v>19</v>
      </c>
      <c r="D94" s="2">
        <v>3835</v>
      </c>
      <c r="E94" s="3">
        <v>8.2263000000000003E-2</v>
      </c>
    </row>
    <row r="95" spans="1:5" x14ac:dyDescent="0.3">
      <c r="A95" t="s">
        <v>17</v>
      </c>
      <c r="B95">
        <v>14</v>
      </c>
      <c r="C95">
        <v>14</v>
      </c>
      <c r="D95" s="2">
        <v>1470</v>
      </c>
      <c r="E95" s="3">
        <v>3.1531999999999998E-2</v>
      </c>
    </row>
    <row r="96" spans="1:5" x14ac:dyDescent="0.3">
      <c r="A96" t="s">
        <v>18</v>
      </c>
      <c r="B96">
        <v>33</v>
      </c>
      <c r="C96">
        <v>33</v>
      </c>
      <c r="D96" s="2">
        <v>2850</v>
      </c>
      <c r="E96" s="3">
        <v>6.1134000000000001E-2</v>
      </c>
    </row>
    <row r="97" spans="1:5" x14ac:dyDescent="0.3">
      <c r="A97" t="s">
        <v>19</v>
      </c>
      <c r="B97">
        <v>18</v>
      </c>
      <c r="C97">
        <v>18</v>
      </c>
      <c r="D97" s="2">
        <v>3213</v>
      </c>
      <c r="E97" s="3">
        <v>6.8920999999999996E-2</v>
      </c>
    </row>
    <row r="98" spans="1:5" x14ac:dyDescent="0.3">
      <c r="A98" t="s">
        <v>20</v>
      </c>
      <c r="B98">
        <v>1</v>
      </c>
      <c r="C98">
        <v>1</v>
      </c>
      <c r="D98" s="5">
        <v>0.5</v>
      </c>
      <c r="E98" s="3">
        <v>1.1E-5</v>
      </c>
    </row>
    <row r="99" spans="1:5" x14ac:dyDescent="0.3">
      <c r="A99" t="s">
        <v>21</v>
      </c>
      <c r="B99">
        <v>28</v>
      </c>
      <c r="C99">
        <v>28</v>
      </c>
      <c r="D99" s="5">
        <v>6153.16</v>
      </c>
      <c r="E99" s="3">
        <v>0.131989</v>
      </c>
    </row>
    <row r="100" spans="1:5" x14ac:dyDescent="0.3">
      <c r="A100" t="s">
        <v>22</v>
      </c>
      <c r="B100">
        <v>12</v>
      </c>
      <c r="C100">
        <v>12</v>
      </c>
      <c r="D100" s="5">
        <v>1144.28</v>
      </c>
      <c r="E100" s="3">
        <v>2.4545000000000001E-2</v>
      </c>
    </row>
    <row r="101" spans="1:5" x14ac:dyDescent="0.3">
      <c r="A101" t="s">
        <v>23</v>
      </c>
      <c r="B101">
        <v>56</v>
      </c>
      <c r="C101">
        <v>56</v>
      </c>
      <c r="D101" s="5">
        <v>5471.35</v>
      </c>
      <c r="E101" s="3">
        <v>0.117364</v>
      </c>
    </row>
    <row r="102" spans="1:5" x14ac:dyDescent="0.3">
      <c r="A102" t="s">
        <v>24</v>
      </c>
      <c r="B102">
        <v>28</v>
      </c>
      <c r="C102">
        <v>28</v>
      </c>
      <c r="D102" s="5">
        <v>4724.2299999999996</v>
      </c>
      <c r="E102" s="3">
        <v>0.101338</v>
      </c>
    </row>
    <row r="103" spans="1:5" x14ac:dyDescent="0.3">
      <c r="A103" t="s">
        <v>25</v>
      </c>
      <c r="B103">
        <v>12</v>
      </c>
      <c r="C103">
        <v>12</v>
      </c>
      <c r="D103" s="5">
        <v>869.21</v>
      </c>
      <c r="E103" s="3">
        <v>1.8644999999999998E-2</v>
      </c>
    </row>
    <row r="106" spans="1:5" x14ac:dyDescent="0.3">
      <c r="A106" t="s">
        <v>43</v>
      </c>
    </row>
    <row r="107" spans="1:5" x14ac:dyDescent="0.3">
      <c r="A107" t="s">
        <v>2</v>
      </c>
      <c r="B107" t="s">
        <v>39</v>
      </c>
      <c r="C107" t="s">
        <v>40</v>
      </c>
      <c r="D107" t="s">
        <v>41</v>
      </c>
      <c r="E107" t="s">
        <v>42</v>
      </c>
    </row>
    <row r="108" spans="1:5" x14ac:dyDescent="0.3">
      <c r="A108" t="s">
        <v>27</v>
      </c>
      <c r="B108">
        <v>28</v>
      </c>
      <c r="C108">
        <v>20</v>
      </c>
      <c r="D108" s="2">
        <v>560</v>
      </c>
      <c r="E108" s="3">
        <v>4.1191999999999999E-2</v>
      </c>
    </row>
    <row r="109" spans="1:5" x14ac:dyDescent="0.3">
      <c r="A109" t="s">
        <v>28</v>
      </c>
      <c r="B109">
        <v>55</v>
      </c>
      <c r="C109">
        <v>32</v>
      </c>
      <c r="D109" s="2">
        <v>550</v>
      </c>
      <c r="E109" s="3">
        <v>4.0455999999999999E-2</v>
      </c>
    </row>
    <row r="110" spans="1:5" x14ac:dyDescent="0.3">
      <c r="A110" t="s">
        <v>29</v>
      </c>
      <c r="B110">
        <v>482</v>
      </c>
      <c r="C110">
        <v>181</v>
      </c>
      <c r="D110" s="2">
        <v>2410</v>
      </c>
      <c r="E110" s="3">
        <v>0.17727100000000001</v>
      </c>
    </row>
    <row r="111" spans="1:5" x14ac:dyDescent="0.3">
      <c r="A111" t="s">
        <v>30</v>
      </c>
      <c r="B111">
        <v>62</v>
      </c>
      <c r="C111">
        <v>44</v>
      </c>
      <c r="D111" s="2">
        <v>1240</v>
      </c>
      <c r="E111" s="3">
        <v>9.1209999999999999E-2</v>
      </c>
    </row>
    <row r="112" spans="1:5" x14ac:dyDescent="0.3">
      <c r="A112" t="s">
        <v>31</v>
      </c>
      <c r="B112">
        <v>190</v>
      </c>
      <c r="C112">
        <v>123</v>
      </c>
      <c r="D112" s="2">
        <v>1900</v>
      </c>
      <c r="E112" s="3">
        <v>0.13975699999999999</v>
      </c>
    </row>
    <row r="113" spans="1:5" x14ac:dyDescent="0.3">
      <c r="A113" t="s">
        <v>32</v>
      </c>
      <c r="B113">
        <v>1387</v>
      </c>
      <c r="C113">
        <v>456</v>
      </c>
      <c r="D113" s="2">
        <v>6935</v>
      </c>
      <c r="E113" s="3">
        <v>0.51011399999999996</v>
      </c>
    </row>
    <row r="116" spans="1:5" x14ac:dyDescent="0.3">
      <c r="A116" t="s">
        <v>44</v>
      </c>
    </row>
    <row r="117" spans="1:5" x14ac:dyDescent="0.3">
      <c r="A117" t="s">
        <v>2</v>
      </c>
      <c r="B117" t="s">
        <v>39</v>
      </c>
      <c r="C117" t="s">
        <v>40</v>
      </c>
      <c r="D117" t="s">
        <v>41</v>
      </c>
      <c r="E117" t="s">
        <v>42</v>
      </c>
    </row>
    <row r="118" spans="1:5" x14ac:dyDescent="0.3">
      <c r="A118" t="s">
        <v>34</v>
      </c>
      <c r="B118">
        <v>52</v>
      </c>
      <c r="C118">
        <v>45</v>
      </c>
      <c r="D118" s="2">
        <v>520</v>
      </c>
      <c r="E118" s="3">
        <v>0.63531599999999999</v>
      </c>
    </row>
    <row r="119" spans="1:5" x14ac:dyDescent="0.3">
      <c r="A119" t="s">
        <v>35</v>
      </c>
      <c r="B119">
        <v>7</v>
      </c>
      <c r="C119">
        <v>6</v>
      </c>
      <c r="D119" s="2">
        <v>140</v>
      </c>
      <c r="E119" s="3">
        <v>0.171047</v>
      </c>
    </row>
    <row r="120" spans="1:5" x14ac:dyDescent="0.3">
      <c r="A120" t="s">
        <v>36</v>
      </c>
      <c r="B120">
        <v>13</v>
      </c>
      <c r="C120">
        <v>11</v>
      </c>
      <c r="D120" s="5">
        <v>158.49</v>
      </c>
      <c r="E120" s="3">
        <v>0.193637</v>
      </c>
    </row>
    <row r="123" spans="1:5" x14ac:dyDescent="0.3">
      <c r="A123" t="s">
        <v>45</v>
      </c>
    </row>
    <row r="124" spans="1:5" x14ac:dyDescent="0.3">
      <c r="A124" t="s">
        <v>2</v>
      </c>
      <c r="B124" t="s">
        <v>39</v>
      </c>
      <c r="C124" t="s">
        <v>40</v>
      </c>
      <c r="D124" t="s">
        <v>41</v>
      </c>
      <c r="E124" t="s">
        <v>42</v>
      </c>
    </row>
    <row r="125" spans="1:5" x14ac:dyDescent="0.3">
      <c r="A125" t="s">
        <v>7</v>
      </c>
      <c r="B125">
        <v>23</v>
      </c>
      <c r="C125">
        <v>22</v>
      </c>
      <c r="D125" s="2">
        <v>1710</v>
      </c>
      <c r="E125" s="3">
        <v>2.8018000000000001E-2</v>
      </c>
    </row>
    <row r="126" spans="1:5" x14ac:dyDescent="0.3">
      <c r="A126" t="s">
        <v>8</v>
      </c>
      <c r="B126">
        <v>21</v>
      </c>
      <c r="C126">
        <v>21</v>
      </c>
      <c r="D126" s="2">
        <v>2625</v>
      </c>
      <c r="E126" s="3">
        <v>4.301E-2</v>
      </c>
    </row>
    <row r="127" spans="1:5" x14ac:dyDescent="0.3">
      <c r="A127" t="s">
        <v>9</v>
      </c>
      <c r="B127">
        <v>108</v>
      </c>
      <c r="C127">
        <v>108</v>
      </c>
      <c r="D127" s="5">
        <v>426.6</v>
      </c>
      <c r="E127" s="3">
        <v>6.9899999999999997E-3</v>
      </c>
    </row>
    <row r="128" spans="1:5" x14ac:dyDescent="0.3">
      <c r="A128" t="s">
        <v>162</v>
      </c>
      <c r="B128">
        <v>3</v>
      </c>
      <c r="C128">
        <v>3</v>
      </c>
      <c r="D128" s="2">
        <v>42</v>
      </c>
      <c r="E128" s="3">
        <v>6.8800000000000003E-4</v>
      </c>
    </row>
    <row r="129" spans="1:5" x14ac:dyDescent="0.3">
      <c r="A129" t="s">
        <v>10</v>
      </c>
      <c r="B129">
        <v>152</v>
      </c>
      <c r="C129">
        <v>152</v>
      </c>
      <c r="D129" s="2">
        <v>9120</v>
      </c>
      <c r="E129" s="3">
        <v>0.14942900000000001</v>
      </c>
    </row>
    <row r="130" spans="1:5" x14ac:dyDescent="0.3">
      <c r="A130" t="s">
        <v>11</v>
      </c>
      <c r="B130">
        <v>23</v>
      </c>
      <c r="C130">
        <v>22</v>
      </c>
      <c r="D130" s="2">
        <v>161</v>
      </c>
      <c r="E130" s="3">
        <v>2.6380000000000002E-3</v>
      </c>
    </row>
    <row r="131" spans="1:5" x14ac:dyDescent="0.3">
      <c r="A131" t="s">
        <v>12</v>
      </c>
      <c r="B131">
        <v>7</v>
      </c>
      <c r="C131">
        <v>6</v>
      </c>
      <c r="D131" s="2">
        <v>98</v>
      </c>
      <c r="E131" s="3">
        <v>1.606E-3</v>
      </c>
    </row>
    <row r="132" spans="1:5" x14ac:dyDescent="0.3">
      <c r="A132" t="s">
        <v>67</v>
      </c>
      <c r="B132">
        <v>1</v>
      </c>
      <c r="C132">
        <v>1</v>
      </c>
      <c r="D132" s="2">
        <v>20</v>
      </c>
      <c r="E132" s="3">
        <v>3.28E-4</v>
      </c>
    </row>
    <row r="133" spans="1:5" x14ac:dyDescent="0.3">
      <c r="A133" t="s">
        <v>13</v>
      </c>
      <c r="B133">
        <v>9</v>
      </c>
      <c r="C133">
        <v>9</v>
      </c>
      <c r="D133" s="5">
        <v>89.55</v>
      </c>
      <c r="E133" s="3">
        <v>1.467E-3</v>
      </c>
    </row>
    <row r="134" spans="1:5" x14ac:dyDescent="0.3">
      <c r="A134" t="s">
        <v>14</v>
      </c>
      <c r="B134">
        <v>11</v>
      </c>
      <c r="C134">
        <v>10</v>
      </c>
      <c r="D134" s="5">
        <v>164.45</v>
      </c>
      <c r="E134" s="3">
        <v>2.6940000000000002E-3</v>
      </c>
    </row>
    <row r="135" spans="1:5" x14ac:dyDescent="0.3">
      <c r="A135" t="s">
        <v>27</v>
      </c>
      <c r="B135">
        <v>28</v>
      </c>
      <c r="C135">
        <v>20</v>
      </c>
      <c r="D135" s="2">
        <v>560</v>
      </c>
      <c r="E135" s="3">
        <v>9.1750000000000009E-3</v>
      </c>
    </row>
    <row r="136" spans="1:5" x14ac:dyDescent="0.3">
      <c r="A136" t="s">
        <v>28</v>
      </c>
      <c r="B136">
        <v>55</v>
      </c>
      <c r="C136">
        <v>32</v>
      </c>
      <c r="D136" s="2">
        <v>550</v>
      </c>
      <c r="E136" s="3">
        <v>9.0119999999999992E-3</v>
      </c>
    </row>
    <row r="137" spans="1:5" x14ac:dyDescent="0.3">
      <c r="A137" t="s">
        <v>29</v>
      </c>
      <c r="B137">
        <v>482</v>
      </c>
      <c r="C137">
        <v>181</v>
      </c>
      <c r="D137" s="2">
        <v>2410</v>
      </c>
      <c r="E137" s="3">
        <v>3.9487000000000001E-2</v>
      </c>
    </row>
    <row r="138" spans="1:5" x14ac:dyDescent="0.3">
      <c r="A138" t="s">
        <v>30</v>
      </c>
      <c r="B138">
        <v>62</v>
      </c>
      <c r="C138">
        <v>44</v>
      </c>
      <c r="D138" s="2">
        <v>1240</v>
      </c>
      <c r="E138" s="3">
        <v>2.0317000000000002E-2</v>
      </c>
    </row>
    <row r="139" spans="1:5" x14ac:dyDescent="0.3">
      <c r="A139" t="s">
        <v>31</v>
      </c>
      <c r="B139">
        <v>190</v>
      </c>
      <c r="C139">
        <v>123</v>
      </c>
      <c r="D139" s="2">
        <v>1900</v>
      </c>
      <c r="E139" s="3">
        <v>3.1130999999999999E-2</v>
      </c>
    </row>
    <row r="140" spans="1:5" x14ac:dyDescent="0.3">
      <c r="A140" t="s">
        <v>32</v>
      </c>
      <c r="B140">
        <v>1387</v>
      </c>
      <c r="C140">
        <v>456</v>
      </c>
      <c r="D140" s="2">
        <v>6935</v>
      </c>
      <c r="E140" s="3">
        <v>0.11362800000000001</v>
      </c>
    </row>
    <row r="141" spans="1:5" x14ac:dyDescent="0.3">
      <c r="A141" t="s">
        <v>34</v>
      </c>
      <c r="B141">
        <v>52</v>
      </c>
      <c r="C141">
        <v>45</v>
      </c>
      <c r="D141" s="2">
        <v>520</v>
      </c>
      <c r="E141" s="3">
        <v>8.5199999999999998E-3</v>
      </c>
    </row>
    <row r="142" spans="1:5" x14ac:dyDescent="0.3">
      <c r="A142" t="s">
        <v>35</v>
      </c>
      <c r="B142">
        <v>7</v>
      </c>
      <c r="C142">
        <v>6</v>
      </c>
      <c r="D142" s="2">
        <v>140</v>
      </c>
      <c r="E142" s="3">
        <v>2.294E-3</v>
      </c>
    </row>
    <row r="143" spans="1:5" x14ac:dyDescent="0.3">
      <c r="A143" t="s">
        <v>36</v>
      </c>
      <c r="B143">
        <v>13</v>
      </c>
      <c r="C143">
        <v>11</v>
      </c>
      <c r="D143" s="5">
        <v>158.49</v>
      </c>
      <c r="E143" s="3">
        <v>2.5969999999999999E-3</v>
      </c>
    </row>
    <row r="144" spans="1:5" x14ac:dyDescent="0.3">
      <c r="A144" t="s">
        <v>15</v>
      </c>
      <c r="B144">
        <v>2456</v>
      </c>
      <c r="C144">
        <v>71</v>
      </c>
      <c r="D144" s="5">
        <v>2431.44</v>
      </c>
      <c r="E144" s="3">
        <v>3.9838999999999999E-2</v>
      </c>
    </row>
    <row r="145" spans="1:17" x14ac:dyDescent="0.3">
      <c r="A145" t="s">
        <v>16</v>
      </c>
      <c r="B145">
        <v>19</v>
      </c>
      <c r="C145">
        <v>19</v>
      </c>
      <c r="D145" s="2">
        <v>3835</v>
      </c>
      <c r="E145" s="3">
        <v>6.2836000000000003E-2</v>
      </c>
    </row>
    <row r="146" spans="1:17" x14ac:dyDescent="0.3">
      <c r="A146" t="s">
        <v>17</v>
      </c>
      <c r="B146">
        <v>14</v>
      </c>
      <c r="C146">
        <v>14</v>
      </c>
      <c r="D146" s="2">
        <v>1470</v>
      </c>
      <c r="E146" s="3">
        <v>2.4086E-2</v>
      </c>
    </row>
    <row r="147" spans="1:17" x14ac:dyDescent="0.3">
      <c r="A147" t="s">
        <v>18</v>
      </c>
      <c r="B147">
        <v>33</v>
      </c>
      <c r="C147">
        <v>33</v>
      </c>
      <c r="D147" s="2">
        <v>2850</v>
      </c>
      <c r="E147" s="3">
        <v>4.6697000000000002E-2</v>
      </c>
    </row>
    <row r="148" spans="1:17" x14ac:dyDescent="0.3">
      <c r="A148" t="s">
        <v>19</v>
      </c>
      <c r="B148">
        <v>18</v>
      </c>
      <c r="C148">
        <v>18</v>
      </c>
      <c r="D148" s="2">
        <v>3213</v>
      </c>
      <c r="E148" s="3">
        <v>5.2644000000000003E-2</v>
      </c>
    </row>
    <row r="149" spans="1:17" x14ac:dyDescent="0.3">
      <c r="A149" t="s">
        <v>20</v>
      </c>
      <c r="B149">
        <v>1</v>
      </c>
      <c r="C149">
        <v>1</v>
      </c>
      <c r="D149" s="5">
        <v>0.5</v>
      </c>
      <c r="E149" s="3">
        <v>7.9999999999999996E-6</v>
      </c>
    </row>
    <row r="150" spans="1:17" x14ac:dyDescent="0.3">
      <c r="A150" t="s">
        <v>21</v>
      </c>
      <c r="B150">
        <v>28</v>
      </c>
      <c r="C150">
        <v>28</v>
      </c>
      <c r="D150" s="5">
        <v>6153.16</v>
      </c>
      <c r="E150" s="3">
        <v>0.100818</v>
      </c>
    </row>
    <row r="151" spans="1:17" x14ac:dyDescent="0.3">
      <c r="A151" t="s">
        <v>22</v>
      </c>
      <c r="B151">
        <v>12</v>
      </c>
      <c r="C151">
        <v>12</v>
      </c>
      <c r="D151" s="5">
        <v>1144.28</v>
      </c>
      <c r="E151" s="3">
        <v>1.8748999999999998E-2</v>
      </c>
    </row>
    <row r="152" spans="1:17" x14ac:dyDescent="0.3">
      <c r="A152" t="s">
        <v>23</v>
      </c>
      <c r="B152">
        <v>56</v>
      </c>
      <c r="C152">
        <v>56</v>
      </c>
      <c r="D152" s="5">
        <v>5471.35</v>
      </c>
      <c r="E152" s="3">
        <v>8.9647000000000004E-2</v>
      </c>
    </row>
    <row r="153" spans="1:17" x14ac:dyDescent="0.3">
      <c r="A153" t="s">
        <v>24</v>
      </c>
      <c r="B153">
        <v>28</v>
      </c>
      <c r="C153">
        <v>28</v>
      </c>
      <c r="D153" s="5">
        <v>4724.2299999999996</v>
      </c>
      <c r="E153" s="3">
        <v>7.7405000000000002E-2</v>
      </c>
    </row>
    <row r="154" spans="1:17" x14ac:dyDescent="0.3">
      <c r="A154" t="s">
        <v>25</v>
      </c>
      <c r="B154">
        <v>12</v>
      </c>
      <c r="C154">
        <v>12</v>
      </c>
      <c r="D154" s="5">
        <v>869.21</v>
      </c>
      <c r="E154" s="3">
        <v>1.4241999999999999E-2</v>
      </c>
    </row>
    <row r="157" spans="1:17" x14ac:dyDescent="0.3">
      <c r="A157" t="s">
        <v>46</v>
      </c>
    </row>
    <row r="158" spans="1:17" x14ac:dyDescent="0.3">
      <c r="B158" t="s">
        <v>1</v>
      </c>
      <c r="C158" t="s">
        <v>1</v>
      </c>
      <c r="D158" t="s">
        <v>47</v>
      </c>
      <c r="F158" t="s">
        <v>48</v>
      </c>
      <c r="H158" t="s">
        <v>49</v>
      </c>
      <c r="J158" t="s">
        <v>50</v>
      </c>
      <c r="L158" t="s">
        <v>51</v>
      </c>
      <c r="N158" t="s">
        <v>52</v>
      </c>
      <c r="P158" t="s">
        <v>53</v>
      </c>
    </row>
    <row r="159" spans="1:17" x14ac:dyDescent="0.3">
      <c r="A159" t="s">
        <v>2</v>
      </c>
      <c r="B159" t="s">
        <v>39</v>
      </c>
      <c r="C159" t="s">
        <v>40</v>
      </c>
      <c r="D159" t="s">
        <v>54</v>
      </c>
      <c r="E159" t="s">
        <v>55</v>
      </c>
      <c r="F159" t="s">
        <v>54</v>
      </c>
      <c r="G159" t="s">
        <v>55</v>
      </c>
      <c r="H159" t="s">
        <v>54</v>
      </c>
      <c r="I159" t="s">
        <v>55</v>
      </c>
      <c r="J159" t="s">
        <v>54</v>
      </c>
      <c r="K159" t="s">
        <v>55</v>
      </c>
      <c r="L159" t="s">
        <v>54</v>
      </c>
      <c r="M159" t="s">
        <v>55</v>
      </c>
      <c r="N159" t="s">
        <v>54</v>
      </c>
      <c r="O159" t="s">
        <v>55</v>
      </c>
      <c r="P159" t="s">
        <v>54</v>
      </c>
      <c r="Q159" t="s">
        <v>55</v>
      </c>
    </row>
    <row r="160" spans="1:17" x14ac:dyDescent="0.3">
      <c r="A160" t="s">
        <v>7</v>
      </c>
      <c r="B160">
        <v>23</v>
      </c>
      <c r="C160">
        <v>22</v>
      </c>
      <c r="D160">
        <v>1</v>
      </c>
      <c r="E160" s="3">
        <v>4.5455000000000002E-2</v>
      </c>
      <c r="F160">
        <v>1</v>
      </c>
      <c r="G160" s="3">
        <v>4.5455000000000002E-2</v>
      </c>
      <c r="H160">
        <v>4</v>
      </c>
      <c r="I160" s="3">
        <v>0.18181800000000001</v>
      </c>
      <c r="J160">
        <v>4</v>
      </c>
      <c r="K160" s="3">
        <v>0.18181800000000001</v>
      </c>
      <c r="L160">
        <v>6</v>
      </c>
      <c r="M160" s="3">
        <v>0.272727</v>
      </c>
      <c r="N160">
        <v>5</v>
      </c>
      <c r="O160" s="3">
        <v>0.227273</v>
      </c>
      <c r="P160">
        <v>1</v>
      </c>
      <c r="Q160" s="3">
        <v>4.5455000000000002E-2</v>
      </c>
    </row>
    <row r="161" spans="1:17" x14ac:dyDescent="0.3">
      <c r="A161" t="s">
        <v>8</v>
      </c>
      <c r="B161">
        <v>21</v>
      </c>
      <c r="C161">
        <v>21</v>
      </c>
      <c r="D161">
        <v>0</v>
      </c>
      <c r="E161" s="4">
        <v>0</v>
      </c>
      <c r="F161">
        <v>2</v>
      </c>
      <c r="G161" s="3">
        <v>9.5238000000000003E-2</v>
      </c>
      <c r="H161">
        <v>5</v>
      </c>
      <c r="I161" s="3">
        <v>0.238095</v>
      </c>
      <c r="J161">
        <v>4</v>
      </c>
      <c r="K161" s="3">
        <v>0.19047600000000001</v>
      </c>
      <c r="L161">
        <v>4</v>
      </c>
      <c r="M161" s="3">
        <v>0.19047600000000001</v>
      </c>
      <c r="N161">
        <v>6</v>
      </c>
      <c r="O161" s="3">
        <v>0.28571400000000002</v>
      </c>
      <c r="P161">
        <v>0</v>
      </c>
      <c r="Q161" s="4">
        <v>0</v>
      </c>
    </row>
    <row r="162" spans="1:17" x14ac:dyDescent="0.3">
      <c r="A162" t="s">
        <v>9</v>
      </c>
      <c r="B162">
        <v>108</v>
      </c>
      <c r="C162">
        <v>108</v>
      </c>
      <c r="D162">
        <v>13</v>
      </c>
      <c r="E162" s="3">
        <v>0.12037</v>
      </c>
      <c r="F162">
        <v>20</v>
      </c>
      <c r="G162" s="3">
        <v>0.18518499999999999</v>
      </c>
      <c r="H162">
        <v>18</v>
      </c>
      <c r="I162" s="3">
        <v>0.16666700000000001</v>
      </c>
      <c r="J162">
        <v>21</v>
      </c>
      <c r="K162" s="3">
        <v>0.19444400000000001</v>
      </c>
      <c r="L162">
        <v>21</v>
      </c>
      <c r="M162" s="3">
        <v>0.19444400000000001</v>
      </c>
      <c r="N162">
        <v>11</v>
      </c>
      <c r="O162" s="3">
        <v>0.101852</v>
      </c>
      <c r="P162">
        <v>4</v>
      </c>
      <c r="Q162" s="3">
        <v>3.7037E-2</v>
      </c>
    </row>
    <row r="163" spans="1:17" x14ac:dyDescent="0.3">
      <c r="A163" t="s">
        <v>162</v>
      </c>
      <c r="B163">
        <v>3</v>
      </c>
      <c r="C163">
        <v>3</v>
      </c>
      <c r="D163">
        <v>1</v>
      </c>
      <c r="E163" s="3">
        <v>0.33333299999999999</v>
      </c>
      <c r="F163">
        <v>0</v>
      </c>
      <c r="G163" s="4">
        <v>0</v>
      </c>
      <c r="H163">
        <v>0</v>
      </c>
      <c r="I163" s="4">
        <v>0</v>
      </c>
      <c r="J163">
        <v>0</v>
      </c>
      <c r="K163" s="4">
        <v>0</v>
      </c>
      <c r="L163">
        <v>1</v>
      </c>
      <c r="M163" s="3">
        <v>0.33333299999999999</v>
      </c>
      <c r="N163">
        <v>0</v>
      </c>
      <c r="O163" s="4">
        <v>0</v>
      </c>
      <c r="P163">
        <v>1</v>
      </c>
      <c r="Q163" s="3">
        <v>0.33333299999999999</v>
      </c>
    </row>
    <row r="164" spans="1:17" x14ac:dyDescent="0.3">
      <c r="A164" t="s">
        <v>10</v>
      </c>
      <c r="B164">
        <v>152</v>
      </c>
      <c r="C164">
        <v>152</v>
      </c>
      <c r="D164">
        <v>1</v>
      </c>
      <c r="E164" s="3">
        <v>6.5789999999999998E-3</v>
      </c>
      <c r="F164">
        <v>9</v>
      </c>
      <c r="G164" s="3">
        <v>5.9211E-2</v>
      </c>
      <c r="H164">
        <v>16</v>
      </c>
      <c r="I164" s="3">
        <v>0.105263</v>
      </c>
      <c r="J164">
        <v>48</v>
      </c>
      <c r="K164" s="3">
        <v>0.31578899999999999</v>
      </c>
      <c r="L164">
        <v>42</v>
      </c>
      <c r="M164" s="3">
        <v>0.27631600000000001</v>
      </c>
      <c r="N164">
        <v>15</v>
      </c>
      <c r="O164" s="3">
        <v>9.8683999999999994E-2</v>
      </c>
      <c r="P164">
        <v>21</v>
      </c>
      <c r="Q164" s="3">
        <v>0.138158</v>
      </c>
    </row>
    <row r="165" spans="1:17" x14ac:dyDescent="0.3">
      <c r="A165" t="s">
        <v>11</v>
      </c>
      <c r="B165">
        <v>23</v>
      </c>
      <c r="C165">
        <v>22</v>
      </c>
      <c r="D165">
        <v>0</v>
      </c>
      <c r="E165" s="4">
        <v>0</v>
      </c>
      <c r="F165">
        <v>1</v>
      </c>
      <c r="G165" s="3">
        <v>4.5455000000000002E-2</v>
      </c>
      <c r="H165">
        <v>2</v>
      </c>
      <c r="I165" s="3">
        <v>9.0909000000000004E-2</v>
      </c>
      <c r="J165">
        <v>4</v>
      </c>
      <c r="K165" s="3">
        <v>0.18181800000000001</v>
      </c>
      <c r="L165">
        <v>3</v>
      </c>
      <c r="M165" s="3">
        <v>0.13636400000000001</v>
      </c>
      <c r="N165">
        <v>8</v>
      </c>
      <c r="O165" s="3">
        <v>0.36363600000000001</v>
      </c>
      <c r="P165">
        <v>4</v>
      </c>
      <c r="Q165" s="3">
        <v>0.18181800000000001</v>
      </c>
    </row>
    <row r="166" spans="1:17" x14ac:dyDescent="0.3">
      <c r="A166" t="s">
        <v>12</v>
      </c>
      <c r="B166">
        <v>7</v>
      </c>
      <c r="C166">
        <v>6</v>
      </c>
      <c r="D166">
        <v>0</v>
      </c>
      <c r="E166" s="4">
        <v>0</v>
      </c>
      <c r="F166">
        <v>0</v>
      </c>
      <c r="G166" s="4">
        <v>0</v>
      </c>
      <c r="H166">
        <v>0</v>
      </c>
      <c r="I166" s="4">
        <v>0</v>
      </c>
      <c r="J166">
        <v>1</v>
      </c>
      <c r="K166" s="3">
        <v>0.16666700000000001</v>
      </c>
      <c r="L166">
        <v>3</v>
      </c>
      <c r="M166" s="3">
        <v>0.5</v>
      </c>
      <c r="N166">
        <v>2</v>
      </c>
      <c r="O166" s="3">
        <v>0.33333299999999999</v>
      </c>
      <c r="P166">
        <v>0</v>
      </c>
      <c r="Q166" s="4">
        <v>0</v>
      </c>
    </row>
    <row r="167" spans="1:17" x14ac:dyDescent="0.3">
      <c r="A167" t="s">
        <v>67</v>
      </c>
      <c r="B167">
        <v>1</v>
      </c>
      <c r="C167">
        <v>1</v>
      </c>
      <c r="D167">
        <v>0</v>
      </c>
      <c r="E167" s="4">
        <v>0</v>
      </c>
      <c r="F167">
        <v>0</v>
      </c>
      <c r="G167" s="4">
        <v>0</v>
      </c>
      <c r="H167">
        <v>0</v>
      </c>
      <c r="I167" s="4">
        <v>0</v>
      </c>
      <c r="J167">
        <v>0</v>
      </c>
      <c r="K167" s="4">
        <v>0</v>
      </c>
      <c r="L167">
        <v>0</v>
      </c>
      <c r="M167" s="4">
        <v>0</v>
      </c>
      <c r="N167">
        <v>1</v>
      </c>
      <c r="O167" s="4">
        <v>1</v>
      </c>
      <c r="P167">
        <v>0</v>
      </c>
      <c r="Q167" s="4">
        <v>0</v>
      </c>
    </row>
    <row r="168" spans="1:17" x14ac:dyDescent="0.3">
      <c r="A168" t="s">
        <v>13</v>
      </c>
      <c r="B168">
        <v>9</v>
      </c>
      <c r="C168">
        <v>9</v>
      </c>
      <c r="D168">
        <v>1</v>
      </c>
      <c r="E168" s="3">
        <v>0.111111</v>
      </c>
      <c r="F168">
        <v>0</v>
      </c>
      <c r="G168" s="4">
        <v>0</v>
      </c>
      <c r="H168">
        <v>2</v>
      </c>
      <c r="I168" s="3">
        <v>0.222222</v>
      </c>
      <c r="J168">
        <v>2</v>
      </c>
      <c r="K168" s="3">
        <v>0.222222</v>
      </c>
      <c r="L168">
        <v>4</v>
      </c>
      <c r="M168" s="3">
        <v>0.44444400000000001</v>
      </c>
      <c r="N168">
        <v>0</v>
      </c>
      <c r="O168" s="4">
        <v>0</v>
      </c>
      <c r="P168">
        <v>0</v>
      </c>
      <c r="Q168" s="4">
        <v>0</v>
      </c>
    </row>
    <row r="169" spans="1:17" x14ac:dyDescent="0.3">
      <c r="A169" t="s">
        <v>14</v>
      </c>
      <c r="B169">
        <v>11</v>
      </c>
      <c r="C169">
        <v>10</v>
      </c>
      <c r="D169">
        <v>0</v>
      </c>
      <c r="E169" s="4">
        <v>0</v>
      </c>
      <c r="F169">
        <v>1</v>
      </c>
      <c r="G169" s="3">
        <v>0.1</v>
      </c>
      <c r="H169">
        <v>4</v>
      </c>
      <c r="I169" s="3">
        <v>0.4</v>
      </c>
      <c r="J169">
        <v>2</v>
      </c>
      <c r="K169" s="3">
        <v>0.2</v>
      </c>
      <c r="L169">
        <v>1</v>
      </c>
      <c r="M169" s="3">
        <v>0.1</v>
      </c>
      <c r="N169">
        <v>1</v>
      </c>
      <c r="O169" s="3">
        <v>0.1</v>
      </c>
      <c r="P169">
        <v>1</v>
      </c>
      <c r="Q169" s="3">
        <v>0.1</v>
      </c>
    </row>
    <row r="170" spans="1:17" x14ac:dyDescent="0.3">
      <c r="A170" t="s">
        <v>15</v>
      </c>
      <c r="B170">
        <v>2456</v>
      </c>
      <c r="C170">
        <v>71</v>
      </c>
      <c r="D170">
        <v>10</v>
      </c>
      <c r="E170" s="3">
        <v>0.140845</v>
      </c>
      <c r="F170">
        <v>18</v>
      </c>
      <c r="G170" s="3">
        <v>0.253521</v>
      </c>
      <c r="H170">
        <v>10</v>
      </c>
      <c r="I170" s="3">
        <v>0.140845</v>
      </c>
      <c r="J170">
        <v>14</v>
      </c>
      <c r="K170" s="3">
        <v>0.197183</v>
      </c>
      <c r="L170">
        <v>12</v>
      </c>
      <c r="M170" s="3">
        <v>0.169014</v>
      </c>
      <c r="N170">
        <v>4</v>
      </c>
      <c r="O170" s="3">
        <v>5.6337999999999999E-2</v>
      </c>
      <c r="P170">
        <v>3</v>
      </c>
      <c r="Q170" s="3">
        <v>4.2254E-2</v>
      </c>
    </row>
    <row r="171" spans="1:17" x14ac:dyDescent="0.3">
      <c r="A171" t="s">
        <v>16</v>
      </c>
      <c r="B171">
        <v>19</v>
      </c>
      <c r="C171">
        <v>19</v>
      </c>
      <c r="D171">
        <v>2</v>
      </c>
      <c r="E171" s="3">
        <v>0.105263</v>
      </c>
      <c r="F171">
        <v>2</v>
      </c>
      <c r="G171" s="3">
        <v>0.105263</v>
      </c>
      <c r="H171">
        <v>5</v>
      </c>
      <c r="I171" s="3">
        <v>0.263158</v>
      </c>
      <c r="J171">
        <v>5</v>
      </c>
      <c r="K171" s="3">
        <v>0.263158</v>
      </c>
      <c r="L171">
        <v>2</v>
      </c>
      <c r="M171" s="3">
        <v>0.105263</v>
      </c>
      <c r="N171">
        <v>3</v>
      </c>
      <c r="O171" s="3">
        <v>0.15789500000000001</v>
      </c>
      <c r="P171">
        <v>0</v>
      </c>
      <c r="Q171" s="4">
        <v>0</v>
      </c>
    </row>
    <row r="172" spans="1:17" x14ac:dyDescent="0.3">
      <c r="A172" t="s">
        <v>17</v>
      </c>
      <c r="B172">
        <v>14</v>
      </c>
      <c r="C172">
        <v>14</v>
      </c>
      <c r="D172">
        <v>5</v>
      </c>
      <c r="E172" s="3">
        <v>0.35714299999999999</v>
      </c>
      <c r="F172">
        <v>1</v>
      </c>
      <c r="G172" s="3">
        <v>7.1429000000000006E-2</v>
      </c>
      <c r="H172">
        <v>2</v>
      </c>
      <c r="I172" s="3">
        <v>0.14285700000000001</v>
      </c>
      <c r="J172">
        <v>3</v>
      </c>
      <c r="K172" s="3">
        <v>0.214286</v>
      </c>
      <c r="L172">
        <v>3</v>
      </c>
      <c r="M172" s="3">
        <v>0.214286</v>
      </c>
      <c r="N172">
        <v>0</v>
      </c>
      <c r="O172" s="4">
        <v>0</v>
      </c>
      <c r="P172">
        <v>0</v>
      </c>
      <c r="Q172" s="4">
        <v>0</v>
      </c>
    </row>
    <row r="173" spans="1:17" x14ac:dyDescent="0.3">
      <c r="A173" t="s">
        <v>18</v>
      </c>
      <c r="B173">
        <v>33</v>
      </c>
      <c r="C173">
        <v>33</v>
      </c>
      <c r="D173">
        <v>10</v>
      </c>
      <c r="E173" s="3">
        <v>0.30303000000000002</v>
      </c>
      <c r="F173">
        <v>7</v>
      </c>
      <c r="G173" s="3">
        <v>0.212121</v>
      </c>
      <c r="H173">
        <v>8</v>
      </c>
      <c r="I173" s="3">
        <v>0.242424</v>
      </c>
      <c r="J173">
        <v>5</v>
      </c>
      <c r="K173" s="3">
        <v>0.15151500000000001</v>
      </c>
      <c r="L173">
        <v>2</v>
      </c>
      <c r="M173" s="3">
        <v>6.0606E-2</v>
      </c>
      <c r="N173">
        <v>0</v>
      </c>
      <c r="O173" s="4">
        <v>0</v>
      </c>
      <c r="P173">
        <v>1</v>
      </c>
      <c r="Q173" s="3">
        <v>3.0303E-2</v>
      </c>
    </row>
    <row r="174" spans="1:17" x14ac:dyDescent="0.3">
      <c r="A174" t="s">
        <v>19</v>
      </c>
      <c r="B174">
        <v>18</v>
      </c>
      <c r="C174">
        <v>18</v>
      </c>
      <c r="D174">
        <v>2</v>
      </c>
      <c r="E174" s="3">
        <v>0.111111</v>
      </c>
      <c r="F174">
        <v>2</v>
      </c>
      <c r="G174" s="3">
        <v>0.111111</v>
      </c>
      <c r="H174">
        <v>5</v>
      </c>
      <c r="I174" s="3">
        <v>0.27777800000000002</v>
      </c>
      <c r="J174">
        <v>3</v>
      </c>
      <c r="K174" s="3">
        <v>0.16666700000000001</v>
      </c>
      <c r="L174">
        <v>3</v>
      </c>
      <c r="M174" s="3">
        <v>0.16666700000000001</v>
      </c>
      <c r="N174">
        <v>2</v>
      </c>
      <c r="O174" s="3">
        <v>0.111111</v>
      </c>
      <c r="P174">
        <v>1</v>
      </c>
      <c r="Q174" s="3">
        <v>5.5556000000000001E-2</v>
      </c>
    </row>
    <row r="175" spans="1:17" x14ac:dyDescent="0.3">
      <c r="A175" t="s">
        <v>20</v>
      </c>
      <c r="B175">
        <v>1</v>
      </c>
      <c r="C175">
        <v>1</v>
      </c>
      <c r="D175">
        <v>0</v>
      </c>
      <c r="E175" s="4">
        <v>0</v>
      </c>
      <c r="F175">
        <v>0</v>
      </c>
      <c r="G175" s="4">
        <v>0</v>
      </c>
      <c r="H175">
        <v>0</v>
      </c>
      <c r="I175" s="4">
        <v>0</v>
      </c>
      <c r="J175">
        <v>0</v>
      </c>
      <c r="K175" s="4">
        <v>0</v>
      </c>
      <c r="L175">
        <v>0</v>
      </c>
      <c r="M175" s="4">
        <v>0</v>
      </c>
      <c r="N175">
        <v>1</v>
      </c>
      <c r="O175" s="4">
        <v>1</v>
      </c>
      <c r="P175">
        <v>0</v>
      </c>
      <c r="Q175" s="4">
        <v>0</v>
      </c>
    </row>
    <row r="176" spans="1:17" x14ac:dyDescent="0.3">
      <c r="A176" t="s">
        <v>21</v>
      </c>
      <c r="B176">
        <v>28</v>
      </c>
      <c r="C176">
        <v>28</v>
      </c>
      <c r="D176">
        <v>7</v>
      </c>
      <c r="E176" s="3">
        <v>0.25</v>
      </c>
      <c r="F176">
        <v>1</v>
      </c>
      <c r="G176" s="3">
        <v>3.5714000000000003E-2</v>
      </c>
      <c r="H176">
        <v>5</v>
      </c>
      <c r="I176" s="3">
        <v>0.17857100000000001</v>
      </c>
      <c r="J176">
        <v>11</v>
      </c>
      <c r="K176" s="3">
        <v>0.39285700000000001</v>
      </c>
      <c r="L176">
        <v>3</v>
      </c>
      <c r="M176" s="3">
        <v>0.107143</v>
      </c>
      <c r="N176">
        <v>1</v>
      </c>
      <c r="O176" s="3">
        <v>3.5714000000000003E-2</v>
      </c>
      <c r="P176">
        <v>0</v>
      </c>
      <c r="Q176" s="4">
        <v>0</v>
      </c>
    </row>
    <row r="177" spans="1:17" x14ac:dyDescent="0.3">
      <c r="A177" t="s">
        <v>22</v>
      </c>
      <c r="B177">
        <v>12</v>
      </c>
      <c r="C177">
        <v>12</v>
      </c>
      <c r="D177">
        <v>0</v>
      </c>
      <c r="E177" s="4">
        <v>0</v>
      </c>
      <c r="F177">
        <v>0</v>
      </c>
      <c r="G177" s="4">
        <v>0</v>
      </c>
      <c r="H177">
        <v>2</v>
      </c>
      <c r="I177" s="3">
        <v>0.16666700000000001</v>
      </c>
      <c r="J177">
        <v>7</v>
      </c>
      <c r="K177" s="3">
        <v>0.58333299999999999</v>
      </c>
      <c r="L177">
        <v>1</v>
      </c>
      <c r="M177" s="3">
        <v>8.3333000000000004E-2</v>
      </c>
      <c r="N177">
        <v>0</v>
      </c>
      <c r="O177" s="4">
        <v>0</v>
      </c>
      <c r="P177">
        <v>2</v>
      </c>
      <c r="Q177" s="3">
        <v>0.16666700000000001</v>
      </c>
    </row>
    <row r="178" spans="1:17" x14ac:dyDescent="0.3">
      <c r="A178" t="s">
        <v>23</v>
      </c>
      <c r="B178">
        <v>56</v>
      </c>
      <c r="C178">
        <v>56</v>
      </c>
      <c r="D178">
        <v>25</v>
      </c>
      <c r="E178" s="3">
        <v>0.44642900000000002</v>
      </c>
      <c r="F178">
        <v>16</v>
      </c>
      <c r="G178" s="3">
        <v>0.28571400000000002</v>
      </c>
      <c r="H178">
        <v>2</v>
      </c>
      <c r="I178" s="3">
        <v>3.5714000000000003E-2</v>
      </c>
      <c r="J178">
        <v>7</v>
      </c>
      <c r="K178" s="3">
        <v>0.125</v>
      </c>
      <c r="L178">
        <v>4</v>
      </c>
      <c r="M178" s="3">
        <v>7.1429000000000006E-2</v>
      </c>
      <c r="N178">
        <v>1</v>
      </c>
      <c r="O178" s="3">
        <v>1.7857000000000001E-2</v>
      </c>
      <c r="P178">
        <v>1</v>
      </c>
      <c r="Q178" s="3">
        <v>1.7857000000000001E-2</v>
      </c>
    </row>
    <row r="179" spans="1:17" x14ac:dyDescent="0.3">
      <c r="A179" t="s">
        <v>24</v>
      </c>
      <c r="B179">
        <v>28</v>
      </c>
      <c r="C179">
        <v>28</v>
      </c>
      <c r="D179">
        <v>4</v>
      </c>
      <c r="E179" s="3">
        <v>0.14285700000000001</v>
      </c>
      <c r="F179">
        <v>5</v>
      </c>
      <c r="G179" s="3">
        <v>0.17857100000000001</v>
      </c>
      <c r="H179">
        <v>3</v>
      </c>
      <c r="I179" s="3">
        <v>0.107143</v>
      </c>
      <c r="J179">
        <v>3</v>
      </c>
      <c r="K179" s="3">
        <v>0.107143</v>
      </c>
      <c r="L179">
        <v>11</v>
      </c>
      <c r="M179" s="3">
        <v>0.39285700000000001</v>
      </c>
      <c r="N179">
        <v>1</v>
      </c>
      <c r="O179" s="3">
        <v>3.5714000000000003E-2</v>
      </c>
      <c r="P179">
        <v>1</v>
      </c>
      <c r="Q179" s="3">
        <v>3.5714000000000003E-2</v>
      </c>
    </row>
    <row r="180" spans="1:17" x14ac:dyDescent="0.3">
      <c r="A180" t="s">
        <v>25</v>
      </c>
      <c r="B180">
        <v>12</v>
      </c>
      <c r="C180">
        <v>12</v>
      </c>
      <c r="D180">
        <v>0</v>
      </c>
      <c r="E180" s="4">
        <v>0</v>
      </c>
      <c r="F180">
        <v>1</v>
      </c>
      <c r="G180" s="3">
        <v>8.3333000000000004E-2</v>
      </c>
      <c r="H180">
        <v>1</v>
      </c>
      <c r="I180" s="3">
        <v>8.3333000000000004E-2</v>
      </c>
      <c r="J180">
        <v>4</v>
      </c>
      <c r="K180" s="3">
        <v>0.33333299999999999</v>
      </c>
      <c r="L180">
        <v>2</v>
      </c>
      <c r="M180" s="3">
        <v>0.16666700000000001</v>
      </c>
      <c r="N180">
        <v>1</v>
      </c>
      <c r="O180" s="3">
        <v>8.3333000000000004E-2</v>
      </c>
      <c r="P180">
        <v>3</v>
      </c>
      <c r="Q180" s="3">
        <v>0.25</v>
      </c>
    </row>
    <row r="182" spans="1:17" x14ac:dyDescent="0.3">
      <c r="A182" t="s">
        <v>56</v>
      </c>
      <c r="B182" t="s">
        <v>41</v>
      </c>
      <c r="C182" t="s">
        <v>42</v>
      </c>
    </row>
    <row r="183" spans="1:17" x14ac:dyDescent="0.3">
      <c r="A183" t="s">
        <v>57</v>
      </c>
      <c r="B183" s="5">
        <v>7114.32</v>
      </c>
      <c r="C183" s="3">
        <v>0.15260599999999999</v>
      </c>
    </row>
    <row r="184" spans="1:17" x14ac:dyDescent="0.3">
      <c r="A184" t="s">
        <v>58</v>
      </c>
      <c r="B184" s="5">
        <v>6141.1</v>
      </c>
      <c r="C184" s="3">
        <v>0.13173000000000001</v>
      </c>
    </row>
    <row r="185" spans="1:17" x14ac:dyDescent="0.3">
      <c r="A185" t="s">
        <v>59</v>
      </c>
      <c r="B185" s="5">
        <v>7358.28</v>
      </c>
      <c r="C185" s="3">
        <v>0.15783900000000001</v>
      </c>
    </row>
    <row r="186" spans="1:17" x14ac:dyDescent="0.3">
      <c r="A186" t="s">
        <v>60</v>
      </c>
      <c r="B186" s="5">
        <v>11083.68</v>
      </c>
      <c r="C186" s="3">
        <v>0.23775099999999999</v>
      </c>
    </row>
    <row r="187" spans="1:17" x14ac:dyDescent="0.3">
      <c r="A187" t="s">
        <v>61</v>
      </c>
      <c r="B187" s="5">
        <v>8727.14</v>
      </c>
      <c r="C187" s="3">
        <v>0.18720200000000001</v>
      </c>
    </row>
    <row r="188" spans="1:17" x14ac:dyDescent="0.3">
      <c r="A188" t="s">
        <v>62</v>
      </c>
      <c r="B188" s="5">
        <v>3814.28</v>
      </c>
      <c r="C188" s="3">
        <v>8.1819000000000003E-2</v>
      </c>
    </row>
    <row r="189" spans="1:17" x14ac:dyDescent="0.3">
      <c r="A189" t="s">
        <v>63</v>
      </c>
      <c r="B189" s="5">
        <v>2379.9699999999998</v>
      </c>
      <c r="C189" s="3">
        <v>5.1052E-2</v>
      </c>
    </row>
    <row r="192" spans="1:17" x14ac:dyDescent="0.3">
      <c r="A192" t="s">
        <v>64</v>
      </c>
    </row>
    <row r="193" spans="1:17" x14ac:dyDescent="0.3">
      <c r="B193" t="s">
        <v>1</v>
      </c>
      <c r="C193" t="s">
        <v>1</v>
      </c>
      <c r="D193" t="s">
        <v>47</v>
      </c>
      <c r="F193" t="s">
        <v>48</v>
      </c>
      <c r="H193" t="s">
        <v>49</v>
      </c>
      <c r="J193" t="s">
        <v>50</v>
      </c>
      <c r="L193" t="s">
        <v>51</v>
      </c>
      <c r="N193" t="s">
        <v>52</v>
      </c>
      <c r="P193" t="s">
        <v>53</v>
      </c>
    </row>
    <row r="194" spans="1:17" x14ac:dyDescent="0.3">
      <c r="A194" t="s">
        <v>2</v>
      </c>
      <c r="B194" t="s">
        <v>39</v>
      </c>
      <c r="C194" t="s">
        <v>40</v>
      </c>
      <c r="D194" t="s">
        <v>54</v>
      </c>
      <c r="E194" t="s">
        <v>55</v>
      </c>
      <c r="F194" t="s">
        <v>54</v>
      </c>
      <c r="G194" t="s">
        <v>55</v>
      </c>
      <c r="H194" t="s">
        <v>54</v>
      </c>
      <c r="I194" t="s">
        <v>55</v>
      </c>
      <c r="J194" t="s">
        <v>54</v>
      </c>
      <c r="K194" t="s">
        <v>55</v>
      </c>
      <c r="L194" t="s">
        <v>54</v>
      </c>
      <c r="M194" t="s">
        <v>55</v>
      </c>
      <c r="N194" t="s">
        <v>54</v>
      </c>
      <c r="O194" t="s">
        <v>55</v>
      </c>
      <c r="P194" t="s">
        <v>54</v>
      </c>
      <c r="Q194" t="s">
        <v>55</v>
      </c>
    </row>
    <row r="195" spans="1:17" x14ac:dyDescent="0.3">
      <c r="A195" t="s">
        <v>27</v>
      </c>
      <c r="B195">
        <v>28</v>
      </c>
      <c r="C195">
        <v>20</v>
      </c>
      <c r="D195">
        <v>0</v>
      </c>
      <c r="E195" s="4">
        <v>0</v>
      </c>
      <c r="F195">
        <v>7</v>
      </c>
      <c r="G195" s="3">
        <v>0.35</v>
      </c>
      <c r="H195">
        <v>5</v>
      </c>
      <c r="I195" s="3">
        <v>0.25</v>
      </c>
      <c r="J195">
        <v>4</v>
      </c>
      <c r="K195" s="3">
        <v>0.2</v>
      </c>
      <c r="L195">
        <v>4</v>
      </c>
      <c r="M195" s="3">
        <v>0.2</v>
      </c>
      <c r="N195">
        <v>0</v>
      </c>
      <c r="O195" s="4">
        <v>0</v>
      </c>
      <c r="P195">
        <v>0</v>
      </c>
      <c r="Q195" s="4">
        <v>0</v>
      </c>
    </row>
    <row r="196" spans="1:17" x14ac:dyDescent="0.3">
      <c r="A196" t="s">
        <v>28</v>
      </c>
      <c r="B196">
        <v>55</v>
      </c>
      <c r="C196">
        <v>32</v>
      </c>
      <c r="D196">
        <v>0</v>
      </c>
      <c r="E196" s="4">
        <v>0</v>
      </c>
      <c r="F196">
        <v>13</v>
      </c>
      <c r="G196" s="3">
        <v>0.40625</v>
      </c>
      <c r="H196">
        <v>15</v>
      </c>
      <c r="I196" s="3">
        <v>0.46875</v>
      </c>
      <c r="J196">
        <v>3</v>
      </c>
      <c r="K196" s="3">
        <v>9.375E-2</v>
      </c>
      <c r="L196">
        <v>1</v>
      </c>
      <c r="M196" s="3">
        <v>3.125E-2</v>
      </c>
      <c r="N196">
        <v>0</v>
      </c>
      <c r="O196" s="4">
        <v>0</v>
      </c>
      <c r="P196">
        <v>0</v>
      </c>
      <c r="Q196" s="4">
        <v>0</v>
      </c>
    </row>
    <row r="197" spans="1:17" x14ac:dyDescent="0.3">
      <c r="A197" t="s">
        <v>29</v>
      </c>
      <c r="B197">
        <v>482</v>
      </c>
      <c r="C197">
        <v>181</v>
      </c>
      <c r="D197">
        <v>2</v>
      </c>
      <c r="E197" s="3">
        <v>1.1050000000000001E-2</v>
      </c>
      <c r="F197">
        <v>65</v>
      </c>
      <c r="G197" s="3">
        <v>0.35911599999999999</v>
      </c>
      <c r="H197">
        <v>82</v>
      </c>
      <c r="I197" s="3">
        <v>0.45303900000000003</v>
      </c>
      <c r="J197">
        <v>22</v>
      </c>
      <c r="K197" s="3">
        <v>0.121547</v>
      </c>
      <c r="L197">
        <v>9</v>
      </c>
      <c r="M197" s="3">
        <v>4.9723999999999997E-2</v>
      </c>
      <c r="N197">
        <v>1</v>
      </c>
      <c r="O197" s="3">
        <v>5.5250000000000004E-3</v>
      </c>
      <c r="P197">
        <v>0</v>
      </c>
      <c r="Q197" s="4">
        <v>0</v>
      </c>
    </row>
    <row r="198" spans="1:17" x14ac:dyDescent="0.3">
      <c r="A198" t="s">
        <v>30</v>
      </c>
      <c r="B198">
        <v>62</v>
      </c>
      <c r="C198">
        <v>44</v>
      </c>
      <c r="D198">
        <v>2</v>
      </c>
      <c r="E198" s="3">
        <v>4.5455000000000002E-2</v>
      </c>
      <c r="F198">
        <v>21</v>
      </c>
      <c r="G198" s="3">
        <v>0.477273</v>
      </c>
      <c r="H198">
        <v>12</v>
      </c>
      <c r="I198" s="3">
        <v>0.272727</v>
      </c>
      <c r="J198">
        <v>7</v>
      </c>
      <c r="K198" s="3">
        <v>0.15909100000000001</v>
      </c>
      <c r="L198">
        <v>2</v>
      </c>
      <c r="M198" s="3">
        <v>4.5455000000000002E-2</v>
      </c>
      <c r="N198">
        <v>0</v>
      </c>
      <c r="O198" s="4">
        <v>0</v>
      </c>
      <c r="P198">
        <v>0</v>
      </c>
      <c r="Q198" s="4">
        <v>0</v>
      </c>
    </row>
    <row r="199" spans="1:17" x14ac:dyDescent="0.3">
      <c r="A199" t="s">
        <v>31</v>
      </c>
      <c r="B199">
        <v>190</v>
      </c>
      <c r="C199">
        <v>123</v>
      </c>
      <c r="D199">
        <v>3</v>
      </c>
      <c r="E199" s="3">
        <v>2.4389999999999998E-2</v>
      </c>
      <c r="F199">
        <v>43</v>
      </c>
      <c r="G199" s="3">
        <v>0.34959299999999999</v>
      </c>
      <c r="H199">
        <v>43</v>
      </c>
      <c r="I199" s="3">
        <v>0.34959299999999999</v>
      </c>
      <c r="J199">
        <v>26</v>
      </c>
      <c r="K199" s="3">
        <v>0.21138199999999999</v>
      </c>
      <c r="L199">
        <v>8</v>
      </c>
      <c r="M199" s="3">
        <v>6.5041000000000002E-2</v>
      </c>
      <c r="N199">
        <v>0</v>
      </c>
      <c r="O199" s="4">
        <v>0</v>
      </c>
      <c r="P199">
        <v>0</v>
      </c>
      <c r="Q199" s="4">
        <v>0</v>
      </c>
    </row>
    <row r="200" spans="1:17" x14ac:dyDescent="0.3">
      <c r="A200" t="s">
        <v>32</v>
      </c>
      <c r="B200">
        <v>1387</v>
      </c>
      <c r="C200">
        <v>456</v>
      </c>
      <c r="D200">
        <v>8</v>
      </c>
      <c r="E200" s="3">
        <v>1.7544000000000001E-2</v>
      </c>
      <c r="F200">
        <v>176</v>
      </c>
      <c r="G200" s="3">
        <v>0.385965</v>
      </c>
      <c r="H200">
        <v>163</v>
      </c>
      <c r="I200" s="3">
        <v>0.357456</v>
      </c>
      <c r="J200">
        <v>87</v>
      </c>
      <c r="K200" s="3">
        <v>0.19078899999999999</v>
      </c>
      <c r="L200">
        <v>21</v>
      </c>
      <c r="M200" s="3">
        <v>4.6052999999999997E-2</v>
      </c>
      <c r="N200">
        <v>1</v>
      </c>
      <c r="O200" s="3">
        <v>2.1930000000000001E-3</v>
      </c>
      <c r="P200">
        <v>0</v>
      </c>
      <c r="Q200" s="4">
        <v>0</v>
      </c>
    </row>
    <row r="202" spans="1:17" x14ac:dyDescent="0.3">
      <c r="A202" t="s">
        <v>56</v>
      </c>
      <c r="B202" t="s">
        <v>41</v>
      </c>
      <c r="C202" t="s">
        <v>42</v>
      </c>
    </row>
    <row r="203" spans="1:17" x14ac:dyDescent="0.3">
      <c r="A203" t="s">
        <v>57</v>
      </c>
      <c r="B203" s="2">
        <v>255</v>
      </c>
      <c r="C203" s="3">
        <v>1.8756999999999999E-2</v>
      </c>
    </row>
    <row r="204" spans="1:17" x14ac:dyDescent="0.3">
      <c r="A204" t="s">
        <v>58</v>
      </c>
      <c r="B204" s="2">
        <v>4895</v>
      </c>
      <c r="C204" s="3">
        <v>0.36005900000000002</v>
      </c>
    </row>
    <row r="205" spans="1:17" x14ac:dyDescent="0.3">
      <c r="A205" t="s">
        <v>59</v>
      </c>
      <c r="B205" s="2">
        <v>5065</v>
      </c>
      <c r="C205" s="3">
        <v>0.37256299999999998</v>
      </c>
    </row>
    <row r="206" spans="1:17" x14ac:dyDescent="0.3">
      <c r="A206" t="s">
        <v>60</v>
      </c>
      <c r="B206" s="2">
        <v>2530</v>
      </c>
      <c r="C206" s="3">
        <v>0.18609800000000001</v>
      </c>
    </row>
    <row r="207" spans="1:17" x14ac:dyDescent="0.3">
      <c r="A207" t="s">
        <v>61</v>
      </c>
      <c r="B207" s="2">
        <v>835</v>
      </c>
      <c r="C207" s="3">
        <v>6.1420000000000002E-2</v>
      </c>
    </row>
    <row r="208" spans="1:17" x14ac:dyDescent="0.3">
      <c r="A208" t="s">
        <v>62</v>
      </c>
      <c r="B208" s="2">
        <v>15</v>
      </c>
      <c r="C208" s="3">
        <v>1.103E-3</v>
      </c>
    </row>
    <row r="209" spans="1:17" x14ac:dyDescent="0.3">
      <c r="A209" t="s">
        <v>63</v>
      </c>
      <c r="B209" s="2">
        <v>0</v>
      </c>
      <c r="C209" s="4">
        <v>0</v>
      </c>
    </row>
    <row r="212" spans="1:17" x14ac:dyDescent="0.3">
      <c r="A212" t="s">
        <v>65</v>
      </c>
    </row>
    <row r="213" spans="1:17" x14ac:dyDescent="0.3">
      <c r="B213" t="s">
        <v>1</v>
      </c>
      <c r="C213" t="s">
        <v>1</v>
      </c>
      <c r="D213" t="s">
        <v>47</v>
      </c>
      <c r="F213" t="s">
        <v>48</v>
      </c>
      <c r="H213" t="s">
        <v>49</v>
      </c>
      <c r="J213" t="s">
        <v>50</v>
      </c>
      <c r="L213" t="s">
        <v>51</v>
      </c>
      <c r="N213" t="s">
        <v>52</v>
      </c>
      <c r="P213" t="s">
        <v>53</v>
      </c>
    </row>
    <row r="214" spans="1:17" x14ac:dyDescent="0.3">
      <c r="A214" t="s">
        <v>2</v>
      </c>
      <c r="B214" t="s">
        <v>39</v>
      </c>
      <c r="C214" t="s">
        <v>40</v>
      </c>
      <c r="D214" t="s">
        <v>54</v>
      </c>
      <c r="E214" t="s">
        <v>55</v>
      </c>
      <c r="F214" t="s">
        <v>54</v>
      </c>
      <c r="G214" t="s">
        <v>55</v>
      </c>
      <c r="H214" t="s">
        <v>54</v>
      </c>
      <c r="I214" t="s">
        <v>55</v>
      </c>
      <c r="J214" t="s">
        <v>54</v>
      </c>
      <c r="K214" t="s">
        <v>55</v>
      </c>
      <c r="L214" t="s">
        <v>54</v>
      </c>
      <c r="M214" t="s">
        <v>55</v>
      </c>
      <c r="N214" t="s">
        <v>54</v>
      </c>
      <c r="O214" t="s">
        <v>55</v>
      </c>
      <c r="P214" t="s">
        <v>54</v>
      </c>
      <c r="Q214" t="s">
        <v>55</v>
      </c>
    </row>
    <row r="215" spans="1:17" x14ac:dyDescent="0.3">
      <c r="A215" t="s">
        <v>34</v>
      </c>
      <c r="B215">
        <v>52</v>
      </c>
      <c r="C215">
        <v>45</v>
      </c>
      <c r="D215">
        <v>0</v>
      </c>
      <c r="E215" s="4">
        <v>0</v>
      </c>
      <c r="F215">
        <v>11</v>
      </c>
      <c r="G215" s="3">
        <v>0.24444399999999999</v>
      </c>
      <c r="H215">
        <v>17</v>
      </c>
      <c r="I215" s="3">
        <v>0.377778</v>
      </c>
      <c r="J215">
        <v>11</v>
      </c>
      <c r="K215" s="3">
        <v>0.24444399999999999</v>
      </c>
      <c r="L215">
        <v>6</v>
      </c>
      <c r="M215" s="3">
        <v>0.13333300000000001</v>
      </c>
      <c r="N215">
        <v>0</v>
      </c>
      <c r="O215" s="4">
        <v>0</v>
      </c>
      <c r="P215">
        <v>0</v>
      </c>
      <c r="Q215" s="4">
        <v>0</v>
      </c>
    </row>
    <row r="216" spans="1:17" x14ac:dyDescent="0.3">
      <c r="A216" t="s">
        <v>35</v>
      </c>
      <c r="B216">
        <v>7</v>
      </c>
      <c r="C216">
        <v>6</v>
      </c>
      <c r="D216">
        <v>1</v>
      </c>
      <c r="E216" s="3">
        <v>0.16666700000000001</v>
      </c>
      <c r="F216">
        <v>0</v>
      </c>
      <c r="G216" s="4">
        <v>0</v>
      </c>
      <c r="H216">
        <v>2</v>
      </c>
      <c r="I216" s="3">
        <v>0.33333299999999999</v>
      </c>
      <c r="J216">
        <v>2</v>
      </c>
      <c r="K216" s="3">
        <v>0.33333299999999999</v>
      </c>
      <c r="L216">
        <v>1</v>
      </c>
      <c r="M216" s="3">
        <v>0.16666700000000001</v>
      </c>
      <c r="N216">
        <v>0</v>
      </c>
      <c r="O216" s="4">
        <v>0</v>
      </c>
      <c r="P216">
        <v>0</v>
      </c>
      <c r="Q216" s="4">
        <v>0</v>
      </c>
    </row>
    <row r="217" spans="1:17" x14ac:dyDescent="0.3">
      <c r="A217" t="s">
        <v>36</v>
      </c>
      <c r="B217">
        <v>13</v>
      </c>
      <c r="C217">
        <v>11</v>
      </c>
      <c r="D217">
        <v>0</v>
      </c>
      <c r="E217" s="4">
        <v>0</v>
      </c>
      <c r="F217">
        <v>1</v>
      </c>
      <c r="G217" s="3">
        <v>9.0909000000000004E-2</v>
      </c>
      <c r="H217">
        <v>5</v>
      </c>
      <c r="I217" s="3">
        <v>0.45454499999999998</v>
      </c>
      <c r="J217">
        <v>4</v>
      </c>
      <c r="K217" s="3">
        <v>0.36363600000000001</v>
      </c>
      <c r="L217">
        <v>1</v>
      </c>
      <c r="M217" s="3">
        <v>9.0909000000000004E-2</v>
      </c>
      <c r="N217">
        <v>0</v>
      </c>
      <c r="O217" s="4">
        <v>0</v>
      </c>
      <c r="P217">
        <v>0</v>
      </c>
      <c r="Q217" s="4">
        <v>0</v>
      </c>
    </row>
    <row r="219" spans="1:17" x14ac:dyDescent="0.3">
      <c r="A219" t="s">
        <v>56</v>
      </c>
      <c r="B219" t="s">
        <v>41</v>
      </c>
      <c r="C219" t="s">
        <v>42</v>
      </c>
    </row>
    <row r="220" spans="1:17" x14ac:dyDescent="0.3">
      <c r="A220" t="s">
        <v>57</v>
      </c>
      <c r="B220" s="2">
        <v>20</v>
      </c>
      <c r="C220" s="3">
        <v>2.4434999999999998E-2</v>
      </c>
    </row>
    <row r="221" spans="1:17" x14ac:dyDescent="0.3">
      <c r="A221" t="s">
        <v>58</v>
      </c>
      <c r="B221" s="5">
        <v>116.12</v>
      </c>
      <c r="C221" s="3">
        <v>0.141871</v>
      </c>
    </row>
    <row r="222" spans="1:17" x14ac:dyDescent="0.3">
      <c r="A222" t="s">
        <v>59</v>
      </c>
      <c r="B222" s="5">
        <v>359.8</v>
      </c>
      <c r="C222" s="3">
        <v>0.43958999999999998</v>
      </c>
    </row>
    <row r="223" spans="1:17" x14ac:dyDescent="0.3">
      <c r="A223" t="s">
        <v>60</v>
      </c>
      <c r="B223" s="5">
        <v>204.32</v>
      </c>
      <c r="C223" s="3">
        <v>0.24962999999999999</v>
      </c>
    </row>
    <row r="224" spans="1:17" x14ac:dyDescent="0.3">
      <c r="A224" t="s">
        <v>61</v>
      </c>
      <c r="B224" s="5">
        <v>118.25</v>
      </c>
      <c r="C224" s="3">
        <v>0.14447299999999999</v>
      </c>
    </row>
    <row r="225" spans="1:3" x14ac:dyDescent="0.3">
      <c r="A225" t="s">
        <v>62</v>
      </c>
      <c r="B225" s="2">
        <v>0</v>
      </c>
      <c r="C225" s="4">
        <v>0</v>
      </c>
    </row>
    <row r="226" spans="1:3" x14ac:dyDescent="0.3">
      <c r="A226" t="s">
        <v>63</v>
      </c>
      <c r="B226" s="2">
        <v>0</v>
      </c>
      <c r="C226" s="4">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W221"/>
  <sheetViews>
    <sheetView workbookViewId="0">
      <selection activeCell="A27" sqref="A27"/>
    </sheetView>
  </sheetViews>
  <sheetFormatPr defaultRowHeight="12" x14ac:dyDescent="0.3"/>
  <cols>
    <col min="1" max="1" width="56.6640625" bestFit="1" customWidth="1"/>
    <col min="2" max="2" width="12.33203125" bestFit="1" customWidth="1"/>
    <col min="3" max="3" width="19.33203125" bestFit="1" customWidth="1"/>
    <col min="4" max="4" width="25.109375" bestFit="1" customWidth="1"/>
    <col min="5" max="5" width="19.33203125" bestFit="1" customWidth="1"/>
    <col min="6" max="6" width="16" bestFit="1" customWidth="1"/>
    <col min="7" max="7" width="25.109375" bestFit="1" customWidth="1"/>
    <col min="8" max="8" width="13.33203125" bestFit="1" customWidth="1"/>
    <col min="9" max="9" width="16" bestFit="1" customWidth="1"/>
    <col min="10" max="10" width="25.109375" bestFit="1" customWidth="1"/>
    <col min="11" max="11" width="15" bestFit="1" customWidth="1"/>
    <col min="12" max="12" width="16" bestFit="1" customWidth="1"/>
    <col min="13" max="13" width="25.109375" bestFit="1" customWidth="1"/>
    <col min="14" max="14" width="13.33203125" bestFit="1" customWidth="1"/>
    <col min="15" max="15" width="16" bestFit="1" customWidth="1"/>
    <col min="16" max="16" width="25.109375" bestFit="1" customWidth="1"/>
    <col min="17" max="17" width="15" bestFit="1" customWidth="1"/>
    <col min="18" max="18" width="16" bestFit="1" customWidth="1"/>
    <col min="19" max="19" width="25.109375" bestFit="1" customWidth="1"/>
    <col min="20" max="20" width="11.33203125" bestFit="1" customWidth="1"/>
    <col min="21" max="21" width="16" bestFit="1" customWidth="1"/>
    <col min="22" max="22" width="25.109375" bestFit="1" customWidth="1"/>
    <col min="23" max="23" width="1.6640625" bestFit="1" customWidth="1"/>
  </cols>
  <sheetData>
    <row r="1" spans="1:23" x14ac:dyDescent="0.3">
      <c r="A1" t="s">
        <v>0</v>
      </c>
    </row>
    <row r="2" spans="1:23" x14ac:dyDescent="0.3">
      <c r="B2" s="1">
        <v>41468</v>
      </c>
      <c r="C2" t="s">
        <v>1</v>
      </c>
      <c r="D2" t="s">
        <v>1</v>
      </c>
      <c r="E2" t="s">
        <v>184</v>
      </c>
      <c r="F2" t="s">
        <v>1</v>
      </c>
      <c r="G2" t="s">
        <v>1</v>
      </c>
      <c r="H2" t="s">
        <v>185</v>
      </c>
      <c r="I2" t="s">
        <v>1</v>
      </c>
      <c r="J2" t="s">
        <v>1</v>
      </c>
      <c r="K2" t="s">
        <v>186</v>
      </c>
      <c r="L2" t="s">
        <v>1</v>
      </c>
      <c r="M2" t="s">
        <v>1</v>
      </c>
      <c r="N2" t="s">
        <v>187</v>
      </c>
      <c r="O2" t="s">
        <v>1</v>
      </c>
      <c r="P2" t="s">
        <v>1</v>
      </c>
      <c r="Q2" t="s">
        <v>188</v>
      </c>
      <c r="R2" t="s">
        <v>1</v>
      </c>
      <c r="S2" t="s">
        <v>1</v>
      </c>
      <c r="T2" t="s">
        <v>189</v>
      </c>
      <c r="U2" t="s">
        <v>1</v>
      </c>
      <c r="V2" t="s">
        <v>1</v>
      </c>
      <c r="W2" t="s">
        <v>1</v>
      </c>
    </row>
    <row r="3" spans="1:23" x14ac:dyDescent="0.3">
      <c r="A3" t="s">
        <v>2</v>
      </c>
      <c r="B3" t="s">
        <v>3</v>
      </c>
      <c r="C3" t="s">
        <v>4</v>
      </c>
      <c r="D3" t="s">
        <v>5</v>
      </c>
      <c r="E3" t="s">
        <v>6</v>
      </c>
      <c r="F3" t="s">
        <v>4</v>
      </c>
      <c r="G3" t="s">
        <v>5</v>
      </c>
      <c r="H3" t="s">
        <v>6</v>
      </c>
      <c r="I3" t="s">
        <v>4</v>
      </c>
      <c r="J3" t="s">
        <v>5</v>
      </c>
      <c r="K3" t="s">
        <v>6</v>
      </c>
      <c r="L3" t="s">
        <v>4</v>
      </c>
      <c r="M3" t="s">
        <v>5</v>
      </c>
      <c r="N3" t="s">
        <v>6</v>
      </c>
      <c r="O3" t="s">
        <v>4</v>
      </c>
      <c r="P3" t="s">
        <v>5</v>
      </c>
      <c r="Q3" t="s">
        <v>6</v>
      </c>
      <c r="R3" t="s">
        <v>4</v>
      </c>
      <c r="S3" t="s">
        <v>5</v>
      </c>
      <c r="T3" t="s">
        <v>6</v>
      </c>
      <c r="U3" t="s">
        <v>4</v>
      </c>
      <c r="V3" t="s">
        <v>5</v>
      </c>
      <c r="W3" t="s">
        <v>1</v>
      </c>
    </row>
    <row r="4" spans="1:23" x14ac:dyDescent="0.3">
      <c r="A4" t="s">
        <v>7</v>
      </c>
      <c r="B4" s="2">
        <v>225</v>
      </c>
      <c r="C4" s="3">
        <v>1.0068000000000001E-2</v>
      </c>
      <c r="D4" s="3">
        <v>0.11957</v>
      </c>
      <c r="E4" s="2">
        <v>600</v>
      </c>
      <c r="F4" s="3">
        <v>5.6764000000000002E-2</v>
      </c>
      <c r="G4" s="3">
        <v>0.31885200000000002</v>
      </c>
      <c r="H4" s="2">
        <v>300</v>
      </c>
      <c r="I4" s="3">
        <v>8.3479999999999999E-2</v>
      </c>
      <c r="J4" s="3">
        <v>0.15942600000000001</v>
      </c>
      <c r="K4" s="2">
        <v>75</v>
      </c>
      <c r="L4" s="3">
        <v>6.6805000000000003E-2</v>
      </c>
      <c r="M4" s="3">
        <v>3.9856999999999997E-2</v>
      </c>
      <c r="N4" s="5">
        <v>381.75</v>
      </c>
      <c r="O4" s="3">
        <v>0.226464</v>
      </c>
      <c r="P4" s="3">
        <v>0.20286999999999999</v>
      </c>
      <c r="Q4" s="2">
        <v>300</v>
      </c>
      <c r="R4" s="3">
        <v>0.169514</v>
      </c>
      <c r="S4" s="3">
        <v>0.15942600000000001</v>
      </c>
      <c r="T4" s="2">
        <v>0</v>
      </c>
      <c r="U4" s="4">
        <v>0</v>
      </c>
      <c r="V4" s="4">
        <v>0</v>
      </c>
      <c r="W4" t="s">
        <v>1</v>
      </c>
    </row>
    <row r="5" spans="1:23" x14ac:dyDescent="0.3">
      <c r="A5" t="s">
        <v>8</v>
      </c>
      <c r="B5" s="2">
        <v>1000</v>
      </c>
      <c r="C5" s="3">
        <v>4.4745E-2</v>
      </c>
      <c r="D5" s="3">
        <v>0.38095200000000001</v>
      </c>
      <c r="E5" s="2">
        <v>375</v>
      </c>
      <c r="F5" s="3">
        <v>3.5477000000000002E-2</v>
      </c>
      <c r="G5" s="3">
        <v>0.14285700000000001</v>
      </c>
      <c r="H5" s="2">
        <v>750</v>
      </c>
      <c r="I5" s="3">
        <v>0.2087</v>
      </c>
      <c r="J5" s="3">
        <v>0.28571400000000002</v>
      </c>
      <c r="K5" s="2">
        <v>0</v>
      </c>
      <c r="L5" s="4">
        <v>0</v>
      </c>
      <c r="M5" s="4">
        <v>0</v>
      </c>
      <c r="N5" s="2">
        <v>125</v>
      </c>
      <c r="O5" s="3">
        <v>7.4152999999999997E-2</v>
      </c>
      <c r="P5" s="3">
        <v>4.7619000000000002E-2</v>
      </c>
      <c r="Q5" s="2">
        <v>375</v>
      </c>
      <c r="R5" s="3">
        <v>0.211892</v>
      </c>
      <c r="S5" s="3">
        <v>0.14285700000000001</v>
      </c>
      <c r="T5" s="2">
        <v>0</v>
      </c>
      <c r="U5" s="4">
        <v>0</v>
      </c>
      <c r="V5" s="4">
        <v>0</v>
      </c>
      <c r="W5" t="s">
        <v>1</v>
      </c>
    </row>
    <row r="6" spans="1:23" x14ac:dyDescent="0.3">
      <c r="A6" t="s">
        <v>9</v>
      </c>
      <c r="B6" s="5">
        <v>106.65</v>
      </c>
      <c r="C6" s="3">
        <v>4.7720000000000002E-3</v>
      </c>
      <c r="D6" s="3">
        <v>0.23275899999999999</v>
      </c>
      <c r="E6" s="5">
        <v>98.75</v>
      </c>
      <c r="F6" s="3">
        <v>9.3419999999999996E-3</v>
      </c>
      <c r="G6" s="3">
        <v>0.21551699999999999</v>
      </c>
      <c r="H6" s="5">
        <v>51.35</v>
      </c>
      <c r="I6" s="3">
        <v>1.4289E-2</v>
      </c>
      <c r="J6" s="3">
        <v>0.112069</v>
      </c>
      <c r="K6" s="5">
        <v>39.5</v>
      </c>
      <c r="L6" s="3">
        <v>3.5184E-2</v>
      </c>
      <c r="M6" s="3">
        <v>8.6207000000000006E-2</v>
      </c>
      <c r="N6" s="5">
        <v>39.5</v>
      </c>
      <c r="O6" s="3">
        <v>2.3432000000000001E-2</v>
      </c>
      <c r="P6" s="3">
        <v>8.6207000000000006E-2</v>
      </c>
      <c r="Q6" s="5">
        <v>55.3</v>
      </c>
      <c r="R6" s="3">
        <v>3.1247E-2</v>
      </c>
      <c r="S6" s="3">
        <v>0.12069000000000001</v>
      </c>
      <c r="T6" s="5">
        <v>67.150000000000006</v>
      </c>
      <c r="U6" s="3">
        <v>5.5320000000000001E-2</v>
      </c>
      <c r="V6" s="3">
        <v>0.14655199999999999</v>
      </c>
      <c r="W6" t="s">
        <v>1</v>
      </c>
    </row>
    <row r="7" spans="1:23" x14ac:dyDescent="0.3">
      <c r="A7" t="s">
        <v>10</v>
      </c>
      <c r="B7" s="2">
        <v>3300</v>
      </c>
      <c r="C7" s="3">
        <v>0.14765900000000001</v>
      </c>
      <c r="D7" s="3">
        <v>0.37162200000000001</v>
      </c>
      <c r="E7" s="2">
        <v>2760</v>
      </c>
      <c r="F7" s="3">
        <v>0.26111299999999998</v>
      </c>
      <c r="G7" s="3">
        <v>0.310811</v>
      </c>
      <c r="H7" s="2">
        <v>1440</v>
      </c>
      <c r="I7" s="3">
        <v>0.40070299999999998</v>
      </c>
      <c r="J7" s="3">
        <v>0.162162</v>
      </c>
      <c r="K7" s="2">
        <v>420</v>
      </c>
      <c r="L7" s="3">
        <v>0.374108</v>
      </c>
      <c r="M7" s="3">
        <v>4.7296999999999999E-2</v>
      </c>
      <c r="N7" s="2">
        <v>360</v>
      </c>
      <c r="O7" s="3">
        <v>0.213561</v>
      </c>
      <c r="P7" s="3">
        <v>4.0541000000000001E-2</v>
      </c>
      <c r="Q7" s="2">
        <v>420</v>
      </c>
      <c r="R7" s="3">
        <v>0.237319</v>
      </c>
      <c r="S7" s="3">
        <v>4.7296999999999999E-2</v>
      </c>
      <c r="T7" s="2">
        <v>180</v>
      </c>
      <c r="U7" s="3">
        <v>0.148289</v>
      </c>
      <c r="V7" s="3">
        <v>2.027E-2</v>
      </c>
      <c r="W7" t="s">
        <v>1</v>
      </c>
    </row>
    <row r="8" spans="1:23" x14ac:dyDescent="0.3">
      <c r="A8" t="s">
        <v>66</v>
      </c>
      <c r="B8" s="2">
        <v>0</v>
      </c>
      <c r="C8" s="4">
        <v>0</v>
      </c>
      <c r="D8" s="4">
        <v>0</v>
      </c>
      <c r="E8" s="2">
        <v>0</v>
      </c>
      <c r="F8" s="4">
        <v>0</v>
      </c>
      <c r="G8" s="4">
        <v>0</v>
      </c>
      <c r="H8" s="2">
        <v>0</v>
      </c>
      <c r="I8" s="4">
        <v>0</v>
      </c>
      <c r="J8" s="4">
        <v>0</v>
      </c>
      <c r="K8" s="2">
        <v>0</v>
      </c>
      <c r="L8" s="4">
        <v>0</v>
      </c>
      <c r="M8" s="4">
        <v>0</v>
      </c>
      <c r="N8" s="2">
        <v>65</v>
      </c>
      <c r="O8" s="3">
        <v>3.8559999999999997E-2</v>
      </c>
      <c r="P8" s="4">
        <v>1</v>
      </c>
      <c r="Q8" s="2">
        <v>0</v>
      </c>
      <c r="R8" s="4">
        <v>0</v>
      </c>
      <c r="S8" s="4">
        <v>0</v>
      </c>
      <c r="T8" s="2">
        <v>0</v>
      </c>
      <c r="U8" s="4">
        <v>0</v>
      </c>
      <c r="V8" s="4">
        <v>0</v>
      </c>
      <c r="W8" t="s">
        <v>1</v>
      </c>
    </row>
    <row r="9" spans="1:23" x14ac:dyDescent="0.3">
      <c r="A9" t="s">
        <v>11</v>
      </c>
      <c r="B9" s="2">
        <v>21</v>
      </c>
      <c r="C9" s="3">
        <v>9.3999999999999997E-4</v>
      </c>
      <c r="D9" s="3">
        <v>0.15789500000000001</v>
      </c>
      <c r="E9" s="2">
        <v>42</v>
      </c>
      <c r="F9" s="3">
        <v>3.973E-3</v>
      </c>
      <c r="G9" s="3">
        <v>0.31578899999999999</v>
      </c>
      <c r="H9" s="2">
        <v>7</v>
      </c>
      <c r="I9" s="3">
        <v>1.9480000000000001E-3</v>
      </c>
      <c r="J9" s="3">
        <v>5.2631999999999998E-2</v>
      </c>
      <c r="K9" s="2">
        <v>0</v>
      </c>
      <c r="L9" s="4">
        <v>0</v>
      </c>
      <c r="M9" s="4">
        <v>0</v>
      </c>
      <c r="N9" s="2">
        <v>21</v>
      </c>
      <c r="O9" s="3">
        <v>1.2458E-2</v>
      </c>
      <c r="P9" s="3">
        <v>0.15789500000000001</v>
      </c>
      <c r="Q9" s="2">
        <v>14</v>
      </c>
      <c r="R9" s="3">
        <v>7.9109999999999996E-3</v>
      </c>
      <c r="S9" s="3">
        <v>0.105263</v>
      </c>
      <c r="T9" s="2">
        <v>28</v>
      </c>
      <c r="U9" s="3">
        <v>2.3067000000000001E-2</v>
      </c>
      <c r="V9" s="3">
        <v>0.21052599999999999</v>
      </c>
      <c r="W9" t="s">
        <v>1</v>
      </c>
    </row>
    <row r="10" spans="1:23" x14ac:dyDescent="0.3">
      <c r="A10" t="s">
        <v>12</v>
      </c>
      <c r="B10" s="2">
        <v>0</v>
      </c>
      <c r="C10" s="4">
        <v>0</v>
      </c>
      <c r="D10" s="4">
        <v>0</v>
      </c>
      <c r="E10" s="2">
        <v>28</v>
      </c>
      <c r="F10" s="3">
        <v>2.6489999999999999E-3</v>
      </c>
      <c r="G10" s="3">
        <v>0.66666700000000001</v>
      </c>
      <c r="H10" s="2">
        <v>0</v>
      </c>
      <c r="I10" s="4">
        <v>0</v>
      </c>
      <c r="J10" s="4">
        <v>0</v>
      </c>
      <c r="K10" s="2">
        <v>0</v>
      </c>
      <c r="L10" s="4">
        <v>0</v>
      </c>
      <c r="M10" s="4">
        <v>0</v>
      </c>
      <c r="N10" s="2">
        <v>0</v>
      </c>
      <c r="O10" s="4">
        <v>0</v>
      </c>
      <c r="P10" s="4">
        <v>0</v>
      </c>
      <c r="Q10" s="2">
        <v>14</v>
      </c>
      <c r="R10" s="3">
        <v>7.9109999999999996E-3</v>
      </c>
      <c r="S10" s="3">
        <v>0.33333299999999999</v>
      </c>
      <c r="T10" s="2">
        <v>0</v>
      </c>
      <c r="U10" s="4">
        <v>0</v>
      </c>
      <c r="V10" s="4">
        <v>0</v>
      </c>
      <c r="W10" t="s">
        <v>1</v>
      </c>
    </row>
    <row r="11" spans="1:23" x14ac:dyDescent="0.3">
      <c r="A11" t="s">
        <v>67</v>
      </c>
      <c r="B11" s="2">
        <v>20</v>
      </c>
      <c r="C11" s="3">
        <v>8.9499999999999996E-4</v>
      </c>
      <c r="D11" s="3">
        <v>0.5</v>
      </c>
      <c r="E11" s="2">
        <v>20</v>
      </c>
      <c r="F11" s="3">
        <v>1.892E-3</v>
      </c>
      <c r="G11" s="3">
        <v>0.5</v>
      </c>
      <c r="H11" s="2">
        <v>0</v>
      </c>
      <c r="I11" s="4">
        <v>0</v>
      </c>
      <c r="J11" s="4">
        <v>0</v>
      </c>
      <c r="K11" s="2">
        <v>0</v>
      </c>
      <c r="L11" s="4">
        <v>0</v>
      </c>
      <c r="M11" s="4">
        <v>0</v>
      </c>
      <c r="N11" s="2">
        <v>0</v>
      </c>
      <c r="O11" s="4">
        <v>0</v>
      </c>
      <c r="P11" s="4">
        <v>0</v>
      </c>
      <c r="Q11" s="2">
        <v>0</v>
      </c>
      <c r="R11" s="4">
        <v>0</v>
      </c>
      <c r="S11" s="4">
        <v>0</v>
      </c>
      <c r="T11" s="2">
        <v>0</v>
      </c>
      <c r="U11" s="4">
        <v>0</v>
      </c>
      <c r="V11" s="4">
        <v>0</v>
      </c>
      <c r="W11" t="s">
        <v>1</v>
      </c>
    </row>
    <row r="12" spans="1:23" x14ac:dyDescent="0.3">
      <c r="A12" t="s">
        <v>13</v>
      </c>
      <c r="B12" s="2">
        <v>0</v>
      </c>
      <c r="C12" s="4">
        <v>0</v>
      </c>
      <c r="D12" s="4">
        <v>0</v>
      </c>
      <c r="E12" s="2">
        <v>0</v>
      </c>
      <c r="F12" s="4">
        <v>0</v>
      </c>
      <c r="G12" s="4">
        <v>0</v>
      </c>
      <c r="H12" s="2">
        <v>0</v>
      </c>
      <c r="I12" s="4">
        <v>0</v>
      </c>
      <c r="J12" s="4">
        <v>0</v>
      </c>
      <c r="K12" s="2">
        <v>0</v>
      </c>
      <c r="L12" s="4">
        <v>0</v>
      </c>
      <c r="M12" s="4">
        <v>0</v>
      </c>
      <c r="N12" s="2">
        <v>0</v>
      </c>
      <c r="O12" s="4">
        <v>0</v>
      </c>
      <c r="P12" s="4">
        <v>0</v>
      </c>
      <c r="Q12" s="2">
        <v>0</v>
      </c>
      <c r="R12" s="4">
        <v>0</v>
      </c>
      <c r="S12" s="4">
        <v>0</v>
      </c>
      <c r="T12" s="5">
        <v>39.799999999999997</v>
      </c>
      <c r="U12" s="3">
        <v>3.2787999999999998E-2</v>
      </c>
      <c r="V12" s="4">
        <v>1</v>
      </c>
      <c r="W12" t="s">
        <v>1</v>
      </c>
    </row>
    <row r="13" spans="1:23" x14ac:dyDescent="0.3">
      <c r="A13" t="s">
        <v>14</v>
      </c>
      <c r="B13" s="2">
        <v>0</v>
      </c>
      <c r="C13" s="4">
        <v>0</v>
      </c>
      <c r="D13" s="4">
        <v>0</v>
      </c>
      <c r="E13" s="2">
        <v>0</v>
      </c>
      <c r="F13" s="4">
        <v>0</v>
      </c>
      <c r="G13" s="4">
        <v>0</v>
      </c>
      <c r="H13" s="2">
        <v>0</v>
      </c>
      <c r="I13" s="4">
        <v>0</v>
      </c>
      <c r="J13" s="4">
        <v>0</v>
      </c>
      <c r="K13" s="2">
        <v>0</v>
      </c>
      <c r="L13" s="4">
        <v>0</v>
      </c>
      <c r="M13" s="4">
        <v>0</v>
      </c>
      <c r="N13" s="2">
        <v>0</v>
      </c>
      <c r="O13" s="4">
        <v>0</v>
      </c>
      <c r="P13" s="4">
        <v>0</v>
      </c>
      <c r="Q13" s="5">
        <v>14.95</v>
      </c>
      <c r="R13" s="3">
        <v>8.4469999999999996E-3</v>
      </c>
      <c r="S13" s="3">
        <v>6.6667000000000004E-2</v>
      </c>
      <c r="T13" s="5">
        <v>209.3</v>
      </c>
      <c r="U13" s="3">
        <v>0.172427</v>
      </c>
      <c r="V13" s="3">
        <v>0.93333299999999997</v>
      </c>
      <c r="W13" t="s">
        <v>1</v>
      </c>
    </row>
    <row r="14" spans="1:23" x14ac:dyDescent="0.3">
      <c r="A14" t="s">
        <v>15</v>
      </c>
      <c r="B14" s="5">
        <v>244.7</v>
      </c>
      <c r="C14" s="3">
        <v>1.0949E-2</v>
      </c>
      <c r="D14" s="3">
        <v>8.4118999999999999E-2</v>
      </c>
      <c r="E14" s="5">
        <v>513.80999999999995</v>
      </c>
      <c r="F14" s="3">
        <v>4.861E-2</v>
      </c>
      <c r="G14" s="3">
        <v>0.17662800000000001</v>
      </c>
      <c r="H14" s="5">
        <v>450.52</v>
      </c>
      <c r="I14" s="3">
        <v>0.125365</v>
      </c>
      <c r="J14" s="3">
        <v>0.15487200000000001</v>
      </c>
      <c r="K14" s="5">
        <v>172.3</v>
      </c>
      <c r="L14" s="3">
        <v>0.153473</v>
      </c>
      <c r="M14" s="3">
        <v>5.9229999999999998E-2</v>
      </c>
      <c r="N14" s="5">
        <v>367.54</v>
      </c>
      <c r="O14" s="3">
        <v>0.21803400000000001</v>
      </c>
      <c r="P14" s="3">
        <v>0.12634600000000001</v>
      </c>
      <c r="Q14" s="5">
        <v>576.02</v>
      </c>
      <c r="R14" s="3">
        <v>0.32547700000000002</v>
      </c>
      <c r="S14" s="3">
        <v>0.198014</v>
      </c>
      <c r="T14" s="5">
        <v>584.1</v>
      </c>
      <c r="U14" s="3">
        <v>0.48119600000000001</v>
      </c>
      <c r="V14" s="3">
        <v>0.200791</v>
      </c>
      <c r="W14" t="s">
        <v>1</v>
      </c>
    </row>
    <row r="15" spans="1:23" x14ac:dyDescent="0.3">
      <c r="A15" t="s">
        <v>16</v>
      </c>
      <c r="B15" s="2">
        <v>2460</v>
      </c>
      <c r="C15" s="3">
        <v>0.110073</v>
      </c>
      <c r="D15" s="3">
        <v>0.79883099999999996</v>
      </c>
      <c r="E15" s="2">
        <v>531</v>
      </c>
      <c r="F15" s="3">
        <v>5.0236000000000003E-2</v>
      </c>
      <c r="G15" s="3">
        <v>0.172431</v>
      </c>
      <c r="H15" s="2">
        <v>0</v>
      </c>
      <c r="I15" s="4">
        <v>0</v>
      </c>
      <c r="J15" s="4">
        <v>0</v>
      </c>
      <c r="K15" s="5">
        <v>88.5</v>
      </c>
      <c r="L15" s="3">
        <v>7.8829999999999997E-2</v>
      </c>
      <c r="M15" s="3">
        <v>2.8738E-2</v>
      </c>
      <c r="N15" s="2">
        <v>0</v>
      </c>
      <c r="O15" s="4">
        <v>0</v>
      </c>
      <c r="P15" s="4">
        <v>0</v>
      </c>
      <c r="Q15" s="2">
        <v>0</v>
      </c>
      <c r="R15" s="4">
        <v>0</v>
      </c>
      <c r="S15" s="4">
        <v>0</v>
      </c>
      <c r="T15" s="2">
        <v>0</v>
      </c>
      <c r="U15" s="4">
        <v>0</v>
      </c>
      <c r="V15" s="4">
        <v>0</v>
      </c>
      <c r="W15" t="s">
        <v>1</v>
      </c>
    </row>
    <row r="16" spans="1:23" x14ac:dyDescent="0.3">
      <c r="A16" t="s">
        <v>17</v>
      </c>
      <c r="B16" s="2">
        <v>840</v>
      </c>
      <c r="C16" s="3">
        <v>3.7586000000000001E-2</v>
      </c>
      <c r="D16" s="3">
        <v>0.5</v>
      </c>
      <c r="E16" s="2">
        <v>420</v>
      </c>
      <c r="F16" s="3">
        <v>3.9734999999999999E-2</v>
      </c>
      <c r="G16" s="3">
        <v>0.25</v>
      </c>
      <c r="H16" s="2">
        <v>210</v>
      </c>
      <c r="I16" s="3">
        <v>5.8436000000000002E-2</v>
      </c>
      <c r="J16" s="3">
        <v>0.125</v>
      </c>
      <c r="K16" s="2">
        <v>0</v>
      </c>
      <c r="L16" s="4">
        <v>0</v>
      </c>
      <c r="M16" s="4">
        <v>0</v>
      </c>
      <c r="N16" s="2">
        <v>105</v>
      </c>
      <c r="O16" s="3">
        <v>6.2288999999999997E-2</v>
      </c>
      <c r="P16" s="3">
        <v>6.25E-2</v>
      </c>
      <c r="Q16" s="2">
        <v>0</v>
      </c>
      <c r="R16" s="4">
        <v>0</v>
      </c>
      <c r="S16" s="4">
        <v>0</v>
      </c>
      <c r="T16" s="2">
        <v>105</v>
      </c>
      <c r="U16" s="3">
        <v>8.6501999999999996E-2</v>
      </c>
      <c r="V16" s="3">
        <v>6.25E-2</v>
      </c>
      <c r="W16" t="s">
        <v>1</v>
      </c>
    </row>
    <row r="17" spans="1:23" x14ac:dyDescent="0.3">
      <c r="A17" t="s">
        <v>18</v>
      </c>
      <c r="B17" s="2">
        <v>2450</v>
      </c>
      <c r="C17" s="3">
        <v>0.109626</v>
      </c>
      <c r="D17" s="3">
        <v>0.96551699999999996</v>
      </c>
      <c r="E17" s="2">
        <v>0</v>
      </c>
      <c r="F17" s="4">
        <v>0</v>
      </c>
      <c r="G17" s="4">
        <v>0</v>
      </c>
      <c r="H17" s="5">
        <v>62.5</v>
      </c>
      <c r="I17" s="3">
        <v>1.7392000000000001E-2</v>
      </c>
      <c r="J17" s="3">
        <v>2.4631E-2</v>
      </c>
      <c r="K17" s="2">
        <v>25</v>
      </c>
      <c r="L17" s="3">
        <v>2.2268E-2</v>
      </c>
      <c r="M17" s="3">
        <v>9.8519999999999996E-3</v>
      </c>
      <c r="N17" s="2">
        <v>0</v>
      </c>
      <c r="O17" s="4">
        <v>0</v>
      </c>
      <c r="P17" s="4">
        <v>0</v>
      </c>
      <c r="Q17" s="2">
        <v>0</v>
      </c>
      <c r="R17" s="4">
        <v>0</v>
      </c>
      <c r="S17" s="4">
        <v>0</v>
      </c>
      <c r="T17" s="2">
        <v>0</v>
      </c>
      <c r="U17" s="4">
        <v>0</v>
      </c>
      <c r="V17" s="4">
        <v>0</v>
      </c>
      <c r="W17" t="s">
        <v>1</v>
      </c>
    </row>
    <row r="18" spans="1:23" x14ac:dyDescent="0.3">
      <c r="A18" t="s">
        <v>19</v>
      </c>
      <c r="B18" s="2">
        <v>3213</v>
      </c>
      <c r="C18" s="3">
        <v>0.143766</v>
      </c>
      <c r="D18" s="3">
        <v>0.81818199999999996</v>
      </c>
      <c r="E18" s="2">
        <v>459</v>
      </c>
      <c r="F18" s="3">
        <v>4.3423999999999997E-2</v>
      </c>
      <c r="G18" s="3">
        <v>0.116883</v>
      </c>
      <c r="H18" s="5">
        <v>127.5</v>
      </c>
      <c r="I18" s="3">
        <v>3.5478999999999997E-2</v>
      </c>
      <c r="J18" s="3">
        <v>3.2467999999999997E-2</v>
      </c>
      <c r="K18" s="5">
        <v>127.5</v>
      </c>
      <c r="L18" s="3">
        <v>0.113569</v>
      </c>
      <c r="M18" s="3">
        <v>3.2467999999999997E-2</v>
      </c>
      <c r="N18" s="2">
        <v>0</v>
      </c>
      <c r="O18" s="4">
        <v>0</v>
      </c>
      <c r="P18" s="4">
        <v>0</v>
      </c>
      <c r="Q18" s="2">
        <v>0</v>
      </c>
      <c r="R18" s="4">
        <v>0</v>
      </c>
      <c r="S18" s="4">
        <v>0</v>
      </c>
      <c r="T18" s="2">
        <v>0</v>
      </c>
      <c r="U18" s="4">
        <v>0</v>
      </c>
      <c r="V18" s="4">
        <v>0</v>
      </c>
      <c r="W18" t="s">
        <v>1</v>
      </c>
    </row>
    <row r="19" spans="1:23" x14ac:dyDescent="0.3">
      <c r="A19" t="s">
        <v>20</v>
      </c>
      <c r="B19" s="2">
        <v>0</v>
      </c>
      <c r="C19" s="4">
        <v>0</v>
      </c>
      <c r="D19" s="4">
        <v>0</v>
      </c>
      <c r="E19" s="2">
        <v>0</v>
      </c>
      <c r="F19" s="4">
        <v>0</v>
      </c>
      <c r="G19" s="4">
        <v>0</v>
      </c>
      <c r="H19" s="2">
        <v>0</v>
      </c>
      <c r="I19" s="4">
        <v>0</v>
      </c>
      <c r="J19" s="4">
        <v>0</v>
      </c>
      <c r="K19" s="2">
        <v>0</v>
      </c>
      <c r="L19" s="4">
        <v>0</v>
      </c>
      <c r="M19" s="4">
        <v>0</v>
      </c>
      <c r="N19" s="2">
        <v>0</v>
      </c>
      <c r="O19" s="4">
        <v>0</v>
      </c>
      <c r="P19" s="4">
        <v>0</v>
      </c>
      <c r="Q19" s="5">
        <v>0.5</v>
      </c>
      <c r="R19" s="3">
        <v>2.8299999999999999E-4</v>
      </c>
      <c r="S19" s="3">
        <v>0.5</v>
      </c>
      <c r="T19" s="5">
        <v>0.5</v>
      </c>
      <c r="U19" s="3">
        <v>4.1199999999999999E-4</v>
      </c>
      <c r="V19" s="3">
        <v>0.5</v>
      </c>
      <c r="W19" t="s">
        <v>1</v>
      </c>
    </row>
    <row r="20" spans="1:23" x14ac:dyDescent="0.3">
      <c r="A20" t="s">
        <v>21</v>
      </c>
      <c r="B20" s="5">
        <v>2259.34</v>
      </c>
      <c r="C20" s="3">
        <v>0.101095</v>
      </c>
      <c r="D20" s="3">
        <v>0.70273200000000002</v>
      </c>
      <c r="E20" s="5">
        <v>839.76</v>
      </c>
      <c r="F20" s="3">
        <v>7.9447000000000004E-2</v>
      </c>
      <c r="G20" s="3">
        <v>0.26119399999999998</v>
      </c>
      <c r="H20" s="2">
        <v>0</v>
      </c>
      <c r="I20" s="4">
        <v>0</v>
      </c>
      <c r="J20" s="4">
        <v>0</v>
      </c>
      <c r="K20" s="2">
        <v>0</v>
      </c>
      <c r="L20" s="4">
        <v>0</v>
      </c>
      <c r="M20" s="4">
        <v>0</v>
      </c>
      <c r="N20" s="5">
        <v>115.98</v>
      </c>
      <c r="O20" s="3">
        <v>6.8802000000000002E-2</v>
      </c>
      <c r="P20" s="3">
        <v>3.6074000000000002E-2</v>
      </c>
      <c r="Q20" s="2">
        <v>0</v>
      </c>
      <c r="R20" s="4">
        <v>0</v>
      </c>
      <c r="S20" s="4">
        <v>0</v>
      </c>
      <c r="T20" s="2">
        <v>0</v>
      </c>
      <c r="U20" s="4">
        <v>0</v>
      </c>
      <c r="V20" s="4">
        <v>0</v>
      </c>
      <c r="W20" t="s">
        <v>1</v>
      </c>
    </row>
    <row r="21" spans="1:23" x14ac:dyDescent="0.3">
      <c r="A21" t="s">
        <v>23</v>
      </c>
      <c r="B21" s="5">
        <v>2803.13</v>
      </c>
      <c r="C21" s="3">
        <v>0.12542700000000001</v>
      </c>
      <c r="D21" s="3">
        <v>0.66547999999999996</v>
      </c>
      <c r="E21" s="5">
        <v>1319.12</v>
      </c>
      <c r="F21" s="3">
        <v>0.12479700000000001</v>
      </c>
      <c r="G21" s="3">
        <v>0.31316699999999997</v>
      </c>
      <c r="H21" s="2">
        <v>0</v>
      </c>
      <c r="I21" s="4">
        <v>0</v>
      </c>
      <c r="J21" s="4">
        <v>0</v>
      </c>
      <c r="K21" s="5">
        <v>89.94</v>
      </c>
      <c r="L21" s="3">
        <v>8.0113000000000004E-2</v>
      </c>
      <c r="M21" s="3">
        <v>2.1351999999999999E-2</v>
      </c>
      <c r="N21" s="2">
        <v>0</v>
      </c>
      <c r="O21" s="4">
        <v>0</v>
      </c>
      <c r="P21" s="4">
        <v>0</v>
      </c>
      <c r="Q21" s="2">
        <v>0</v>
      </c>
      <c r="R21" s="4">
        <v>0</v>
      </c>
      <c r="S21" s="4">
        <v>0</v>
      </c>
      <c r="T21" s="2">
        <v>0</v>
      </c>
      <c r="U21" s="4">
        <v>0</v>
      </c>
      <c r="V21" s="4">
        <v>0</v>
      </c>
      <c r="W21" t="s">
        <v>1</v>
      </c>
    </row>
    <row r="22" spans="1:23" x14ac:dyDescent="0.3">
      <c r="A22" t="s">
        <v>24</v>
      </c>
      <c r="B22" s="5">
        <v>2981.31</v>
      </c>
      <c r="C22" s="3">
        <v>0.13339899999999999</v>
      </c>
      <c r="D22" s="3">
        <v>0.53764999999999996</v>
      </c>
      <c r="E22" s="5">
        <v>2179.1</v>
      </c>
      <c r="F22" s="3">
        <v>0.20615700000000001</v>
      </c>
      <c r="G22" s="3">
        <v>0.39297900000000002</v>
      </c>
      <c r="H22" s="5">
        <v>194.81</v>
      </c>
      <c r="I22" s="3">
        <v>5.4209E-2</v>
      </c>
      <c r="J22" s="3">
        <v>3.5131999999999997E-2</v>
      </c>
      <c r="K22" s="5">
        <v>84.93</v>
      </c>
      <c r="L22" s="3">
        <v>7.5649999999999995E-2</v>
      </c>
      <c r="M22" s="3">
        <v>1.5316E-2</v>
      </c>
      <c r="N22" s="5">
        <v>104.93</v>
      </c>
      <c r="O22" s="3">
        <v>6.2246999999999997E-2</v>
      </c>
      <c r="P22" s="3">
        <v>1.8922999999999999E-2</v>
      </c>
      <c r="Q22" s="2">
        <v>0</v>
      </c>
      <c r="R22" s="4">
        <v>0</v>
      </c>
      <c r="S22" s="4">
        <v>0</v>
      </c>
      <c r="T22" s="2">
        <v>0</v>
      </c>
      <c r="U22" s="4">
        <v>0</v>
      </c>
      <c r="V22" s="4">
        <v>0</v>
      </c>
      <c r="W22" t="s">
        <v>1</v>
      </c>
    </row>
    <row r="23" spans="1:23" x14ac:dyDescent="0.3">
      <c r="A23" t="s">
        <v>25</v>
      </c>
      <c r="B23" s="5">
        <v>424.65</v>
      </c>
      <c r="C23" s="3">
        <v>1.9001000000000001E-2</v>
      </c>
      <c r="D23" s="3">
        <v>0.52475799999999995</v>
      </c>
      <c r="E23" s="5">
        <v>384.58</v>
      </c>
      <c r="F23" s="3">
        <v>3.6384E-2</v>
      </c>
      <c r="G23" s="3">
        <v>0.475242</v>
      </c>
      <c r="H23" s="2">
        <v>0</v>
      </c>
      <c r="I23" s="4">
        <v>0</v>
      </c>
      <c r="J23" s="4">
        <v>0</v>
      </c>
      <c r="K23" s="2">
        <v>0</v>
      </c>
      <c r="L23" s="4">
        <v>0</v>
      </c>
      <c r="M23" s="4">
        <v>0</v>
      </c>
      <c r="N23" s="2">
        <v>0</v>
      </c>
      <c r="O23" s="4">
        <v>0</v>
      </c>
      <c r="P23" s="4">
        <v>0</v>
      </c>
      <c r="Q23" s="2">
        <v>0</v>
      </c>
      <c r="R23" s="4">
        <v>0</v>
      </c>
      <c r="S23" s="4">
        <v>0</v>
      </c>
      <c r="T23" s="2">
        <v>0</v>
      </c>
      <c r="U23" s="4">
        <v>0</v>
      </c>
      <c r="V23" s="4">
        <v>0</v>
      </c>
      <c r="W23" t="s">
        <v>1</v>
      </c>
    </row>
    <row r="26" spans="1:23" x14ac:dyDescent="0.3">
      <c r="A26" t="s">
        <v>26</v>
      </c>
    </row>
    <row r="27" spans="1:23" x14ac:dyDescent="0.3">
      <c r="B27" s="1">
        <v>41468</v>
      </c>
      <c r="C27" t="s">
        <v>1</v>
      </c>
      <c r="D27" t="s">
        <v>1</v>
      </c>
      <c r="E27" t="s">
        <v>184</v>
      </c>
      <c r="F27" t="s">
        <v>1</v>
      </c>
      <c r="G27" t="s">
        <v>1</v>
      </c>
      <c r="H27" t="s">
        <v>185</v>
      </c>
      <c r="I27" t="s">
        <v>1</v>
      </c>
      <c r="J27" t="s">
        <v>1</v>
      </c>
      <c r="K27" t="s">
        <v>186</v>
      </c>
      <c r="L27" t="s">
        <v>1</v>
      </c>
      <c r="M27" t="s">
        <v>1</v>
      </c>
      <c r="N27" t="s">
        <v>187</v>
      </c>
      <c r="O27" t="s">
        <v>1</v>
      </c>
      <c r="P27" t="s">
        <v>1</v>
      </c>
      <c r="Q27" t="s">
        <v>188</v>
      </c>
      <c r="R27" t="s">
        <v>1</v>
      </c>
      <c r="S27" t="s">
        <v>1</v>
      </c>
      <c r="T27" t="s">
        <v>189</v>
      </c>
      <c r="U27" t="s">
        <v>1</v>
      </c>
      <c r="V27" t="s">
        <v>1</v>
      </c>
      <c r="W27" t="s">
        <v>1</v>
      </c>
    </row>
    <row r="28" spans="1:23" x14ac:dyDescent="0.3">
      <c r="A28" t="s">
        <v>2</v>
      </c>
      <c r="B28" t="s">
        <v>3</v>
      </c>
      <c r="C28" t="s">
        <v>4</v>
      </c>
      <c r="D28" t="s">
        <v>5</v>
      </c>
      <c r="E28" t="s">
        <v>6</v>
      </c>
      <c r="F28" t="s">
        <v>4</v>
      </c>
      <c r="G28" t="s">
        <v>5</v>
      </c>
      <c r="H28" t="s">
        <v>6</v>
      </c>
      <c r="I28" t="s">
        <v>4</v>
      </c>
      <c r="J28" t="s">
        <v>5</v>
      </c>
      <c r="K28" t="s">
        <v>6</v>
      </c>
      <c r="L28" t="s">
        <v>4</v>
      </c>
      <c r="M28" t="s">
        <v>5</v>
      </c>
      <c r="N28" t="s">
        <v>6</v>
      </c>
      <c r="O28" t="s">
        <v>4</v>
      </c>
      <c r="P28" t="s">
        <v>5</v>
      </c>
      <c r="Q28" t="s">
        <v>6</v>
      </c>
      <c r="R28" t="s">
        <v>4</v>
      </c>
      <c r="S28" t="s">
        <v>5</v>
      </c>
      <c r="T28" t="s">
        <v>6</v>
      </c>
      <c r="U28" t="s">
        <v>4</v>
      </c>
      <c r="V28" t="s">
        <v>5</v>
      </c>
      <c r="W28" t="s">
        <v>1</v>
      </c>
    </row>
    <row r="29" spans="1:23" x14ac:dyDescent="0.3">
      <c r="A29" t="s">
        <v>27</v>
      </c>
      <c r="B29" s="2">
        <v>40</v>
      </c>
      <c r="C29" s="3">
        <v>3.4188000000000003E-2</v>
      </c>
      <c r="D29" s="3">
        <v>9.0909000000000004E-2</v>
      </c>
      <c r="E29" s="2">
        <v>60</v>
      </c>
      <c r="F29" s="3">
        <v>2.537E-2</v>
      </c>
      <c r="G29" s="3">
        <v>0.13636400000000001</v>
      </c>
      <c r="H29" s="2">
        <v>40</v>
      </c>
      <c r="I29" s="3">
        <v>1.9656E-2</v>
      </c>
      <c r="J29" s="3">
        <v>9.0909000000000004E-2</v>
      </c>
      <c r="K29" s="2">
        <v>80</v>
      </c>
      <c r="L29" s="3">
        <v>5.3691000000000003E-2</v>
      </c>
      <c r="M29" s="3">
        <v>0.18181800000000001</v>
      </c>
      <c r="N29" s="2">
        <v>40</v>
      </c>
      <c r="O29" s="3">
        <v>2.2221999999999999E-2</v>
      </c>
      <c r="P29" s="3">
        <v>9.0909000000000004E-2</v>
      </c>
      <c r="Q29" s="2">
        <v>60</v>
      </c>
      <c r="R29" s="3">
        <v>2.9412000000000001E-2</v>
      </c>
      <c r="S29" s="3">
        <v>0.13636400000000001</v>
      </c>
      <c r="T29" s="2">
        <v>120</v>
      </c>
      <c r="U29" s="3">
        <v>5.5045999999999998E-2</v>
      </c>
      <c r="V29" s="3">
        <v>0.272727</v>
      </c>
      <c r="W29" t="s">
        <v>1</v>
      </c>
    </row>
    <row r="30" spans="1:23" x14ac:dyDescent="0.3">
      <c r="A30" t="s">
        <v>28</v>
      </c>
      <c r="B30" s="2">
        <v>90</v>
      </c>
      <c r="C30" s="3">
        <v>7.6923000000000005E-2</v>
      </c>
      <c r="D30" s="3">
        <v>0.118421</v>
      </c>
      <c r="E30" s="2">
        <v>90</v>
      </c>
      <c r="F30" s="3">
        <v>3.8054999999999999E-2</v>
      </c>
      <c r="G30" s="3">
        <v>0.118421</v>
      </c>
      <c r="H30" s="2">
        <v>110</v>
      </c>
      <c r="I30" s="3">
        <v>5.4053999999999998E-2</v>
      </c>
      <c r="J30" s="3">
        <v>0.144737</v>
      </c>
      <c r="K30" s="2">
        <v>50</v>
      </c>
      <c r="L30" s="3">
        <v>3.3556999999999997E-2</v>
      </c>
      <c r="M30" s="3">
        <v>6.5789E-2</v>
      </c>
      <c r="N30" s="2">
        <v>110</v>
      </c>
      <c r="O30" s="3">
        <v>6.1110999999999999E-2</v>
      </c>
      <c r="P30" s="3">
        <v>0.144737</v>
      </c>
      <c r="Q30" s="2">
        <v>120</v>
      </c>
      <c r="R30" s="3">
        <v>5.8824000000000001E-2</v>
      </c>
      <c r="S30" s="3">
        <v>0.15789500000000001</v>
      </c>
      <c r="T30" s="2">
        <v>190</v>
      </c>
      <c r="U30" s="3">
        <v>8.7155999999999997E-2</v>
      </c>
      <c r="V30" s="3">
        <v>0.25</v>
      </c>
      <c r="W30" t="s">
        <v>1</v>
      </c>
    </row>
    <row r="31" spans="1:23" x14ac:dyDescent="0.3">
      <c r="A31" t="s">
        <v>29</v>
      </c>
      <c r="B31" s="2">
        <v>240</v>
      </c>
      <c r="C31" s="3">
        <v>0.205128</v>
      </c>
      <c r="D31" s="3">
        <v>0.10126599999999999</v>
      </c>
      <c r="E31" s="2">
        <v>495</v>
      </c>
      <c r="F31" s="3">
        <v>0.20930199999999999</v>
      </c>
      <c r="G31" s="3">
        <v>0.20886099999999999</v>
      </c>
      <c r="H31" s="2">
        <v>365</v>
      </c>
      <c r="I31" s="3">
        <v>0.17936099999999999</v>
      </c>
      <c r="J31" s="3">
        <v>0.15400800000000001</v>
      </c>
      <c r="K31" s="2">
        <v>290</v>
      </c>
      <c r="L31" s="3">
        <v>0.194631</v>
      </c>
      <c r="M31" s="3">
        <v>0.122363</v>
      </c>
      <c r="N31" s="2">
        <v>330</v>
      </c>
      <c r="O31" s="3">
        <v>0.183333</v>
      </c>
      <c r="P31" s="3">
        <v>0.139241</v>
      </c>
      <c r="Q31" s="2">
        <v>325</v>
      </c>
      <c r="R31" s="3">
        <v>0.15931400000000001</v>
      </c>
      <c r="S31" s="3">
        <v>0.137131</v>
      </c>
      <c r="T31" s="2">
        <v>325</v>
      </c>
      <c r="U31" s="3">
        <v>0.14908299999999999</v>
      </c>
      <c r="V31" s="3">
        <v>0.137131</v>
      </c>
      <c r="W31" t="s">
        <v>1</v>
      </c>
    </row>
    <row r="32" spans="1:23" x14ac:dyDescent="0.3">
      <c r="A32" t="s">
        <v>30</v>
      </c>
      <c r="B32" s="2">
        <v>120</v>
      </c>
      <c r="C32" s="3">
        <v>0.102564</v>
      </c>
      <c r="D32" s="3">
        <v>9.2308000000000001E-2</v>
      </c>
      <c r="E32" s="2">
        <v>320</v>
      </c>
      <c r="F32" s="3">
        <v>0.13530700000000001</v>
      </c>
      <c r="G32" s="3">
        <v>0.24615400000000001</v>
      </c>
      <c r="H32" s="2">
        <v>140</v>
      </c>
      <c r="I32" s="3">
        <v>6.8795999999999996E-2</v>
      </c>
      <c r="J32" s="3">
        <v>0.107692</v>
      </c>
      <c r="K32" s="2">
        <v>160</v>
      </c>
      <c r="L32" s="3">
        <v>0.10738300000000001</v>
      </c>
      <c r="M32" s="3">
        <v>0.12307700000000001</v>
      </c>
      <c r="N32" s="2">
        <v>220</v>
      </c>
      <c r="O32" s="3">
        <v>0.122222</v>
      </c>
      <c r="P32" s="3">
        <v>0.16923099999999999</v>
      </c>
      <c r="Q32" s="2">
        <v>180</v>
      </c>
      <c r="R32" s="3">
        <v>8.8234999999999994E-2</v>
      </c>
      <c r="S32" s="3">
        <v>0.138462</v>
      </c>
      <c r="T32" s="2">
        <v>160</v>
      </c>
      <c r="U32" s="3">
        <v>7.3394000000000001E-2</v>
      </c>
      <c r="V32" s="3">
        <v>0.12307700000000001</v>
      </c>
      <c r="W32" t="s">
        <v>1</v>
      </c>
    </row>
    <row r="33" spans="1:23" x14ac:dyDescent="0.3">
      <c r="A33" t="s">
        <v>31</v>
      </c>
      <c r="B33" s="2">
        <v>130</v>
      </c>
      <c r="C33" s="3">
        <v>0.111111</v>
      </c>
      <c r="D33" s="3">
        <v>9.0277999999999997E-2</v>
      </c>
      <c r="E33" s="2">
        <v>250</v>
      </c>
      <c r="F33" s="3">
        <v>0.105708</v>
      </c>
      <c r="G33" s="3">
        <v>0.17361099999999999</v>
      </c>
      <c r="H33" s="2">
        <v>230</v>
      </c>
      <c r="I33" s="3">
        <v>0.113022</v>
      </c>
      <c r="J33" s="3">
        <v>0.159722</v>
      </c>
      <c r="K33" s="2">
        <v>120</v>
      </c>
      <c r="L33" s="3">
        <v>8.0536999999999997E-2</v>
      </c>
      <c r="M33" s="3">
        <v>8.3333000000000004E-2</v>
      </c>
      <c r="N33" s="2">
        <v>190</v>
      </c>
      <c r="O33" s="3">
        <v>0.105556</v>
      </c>
      <c r="P33" s="3">
        <v>0.13194400000000001</v>
      </c>
      <c r="Q33" s="2">
        <v>210</v>
      </c>
      <c r="R33" s="3">
        <v>0.102941</v>
      </c>
      <c r="S33" s="3">
        <v>0.14583299999999999</v>
      </c>
      <c r="T33" s="2">
        <v>310</v>
      </c>
      <c r="U33" s="3">
        <v>0.142202</v>
      </c>
      <c r="V33" s="3">
        <v>0.215278</v>
      </c>
      <c r="W33" t="s">
        <v>1</v>
      </c>
    </row>
    <row r="34" spans="1:23" x14ac:dyDescent="0.3">
      <c r="A34" t="s">
        <v>32</v>
      </c>
      <c r="B34" s="2">
        <v>550</v>
      </c>
      <c r="C34" s="3">
        <v>0.47008499999999998</v>
      </c>
      <c r="D34" s="3">
        <v>8.1240999999999994E-2</v>
      </c>
      <c r="E34" s="2">
        <v>1150</v>
      </c>
      <c r="F34" s="3">
        <v>0.48625800000000002</v>
      </c>
      <c r="G34" s="3">
        <v>0.16986699999999999</v>
      </c>
      <c r="H34" s="2">
        <v>1150</v>
      </c>
      <c r="I34" s="3">
        <v>0.56511100000000003</v>
      </c>
      <c r="J34" s="3">
        <v>0.16986699999999999</v>
      </c>
      <c r="K34" s="2">
        <v>790</v>
      </c>
      <c r="L34" s="3">
        <v>0.53020100000000003</v>
      </c>
      <c r="M34" s="3">
        <v>0.116691</v>
      </c>
      <c r="N34" s="2">
        <v>910</v>
      </c>
      <c r="O34" s="3">
        <v>0.50555600000000001</v>
      </c>
      <c r="P34" s="3">
        <v>0.13441700000000001</v>
      </c>
      <c r="Q34" s="2">
        <v>1145</v>
      </c>
      <c r="R34" s="3">
        <v>0.56127499999999997</v>
      </c>
      <c r="S34" s="3">
        <v>0.169129</v>
      </c>
      <c r="T34" s="2">
        <v>1075</v>
      </c>
      <c r="U34" s="3">
        <v>0.49311899999999997</v>
      </c>
      <c r="V34" s="3">
        <v>0.15878900000000001</v>
      </c>
      <c r="W34" t="s">
        <v>1</v>
      </c>
    </row>
    <row r="37" spans="1:23" x14ac:dyDescent="0.3">
      <c r="A37" t="s">
        <v>33</v>
      </c>
    </row>
    <row r="38" spans="1:23" x14ac:dyDescent="0.3">
      <c r="B38" s="1">
        <v>41468</v>
      </c>
      <c r="C38" t="s">
        <v>1</v>
      </c>
      <c r="D38" t="s">
        <v>1</v>
      </c>
      <c r="E38" t="s">
        <v>184</v>
      </c>
      <c r="F38" t="s">
        <v>1</v>
      </c>
      <c r="G38" t="s">
        <v>1</v>
      </c>
      <c r="H38" t="s">
        <v>185</v>
      </c>
      <c r="I38" t="s">
        <v>1</v>
      </c>
      <c r="J38" t="s">
        <v>1</v>
      </c>
      <c r="K38" t="s">
        <v>186</v>
      </c>
      <c r="L38" t="s">
        <v>1</v>
      </c>
      <c r="M38" t="s">
        <v>1</v>
      </c>
      <c r="N38" t="s">
        <v>187</v>
      </c>
      <c r="O38" t="s">
        <v>1</v>
      </c>
      <c r="P38" t="s">
        <v>1</v>
      </c>
      <c r="Q38" t="s">
        <v>188</v>
      </c>
      <c r="R38" t="s">
        <v>1</v>
      </c>
      <c r="S38" t="s">
        <v>1</v>
      </c>
      <c r="T38" t="s">
        <v>189</v>
      </c>
      <c r="U38" t="s">
        <v>1</v>
      </c>
      <c r="V38" t="s">
        <v>1</v>
      </c>
      <c r="W38" t="s">
        <v>1</v>
      </c>
    </row>
    <row r="39" spans="1:23" x14ac:dyDescent="0.3">
      <c r="A39" t="s">
        <v>2</v>
      </c>
      <c r="B39" t="s">
        <v>3</v>
      </c>
      <c r="C39" t="s">
        <v>4</v>
      </c>
      <c r="D39" t="s">
        <v>5</v>
      </c>
      <c r="E39" t="s">
        <v>6</v>
      </c>
      <c r="F39" t="s">
        <v>4</v>
      </c>
      <c r="G39" t="s">
        <v>5</v>
      </c>
      <c r="H39" t="s">
        <v>6</v>
      </c>
      <c r="I39" t="s">
        <v>4</v>
      </c>
      <c r="J39" t="s">
        <v>5</v>
      </c>
      <c r="K39" t="s">
        <v>6</v>
      </c>
      <c r="L39" t="s">
        <v>4</v>
      </c>
      <c r="M39" t="s">
        <v>5</v>
      </c>
      <c r="N39" t="s">
        <v>6</v>
      </c>
      <c r="O39" t="s">
        <v>4</v>
      </c>
      <c r="P39" t="s">
        <v>5</v>
      </c>
      <c r="Q39" t="s">
        <v>6</v>
      </c>
      <c r="R39" t="s">
        <v>4</v>
      </c>
      <c r="S39" t="s">
        <v>5</v>
      </c>
      <c r="T39" t="s">
        <v>6</v>
      </c>
      <c r="U39" t="s">
        <v>4</v>
      </c>
      <c r="V39" t="s">
        <v>5</v>
      </c>
      <c r="W39" t="s">
        <v>1</v>
      </c>
    </row>
    <row r="40" spans="1:23" x14ac:dyDescent="0.3">
      <c r="A40" t="s">
        <v>34</v>
      </c>
      <c r="B40" s="2">
        <v>10</v>
      </c>
      <c r="C40" s="3">
        <v>0.33333299999999999</v>
      </c>
      <c r="D40" s="3">
        <v>1.8867999999999999E-2</v>
      </c>
      <c r="E40" s="2">
        <v>70</v>
      </c>
      <c r="F40" s="3">
        <v>0.19580400000000001</v>
      </c>
      <c r="G40" s="3">
        <v>0.132075</v>
      </c>
      <c r="H40" s="2">
        <v>70</v>
      </c>
      <c r="I40" s="3">
        <v>0.56288199999999999</v>
      </c>
      <c r="J40" s="3">
        <v>0.132075</v>
      </c>
      <c r="K40" s="2">
        <v>110</v>
      </c>
      <c r="L40" s="3">
        <v>0.73333300000000001</v>
      </c>
      <c r="M40" s="3">
        <v>0.20754700000000001</v>
      </c>
      <c r="N40" s="2">
        <v>90</v>
      </c>
      <c r="O40" s="4">
        <v>1</v>
      </c>
      <c r="P40" s="3">
        <v>0.16981099999999999</v>
      </c>
      <c r="Q40" s="2">
        <v>80</v>
      </c>
      <c r="R40" s="3">
        <v>0.633212</v>
      </c>
      <c r="S40" s="3">
        <v>0.15094299999999999</v>
      </c>
      <c r="T40" s="2">
        <v>100</v>
      </c>
      <c r="U40" s="3">
        <v>0.83187800000000001</v>
      </c>
      <c r="V40" s="3">
        <v>0.18867900000000001</v>
      </c>
      <c r="W40" t="s">
        <v>1</v>
      </c>
    </row>
    <row r="41" spans="1:23" x14ac:dyDescent="0.3">
      <c r="A41" t="s">
        <v>35</v>
      </c>
      <c r="B41" s="2">
        <v>20</v>
      </c>
      <c r="C41" s="3">
        <v>0.66666700000000001</v>
      </c>
      <c r="D41" s="3">
        <v>0.111111</v>
      </c>
      <c r="E41" s="2">
        <v>80</v>
      </c>
      <c r="F41" s="3">
        <v>0.223776</v>
      </c>
      <c r="G41" s="3">
        <v>0.44444400000000001</v>
      </c>
      <c r="H41" s="2">
        <v>0</v>
      </c>
      <c r="I41" s="4">
        <v>0</v>
      </c>
      <c r="J41" s="4">
        <v>0</v>
      </c>
      <c r="K41" s="2">
        <v>40</v>
      </c>
      <c r="L41" s="3">
        <v>0.26666699999999999</v>
      </c>
      <c r="M41" s="3">
        <v>0.222222</v>
      </c>
      <c r="N41" s="2">
        <v>0</v>
      </c>
      <c r="O41" s="4">
        <v>0</v>
      </c>
      <c r="P41" s="4">
        <v>0</v>
      </c>
      <c r="Q41" s="2">
        <v>20</v>
      </c>
      <c r="R41" s="3">
        <v>0.158303</v>
      </c>
      <c r="S41" s="3">
        <v>0.111111</v>
      </c>
      <c r="T41" s="2">
        <v>20</v>
      </c>
      <c r="U41" s="3">
        <v>0.166376</v>
      </c>
      <c r="V41" s="3">
        <v>0.111111</v>
      </c>
      <c r="W41" t="s">
        <v>1</v>
      </c>
    </row>
    <row r="42" spans="1:23" x14ac:dyDescent="0.3">
      <c r="A42" t="s">
        <v>36</v>
      </c>
      <c r="B42" s="2">
        <v>0</v>
      </c>
      <c r="C42" s="4">
        <v>0</v>
      </c>
      <c r="D42" s="4">
        <v>0</v>
      </c>
      <c r="E42" s="5">
        <v>207.5</v>
      </c>
      <c r="F42" s="3">
        <v>0.58042000000000005</v>
      </c>
      <c r="G42" s="3">
        <v>0.71946200000000005</v>
      </c>
      <c r="H42" s="5">
        <v>54.36</v>
      </c>
      <c r="I42" s="3">
        <v>0.43711800000000001</v>
      </c>
      <c r="J42" s="3">
        <v>0.18848200000000001</v>
      </c>
      <c r="K42" s="2">
        <v>0</v>
      </c>
      <c r="L42" s="4">
        <v>0</v>
      </c>
      <c r="M42" s="4">
        <v>0</v>
      </c>
      <c r="N42" s="2">
        <v>0</v>
      </c>
      <c r="O42" s="4">
        <v>0</v>
      </c>
      <c r="P42" s="4">
        <v>0</v>
      </c>
      <c r="Q42" s="5">
        <v>26.34</v>
      </c>
      <c r="R42" s="3">
        <v>0.208485</v>
      </c>
      <c r="S42" s="3">
        <v>9.1328000000000006E-2</v>
      </c>
      <c r="T42" s="5">
        <v>0.21</v>
      </c>
      <c r="U42" s="3">
        <v>1.7470000000000001E-3</v>
      </c>
      <c r="V42" s="3">
        <v>7.2800000000000002E-4</v>
      </c>
      <c r="W42" t="s">
        <v>1</v>
      </c>
    </row>
    <row r="45" spans="1:23" x14ac:dyDescent="0.3">
      <c r="A45" t="s">
        <v>37</v>
      </c>
    </row>
    <row r="46" spans="1:23" x14ac:dyDescent="0.3">
      <c r="B46" s="1">
        <v>41468</v>
      </c>
      <c r="C46" t="s">
        <v>1</v>
      </c>
      <c r="D46" t="s">
        <v>1</v>
      </c>
      <c r="E46" t="s">
        <v>184</v>
      </c>
      <c r="F46" t="s">
        <v>1</v>
      </c>
      <c r="G46" t="s">
        <v>1</v>
      </c>
      <c r="H46" t="s">
        <v>185</v>
      </c>
      <c r="I46" t="s">
        <v>1</v>
      </c>
      <c r="J46" t="s">
        <v>1</v>
      </c>
      <c r="K46" t="s">
        <v>186</v>
      </c>
      <c r="L46" t="s">
        <v>1</v>
      </c>
      <c r="M46" t="s">
        <v>1</v>
      </c>
      <c r="N46" t="s">
        <v>187</v>
      </c>
      <c r="O46" t="s">
        <v>1</v>
      </c>
      <c r="P46" t="s">
        <v>1</v>
      </c>
      <c r="Q46" t="s">
        <v>188</v>
      </c>
      <c r="R46" t="s">
        <v>1</v>
      </c>
      <c r="S46" t="s">
        <v>1</v>
      </c>
      <c r="T46" t="s">
        <v>189</v>
      </c>
      <c r="U46" t="s">
        <v>1</v>
      </c>
      <c r="V46" t="s">
        <v>1</v>
      </c>
      <c r="W46" t="s">
        <v>1</v>
      </c>
    </row>
    <row r="47" spans="1:23" x14ac:dyDescent="0.3">
      <c r="A47" t="s">
        <v>2</v>
      </c>
      <c r="B47" t="s">
        <v>3</v>
      </c>
      <c r="C47" t="s">
        <v>4</v>
      </c>
      <c r="D47" t="s">
        <v>5</v>
      </c>
      <c r="E47" t="s">
        <v>6</v>
      </c>
      <c r="F47" t="s">
        <v>4</v>
      </c>
      <c r="G47" t="s">
        <v>5</v>
      </c>
      <c r="H47" t="s">
        <v>6</v>
      </c>
      <c r="I47" t="s">
        <v>4</v>
      </c>
      <c r="J47" t="s">
        <v>5</v>
      </c>
      <c r="K47" t="s">
        <v>6</v>
      </c>
      <c r="L47" t="s">
        <v>4</v>
      </c>
      <c r="M47" t="s">
        <v>5</v>
      </c>
      <c r="N47" t="s">
        <v>6</v>
      </c>
      <c r="O47" t="s">
        <v>4</v>
      </c>
      <c r="P47" t="s">
        <v>5</v>
      </c>
      <c r="Q47" t="s">
        <v>6</v>
      </c>
      <c r="R47" t="s">
        <v>4</v>
      </c>
      <c r="S47" t="s">
        <v>5</v>
      </c>
      <c r="T47" t="s">
        <v>6</v>
      </c>
      <c r="U47" t="s">
        <v>4</v>
      </c>
      <c r="V47" t="s">
        <v>5</v>
      </c>
      <c r="W47" t="s">
        <v>1</v>
      </c>
    </row>
    <row r="48" spans="1:23" x14ac:dyDescent="0.3">
      <c r="A48" t="s">
        <v>7</v>
      </c>
      <c r="B48" s="2">
        <v>225</v>
      </c>
      <c r="C48" s="3">
        <v>9.5549999999999993E-3</v>
      </c>
      <c r="D48" s="3">
        <v>0.11957</v>
      </c>
      <c r="E48" s="2">
        <v>600</v>
      </c>
      <c r="F48" s="3">
        <v>4.5137999999999998E-2</v>
      </c>
      <c r="G48" s="3">
        <v>0.31885200000000002</v>
      </c>
      <c r="H48" s="2">
        <v>300</v>
      </c>
      <c r="I48" s="3">
        <v>5.2145999999999998E-2</v>
      </c>
      <c r="J48" s="3">
        <v>0.15942600000000001</v>
      </c>
      <c r="K48" s="2">
        <v>75</v>
      </c>
      <c r="L48" s="3">
        <v>2.7147999999999999E-2</v>
      </c>
      <c r="M48" s="3">
        <v>3.9856999999999997E-2</v>
      </c>
      <c r="N48" s="5">
        <v>381.75</v>
      </c>
      <c r="O48" s="3">
        <v>0.106762</v>
      </c>
      <c r="P48" s="3">
        <v>0.20286999999999999</v>
      </c>
      <c r="Q48" s="2">
        <v>300</v>
      </c>
      <c r="R48" s="3">
        <v>7.6216999999999993E-2</v>
      </c>
      <c r="S48" s="3">
        <v>0.15942600000000001</v>
      </c>
      <c r="T48" s="2">
        <v>0</v>
      </c>
      <c r="U48" s="4">
        <v>0</v>
      </c>
      <c r="V48" s="4">
        <v>0</v>
      </c>
      <c r="W48" t="s">
        <v>1</v>
      </c>
    </row>
    <row r="49" spans="1:23" x14ac:dyDescent="0.3">
      <c r="A49" t="s">
        <v>8</v>
      </c>
      <c r="B49" s="2">
        <v>1000</v>
      </c>
      <c r="C49" s="3">
        <v>4.2465000000000003E-2</v>
      </c>
      <c r="D49" s="3">
        <v>0.38095200000000001</v>
      </c>
      <c r="E49" s="2">
        <v>375</v>
      </c>
      <c r="F49" s="3">
        <v>2.8211E-2</v>
      </c>
      <c r="G49" s="3">
        <v>0.14285700000000001</v>
      </c>
      <c r="H49" s="2">
        <v>750</v>
      </c>
      <c r="I49" s="3">
        <v>0.13036600000000001</v>
      </c>
      <c r="J49" s="3">
        <v>0.28571400000000002</v>
      </c>
      <c r="K49" s="2">
        <v>0</v>
      </c>
      <c r="L49" s="4">
        <v>0</v>
      </c>
      <c r="M49" s="4">
        <v>0</v>
      </c>
      <c r="N49" s="2">
        <v>125</v>
      </c>
      <c r="O49" s="3">
        <v>3.4958000000000003E-2</v>
      </c>
      <c r="P49" s="3">
        <v>4.7619000000000002E-2</v>
      </c>
      <c r="Q49" s="2">
        <v>375</v>
      </c>
      <c r="R49" s="3">
        <v>9.5271999999999996E-2</v>
      </c>
      <c r="S49" s="3">
        <v>0.14285700000000001</v>
      </c>
      <c r="T49" s="2">
        <v>0</v>
      </c>
      <c r="U49" s="4">
        <v>0</v>
      </c>
      <c r="V49" s="4">
        <v>0</v>
      </c>
      <c r="W49" t="s">
        <v>1</v>
      </c>
    </row>
    <row r="50" spans="1:23" x14ac:dyDescent="0.3">
      <c r="A50" t="s">
        <v>9</v>
      </c>
      <c r="B50" s="5">
        <v>106.65</v>
      </c>
      <c r="C50" s="3">
        <v>4.529E-3</v>
      </c>
      <c r="D50" s="3">
        <v>0.23275899999999999</v>
      </c>
      <c r="E50" s="5">
        <v>98.75</v>
      </c>
      <c r="F50" s="3">
        <v>7.4289999999999998E-3</v>
      </c>
      <c r="G50" s="3">
        <v>0.21551699999999999</v>
      </c>
      <c r="H50" s="5">
        <v>51.35</v>
      </c>
      <c r="I50" s="3">
        <v>8.9259999999999999E-3</v>
      </c>
      <c r="J50" s="3">
        <v>0.112069</v>
      </c>
      <c r="K50" s="5">
        <v>39.5</v>
      </c>
      <c r="L50" s="3">
        <v>1.4298E-2</v>
      </c>
      <c r="M50" s="3">
        <v>8.6207000000000006E-2</v>
      </c>
      <c r="N50" s="5">
        <v>39.5</v>
      </c>
      <c r="O50" s="3">
        <v>1.1047E-2</v>
      </c>
      <c r="P50" s="3">
        <v>8.6207000000000006E-2</v>
      </c>
      <c r="Q50" s="5">
        <v>55.3</v>
      </c>
      <c r="R50" s="3">
        <v>1.4049000000000001E-2</v>
      </c>
      <c r="S50" s="3">
        <v>0.12069000000000001</v>
      </c>
      <c r="T50" s="5">
        <v>67.150000000000006</v>
      </c>
      <c r="U50" s="3">
        <v>1.9109000000000001E-2</v>
      </c>
      <c r="V50" s="3">
        <v>0.14655199999999999</v>
      </c>
      <c r="W50" t="s">
        <v>1</v>
      </c>
    </row>
    <row r="51" spans="1:23" x14ac:dyDescent="0.3">
      <c r="A51" t="s">
        <v>10</v>
      </c>
      <c r="B51" s="2">
        <v>3300</v>
      </c>
      <c r="C51" s="3">
        <v>0.14013500000000001</v>
      </c>
      <c r="D51" s="3">
        <v>0.37162200000000001</v>
      </c>
      <c r="E51" s="2">
        <v>2760</v>
      </c>
      <c r="F51" s="3">
        <v>0.20763400000000001</v>
      </c>
      <c r="G51" s="3">
        <v>0.310811</v>
      </c>
      <c r="H51" s="2">
        <v>1440</v>
      </c>
      <c r="I51" s="3">
        <v>0.25030200000000002</v>
      </c>
      <c r="J51" s="3">
        <v>0.162162</v>
      </c>
      <c r="K51" s="2">
        <v>420</v>
      </c>
      <c r="L51" s="3">
        <v>0.152027</v>
      </c>
      <c r="M51" s="3">
        <v>4.7296999999999999E-2</v>
      </c>
      <c r="N51" s="2">
        <v>360</v>
      </c>
      <c r="O51" s="3">
        <v>0.10068000000000001</v>
      </c>
      <c r="P51" s="3">
        <v>4.0541000000000001E-2</v>
      </c>
      <c r="Q51" s="2">
        <v>420</v>
      </c>
      <c r="R51" s="3">
        <v>0.10670399999999999</v>
      </c>
      <c r="S51" s="3">
        <v>4.7296999999999999E-2</v>
      </c>
      <c r="T51" s="2">
        <v>180</v>
      </c>
      <c r="U51" s="3">
        <v>5.1222999999999998E-2</v>
      </c>
      <c r="V51" s="3">
        <v>2.027E-2</v>
      </c>
      <c r="W51" t="s">
        <v>1</v>
      </c>
    </row>
    <row r="52" spans="1:23" x14ac:dyDescent="0.3">
      <c r="A52" t="s">
        <v>66</v>
      </c>
      <c r="B52" s="2">
        <v>0</v>
      </c>
      <c r="C52" s="4">
        <v>0</v>
      </c>
      <c r="D52" s="4">
        <v>0</v>
      </c>
      <c r="E52" s="2">
        <v>0</v>
      </c>
      <c r="F52" s="4">
        <v>0</v>
      </c>
      <c r="G52" s="4">
        <v>0</v>
      </c>
      <c r="H52" s="2">
        <v>0</v>
      </c>
      <c r="I52" s="4">
        <v>0</v>
      </c>
      <c r="J52" s="4">
        <v>0</v>
      </c>
      <c r="K52" s="2">
        <v>0</v>
      </c>
      <c r="L52" s="4">
        <v>0</v>
      </c>
      <c r="M52" s="4">
        <v>0</v>
      </c>
      <c r="N52" s="2">
        <v>65</v>
      </c>
      <c r="O52" s="3">
        <v>1.8178E-2</v>
      </c>
      <c r="P52" s="4">
        <v>1</v>
      </c>
      <c r="Q52" s="2">
        <v>0</v>
      </c>
      <c r="R52" s="4">
        <v>0</v>
      </c>
      <c r="S52" s="4">
        <v>0</v>
      </c>
      <c r="T52" s="2">
        <v>0</v>
      </c>
      <c r="U52" s="4">
        <v>0</v>
      </c>
      <c r="V52" s="4">
        <v>0</v>
      </c>
      <c r="W52" t="s">
        <v>1</v>
      </c>
    </row>
    <row r="53" spans="1:23" x14ac:dyDescent="0.3">
      <c r="A53" t="s">
        <v>11</v>
      </c>
      <c r="B53" s="2">
        <v>21</v>
      </c>
      <c r="C53" s="3">
        <v>8.92E-4</v>
      </c>
      <c r="D53" s="3">
        <v>0.15789500000000001</v>
      </c>
      <c r="E53" s="2">
        <v>42</v>
      </c>
      <c r="F53" s="3">
        <v>3.16E-3</v>
      </c>
      <c r="G53" s="3">
        <v>0.31578899999999999</v>
      </c>
      <c r="H53" s="2">
        <v>7</v>
      </c>
      <c r="I53" s="3">
        <v>1.217E-3</v>
      </c>
      <c r="J53" s="3">
        <v>5.2631999999999998E-2</v>
      </c>
      <c r="K53" s="2">
        <v>0</v>
      </c>
      <c r="L53" s="4">
        <v>0</v>
      </c>
      <c r="M53" s="4">
        <v>0</v>
      </c>
      <c r="N53" s="2">
        <v>21</v>
      </c>
      <c r="O53" s="3">
        <v>5.8729999999999997E-3</v>
      </c>
      <c r="P53" s="3">
        <v>0.15789500000000001</v>
      </c>
      <c r="Q53" s="2">
        <v>14</v>
      </c>
      <c r="R53" s="3">
        <v>3.5569999999999998E-3</v>
      </c>
      <c r="S53" s="3">
        <v>0.105263</v>
      </c>
      <c r="T53" s="2">
        <v>28</v>
      </c>
      <c r="U53" s="3">
        <v>7.9679999999999994E-3</v>
      </c>
      <c r="V53" s="3">
        <v>0.21052599999999999</v>
      </c>
      <c r="W53" t="s">
        <v>1</v>
      </c>
    </row>
    <row r="54" spans="1:23" x14ac:dyDescent="0.3">
      <c r="A54" t="s">
        <v>12</v>
      </c>
      <c r="B54" s="2">
        <v>0</v>
      </c>
      <c r="C54" s="4">
        <v>0</v>
      </c>
      <c r="D54" s="4">
        <v>0</v>
      </c>
      <c r="E54" s="2">
        <v>28</v>
      </c>
      <c r="F54" s="3">
        <v>2.1059999999999998E-3</v>
      </c>
      <c r="G54" s="3">
        <v>0.66666700000000001</v>
      </c>
      <c r="H54" s="2">
        <v>0</v>
      </c>
      <c r="I54" s="4">
        <v>0</v>
      </c>
      <c r="J54" s="4">
        <v>0</v>
      </c>
      <c r="K54" s="2">
        <v>0</v>
      </c>
      <c r="L54" s="4">
        <v>0</v>
      </c>
      <c r="M54" s="4">
        <v>0</v>
      </c>
      <c r="N54" s="2">
        <v>0</v>
      </c>
      <c r="O54" s="4">
        <v>0</v>
      </c>
      <c r="P54" s="4">
        <v>0</v>
      </c>
      <c r="Q54" s="2">
        <v>14</v>
      </c>
      <c r="R54" s="3">
        <v>3.5569999999999998E-3</v>
      </c>
      <c r="S54" s="3">
        <v>0.33333299999999999</v>
      </c>
      <c r="T54" s="2">
        <v>0</v>
      </c>
      <c r="U54" s="4">
        <v>0</v>
      </c>
      <c r="V54" s="4">
        <v>0</v>
      </c>
      <c r="W54" t="s">
        <v>1</v>
      </c>
    </row>
    <row r="55" spans="1:23" x14ac:dyDescent="0.3">
      <c r="A55" t="s">
        <v>67</v>
      </c>
      <c r="B55" s="2">
        <v>20</v>
      </c>
      <c r="C55" s="3">
        <v>8.4900000000000004E-4</v>
      </c>
      <c r="D55" s="3">
        <v>0.5</v>
      </c>
      <c r="E55" s="2">
        <v>20</v>
      </c>
      <c r="F55" s="3">
        <v>1.505E-3</v>
      </c>
      <c r="G55" s="3">
        <v>0.5</v>
      </c>
      <c r="H55" s="2">
        <v>0</v>
      </c>
      <c r="I55" s="4">
        <v>0</v>
      </c>
      <c r="J55" s="4">
        <v>0</v>
      </c>
      <c r="K55" s="2">
        <v>0</v>
      </c>
      <c r="L55" s="4">
        <v>0</v>
      </c>
      <c r="M55" s="4">
        <v>0</v>
      </c>
      <c r="N55" s="2">
        <v>0</v>
      </c>
      <c r="O55" s="4">
        <v>0</v>
      </c>
      <c r="P55" s="4">
        <v>0</v>
      </c>
      <c r="Q55" s="2">
        <v>0</v>
      </c>
      <c r="R55" s="4">
        <v>0</v>
      </c>
      <c r="S55" s="4">
        <v>0</v>
      </c>
      <c r="T55" s="2">
        <v>0</v>
      </c>
      <c r="U55" s="4">
        <v>0</v>
      </c>
      <c r="V55" s="4">
        <v>0</v>
      </c>
      <c r="W55" t="s">
        <v>1</v>
      </c>
    </row>
    <row r="56" spans="1:23" x14ac:dyDescent="0.3">
      <c r="A56" t="s">
        <v>13</v>
      </c>
      <c r="B56" s="2">
        <v>0</v>
      </c>
      <c r="C56" s="4">
        <v>0</v>
      </c>
      <c r="D56" s="4">
        <v>0</v>
      </c>
      <c r="E56" s="2">
        <v>0</v>
      </c>
      <c r="F56" s="4">
        <v>0</v>
      </c>
      <c r="G56" s="4">
        <v>0</v>
      </c>
      <c r="H56" s="2">
        <v>0</v>
      </c>
      <c r="I56" s="4">
        <v>0</v>
      </c>
      <c r="J56" s="4">
        <v>0</v>
      </c>
      <c r="K56" s="2">
        <v>0</v>
      </c>
      <c r="L56" s="4">
        <v>0</v>
      </c>
      <c r="M56" s="4">
        <v>0</v>
      </c>
      <c r="N56" s="2">
        <v>0</v>
      </c>
      <c r="O56" s="4">
        <v>0</v>
      </c>
      <c r="P56" s="4">
        <v>0</v>
      </c>
      <c r="Q56" s="2">
        <v>0</v>
      </c>
      <c r="R56" s="4">
        <v>0</v>
      </c>
      <c r="S56" s="4">
        <v>0</v>
      </c>
      <c r="T56" s="5">
        <v>39.799999999999997</v>
      </c>
      <c r="U56" s="3">
        <v>1.1325999999999999E-2</v>
      </c>
      <c r="V56" s="4">
        <v>1</v>
      </c>
      <c r="W56" t="s">
        <v>1</v>
      </c>
    </row>
    <row r="57" spans="1:23" x14ac:dyDescent="0.3">
      <c r="A57" t="s">
        <v>14</v>
      </c>
      <c r="B57" s="2">
        <v>0</v>
      </c>
      <c r="C57" s="4">
        <v>0</v>
      </c>
      <c r="D57" s="4">
        <v>0</v>
      </c>
      <c r="E57" s="2">
        <v>0</v>
      </c>
      <c r="F57" s="4">
        <v>0</v>
      </c>
      <c r="G57" s="4">
        <v>0</v>
      </c>
      <c r="H57" s="2">
        <v>0</v>
      </c>
      <c r="I57" s="4">
        <v>0</v>
      </c>
      <c r="J57" s="4">
        <v>0</v>
      </c>
      <c r="K57" s="2">
        <v>0</v>
      </c>
      <c r="L57" s="4">
        <v>0</v>
      </c>
      <c r="M57" s="4">
        <v>0</v>
      </c>
      <c r="N57" s="2">
        <v>0</v>
      </c>
      <c r="O57" s="4">
        <v>0</v>
      </c>
      <c r="P57" s="4">
        <v>0</v>
      </c>
      <c r="Q57" s="5">
        <v>14.95</v>
      </c>
      <c r="R57" s="3">
        <v>3.7980000000000002E-3</v>
      </c>
      <c r="S57" s="3">
        <v>6.6667000000000004E-2</v>
      </c>
      <c r="T57" s="5">
        <v>209.3</v>
      </c>
      <c r="U57" s="3">
        <v>5.9561000000000003E-2</v>
      </c>
      <c r="V57" s="3">
        <v>0.93333299999999997</v>
      </c>
      <c r="W57" t="s">
        <v>1</v>
      </c>
    </row>
    <row r="58" spans="1:23" x14ac:dyDescent="0.3">
      <c r="A58" t="s">
        <v>27</v>
      </c>
      <c r="B58" s="2">
        <v>40</v>
      </c>
      <c r="C58" s="3">
        <v>1.699E-3</v>
      </c>
      <c r="D58" s="3">
        <v>9.0909000000000004E-2</v>
      </c>
      <c r="E58" s="2">
        <v>60</v>
      </c>
      <c r="F58" s="3">
        <v>4.5139999999999998E-3</v>
      </c>
      <c r="G58" s="3">
        <v>0.13636400000000001</v>
      </c>
      <c r="H58" s="2">
        <v>40</v>
      </c>
      <c r="I58" s="3">
        <v>6.953E-3</v>
      </c>
      <c r="J58" s="3">
        <v>9.0909000000000004E-2</v>
      </c>
      <c r="K58" s="2">
        <v>80</v>
      </c>
      <c r="L58" s="3">
        <v>2.8957E-2</v>
      </c>
      <c r="M58" s="3">
        <v>0.18181800000000001</v>
      </c>
      <c r="N58" s="2">
        <v>40</v>
      </c>
      <c r="O58" s="3">
        <v>1.1187000000000001E-2</v>
      </c>
      <c r="P58" s="3">
        <v>9.0909000000000004E-2</v>
      </c>
      <c r="Q58" s="2">
        <v>60</v>
      </c>
      <c r="R58" s="3">
        <v>1.5243E-2</v>
      </c>
      <c r="S58" s="3">
        <v>0.13636400000000001</v>
      </c>
      <c r="T58" s="2">
        <v>120</v>
      </c>
      <c r="U58" s="3">
        <v>3.4148999999999999E-2</v>
      </c>
      <c r="V58" s="3">
        <v>0.272727</v>
      </c>
      <c r="W58" t="s">
        <v>1</v>
      </c>
    </row>
    <row r="59" spans="1:23" x14ac:dyDescent="0.3">
      <c r="A59" t="s">
        <v>28</v>
      </c>
      <c r="B59" s="2">
        <v>90</v>
      </c>
      <c r="C59" s="3">
        <v>3.8219999999999999E-3</v>
      </c>
      <c r="D59" s="3">
        <v>0.118421</v>
      </c>
      <c r="E59" s="2">
        <v>90</v>
      </c>
      <c r="F59" s="3">
        <v>6.7710000000000001E-3</v>
      </c>
      <c r="G59" s="3">
        <v>0.118421</v>
      </c>
      <c r="H59" s="2">
        <v>110</v>
      </c>
      <c r="I59" s="3">
        <v>1.9120000000000002E-2</v>
      </c>
      <c r="J59" s="3">
        <v>0.144737</v>
      </c>
      <c r="K59" s="2">
        <v>50</v>
      </c>
      <c r="L59" s="3">
        <v>1.8098E-2</v>
      </c>
      <c r="M59" s="3">
        <v>6.5789E-2</v>
      </c>
      <c r="N59" s="2">
        <v>110</v>
      </c>
      <c r="O59" s="3">
        <v>3.0762999999999999E-2</v>
      </c>
      <c r="P59" s="3">
        <v>0.144737</v>
      </c>
      <c r="Q59" s="2">
        <v>120</v>
      </c>
      <c r="R59" s="3">
        <v>3.0487E-2</v>
      </c>
      <c r="S59" s="3">
        <v>0.15789500000000001</v>
      </c>
      <c r="T59" s="2">
        <v>190</v>
      </c>
      <c r="U59" s="3">
        <v>5.4068999999999999E-2</v>
      </c>
      <c r="V59" s="3">
        <v>0.25</v>
      </c>
      <c r="W59" t="s">
        <v>1</v>
      </c>
    </row>
    <row r="60" spans="1:23" x14ac:dyDescent="0.3">
      <c r="A60" t="s">
        <v>29</v>
      </c>
      <c r="B60" s="2">
        <v>240</v>
      </c>
      <c r="C60" s="3">
        <v>1.0192E-2</v>
      </c>
      <c r="D60" s="3">
        <v>0.10126599999999999</v>
      </c>
      <c r="E60" s="2">
        <v>495</v>
      </c>
      <c r="F60" s="3">
        <v>3.7239000000000001E-2</v>
      </c>
      <c r="G60" s="3">
        <v>0.20886099999999999</v>
      </c>
      <c r="H60" s="2">
        <v>365</v>
      </c>
      <c r="I60" s="3">
        <v>6.3445000000000001E-2</v>
      </c>
      <c r="J60" s="3">
        <v>0.15400800000000001</v>
      </c>
      <c r="K60" s="2">
        <v>290</v>
      </c>
      <c r="L60" s="3">
        <v>0.10497099999999999</v>
      </c>
      <c r="M60" s="3">
        <v>0.122363</v>
      </c>
      <c r="N60" s="2">
        <v>330</v>
      </c>
      <c r="O60" s="3">
        <v>9.2289999999999997E-2</v>
      </c>
      <c r="P60" s="3">
        <v>0.139241</v>
      </c>
      <c r="Q60" s="2">
        <v>325</v>
      </c>
      <c r="R60" s="3">
        <v>8.2569000000000004E-2</v>
      </c>
      <c r="S60" s="3">
        <v>0.137131</v>
      </c>
      <c r="T60" s="2">
        <v>325</v>
      </c>
      <c r="U60" s="3">
        <v>9.2485999999999999E-2</v>
      </c>
      <c r="V60" s="3">
        <v>0.137131</v>
      </c>
      <c r="W60" t="s">
        <v>1</v>
      </c>
    </row>
    <row r="61" spans="1:23" x14ac:dyDescent="0.3">
      <c r="A61" t="s">
        <v>30</v>
      </c>
      <c r="B61" s="2">
        <v>120</v>
      </c>
      <c r="C61" s="3">
        <v>5.0959999999999998E-3</v>
      </c>
      <c r="D61" s="3">
        <v>9.2308000000000001E-2</v>
      </c>
      <c r="E61" s="2">
        <v>320</v>
      </c>
      <c r="F61" s="3">
        <v>2.4074000000000002E-2</v>
      </c>
      <c r="G61" s="3">
        <v>0.24615400000000001</v>
      </c>
      <c r="H61" s="2">
        <v>140</v>
      </c>
      <c r="I61" s="3">
        <v>2.4334999999999999E-2</v>
      </c>
      <c r="J61" s="3">
        <v>0.107692</v>
      </c>
      <c r="K61" s="2">
        <v>160</v>
      </c>
      <c r="L61" s="3">
        <v>5.7915000000000001E-2</v>
      </c>
      <c r="M61" s="3">
        <v>0.12307700000000001</v>
      </c>
      <c r="N61" s="2">
        <v>220</v>
      </c>
      <c r="O61" s="3">
        <v>6.1525999999999997E-2</v>
      </c>
      <c r="P61" s="3">
        <v>0.16923099999999999</v>
      </c>
      <c r="Q61" s="2">
        <v>180</v>
      </c>
      <c r="R61" s="3">
        <v>4.573E-2</v>
      </c>
      <c r="S61" s="3">
        <v>0.138462</v>
      </c>
      <c r="T61" s="2">
        <v>160</v>
      </c>
      <c r="U61" s="3">
        <v>4.5531000000000002E-2</v>
      </c>
      <c r="V61" s="3">
        <v>0.12307700000000001</v>
      </c>
      <c r="W61" t="s">
        <v>1</v>
      </c>
    </row>
    <row r="62" spans="1:23" x14ac:dyDescent="0.3">
      <c r="A62" t="s">
        <v>31</v>
      </c>
      <c r="B62" s="2">
        <v>130</v>
      </c>
      <c r="C62" s="3">
        <v>5.5199999999999997E-3</v>
      </c>
      <c r="D62" s="3">
        <v>9.0277999999999997E-2</v>
      </c>
      <c r="E62" s="2">
        <v>250</v>
      </c>
      <c r="F62" s="3">
        <v>1.8807000000000001E-2</v>
      </c>
      <c r="G62" s="3">
        <v>0.17361099999999999</v>
      </c>
      <c r="H62" s="2">
        <v>230</v>
      </c>
      <c r="I62" s="3">
        <v>3.9979000000000001E-2</v>
      </c>
      <c r="J62" s="3">
        <v>0.159722</v>
      </c>
      <c r="K62" s="2">
        <v>120</v>
      </c>
      <c r="L62" s="3">
        <v>4.3436000000000002E-2</v>
      </c>
      <c r="M62" s="3">
        <v>8.3333000000000004E-2</v>
      </c>
      <c r="N62" s="2">
        <v>190</v>
      </c>
      <c r="O62" s="3">
        <v>5.3136000000000003E-2</v>
      </c>
      <c r="P62" s="3">
        <v>0.13194400000000001</v>
      </c>
      <c r="Q62" s="2">
        <v>210</v>
      </c>
      <c r="R62" s="3">
        <v>5.3351999999999997E-2</v>
      </c>
      <c r="S62" s="3">
        <v>0.14583299999999999</v>
      </c>
      <c r="T62" s="2">
        <v>310</v>
      </c>
      <c r="U62" s="3">
        <v>8.8217000000000004E-2</v>
      </c>
      <c r="V62" s="3">
        <v>0.215278</v>
      </c>
      <c r="W62" t="s">
        <v>1</v>
      </c>
    </row>
    <row r="63" spans="1:23" x14ac:dyDescent="0.3">
      <c r="A63" t="s">
        <v>32</v>
      </c>
      <c r="B63" s="2">
        <v>550</v>
      </c>
      <c r="C63" s="3">
        <v>2.3355999999999998E-2</v>
      </c>
      <c r="D63" s="3">
        <v>8.1240999999999994E-2</v>
      </c>
      <c r="E63" s="2">
        <v>1150</v>
      </c>
      <c r="F63" s="3">
        <v>8.6513999999999994E-2</v>
      </c>
      <c r="G63" s="3">
        <v>0.16986699999999999</v>
      </c>
      <c r="H63" s="2">
        <v>1150</v>
      </c>
      <c r="I63" s="3">
        <v>0.19989399999999999</v>
      </c>
      <c r="J63" s="3">
        <v>0.16986699999999999</v>
      </c>
      <c r="K63" s="2">
        <v>790</v>
      </c>
      <c r="L63" s="3">
        <v>0.28595500000000001</v>
      </c>
      <c r="M63" s="3">
        <v>0.116691</v>
      </c>
      <c r="N63" s="2">
        <v>910</v>
      </c>
      <c r="O63" s="3">
        <v>0.254496</v>
      </c>
      <c r="P63" s="3">
        <v>0.13441700000000001</v>
      </c>
      <c r="Q63" s="2">
        <v>1145</v>
      </c>
      <c r="R63" s="3">
        <v>0.29089599999999999</v>
      </c>
      <c r="S63" s="3">
        <v>0.169129</v>
      </c>
      <c r="T63" s="2">
        <v>1075</v>
      </c>
      <c r="U63" s="3">
        <v>0.30591400000000002</v>
      </c>
      <c r="V63" s="3">
        <v>0.15878900000000001</v>
      </c>
      <c r="W63" t="s">
        <v>1</v>
      </c>
    </row>
    <row r="64" spans="1:23" x14ac:dyDescent="0.3">
      <c r="A64" t="s">
        <v>34</v>
      </c>
      <c r="B64" s="2">
        <v>10</v>
      </c>
      <c r="C64" s="3">
        <v>4.2499999999999998E-4</v>
      </c>
      <c r="D64" s="3">
        <v>1.8867999999999999E-2</v>
      </c>
      <c r="E64" s="2">
        <v>70</v>
      </c>
      <c r="F64" s="3">
        <v>5.2659999999999998E-3</v>
      </c>
      <c r="G64" s="3">
        <v>0.132075</v>
      </c>
      <c r="H64" s="2">
        <v>70</v>
      </c>
      <c r="I64" s="3">
        <v>1.2167000000000001E-2</v>
      </c>
      <c r="J64" s="3">
        <v>0.132075</v>
      </c>
      <c r="K64" s="2">
        <v>110</v>
      </c>
      <c r="L64" s="3">
        <v>3.9816999999999998E-2</v>
      </c>
      <c r="M64" s="3">
        <v>0.20754700000000001</v>
      </c>
      <c r="N64" s="2">
        <v>90</v>
      </c>
      <c r="O64" s="3">
        <v>2.5170000000000001E-2</v>
      </c>
      <c r="P64" s="3">
        <v>0.16981099999999999</v>
      </c>
      <c r="Q64" s="2">
        <v>80</v>
      </c>
      <c r="R64" s="3">
        <v>2.0324999999999999E-2</v>
      </c>
      <c r="S64" s="3">
        <v>0.15094299999999999</v>
      </c>
      <c r="T64" s="2">
        <v>100</v>
      </c>
      <c r="U64" s="3">
        <v>2.8457E-2</v>
      </c>
      <c r="V64" s="3">
        <v>0.18867900000000001</v>
      </c>
      <c r="W64" t="s">
        <v>1</v>
      </c>
    </row>
    <row r="65" spans="1:23" x14ac:dyDescent="0.3">
      <c r="A65" t="s">
        <v>35</v>
      </c>
      <c r="B65" s="2">
        <v>20</v>
      </c>
      <c r="C65" s="3">
        <v>8.4900000000000004E-4</v>
      </c>
      <c r="D65" s="3">
        <v>0.111111</v>
      </c>
      <c r="E65" s="2">
        <v>80</v>
      </c>
      <c r="F65" s="3">
        <v>6.0179999999999999E-3</v>
      </c>
      <c r="G65" s="3">
        <v>0.44444400000000001</v>
      </c>
      <c r="H65" s="2">
        <v>0</v>
      </c>
      <c r="I65" s="4">
        <v>0</v>
      </c>
      <c r="J65" s="4">
        <v>0</v>
      </c>
      <c r="K65" s="2">
        <v>40</v>
      </c>
      <c r="L65" s="3">
        <v>1.4479000000000001E-2</v>
      </c>
      <c r="M65" s="3">
        <v>0.222222</v>
      </c>
      <c r="N65" s="2">
        <v>0</v>
      </c>
      <c r="O65" s="4">
        <v>0</v>
      </c>
      <c r="P65" s="4">
        <v>0</v>
      </c>
      <c r="Q65" s="2">
        <v>20</v>
      </c>
      <c r="R65" s="3">
        <v>5.0809999999999996E-3</v>
      </c>
      <c r="S65" s="3">
        <v>0.111111</v>
      </c>
      <c r="T65" s="2">
        <v>20</v>
      </c>
      <c r="U65" s="3">
        <v>5.6909999999999999E-3</v>
      </c>
      <c r="V65" s="3">
        <v>0.111111</v>
      </c>
      <c r="W65" t="s">
        <v>1</v>
      </c>
    </row>
    <row r="66" spans="1:23" x14ac:dyDescent="0.3">
      <c r="A66" t="s">
        <v>36</v>
      </c>
      <c r="B66" s="2">
        <v>0</v>
      </c>
      <c r="C66" s="4">
        <v>0</v>
      </c>
      <c r="D66" s="4">
        <v>0</v>
      </c>
      <c r="E66" s="5">
        <v>207.5</v>
      </c>
      <c r="F66" s="3">
        <v>1.5610000000000001E-2</v>
      </c>
      <c r="G66" s="3">
        <v>0.71946200000000005</v>
      </c>
      <c r="H66" s="5">
        <v>54.36</v>
      </c>
      <c r="I66" s="3">
        <v>9.4490000000000008E-3</v>
      </c>
      <c r="J66" s="3">
        <v>0.18848200000000001</v>
      </c>
      <c r="K66" s="2">
        <v>0</v>
      </c>
      <c r="L66" s="4">
        <v>0</v>
      </c>
      <c r="M66" s="4">
        <v>0</v>
      </c>
      <c r="N66" s="2">
        <v>0</v>
      </c>
      <c r="O66" s="4">
        <v>0</v>
      </c>
      <c r="P66" s="4">
        <v>0</v>
      </c>
      <c r="Q66" s="5">
        <v>26.34</v>
      </c>
      <c r="R66" s="3">
        <v>6.692E-3</v>
      </c>
      <c r="S66" s="3">
        <v>9.1328000000000006E-2</v>
      </c>
      <c r="T66" s="5">
        <v>0.21</v>
      </c>
      <c r="U66" s="3">
        <v>6.0000000000000002E-5</v>
      </c>
      <c r="V66" s="3">
        <v>7.2800000000000002E-4</v>
      </c>
      <c r="W66" t="s">
        <v>1</v>
      </c>
    </row>
    <row r="67" spans="1:23" x14ac:dyDescent="0.3">
      <c r="A67" t="s">
        <v>15</v>
      </c>
      <c r="B67" s="5">
        <v>244.7</v>
      </c>
      <c r="C67" s="3">
        <v>1.0390999999999999E-2</v>
      </c>
      <c r="D67" s="3">
        <v>8.4118999999999999E-2</v>
      </c>
      <c r="E67" s="5">
        <v>513.80999999999995</v>
      </c>
      <c r="F67" s="3">
        <v>3.8654000000000001E-2</v>
      </c>
      <c r="G67" s="3">
        <v>0.17662800000000001</v>
      </c>
      <c r="H67" s="5">
        <v>450.52</v>
      </c>
      <c r="I67" s="3">
        <v>7.8310000000000005E-2</v>
      </c>
      <c r="J67" s="3">
        <v>0.15487200000000001</v>
      </c>
      <c r="K67" s="5">
        <v>172.3</v>
      </c>
      <c r="L67" s="3">
        <v>6.2366999999999999E-2</v>
      </c>
      <c r="M67" s="3">
        <v>5.9229999999999998E-2</v>
      </c>
      <c r="N67" s="5">
        <v>367.54</v>
      </c>
      <c r="O67" s="3">
        <v>0.102788</v>
      </c>
      <c r="P67" s="3">
        <v>0.12634600000000001</v>
      </c>
      <c r="Q67" s="5">
        <v>576.02</v>
      </c>
      <c r="R67" s="3">
        <v>0.146342</v>
      </c>
      <c r="S67" s="3">
        <v>0.198014</v>
      </c>
      <c r="T67" s="5">
        <v>584.1</v>
      </c>
      <c r="U67" s="3">
        <v>0.166218</v>
      </c>
      <c r="V67" s="3">
        <v>0.200791</v>
      </c>
      <c r="W67" t="s">
        <v>1</v>
      </c>
    </row>
    <row r="68" spans="1:23" x14ac:dyDescent="0.3">
      <c r="A68" t="s">
        <v>16</v>
      </c>
      <c r="B68" s="2">
        <v>2460</v>
      </c>
      <c r="C68" s="3">
        <v>0.104464</v>
      </c>
      <c r="D68" s="3">
        <v>0.79883099999999996</v>
      </c>
      <c r="E68" s="2">
        <v>531</v>
      </c>
      <c r="F68" s="3">
        <v>3.9947000000000003E-2</v>
      </c>
      <c r="G68" s="3">
        <v>0.172431</v>
      </c>
      <c r="H68" s="2">
        <v>0</v>
      </c>
      <c r="I68" s="4">
        <v>0</v>
      </c>
      <c r="J68" s="4">
        <v>0</v>
      </c>
      <c r="K68" s="5">
        <v>88.5</v>
      </c>
      <c r="L68" s="3">
        <v>3.2034E-2</v>
      </c>
      <c r="M68" s="3">
        <v>2.8738E-2</v>
      </c>
      <c r="N68" s="2">
        <v>0</v>
      </c>
      <c r="O68" s="4">
        <v>0</v>
      </c>
      <c r="P68" s="4">
        <v>0</v>
      </c>
      <c r="Q68" s="2">
        <v>0</v>
      </c>
      <c r="R68" s="4">
        <v>0</v>
      </c>
      <c r="S68" s="4">
        <v>0</v>
      </c>
      <c r="T68" s="2">
        <v>0</v>
      </c>
      <c r="U68" s="4">
        <v>0</v>
      </c>
      <c r="V68" s="4">
        <v>0</v>
      </c>
      <c r="W68" t="s">
        <v>1</v>
      </c>
    </row>
    <row r="69" spans="1:23" x14ac:dyDescent="0.3">
      <c r="A69" t="s">
        <v>17</v>
      </c>
      <c r="B69" s="2">
        <v>840</v>
      </c>
      <c r="C69" s="3">
        <v>3.5671000000000001E-2</v>
      </c>
      <c r="D69" s="3">
        <v>0.5</v>
      </c>
      <c r="E69" s="2">
        <v>420</v>
      </c>
      <c r="F69" s="3">
        <v>3.1595999999999999E-2</v>
      </c>
      <c r="G69" s="3">
        <v>0.25</v>
      </c>
      <c r="H69" s="2">
        <v>210</v>
      </c>
      <c r="I69" s="3">
        <v>3.6502E-2</v>
      </c>
      <c r="J69" s="3">
        <v>0.125</v>
      </c>
      <c r="K69" s="2">
        <v>0</v>
      </c>
      <c r="L69" s="4">
        <v>0</v>
      </c>
      <c r="M69" s="4">
        <v>0</v>
      </c>
      <c r="N69" s="2">
        <v>105</v>
      </c>
      <c r="O69" s="3">
        <v>2.9364999999999999E-2</v>
      </c>
      <c r="P69" s="3">
        <v>6.25E-2</v>
      </c>
      <c r="Q69" s="2">
        <v>0</v>
      </c>
      <c r="R69" s="4">
        <v>0</v>
      </c>
      <c r="S69" s="4">
        <v>0</v>
      </c>
      <c r="T69" s="2">
        <v>105</v>
      </c>
      <c r="U69" s="3">
        <v>2.988E-2</v>
      </c>
      <c r="V69" s="3">
        <v>6.25E-2</v>
      </c>
      <c r="W69" t="s">
        <v>1</v>
      </c>
    </row>
    <row r="70" spans="1:23" x14ac:dyDescent="0.3">
      <c r="A70" t="s">
        <v>18</v>
      </c>
      <c r="B70" s="2">
        <v>2450</v>
      </c>
      <c r="C70" s="3">
        <v>0.10403900000000001</v>
      </c>
      <c r="D70" s="3">
        <v>0.96551699999999996</v>
      </c>
      <c r="E70" s="2">
        <v>0</v>
      </c>
      <c r="F70" s="4">
        <v>0</v>
      </c>
      <c r="G70" s="4">
        <v>0</v>
      </c>
      <c r="H70" s="5">
        <v>62.5</v>
      </c>
      <c r="I70" s="3">
        <v>1.0864E-2</v>
      </c>
      <c r="J70" s="3">
        <v>2.4631E-2</v>
      </c>
      <c r="K70" s="2">
        <v>25</v>
      </c>
      <c r="L70" s="3">
        <v>9.0489999999999998E-3</v>
      </c>
      <c r="M70" s="3">
        <v>9.8519999999999996E-3</v>
      </c>
      <c r="N70" s="2">
        <v>0</v>
      </c>
      <c r="O70" s="4">
        <v>0</v>
      </c>
      <c r="P70" s="4">
        <v>0</v>
      </c>
      <c r="Q70" s="2">
        <v>0</v>
      </c>
      <c r="R70" s="4">
        <v>0</v>
      </c>
      <c r="S70" s="4">
        <v>0</v>
      </c>
      <c r="T70" s="2">
        <v>0</v>
      </c>
      <c r="U70" s="4">
        <v>0</v>
      </c>
      <c r="V70" s="4">
        <v>0</v>
      </c>
      <c r="W70" t="s">
        <v>1</v>
      </c>
    </row>
    <row r="71" spans="1:23" x14ac:dyDescent="0.3">
      <c r="A71" t="s">
        <v>19</v>
      </c>
      <c r="B71" s="2">
        <v>3213</v>
      </c>
      <c r="C71" s="3">
        <v>0.13644000000000001</v>
      </c>
      <c r="D71" s="3">
        <v>0.81818199999999996</v>
      </c>
      <c r="E71" s="2">
        <v>459</v>
      </c>
      <c r="F71" s="3">
        <v>3.4529999999999998E-2</v>
      </c>
      <c r="G71" s="3">
        <v>0.116883</v>
      </c>
      <c r="H71" s="5">
        <v>127.5</v>
      </c>
      <c r="I71" s="3">
        <v>2.2162000000000001E-2</v>
      </c>
      <c r="J71" s="3">
        <v>3.2467999999999997E-2</v>
      </c>
      <c r="K71" s="5">
        <v>127.5</v>
      </c>
      <c r="L71" s="3">
        <v>4.6150999999999998E-2</v>
      </c>
      <c r="M71" s="3">
        <v>3.2467999999999997E-2</v>
      </c>
      <c r="N71" s="2">
        <v>0</v>
      </c>
      <c r="O71" s="4">
        <v>0</v>
      </c>
      <c r="P71" s="4">
        <v>0</v>
      </c>
      <c r="Q71" s="2">
        <v>0</v>
      </c>
      <c r="R71" s="4">
        <v>0</v>
      </c>
      <c r="S71" s="4">
        <v>0</v>
      </c>
      <c r="T71" s="2">
        <v>0</v>
      </c>
      <c r="U71" s="4">
        <v>0</v>
      </c>
      <c r="V71" s="4">
        <v>0</v>
      </c>
      <c r="W71" t="s">
        <v>1</v>
      </c>
    </row>
    <row r="72" spans="1:23" x14ac:dyDescent="0.3">
      <c r="A72" t="s">
        <v>20</v>
      </c>
      <c r="B72" s="2">
        <v>0</v>
      </c>
      <c r="C72" s="4">
        <v>0</v>
      </c>
      <c r="D72" s="4">
        <v>0</v>
      </c>
      <c r="E72" s="2">
        <v>0</v>
      </c>
      <c r="F72" s="4">
        <v>0</v>
      </c>
      <c r="G72" s="4">
        <v>0</v>
      </c>
      <c r="H72" s="2">
        <v>0</v>
      </c>
      <c r="I72" s="4">
        <v>0</v>
      </c>
      <c r="J72" s="4">
        <v>0</v>
      </c>
      <c r="K72" s="2">
        <v>0</v>
      </c>
      <c r="L72" s="4">
        <v>0</v>
      </c>
      <c r="M72" s="4">
        <v>0</v>
      </c>
      <c r="N72" s="2">
        <v>0</v>
      </c>
      <c r="O72" s="4">
        <v>0</v>
      </c>
      <c r="P72" s="4">
        <v>0</v>
      </c>
      <c r="Q72" s="5">
        <v>0.5</v>
      </c>
      <c r="R72" s="3">
        <v>1.27E-4</v>
      </c>
      <c r="S72" s="3">
        <v>0.5</v>
      </c>
      <c r="T72" s="5">
        <v>0.5</v>
      </c>
      <c r="U72" s="3">
        <v>1.4200000000000001E-4</v>
      </c>
      <c r="V72" s="3">
        <v>0.5</v>
      </c>
      <c r="W72" t="s">
        <v>1</v>
      </c>
    </row>
    <row r="73" spans="1:23" x14ac:dyDescent="0.3">
      <c r="A73" t="s">
        <v>21</v>
      </c>
      <c r="B73" s="5">
        <v>2259.34</v>
      </c>
      <c r="C73" s="3">
        <v>9.5943000000000001E-2</v>
      </c>
      <c r="D73" s="3">
        <v>0.70273200000000002</v>
      </c>
      <c r="E73" s="5">
        <v>839.76</v>
      </c>
      <c r="F73" s="3">
        <v>6.3174999999999995E-2</v>
      </c>
      <c r="G73" s="3">
        <v>0.26119399999999998</v>
      </c>
      <c r="H73" s="2">
        <v>0</v>
      </c>
      <c r="I73" s="4">
        <v>0</v>
      </c>
      <c r="J73" s="4">
        <v>0</v>
      </c>
      <c r="K73" s="2">
        <v>0</v>
      </c>
      <c r="L73" s="4">
        <v>0</v>
      </c>
      <c r="M73" s="4">
        <v>0</v>
      </c>
      <c r="N73" s="5">
        <v>115.98</v>
      </c>
      <c r="O73" s="3">
        <v>3.2436E-2</v>
      </c>
      <c r="P73" s="3">
        <v>3.6074000000000002E-2</v>
      </c>
      <c r="Q73" s="2">
        <v>0</v>
      </c>
      <c r="R73" s="4">
        <v>0</v>
      </c>
      <c r="S73" s="4">
        <v>0</v>
      </c>
      <c r="T73" s="2">
        <v>0</v>
      </c>
      <c r="U73" s="4">
        <v>0</v>
      </c>
      <c r="V73" s="4">
        <v>0</v>
      </c>
      <c r="W73" t="s">
        <v>1</v>
      </c>
    </row>
    <row r="74" spans="1:23" x14ac:dyDescent="0.3">
      <c r="A74" t="s">
        <v>23</v>
      </c>
      <c r="B74" s="5">
        <v>2803.13</v>
      </c>
      <c r="C74" s="3">
        <v>0.119035</v>
      </c>
      <c r="D74" s="3">
        <v>0.66547999999999996</v>
      </c>
      <c r="E74" s="5">
        <v>1319.12</v>
      </c>
      <c r="F74" s="3">
        <v>9.9237000000000006E-2</v>
      </c>
      <c r="G74" s="3">
        <v>0.31316699999999997</v>
      </c>
      <c r="H74" s="2">
        <v>0</v>
      </c>
      <c r="I74" s="4">
        <v>0</v>
      </c>
      <c r="J74" s="4">
        <v>0</v>
      </c>
      <c r="K74" s="5">
        <v>89.94</v>
      </c>
      <c r="L74" s="3">
        <v>3.2555000000000001E-2</v>
      </c>
      <c r="M74" s="3">
        <v>2.1351999999999999E-2</v>
      </c>
      <c r="N74" s="2">
        <v>0</v>
      </c>
      <c r="O74" s="4">
        <v>0</v>
      </c>
      <c r="P74" s="4">
        <v>0</v>
      </c>
      <c r="Q74" s="2">
        <v>0</v>
      </c>
      <c r="R74" s="4">
        <v>0</v>
      </c>
      <c r="S74" s="4">
        <v>0</v>
      </c>
      <c r="T74" s="2">
        <v>0</v>
      </c>
      <c r="U74" s="4">
        <v>0</v>
      </c>
      <c r="V74" s="4">
        <v>0</v>
      </c>
      <c r="W74" t="s">
        <v>1</v>
      </c>
    </row>
    <row r="75" spans="1:23" x14ac:dyDescent="0.3">
      <c r="A75" t="s">
        <v>24</v>
      </c>
      <c r="B75" s="5">
        <v>2981.31</v>
      </c>
      <c r="C75" s="3">
        <v>0.12660099999999999</v>
      </c>
      <c r="D75" s="3">
        <v>0.53764999999999996</v>
      </c>
      <c r="E75" s="5">
        <v>2179.1</v>
      </c>
      <c r="F75" s="3">
        <v>0.163933</v>
      </c>
      <c r="G75" s="3">
        <v>0.39297900000000002</v>
      </c>
      <c r="H75" s="5">
        <v>194.81</v>
      </c>
      <c r="I75" s="3">
        <v>3.3862000000000003E-2</v>
      </c>
      <c r="J75" s="3">
        <v>3.5131999999999997E-2</v>
      </c>
      <c r="K75" s="5">
        <v>84.93</v>
      </c>
      <c r="L75" s="3">
        <v>3.0741999999999998E-2</v>
      </c>
      <c r="M75" s="3">
        <v>1.5316E-2</v>
      </c>
      <c r="N75" s="5">
        <v>104.93</v>
      </c>
      <c r="O75" s="3">
        <v>2.9345E-2</v>
      </c>
      <c r="P75" s="3">
        <v>1.8922999999999999E-2</v>
      </c>
      <c r="Q75" s="2">
        <v>0</v>
      </c>
      <c r="R75" s="4">
        <v>0</v>
      </c>
      <c r="S75" s="4">
        <v>0</v>
      </c>
      <c r="T75" s="2">
        <v>0</v>
      </c>
      <c r="U75" s="4">
        <v>0</v>
      </c>
      <c r="V75" s="4">
        <v>0</v>
      </c>
      <c r="W75" t="s">
        <v>1</v>
      </c>
    </row>
    <row r="76" spans="1:23" x14ac:dyDescent="0.3">
      <c r="A76" t="s">
        <v>25</v>
      </c>
      <c r="B76" s="5">
        <v>424.65</v>
      </c>
      <c r="C76" s="3">
        <v>1.8033E-2</v>
      </c>
      <c r="D76" s="3">
        <v>0.52475799999999995</v>
      </c>
      <c r="E76" s="5">
        <v>384.58</v>
      </c>
      <c r="F76" s="3">
        <v>2.8931999999999999E-2</v>
      </c>
      <c r="G76" s="3">
        <v>0.475242</v>
      </c>
      <c r="H76" s="2">
        <v>0</v>
      </c>
      <c r="I76" s="4">
        <v>0</v>
      </c>
      <c r="J76" s="4">
        <v>0</v>
      </c>
      <c r="K76" s="2">
        <v>0</v>
      </c>
      <c r="L76" s="4">
        <v>0</v>
      </c>
      <c r="M76" s="4">
        <v>0</v>
      </c>
      <c r="N76" s="2">
        <v>0</v>
      </c>
      <c r="O76" s="4">
        <v>0</v>
      </c>
      <c r="P76" s="4">
        <v>0</v>
      </c>
      <c r="Q76" s="2">
        <v>0</v>
      </c>
      <c r="R76" s="4">
        <v>0</v>
      </c>
      <c r="S76" s="4">
        <v>0</v>
      </c>
      <c r="T76" s="2">
        <v>0</v>
      </c>
      <c r="U76" s="4">
        <v>0</v>
      </c>
      <c r="V76" s="4">
        <v>0</v>
      </c>
      <c r="W76" t="s">
        <v>1</v>
      </c>
    </row>
    <row r="79" spans="1:23" x14ac:dyDescent="0.3">
      <c r="A79" t="s">
        <v>38</v>
      </c>
    </row>
    <row r="80" spans="1:23" x14ac:dyDescent="0.3">
      <c r="A80" t="s">
        <v>2</v>
      </c>
      <c r="B80" t="s">
        <v>39</v>
      </c>
      <c r="C80" t="s">
        <v>40</v>
      </c>
      <c r="D80" t="s">
        <v>41</v>
      </c>
      <c r="E80" t="s">
        <v>42</v>
      </c>
    </row>
    <row r="81" spans="1:5" x14ac:dyDescent="0.3">
      <c r="A81" t="s">
        <v>7</v>
      </c>
      <c r="B81">
        <v>26</v>
      </c>
      <c r="C81">
        <v>23</v>
      </c>
      <c r="D81" s="5">
        <v>1881.75</v>
      </c>
      <c r="E81" s="3">
        <v>4.4481E-2</v>
      </c>
    </row>
    <row r="82" spans="1:5" x14ac:dyDescent="0.3">
      <c r="A82" t="s">
        <v>8</v>
      </c>
      <c r="B82">
        <v>21</v>
      </c>
      <c r="C82">
        <v>20</v>
      </c>
      <c r="D82" s="2">
        <v>2625</v>
      </c>
      <c r="E82" s="3">
        <v>6.2050000000000001E-2</v>
      </c>
    </row>
    <row r="83" spans="1:5" x14ac:dyDescent="0.3">
      <c r="A83" t="s">
        <v>9</v>
      </c>
      <c r="B83">
        <v>116</v>
      </c>
      <c r="C83">
        <v>116</v>
      </c>
      <c r="D83" s="5">
        <v>458.2</v>
      </c>
      <c r="E83" s="3">
        <v>1.0831E-2</v>
      </c>
    </row>
    <row r="84" spans="1:5" x14ac:dyDescent="0.3">
      <c r="A84" t="s">
        <v>10</v>
      </c>
      <c r="B84">
        <v>148</v>
      </c>
      <c r="C84">
        <v>148</v>
      </c>
      <c r="D84" s="2">
        <v>8880</v>
      </c>
      <c r="E84" s="3">
        <v>0.20990600000000001</v>
      </c>
    </row>
    <row r="85" spans="1:5" x14ac:dyDescent="0.3">
      <c r="A85" t="s">
        <v>66</v>
      </c>
      <c r="B85">
        <v>1</v>
      </c>
      <c r="C85">
        <v>1</v>
      </c>
      <c r="D85" s="2">
        <v>65</v>
      </c>
      <c r="E85" s="3">
        <v>1.536E-3</v>
      </c>
    </row>
    <row r="86" spans="1:5" x14ac:dyDescent="0.3">
      <c r="A86" t="s">
        <v>11</v>
      </c>
      <c r="B86">
        <v>19</v>
      </c>
      <c r="C86">
        <v>17</v>
      </c>
      <c r="D86" s="2">
        <v>133</v>
      </c>
      <c r="E86" s="3">
        <v>3.1440000000000001E-3</v>
      </c>
    </row>
    <row r="87" spans="1:5" x14ac:dyDescent="0.3">
      <c r="A87" t="s">
        <v>12</v>
      </c>
      <c r="B87">
        <v>3</v>
      </c>
      <c r="C87">
        <v>2</v>
      </c>
      <c r="D87" s="2">
        <v>42</v>
      </c>
      <c r="E87" s="3">
        <v>9.9299999999999996E-4</v>
      </c>
    </row>
    <row r="88" spans="1:5" x14ac:dyDescent="0.3">
      <c r="A88" t="s">
        <v>67</v>
      </c>
      <c r="B88">
        <v>2</v>
      </c>
      <c r="C88">
        <v>2</v>
      </c>
      <c r="D88" s="2">
        <v>40</v>
      </c>
      <c r="E88" s="3">
        <v>9.4600000000000001E-4</v>
      </c>
    </row>
    <row r="89" spans="1:5" x14ac:dyDescent="0.3">
      <c r="A89" t="s">
        <v>13</v>
      </c>
      <c r="B89">
        <v>4</v>
      </c>
      <c r="C89">
        <v>4</v>
      </c>
      <c r="D89" s="5">
        <v>39.799999999999997</v>
      </c>
      <c r="E89" s="3">
        <v>9.41E-4</v>
      </c>
    </row>
    <row r="90" spans="1:5" x14ac:dyDescent="0.3">
      <c r="A90" t="s">
        <v>14</v>
      </c>
      <c r="B90">
        <v>15</v>
      </c>
      <c r="C90">
        <v>12</v>
      </c>
      <c r="D90" s="5">
        <v>224.25</v>
      </c>
      <c r="E90" s="3">
        <v>5.3010000000000002E-3</v>
      </c>
    </row>
    <row r="91" spans="1:5" x14ac:dyDescent="0.3">
      <c r="A91" t="s">
        <v>15</v>
      </c>
      <c r="B91">
        <v>2947</v>
      </c>
      <c r="C91">
        <v>82</v>
      </c>
      <c r="D91" s="5">
        <v>2908.99</v>
      </c>
      <c r="E91" s="3">
        <v>6.8763000000000005E-2</v>
      </c>
    </row>
    <row r="92" spans="1:5" x14ac:dyDescent="0.3">
      <c r="A92" t="s">
        <v>16</v>
      </c>
      <c r="B92">
        <v>15</v>
      </c>
      <c r="C92">
        <v>15</v>
      </c>
      <c r="D92" s="5">
        <v>3079.5</v>
      </c>
      <c r="E92" s="3">
        <v>7.2793999999999998E-2</v>
      </c>
    </row>
    <row r="93" spans="1:5" x14ac:dyDescent="0.3">
      <c r="A93" t="s">
        <v>17</v>
      </c>
      <c r="B93">
        <v>16</v>
      </c>
      <c r="C93">
        <v>16</v>
      </c>
      <c r="D93" s="2">
        <v>1680</v>
      </c>
      <c r="E93" s="3">
        <v>3.9711999999999997E-2</v>
      </c>
    </row>
    <row r="94" spans="1:5" x14ac:dyDescent="0.3">
      <c r="A94" t="s">
        <v>18</v>
      </c>
      <c r="B94">
        <v>29</v>
      </c>
      <c r="C94">
        <v>29</v>
      </c>
      <c r="D94" s="5">
        <v>2537.5</v>
      </c>
      <c r="E94" s="3">
        <v>5.9982000000000001E-2</v>
      </c>
    </row>
    <row r="95" spans="1:5" x14ac:dyDescent="0.3">
      <c r="A95" t="s">
        <v>19</v>
      </c>
      <c r="B95">
        <v>22</v>
      </c>
      <c r="C95">
        <v>22</v>
      </c>
      <c r="D95" s="2">
        <v>3927</v>
      </c>
      <c r="E95" s="3">
        <v>9.2827000000000007E-2</v>
      </c>
    </row>
    <row r="96" spans="1:5" x14ac:dyDescent="0.3">
      <c r="A96" t="s">
        <v>20</v>
      </c>
      <c r="B96">
        <v>2</v>
      </c>
      <c r="C96">
        <v>2</v>
      </c>
      <c r="D96" s="2">
        <v>1</v>
      </c>
      <c r="E96" s="3">
        <v>2.4000000000000001E-5</v>
      </c>
    </row>
    <row r="97" spans="1:5" x14ac:dyDescent="0.3">
      <c r="A97" t="s">
        <v>21</v>
      </c>
      <c r="B97">
        <v>15</v>
      </c>
      <c r="C97">
        <v>15</v>
      </c>
      <c r="D97" s="5">
        <v>3215.08</v>
      </c>
      <c r="E97" s="3">
        <v>7.5997999999999996E-2</v>
      </c>
    </row>
    <row r="98" spans="1:5" x14ac:dyDescent="0.3">
      <c r="A98" t="s">
        <v>23</v>
      </c>
      <c r="B98">
        <v>43</v>
      </c>
      <c r="C98">
        <v>43</v>
      </c>
      <c r="D98" s="5">
        <v>4212.1899999999996</v>
      </c>
      <c r="E98" s="3">
        <v>9.9568000000000004E-2</v>
      </c>
    </row>
    <row r="99" spans="1:5" x14ac:dyDescent="0.3">
      <c r="A99" t="s">
        <v>24</v>
      </c>
      <c r="B99">
        <v>38</v>
      </c>
      <c r="C99">
        <v>38</v>
      </c>
      <c r="D99" s="5">
        <v>5545.08</v>
      </c>
      <c r="E99" s="3">
        <v>0.131075</v>
      </c>
    </row>
    <row r="100" spans="1:5" x14ac:dyDescent="0.3">
      <c r="A100" t="s">
        <v>25</v>
      </c>
      <c r="B100">
        <v>12</v>
      </c>
      <c r="C100">
        <v>12</v>
      </c>
      <c r="D100" s="5">
        <v>809.23</v>
      </c>
      <c r="E100" s="3">
        <v>1.9129E-2</v>
      </c>
    </row>
    <row r="103" spans="1:5" x14ac:dyDescent="0.3">
      <c r="A103" t="s">
        <v>43</v>
      </c>
    </row>
    <row r="104" spans="1:5" x14ac:dyDescent="0.3">
      <c r="A104" t="s">
        <v>2</v>
      </c>
      <c r="B104" t="s">
        <v>39</v>
      </c>
      <c r="C104" t="s">
        <v>40</v>
      </c>
      <c r="D104" t="s">
        <v>41</v>
      </c>
      <c r="E104" t="s">
        <v>42</v>
      </c>
    </row>
    <row r="105" spans="1:5" x14ac:dyDescent="0.3">
      <c r="A105" t="s">
        <v>27</v>
      </c>
      <c r="B105">
        <v>22</v>
      </c>
      <c r="C105">
        <v>17</v>
      </c>
      <c r="D105" s="2">
        <v>440</v>
      </c>
      <c r="E105" s="3">
        <v>3.3639000000000002E-2</v>
      </c>
    </row>
    <row r="106" spans="1:5" x14ac:dyDescent="0.3">
      <c r="A106" t="s">
        <v>28</v>
      </c>
      <c r="B106">
        <v>76</v>
      </c>
      <c r="C106">
        <v>47</v>
      </c>
      <c r="D106" s="2">
        <v>760</v>
      </c>
      <c r="E106" s="3">
        <v>5.8104000000000003E-2</v>
      </c>
    </row>
    <row r="107" spans="1:5" x14ac:dyDescent="0.3">
      <c r="A107" t="s">
        <v>29</v>
      </c>
      <c r="B107">
        <v>474</v>
      </c>
      <c r="C107">
        <v>193</v>
      </c>
      <c r="D107" s="2">
        <v>2370</v>
      </c>
      <c r="E107" s="3">
        <v>0.18119299999999999</v>
      </c>
    </row>
    <row r="108" spans="1:5" x14ac:dyDescent="0.3">
      <c r="A108" t="s">
        <v>30</v>
      </c>
      <c r="B108">
        <v>65</v>
      </c>
      <c r="C108">
        <v>51</v>
      </c>
      <c r="D108" s="2">
        <v>1300</v>
      </c>
      <c r="E108" s="3">
        <v>9.9388000000000004E-2</v>
      </c>
    </row>
    <row r="109" spans="1:5" x14ac:dyDescent="0.3">
      <c r="A109" t="s">
        <v>31</v>
      </c>
      <c r="B109">
        <v>144</v>
      </c>
      <c r="C109">
        <v>102</v>
      </c>
      <c r="D109" s="2">
        <v>1440</v>
      </c>
      <c r="E109" s="3">
        <v>0.110092</v>
      </c>
    </row>
    <row r="110" spans="1:5" x14ac:dyDescent="0.3">
      <c r="A110" t="s">
        <v>32</v>
      </c>
      <c r="B110">
        <v>1354</v>
      </c>
      <c r="C110">
        <v>437</v>
      </c>
      <c r="D110" s="2">
        <v>6770</v>
      </c>
      <c r="E110" s="3">
        <v>0.51758400000000004</v>
      </c>
    </row>
    <row r="113" spans="1:5" x14ac:dyDescent="0.3">
      <c r="A113" t="s">
        <v>44</v>
      </c>
    </row>
    <row r="114" spans="1:5" x14ac:dyDescent="0.3">
      <c r="A114" t="s">
        <v>2</v>
      </c>
      <c r="B114" t="s">
        <v>39</v>
      </c>
      <c r="C114" t="s">
        <v>40</v>
      </c>
      <c r="D114" t="s">
        <v>41</v>
      </c>
      <c r="E114" t="s">
        <v>42</v>
      </c>
    </row>
    <row r="115" spans="1:5" x14ac:dyDescent="0.3">
      <c r="A115" t="s">
        <v>34</v>
      </c>
      <c r="B115">
        <v>53</v>
      </c>
      <c r="C115">
        <v>40</v>
      </c>
      <c r="D115" s="2">
        <v>530</v>
      </c>
      <c r="E115" s="3">
        <v>0.53084399999999998</v>
      </c>
    </row>
    <row r="116" spans="1:5" x14ac:dyDescent="0.3">
      <c r="A116" t="s">
        <v>35</v>
      </c>
      <c r="B116">
        <v>9</v>
      </c>
      <c r="C116">
        <v>7</v>
      </c>
      <c r="D116" s="2">
        <v>180</v>
      </c>
      <c r="E116" s="3">
        <v>0.180287</v>
      </c>
    </row>
    <row r="117" spans="1:5" x14ac:dyDescent="0.3">
      <c r="A117" t="s">
        <v>36</v>
      </c>
      <c r="B117">
        <v>14</v>
      </c>
      <c r="C117">
        <v>10</v>
      </c>
      <c r="D117" s="5">
        <v>288.41000000000003</v>
      </c>
      <c r="E117" s="3">
        <v>0.28886899999999999</v>
      </c>
    </row>
    <row r="120" spans="1:5" x14ac:dyDescent="0.3">
      <c r="A120" t="s">
        <v>45</v>
      </c>
    </row>
    <row r="121" spans="1:5" x14ac:dyDescent="0.3">
      <c r="A121" t="s">
        <v>2</v>
      </c>
      <c r="B121" t="s">
        <v>39</v>
      </c>
      <c r="C121" t="s">
        <v>40</v>
      </c>
      <c r="D121" t="s">
        <v>41</v>
      </c>
      <c r="E121" t="s">
        <v>42</v>
      </c>
    </row>
    <row r="122" spans="1:5" x14ac:dyDescent="0.3">
      <c r="A122" t="s">
        <v>7</v>
      </c>
      <c r="B122">
        <v>26</v>
      </c>
      <c r="C122">
        <v>23</v>
      </c>
      <c r="D122" s="5">
        <v>1881.75</v>
      </c>
      <c r="E122" s="3">
        <v>3.3374000000000001E-2</v>
      </c>
    </row>
    <row r="123" spans="1:5" x14ac:dyDescent="0.3">
      <c r="A123" t="s">
        <v>8</v>
      </c>
      <c r="B123">
        <v>21</v>
      </c>
      <c r="C123">
        <v>20</v>
      </c>
      <c r="D123" s="2">
        <v>2625</v>
      </c>
      <c r="E123" s="3">
        <v>4.6557000000000001E-2</v>
      </c>
    </row>
    <row r="124" spans="1:5" x14ac:dyDescent="0.3">
      <c r="A124" t="s">
        <v>9</v>
      </c>
      <c r="B124">
        <v>116</v>
      </c>
      <c r="C124">
        <v>116</v>
      </c>
      <c r="D124" s="5">
        <v>458.2</v>
      </c>
      <c r="E124" s="3">
        <v>8.1270000000000005E-3</v>
      </c>
    </row>
    <row r="125" spans="1:5" x14ac:dyDescent="0.3">
      <c r="A125" t="s">
        <v>10</v>
      </c>
      <c r="B125">
        <v>148</v>
      </c>
      <c r="C125">
        <v>148</v>
      </c>
      <c r="D125" s="2">
        <v>8880</v>
      </c>
      <c r="E125" s="3">
        <v>0.157494</v>
      </c>
    </row>
    <row r="126" spans="1:5" x14ac:dyDescent="0.3">
      <c r="A126" t="s">
        <v>66</v>
      </c>
      <c r="B126">
        <v>1</v>
      </c>
      <c r="C126">
        <v>1</v>
      </c>
      <c r="D126" s="2">
        <v>65</v>
      </c>
      <c r="E126" s="3">
        <v>1.1529999999999999E-3</v>
      </c>
    </row>
    <row r="127" spans="1:5" x14ac:dyDescent="0.3">
      <c r="A127" t="s">
        <v>11</v>
      </c>
      <c r="B127">
        <v>19</v>
      </c>
      <c r="C127">
        <v>17</v>
      </c>
      <c r="D127" s="2">
        <v>133</v>
      </c>
      <c r="E127" s="3">
        <v>2.359E-3</v>
      </c>
    </row>
    <row r="128" spans="1:5" x14ac:dyDescent="0.3">
      <c r="A128" t="s">
        <v>12</v>
      </c>
      <c r="B128">
        <v>3</v>
      </c>
      <c r="C128">
        <v>2</v>
      </c>
      <c r="D128" s="2">
        <v>42</v>
      </c>
      <c r="E128" s="3">
        <v>7.45E-4</v>
      </c>
    </row>
    <row r="129" spans="1:5" x14ac:dyDescent="0.3">
      <c r="A129" t="s">
        <v>67</v>
      </c>
      <c r="B129">
        <v>2</v>
      </c>
      <c r="C129">
        <v>2</v>
      </c>
      <c r="D129" s="2">
        <v>40</v>
      </c>
      <c r="E129" s="3">
        <v>7.0899999999999999E-4</v>
      </c>
    </row>
    <row r="130" spans="1:5" x14ac:dyDescent="0.3">
      <c r="A130" t="s">
        <v>13</v>
      </c>
      <c r="B130">
        <v>4</v>
      </c>
      <c r="C130">
        <v>4</v>
      </c>
      <c r="D130" s="5">
        <v>39.799999999999997</v>
      </c>
      <c r="E130" s="3">
        <v>7.0600000000000003E-4</v>
      </c>
    </row>
    <row r="131" spans="1:5" x14ac:dyDescent="0.3">
      <c r="A131" t="s">
        <v>14</v>
      </c>
      <c r="B131">
        <v>15</v>
      </c>
      <c r="C131">
        <v>12</v>
      </c>
      <c r="D131" s="5">
        <v>224.25</v>
      </c>
      <c r="E131" s="3">
        <v>3.9769999999999996E-3</v>
      </c>
    </row>
    <row r="132" spans="1:5" x14ac:dyDescent="0.3">
      <c r="A132" t="s">
        <v>27</v>
      </c>
      <c r="B132">
        <v>22</v>
      </c>
      <c r="C132">
        <v>17</v>
      </c>
      <c r="D132" s="2">
        <v>440</v>
      </c>
      <c r="E132" s="3">
        <v>7.8040000000000002E-3</v>
      </c>
    </row>
    <row r="133" spans="1:5" x14ac:dyDescent="0.3">
      <c r="A133" t="s">
        <v>28</v>
      </c>
      <c r="B133">
        <v>76</v>
      </c>
      <c r="C133">
        <v>47</v>
      </c>
      <c r="D133" s="2">
        <v>760</v>
      </c>
      <c r="E133" s="3">
        <v>1.3479E-2</v>
      </c>
    </row>
    <row r="134" spans="1:5" x14ac:dyDescent="0.3">
      <c r="A134" t="s">
        <v>29</v>
      </c>
      <c r="B134">
        <v>474</v>
      </c>
      <c r="C134">
        <v>193</v>
      </c>
      <c r="D134" s="2">
        <v>2370</v>
      </c>
      <c r="E134" s="3">
        <v>4.2034000000000002E-2</v>
      </c>
    </row>
    <row r="135" spans="1:5" x14ac:dyDescent="0.3">
      <c r="A135" t="s">
        <v>30</v>
      </c>
      <c r="B135">
        <v>65</v>
      </c>
      <c r="C135">
        <v>51</v>
      </c>
      <c r="D135" s="2">
        <v>1300</v>
      </c>
      <c r="E135" s="3">
        <v>2.3057000000000001E-2</v>
      </c>
    </row>
    <row r="136" spans="1:5" x14ac:dyDescent="0.3">
      <c r="A136" t="s">
        <v>31</v>
      </c>
      <c r="B136">
        <v>144</v>
      </c>
      <c r="C136">
        <v>102</v>
      </c>
      <c r="D136" s="2">
        <v>1440</v>
      </c>
      <c r="E136" s="3">
        <v>2.554E-2</v>
      </c>
    </row>
    <row r="137" spans="1:5" x14ac:dyDescent="0.3">
      <c r="A137" t="s">
        <v>32</v>
      </c>
      <c r="B137">
        <v>1354</v>
      </c>
      <c r="C137">
        <v>437</v>
      </c>
      <c r="D137" s="2">
        <v>6770</v>
      </c>
      <c r="E137" s="3">
        <v>0.120072</v>
      </c>
    </row>
    <row r="138" spans="1:5" x14ac:dyDescent="0.3">
      <c r="A138" t="s">
        <v>34</v>
      </c>
      <c r="B138">
        <v>53</v>
      </c>
      <c r="C138">
        <v>40</v>
      </c>
      <c r="D138" s="2">
        <v>530</v>
      </c>
      <c r="E138" s="3">
        <v>9.4000000000000004E-3</v>
      </c>
    </row>
    <row r="139" spans="1:5" x14ac:dyDescent="0.3">
      <c r="A139" t="s">
        <v>35</v>
      </c>
      <c r="B139">
        <v>9</v>
      </c>
      <c r="C139">
        <v>7</v>
      </c>
      <c r="D139" s="2">
        <v>180</v>
      </c>
      <c r="E139" s="3">
        <v>3.192E-3</v>
      </c>
    </row>
    <row r="140" spans="1:5" x14ac:dyDescent="0.3">
      <c r="A140" t="s">
        <v>36</v>
      </c>
      <c r="B140">
        <v>14</v>
      </c>
      <c r="C140">
        <v>10</v>
      </c>
      <c r="D140" s="5">
        <v>288.41000000000003</v>
      </c>
      <c r="E140" s="3">
        <v>5.1149999999999998E-3</v>
      </c>
    </row>
    <row r="141" spans="1:5" x14ac:dyDescent="0.3">
      <c r="A141" t="s">
        <v>15</v>
      </c>
      <c r="B141">
        <v>2947</v>
      </c>
      <c r="C141">
        <v>82</v>
      </c>
      <c r="D141" s="5">
        <v>2908.99</v>
      </c>
      <c r="E141" s="3">
        <v>5.1593E-2</v>
      </c>
    </row>
    <row r="142" spans="1:5" x14ac:dyDescent="0.3">
      <c r="A142" t="s">
        <v>16</v>
      </c>
      <c r="B142">
        <v>15</v>
      </c>
      <c r="C142">
        <v>15</v>
      </c>
      <c r="D142" s="5">
        <v>3079.5</v>
      </c>
      <c r="E142" s="3">
        <v>5.4618E-2</v>
      </c>
    </row>
    <row r="143" spans="1:5" x14ac:dyDescent="0.3">
      <c r="A143" t="s">
        <v>17</v>
      </c>
      <c r="B143">
        <v>16</v>
      </c>
      <c r="C143">
        <v>16</v>
      </c>
      <c r="D143" s="2">
        <v>1680</v>
      </c>
      <c r="E143" s="3">
        <v>2.9796E-2</v>
      </c>
    </row>
    <row r="144" spans="1:5" x14ac:dyDescent="0.3">
      <c r="A144" t="s">
        <v>18</v>
      </c>
      <c r="B144">
        <v>29</v>
      </c>
      <c r="C144">
        <v>29</v>
      </c>
      <c r="D144" s="5">
        <v>2537.5</v>
      </c>
      <c r="E144" s="3">
        <v>4.5005000000000003E-2</v>
      </c>
    </row>
    <row r="145" spans="1:17" x14ac:dyDescent="0.3">
      <c r="A145" t="s">
        <v>19</v>
      </c>
      <c r="B145">
        <v>22</v>
      </c>
      <c r="C145">
        <v>22</v>
      </c>
      <c r="D145" s="2">
        <v>3927</v>
      </c>
      <c r="E145" s="3">
        <v>6.9649000000000003E-2</v>
      </c>
    </row>
    <row r="146" spans="1:17" x14ac:dyDescent="0.3">
      <c r="A146" t="s">
        <v>20</v>
      </c>
      <c r="B146">
        <v>2</v>
      </c>
      <c r="C146">
        <v>2</v>
      </c>
      <c r="D146" s="2">
        <v>1</v>
      </c>
      <c r="E146" s="3">
        <v>1.8E-5</v>
      </c>
    </row>
    <row r="147" spans="1:17" x14ac:dyDescent="0.3">
      <c r="A147" t="s">
        <v>21</v>
      </c>
      <c r="B147">
        <v>15</v>
      </c>
      <c r="C147">
        <v>15</v>
      </c>
      <c r="D147" s="5">
        <v>3215.08</v>
      </c>
      <c r="E147" s="3">
        <v>5.7022000000000003E-2</v>
      </c>
    </row>
    <row r="148" spans="1:17" x14ac:dyDescent="0.3">
      <c r="A148" t="s">
        <v>23</v>
      </c>
      <c r="B148">
        <v>43</v>
      </c>
      <c r="C148">
        <v>43</v>
      </c>
      <c r="D148" s="5">
        <v>4212.1899999999996</v>
      </c>
      <c r="E148" s="3">
        <v>7.4706999999999996E-2</v>
      </c>
    </row>
    <row r="149" spans="1:17" x14ac:dyDescent="0.3">
      <c r="A149" t="s">
        <v>24</v>
      </c>
      <c r="B149">
        <v>38</v>
      </c>
      <c r="C149">
        <v>38</v>
      </c>
      <c r="D149" s="5">
        <v>5545.08</v>
      </c>
      <c r="E149" s="3">
        <v>9.8347000000000004E-2</v>
      </c>
    </row>
    <row r="150" spans="1:17" x14ac:dyDescent="0.3">
      <c r="A150" t="s">
        <v>25</v>
      </c>
      <c r="B150">
        <v>12</v>
      </c>
      <c r="C150">
        <v>12</v>
      </c>
      <c r="D150" s="5">
        <v>809.23</v>
      </c>
      <c r="E150" s="3">
        <v>1.4352E-2</v>
      </c>
    </row>
    <row r="153" spans="1:17" x14ac:dyDescent="0.3">
      <c r="A153" t="s">
        <v>46</v>
      </c>
    </row>
    <row r="154" spans="1:17" x14ac:dyDescent="0.3">
      <c r="B154" t="s">
        <v>1</v>
      </c>
      <c r="C154" t="s">
        <v>1</v>
      </c>
      <c r="D154" t="s">
        <v>47</v>
      </c>
      <c r="F154" t="s">
        <v>48</v>
      </c>
      <c r="H154" t="s">
        <v>49</v>
      </c>
      <c r="J154" t="s">
        <v>50</v>
      </c>
      <c r="L154" t="s">
        <v>51</v>
      </c>
      <c r="N154" t="s">
        <v>52</v>
      </c>
      <c r="P154" t="s">
        <v>53</v>
      </c>
    </row>
    <row r="155" spans="1:17" x14ac:dyDescent="0.3">
      <c r="A155" t="s">
        <v>2</v>
      </c>
      <c r="B155" t="s">
        <v>39</v>
      </c>
      <c r="C155" t="s">
        <v>40</v>
      </c>
      <c r="D155" t="s">
        <v>54</v>
      </c>
      <c r="E155" t="s">
        <v>55</v>
      </c>
      <c r="F155" t="s">
        <v>54</v>
      </c>
      <c r="G155" t="s">
        <v>55</v>
      </c>
      <c r="H155" t="s">
        <v>54</v>
      </c>
      <c r="I155" t="s">
        <v>55</v>
      </c>
      <c r="J155" t="s">
        <v>54</v>
      </c>
      <c r="K155" t="s">
        <v>55</v>
      </c>
      <c r="L155" t="s">
        <v>54</v>
      </c>
      <c r="M155" t="s">
        <v>55</v>
      </c>
      <c r="N155" t="s">
        <v>54</v>
      </c>
      <c r="O155" t="s">
        <v>55</v>
      </c>
      <c r="P155" t="s">
        <v>54</v>
      </c>
      <c r="Q155" t="s">
        <v>55</v>
      </c>
    </row>
    <row r="156" spans="1:17" x14ac:dyDescent="0.3">
      <c r="A156" t="s">
        <v>7</v>
      </c>
      <c r="B156">
        <v>26</v>
      </c>
      <c r="C156">
        <v>23</v>
      </c>
      <c r="D156">
        <v>1</v>
      </c>
      <c r="E156" s="3">
        <v>4.3478000000000003E-2</v>
      </c>
      <c r="F156">
        <v>4</v>
      </c>
      <c r="G156" s="3">
        <v>0.17391300000000001</v>
      </c>
      <c r="H156">
        <v>2</v>
      </c>
      <c r="I156" s="3">
        <v>8.6957000000000007E-2</v>
      </c>
      <c r="J156">
        <v>8</v>
      </c>
      <c r="K156" s="3">
        <v>0.34782600000000002</v>
      </c>
      <c r="L156">
        <v>5</v>
      </c>
      <c r="M156" s="3">
        <v>0.217391</v>
      </c>
      <c r="N156">
        <v>2</v>
      </c>
      <c r="O156" s="3">
        <v>8.6957000000000007E-2</v>
      </c>
      <c r="P156">
        <v>1</v>
      </c>
      <c r="Q156" s="3">
        <v>4.3478000000000003E-2</v>
      </c>
    </row>
    <row r="157" spans="1:17" x14ac:dyDescent="0.3">
      <c r="A157" t="s">
        <v>8</v>
      </c>
      <c r="B157">
        <v>21</v>
      </c>
      <c r="C157">
        <v>20</v>
      </c>
      <c r="D157">
        <v>0</v>
      </c>
      <c r="E157" s="4">
        <v>0</v>
      </c>
      <c r="F157">
        <v>5</v>
      </c>
      <c r="G157" s="3">
        <v>0.25</v>
      </c>
      <c r="H157">
        <v>2</v>
      </c>
      <c r="I157" s="3">
        <v>0.1</v>
      </c>
      <c r="J157">
        <v>6</v>
      </c>
      <c r="K157" s="3">
        <v>0.3</v>
      </c>
      <c r="L157">
        <v>4</v>
      </c>
      <c r="M157" s="3">
        <v>0.2</v>
      </c>
      <c r="N157">
        <v>3</v>
      </c>
      <c r="O157" s="3">
        <v>0.15</v>
      </c>
      <c r="P157">
        <v>0</v>
      </c>
      <c r="Q157" s="4">
        <v>0</v>
      </c>
    </row>
    <row r="158" spans="1:17" x14ac:dyDescent="0.3">
      <c r="A158" t="s">
        <v>9</v>
      </c>
      <c r="B158">
        <v>116</v>
      </c>
      <c r="C158">
        <v>116</v>
      </c>
      <c r="D158">
        <v>11</v>
      </c>
      <c r="E158" s="3">
        <v>9.4827999999999996E-2</v>
      </c>
      <c r="F158">
        <v>21</v>
      </c>
      <c r="G158" s="3">
        <v>0.181034</v>
      </c>
      <c r="H158">
        <v>27</v>
      </c>
      <c r="I158" s="3">
        <v>0.23275899999999999</v>
      </c>
      <c r="J158">
        <v>24</v>
      </c>
      <c r="K158" s="3">
        <v>0.206897</v>
      </c>
      <c r="L158">
        <v>24</v>
      </c>
      <c r="M158" s="3">
        <v>0.206897</v>
      </c>
      <c r="N158">
        <v>7</v>
      </c>
      <c r="O158" s="3">
        <v>6.0345000000000003E-2</v>
      </c>
      <c r="P158">
        <v>2</v>
      </c>
      <c r="Q158" s="3">
        <v>1.7240999999999999E-2</v>
      </c>
    </row>
    <row r="159" spans="1:17" x14ac:dyDescent="0.3">
      <c r="A159" t="s">
        <v>10</v>
      </c>
      <c r="B159">
        <v>148</v>
      </c>
      <c r="C159">
        <v>148</v>
      </c>
      <c r="D159">
        <v>2</v>
      </c>
      <c r="E159" s="3">
        <v>1.3514E-2</v>
      </c>
      <c r="F159">
        <v>6</v>
      </c>
      <c r="G159" s="3">
        <v>4.0541000000000001E-2</v>
      </c>
      <c r="H159">
        <v>14</v>
      </c>
      <c r="I159" s="3">
        <v>9.4594999999999999E-2</v>
      </c>
      <c r="J159">
        <v>45</v>
      </c>
      <c r="K159" s="3">
        <v>0.30405399999999999</v>
      </c>
      <c r="L159">
        <v>35</v>
      </c>
      <c r="M159" s="3">
        <v>0.236486</v>
      </c>
      <c r="N159">
        <v>21</v>
      </c>
      <c r="O159" s="3">
        <v>0.14189199999999999</v>
      </c>
      <c r="P159">
        <v>25</v>
      </c>
      <c r="Q159" s="3">
        <v>0.16891900000000001</v>
      </c>
    </row>
    <row r="160" spans="1:17" x14ac:dyDescent="0.3">
      <c r="A160" t="s">
        <v>66</v>
      </c>
      <c r="B160">
        <v>1</v>
      </c>
      <c r="C160">
        <v>1</v>
      </c>
      <c r="D160">
        <v>0</v>
      </c>
      <c r="E160" s="4">
        <v>0</v>
      </c>
      <c r="F160">
        <v>0</v>
      </c>
      <c r="G160" s="4">
        <v>0</v>
      </c>
      <c r="H160">
        <v>0</v>
      </c>
      <c r="I160" s="4">
        <v>0</v>
      </c>
      <c r="J160">
        <v>0</v>
      </c>
      <c r="K160" s="4">
        <v>0</v>
      </c>
      <c r="L160">
        <v>0</v>
      </c>
      <c r="M160" s="4">
        <v>0</v>
      </c>
      <c r="N160">
        <v>1</v>
      </c>
      <c r="O160" s="4">
        <v>1</v>
      </c>
      <c r="P160">
        <v>0</v>
      </c>
      <c r="Q160" s="4">
        <v>0</v>
      </c>
    </row>
    <row r="161" spans="1:17" x14ac:dyDescent="0.3">
      <c r="A161" t="s">
        <v>11</v>
      </c>
      <c r="B161">
        <v>19</v>
      </c>
      <c r="C161">
        <v>17</v>
      </c>
      <c r="D161">
        <v>0</v>
      </c>
      <c r="E161" s="4">
        <v>0</v>
      </c>
      <c r="F161">
        <v>0</v>
      </c>
      <c r="G161" s="4">
        <v>0</v>
      </c>
      <c r="H161">
        <v>2</v>
      </c>
      <c r="I161" s="3">
        <v>0.117647</v>
      </c>
      <c r="J161">
        <v>6</v>
      </c>
      <c r="K161" s="3">
        <v>0.352941</v>
      </c>
      <c r="L161">
        <v>5</v>
      </c>
      <c r="M161" s="3">
        <v>0.29411799999999999</v>
      </c>
      <c r="N161">
        <v>3</v>
      </c>
      <c r="O161" s="3">
        <v>0.17647099999999999</v>
      </c>
      <c r="P161">
        <v>1</v>
      </c>
      <c r="Q161" s="3">
        <v>5.8824000000000001E-2</v>
      </c>
    </row>
    <row r="162" spans="1:17" x14ac:dyDescent="0.3">
      <c r="A162" t="s">
        <v>12</v>
      </c>
      <c r="B162">
        <v>3</v>
      </c>
      <c r="C162">
        <v>2</v>
      </c>
      <c r="D162">
        <v>0</v>
      </c>
      <c r="E162" s="4">
        <v>0</v>
      </c>
      <c r="F162">
        <v>0</v>
      </c>
      <c r="G162" s="4">
        <v>0</v>
      </c>
      <c r="H162">
        <v>0</v>
      </c>
      <c r="I162" s="4">
        <v>0</v>
      </c>
      <c r="J162">
        <v>1</v>
      </c>
      <c r="K162" s="3">
        <v>0.5</v>
      </c>
      <c r="L162">
        <v>1</v>
      </c>
      <c r="M162" s="3">
        <v>0.5</v>
      </c>
      <c r="N162">
        <v>0</v>
      </c>
      <c r="O162" s="4">
        <v>0</v>
      </c>
      <c r="P162">
        <v>0</v>
      </c>
      <c r="Q162" s="4">
        <v>0</v>
      </c>
    </row>
    <row r="163" spans="1:17" x14ac:dyDescent="0.3">
      <c r="A163" t="s">
        <v>67</v>
      </c>
      <c r="B163">
        <v>2</v>
      </c>
      <c r="C163">
        <v>2</v>
      </c>
      <c r="D163">
        <v>0</v>
      </c>
      <c r="E163" s="4">
        <v>0</v>
      </c>
      <c r="F163">
        <v>0</v>
      </c>
      <c r="G163" s="4">
        <v>0</v>
      </c>
      <c r="H163">
        <v>1</v>
      </c>
      <c r="I163" s="3">
        <v>0.5</v>
      </c>
      <c r="J163">
        <v>0</v>
      </c>
      <c r="K163" s="4">
        <v>0</v>
      </c>
      <c r="L163">
        <v>0</v>
      </c>
      <c r="M163" s="4">
        <v>0</v>
      </c>
      <c r="N163">
        <v>1</v>
      </c>
      <c r="O163" s="3">
        <v>0.5</v>
      </c>
      <c r="P163">
        <v>0</v>
      </c>
      <c r="Q163" s="4">
        <v>0</v>
      </c>
    </row>
    <row r="164" spans="1:17" x14ac:dyDescent="0.3">
      <c r="A164" t="s">
        <v>13</v>
      </c>
      <c r="B164">
        <v>4</v>
      </c>
      <c r="C164">
        <v>4</v>
      </c>
      <c r="D164">
        <v>0</v>
      </c>
      <c r="E164" s="4">
        <v>0</v>
      </c>
      <c r="F164">
        <v>0</v>
      </c>
      <c r="G164" s="4">
        <v>0</v>
      </c>
      <c r="H164">
        <v>2</v>
      </c>
      <c r="I164" s="3">
        <v>0.5</v>
      </c>
      <c r="J164">
        <v>0</v>
      </c>
      <c r="K164" s="4">
        <v>0</v>
      </c>
      <c r="L164">
        <v>1</v>
      </c>
      <c r="M164" s="3">
        <v>0.25</v>
      </c>
      <c r="N164">
        <v>1</v>
      </c>
      <c r="O164" s="3">
        <v>0.25</v>
      </c>
      <c r="P164">
        <v>0</v>
      </c>
      <c r="Q164" s="4">
        <v>0</v>
      </c>
    </row>
    <row r="165" spans="1:17" x14ac:dyDescent="0.3">
      <c r="A165" t="s">
        <v>14</v>
      </c>
      <c r="B165">
        <v>15</v>
      </c>
      <c r="C165">
        <v>12</v>
      </c>
      <c r="D165">
        <v>2</v>
      </c>
      <c r="E165" s="3">
        <v>0.16666700000000001</v>
      </c>
      <c r="F165">
        <v>3</v>
      </c>
      <c r="G165" s="3">
        <v>0.25</v>
      </c>
      <c r="H165">
        <v>2</v>
      </c>
      <c r="I165" s="3">
        <v>0.16666700000000001</v>
      </c>
      <c r="J165">
        <v>3</v>
      </c>
      <c r="K165" s="3">
        <v>0.25</v>
      </c>
      <c r="L165">
        <v>1</v>
      </c>
      <c r="M165" s="3">
        <v>8.3333000000000004E-2</v>
      </c>
      <c r="N165">
        <v>0</v>
      </c>
      <c r="O165" s="4">
        <v>0</v>
      </c>
      <c r="P165">
        <v>1</v>
      </c>
      <c r="Q165" s="3">
        <v>8.3333000000000004E-2</v>
      </c>
    </row>
    <row r="166" spans="1:17" x14ac:dyDescent="0.3">
      <c r="A166" t="s">
        <v>15</v>
      </c>
      <c r="B166">
        <v>2947</v>
      </c>
      <c r="C166">
        <v>82</v>
      </c>
      <c r="D166">
        <v>9</v>
      </c>
      <c r="E166" s="3">
        <v>0.10975600000000001</v>
      </c>
      <c r="F166">
        <v>16</v>
      </c>
      <c r="G166" s="3">
        <v>0.19512199999999999</v>
      </c>
      <c r="H166">
        <v>20</v>
      </c>
      <c r="I166" s="3">
        <v>0.24390200000000001</v>
      </c>
      <c r="J166">
        <v>14</v>
      </c>
      <c r="K166" s="3">
        <v>0.17073199999999999</v>
      </c>
      <c r="L166">
        <v>19</v>
      </c>
      <c r="M166" s="3">
        <v>0.231707</v>
      </c>
      <c r="N166">
        <v>4</v>
      </c>
      <c r="O166" s="3">
        <v>4.8779999999999997E-2</v>
      </c>
      <c r="P166">
        <v>0</v>
      </c>
      <c r="Q166" s="4">
        <v>0</v>
      </c>
    </row>
    <row r="167" spans="1:17" x14ac:dyDescent="0.3">
      <c r="A167" t="s">
        <v>16</v>
      </c>
      <c r="B167">
        <v>15</v>
      </c>
      <c r="C167">
        <v>15</v>
      </c>
      <c r="D167">
        <v>2</v>
      </c>
      <c r="E167" s="3">
        <v>0.13333300000000001</v>
      </c>
      <c r="F167">
        <v>2</v>
      </c>
      <c r="G167" s="3">
        <v>0.13333300000000001</v>
      </c>
      <c r="H167">
        <v>1</v>
      </c>
      <c r="I167" s="3">
        <v>6.6667000000000004E-2</v>
      </c>
      <c r="J167">
        <v>7</v>
      </c>
      <c r="K167" s="3">
        <v>0.466667</v>
      </c>
      <c r="L167">
        <v>2</v>
      </c>
      <c r="M167" s="3">
        <v>0.13333300000000001</v>
      </c>
      <c r="N167">
        <v>1</v>
      </c>
      <c r="O167" s="3">
        <v>6.6667000000000004E-2</v>
      </c>
      <c r="P167">
        <v>0</v>
      </c>
      <c r="Q167" s="4">
        <v>0</v>
      </c>
    </row>
    <row r="168" spans="1:17" x14ac:dyDescent="0.3">
      <c r="A168" t="s">
        <v>17</v>
      </c>
      <c r="B168">
        <v>16</v>
      </c>
      <c r="C168">
        <v>16</v>
      </c>
      <c r="D168">
        <v>1</v>
      </c>
      <c r="E168" s="3">
        <v>6.25E-2</v>
      </c>
      <c r="F168">
        <v>2</v>
      </c>
      <c r="G168" s="3">
        <v>0.125</v>
      </c>
      <c r="H168">
        <v>1</v>
      </c>
      <c r="I168" s="3">
        <v>6.25E-2</v>
      </c>
      <c r="J168">
        <v>5</v>
      </c>
      <c r="K168" s="3">
        <v>0.3125</v>
      </c>
      <c r="L168">
        <v>5</v>
      </c>
      <c r="M168" s="3">
        <v>0.3125</v>
      </c>
      <c r="N168">
        <v>2</v>
      </c>
      <c r="O168" s="3">
        <v>0.125</v>
      </c>
      <c r="P168">
        <v>0</v>
      </c>
      <c r="Q168" s="4">
        <v>0</v>
      </c>
    </row>
    <row r="169" spans="1:17" x14ac:dyDescent="0.3">
      <c r="A169" t="s">
        <v>18</v>
      </c>
      <c r="B169">
        <v>29</v>
      </c>
      <c r="C169">
        <v>29</v>
      </c>
      <c r="D169">
        <v>15</v>
      </c>
      <c r="E169" s="3">
        <v>0.51724099999999995</v>
      </c>
      <c r="F169">
        <v>6</v>
      </c>
      <c r="G169" s="3">
        <v>0.206897</v>
      </c>
      <c r="H169">
        <v>1</v>
      </c>
      <c r="I169" s="3">
        <v>3.4483E-2</v>
      </c>
      <c r="J169">
        <v>4</v>
      </c>
      <c r="K169" s="3">
        <v>0.137931</v>
      </c>
      <c r="L169">
        <v>3</v>
      </c>
      <c r="M169" s="3">
        <v>0.103448</v>
      </c>
      <c r="N169">
        <v>0</v>
      </c>
      <c r="O169" s="4">
        <v>0</v>
      </c>
      <c r="P169">
        <v>0</v>
      </c>
      <c r="Q169" s="4">
        <v>0</v>
      </c>
    </row>
    <row r="170" spans="1:17" x14ac:dyDescent="0.3">
      <c r="A170" t="s">
        <v>19</v>
      </c>
      <c r="B170">
        <v>22</v>
      </c>
      <c r="C170">
        <v>22</v>
      </c>
      <c r="D170">
        <v>2</v>
      </c>
      <c r="E170" s="3">
        <v>9.0909000000000004E-2</v>
      </c>
      <c r="F170">
        <v>1</v>
      </c>
      <c r="G170" s="3">
        <v>4.5455000000000002E-2</v>
      </c>
      <c r="H170">
        <v>2</v>
      </c>
      <c r="I170" s="3">
        <v>9.0909000000000004E-2</v>
      </c>
      <c r="J170">
        <v>6</v>
      </c>
      <c r="K170" s="3">
        <v>0.272727</v>
      </c>
      <c r="L170">
        <v>8</v>
      </c>
      <c r="M170" s="3">
        <v>0.36363600000000001</v>
      </c>
      <c r="N170">
        <v>3</v>
      </c>
      <c r="O170" s="3">
        <v>0.13636400000000001</v>
      </c>
      <c r="P170">
        <v>0</v>
      </c>
      <c r="Q170" s="4">
        <v>0</v>
      </c>
    </row>
    <row r="171" spans="1:17" x14ac:dyDescent="0.3">
      <c r="A171" t="s">
        <v>20</v>
      </c>
      <c r="B171">
        <v>2</v>
      </c>
      <c r="C171">
        <v>2</v>
      </c>
      <c r="D171">
        <v>0</v>
      </c>
      <c r="E171" s="4">
        <v>0</v>
      </c>
      <c r="F171">
        <v>0</v>
      </c>
      <c r="G171" s="4">
        <v>0</v>
      </c>
      <c r="H171">
        <v>0</v>
      </c>
      <c r="I171" s="4">
        <v>0</v>
      </c>
      <c r="J171">
        <v>0</v>
      </c>
      <c r="K171" s="4">
        <v>0</v>
      </c>
      <c r="L171">
        <v>1</v>
      </c>
      <c r="M171" s="3">
        <v>0.5</v>
      </c>
      <c r="N171">
        <v>1</v>
      </c>
      <c r="O171" s="3">
        <v>0.5</v>
      </c>
      <c r="P171">
        <v>0</v>
      </c>
      <c r="Q171" s="4">
        <v>0</v>
      </c>
    </row>
    <row r="172" spans="1:17" x14ac:dyDescent="0.3">
      <c r="A172" t="s">
        <v>21</v>
      </c>
      <c r="B172">
        <v>15</v>
      </c>
      <c r="C172">
        <v>15</v>
      </c>
      <c r="D172">
        <v>4</v>
      </c>
      <c r="E172" s="3">
        <v>0.26666699999999999</v>
      </c>
      <c r="F172">
        <v>2</v>
      </c>
      <c r="G172" s="3">
        <v>0.13333300000000001</v>
      </c>
      <c r="H172">
        <v>3</v>
      </c>
      <c r="I172" s="3">
        <v>0.2</v>
      </c>
      <c r="J172">
        <v>4</v>
      </c>
      <c r="K172" s="3">
        <v>0.26666699999999999</v>
      </c>
      <c r="L172">
        <v>2</v>
      </c>
      <c r="M172" s="3">
        <v>0.13333300000000001</v>
      </c>
      <c r="N172">
        <v>0</v>
      </c>
      <c r="O172" s="4">
        <v>0</v>
      </c>
      <c r="P172">
        <v>0</v>
      </c>
      <c r="Q172" s="4">
        <v>0</v>
      </c>
    </row>
    <row r="173" spans="1:17" x14ac:dyDescent="0.3">
      <c r="A173" t="s">
        <v>23</v>
      </c>
      <c r="B173">
        <v>43</v>
      </c>
      <c r="C173">
        <v>43</v>
      </c>
      <c r="D173">
        <v>15</v>
      </c>
      <c r="E173" s="3">
        <v>0.34883700000000001</v>
      </c>
      <c r="F173">
        <v>9</v>
      </c>
      <c r="G173" s="3">
        <v>0.20930199999999999</v>
      </c>
      <c r="H173">
        <v>5</v>
      </c>
      <c r="I173" s="3">
        <v>0.11627899999999999</v>
      </c>
      <c r="J173">
        <v>6</v>
      </c>
      <c r="K173" s="3">
        <v>0.13953499999999999</v>
      </c>
      <c r="L173">
        <v>4</v>
      </c>
      <c r="M173" s="3">
        <v>9.3022999999999995E-2</v>
      </c>
      <c r="N173">
        <v>3</v>
      </c>
      <c r="O173" s="3">
        <v>6.9766999999999996E-2</v>
      </c>
      <c r="P173">
        <v>1</v>
      </c>
      <c r="Q173" s="3">
        <v>2.3255999999999999E-2</v>
      </c>
    </row>
    <row r="174" spans="1:17" x14ac:dyDescent="0.3">
      <c r="A174" t="s">
        <v>24</v>
      </c>
      <c r="B174">
        <v>38</v>
      </c>
      <c r="C174">
        <v>38</v>
      </c>
      <c r="D174">
        <v>3</v>
      </c>
      <c r="E174" s="3">
        <v>7.8947000000000003E-2</v>
      </c>
      <c r="F174">
        <v>6</v>
      </c>
      <c r="G174" s="3">
        <v>0.15789500000000001</v>
      </c>
      <c r="H174">
        <v>4</v>
      </c>
      <c r="I174" s="3">
        <v>0.105263</v>
      </c>
      <c r="J174">
        <v>10</v>
      </c>
      <c r="K174" s="3">
        <v>0.263158</v>
      </c>
      <c r="L174">
        <v>10</v>
      </c>
      <c r="M174" s="3">
        <v>0.263158</v>
      </c>
      <c r="N174">
        <v>2</v>
      </c>
      <c r="O174" s="3">
        <v>5.2631999999999998E-2</v>
      </c>
      <c r="P174">
        <v>3</v>
      </c>
      <c r="Q174" s="3">
        <v>7.8947000000000003E-2</v>
      </c>
    </row>
    <row r="175" spans="1:17" x14ac:dyDescent="0.3">
      <c r="A175" t="s">
        <v>25</v>
      </c>
      <c r="B175">
        <v>12</v>
      </c>
      <c r="C175">
        <v>12</v>
      </c>
      <c r="D175">
        <v>0</v>
      </c>
      <c r="E175" s="4">
        <v>0</v>
      </c>
      <c r="F175">
        <v>1</v>
      </c>
      <c r="G175" s="3">
        <v>8.3333000000000004E-2</v>
      </c>
      <c r="H175">
        <v>2</v>
      </c>
      <c r="I175" s="3">
        <v>0.16666700000000001</v>
      </c>
      <c r="J175">
        <v>3</v>
      </c>
      <c r="K175" s="3">
        <v>0.25</v>
      </c>
      <c r="L175">
        <v>4</v>
      </c>
      <c r="M175" s="3">
        <v>0.33333299999999999</v>
      </c>
      <c r="N175">
        <v>2</v>
      </c>
      <c r="O175" s="3">
        <v>0.16666700000000001</v>
      </c>
      <c r="P175">
        <v>0</v>
      </c>
      <c r="Q175" s="4">
        <v>0</v>
      </c>
    </row>
    <row r="177" spans="1:17" x14ac:dyDescent="0.3">
      <c r="A177" t="s">
        <v>56</v>
      </c>
      <c r="B177" t="s">
        <v>41</v>
      </c>
      <c r="C177" t="s">
        <v>42</v>
      </c>
    </row>
    <row r="178" spans="1:17" x14ac:dyDescent="0.3">
      <c r="A178" t="s">
        <v>57</v>
      </c>
      <c r="B178" s="5">
        <v>5564.13</v>
      </c>
      <c r="C178" s="3">
        <v>0.131526</v>
      </c>
    </row>
    <row r="179" spans="1:17" x14ac:dyDescent="0.3">
      <c r="A179" t="s">
        <v>58</v>
      </c>
      <c r="B179" s="5">
        <v>6288.16</v>
      </c>
      <c r="C179" s="3">
        <v>0.14863999999999999</v>
      </c>
    </row>
    <row r="180" spans="1:17" x14ac:dyDescent="0.3">
      <c r="A180" t="s">
        <v>59</v>
      </c>
      <c r="B180" s="5">
        <v>4376.59</v>
      </c>
      <c r="C180" s="3">
        <v>0.103454</v>
      </c>
    </row>
    <row r="181" spans="1:17" x14ac:dyDescent="0.3">
      <c r="A181" t="s">
        <v>60</v>
      </c>
      <c r="B181" s="5">
        <v>10892.46</v>
      </c>
      <c r="C181" s="3">
        <v>0.25747700000000001</v>
      </c>
    </row>
    <row r="182" spans="1:17" x14ac:dyDescent="0.3">
      <c r="A182" t="s">
        <v>61</v>
      </c>
      <c r="B182" s="5">
        <v>9463.27</v>
      </c>
      <c r="C182" s="3">
        <v>0.223694</v>
      </c>
    </row>
    <row r="183" spans="1:17" x14ac:dyDescent="0.3">
      <c r="A183" t="s">
        <v>62</v>
      </c>
      <c r="B183" s="5">
        <v>3793.37</v>
      </c>
      <c r="C183" s="3">
        <v>8.9667999999999998E-2</v>
      </c>
    </row>
    <row r="184" spans="1:17" x14ac:dyDescent="0.3">
      <c r="A184" t="s">
        <v>63</v>
      </c>
      <c r="B184" s="5">
        <v>1926.59</v>
      </c>
      <c r="C184" s="3">
        <v>4.5540999999999998E-2</v>
      </c>
    </row>
    <row r="187" spans="1:17" x14ac:dyDescent="0.3">
      <c r="A187" t="s">
        <v>64</v>
      </c>
    </row>
    <row r="188" spans="1:17" x14ac:dyDescent="0.3">
      <c r="B188" t="s">
        <v>1</v>
      </c>
      <c r="C188" t="s">
        <v>1</v>
      </c>
      <c r="D188" t="s">
        <v>47</v>
      </c>
      <c r="F188" t="s">
        <v>48</v>
      </c>
      <c r="H188" t="s">
        <v>49</v>
      </c>
      <c r="J188" t="s">
        <v>50</v>
      </c>
      <c r="L188" t="s">
        <v>51</v>
      </c>
      <c r="N188" t="s">
        <v>52</v>
      </c>
      <c r="P188" t="s">
        <v>53</v>
      </c>
    </row>
    <row r="189" spans="1:17" x14ac:dyDescent="0.3">
      <c r="A189" t="s">
        <v>2</v>
      </c>
      <c r="B189" t="s">
        <v>39</v>
      </c>
      <c r="C189" t="s">
        <v>40</v>
      </c>
      <c r="D189" t="s">
        <v>54</v>
      </c>
      <c r="E189" t="s">
        <v>55</v>
      </c>
      <c r="F189" t="s">
        <v>54</v>
      </c>
      <c r="G189" t="s">
        <v>55</v>
      </c>
      <c r="H189" t="s">
        <v>54</v>
      </c>
      <c r="I189" t="s">
        <v>55</v>
      </c>
      <c r="J189" t="s">
        <v>54</v>
      </c>
      <c r="K189" t="s">
        <v>55</v>
      </c>
      <c r="L189" t="s">
        <v>54</v>
      </c>
      <c r="M189" t="s">
        <v>55</v>
      </c>
      <c r="N189" t="s">
        <v>54</v>
      </c>
      <c r="O189" t="s">
        <v>55</v>
      </c>
      <c r="P189" t="s">
        <v>54</v>
      </c>
      <c r="Q189" t="s">
        <v>55</v>
      </c>
    </row>
    <row r="190" spans="1:17" x14ac:dyDescent="0.3">
      <c r="A190" t="s">
        <v>27</v>
      </c>
      <c r="B190">
        <v>22</v>
      </c>
      <c r="C190">
        <v>17</v>
      </c>
      <c r="D190">
        <v>0</v>
      </c>
      <c r="E190" s="4">
        <v>0</v>
      </c>
      <c r="F190">
        <v>4</v>
      </c>
      <c r="G190" s="3">
        <v>0.235294</v>
      </c>
      <c r="H190">
        <v>4</v>
      </c>
      <c r="I190" s="3">
        <v>0.235294</v>
      </c>
      <c r="J190">
        <v>6</v>
      </c>
      <c r="K190" s="3">
        <v>0.352941</v>
      </c>
      <c r="L190">
        <v>3</v>
      </c>
      <c r="M190" s="3">
        <v>0.17647099999999999</v>
      </c>
      <c r="N190">
        <v>0</v>
      </c>
      <c r="O190" s="4">
        <v>0</v>
      </c>
      <c r="P190">
        <v>0</v>
      </c>
      <c r="Q190" s="4">
        <v>0</v>
      </c>
    </row>
    <row r="191" spans="1:17" x14ac:dyDescent="0.3">
      <c r="A191" t="s">
        <v>28</v>
      </c>
      <c r="B191">
        <v>76</v>
      </c>
      <c r="C191">
        <v>47</v>
      </c>
      <c r="D191">
        <v>0</v>
      </c>
      <c r="E191" s="4">
        <v>0</v>
      </c>
      <c r="F191">
        <v>21</v>
      </c>
      <c r="G191" s="3">
        <v>0.44680900000000001</v>
      </c>
      <c r="H191">
        <v>15</v>
      </c>
      <c r="I191" s="3">
        <v>0.31914900000000002</v>
      </c>
      <c r="J191">
        <v>8</v>
      </c>
      <c r="K191" s="3">
        <v>0.170213</v>
      </c>
      <c r="L191">
        <v>3</v>
      </c>
      <c r="M191" s="3">
        <v>6.3829999999999998E-2</v>
      </c>
      <c r="N191">
        <v>0</v>
      </c>
      <c r="O191" s="4">
        <v>0</v>
      </c>
      <c r="P191">
        <v>0</v>
      </c>
      <c r="Q191" s="4">
        <v>0</v>
      </c>
    </row>
    <row r="192" spans="1:17" x14ac:dyDescent="0.3">
      <c r="A192" t="s">
        <v>29</v>
      </c>
      <c r="B192">
        <v>474</v>
      </c>
      <c r="C192">
        <v>193</v>
      </c>
      <c r="D192">
        <v>2</v>
      </c>
      <c r="E192" s="3">
        <v>1.0363000000000001E-2</v>
      </c>
      <c r="F192">
        <v>66</v>
      </c>
      <c r="G192" s="3">
        <v>0.34196900000000002</v>
      </c>
      <c r="H192">
        <v>86</v>
      </c>
      <c r="I192" s="3">
        <v>0.44559599999999999</v>
      </c>
      <c r="J192">
        <v>29</v>
      </c>
      <c r="K192" s="3">
        <v>0.150259</v>
      </c>
      <c r="L192">
        <v>10</v>
      </c>
      <c r="M192" s="3">
        <v>5.1812999999999998E-2</v>
      </c>
      <c r="N192">
        <v>0</v>
      </c>
      <c r="O192" s="4">
        <v>0</v>
      </c>
      <c r="P192">
        <v>0</v>
      </c>
      <c r="Q192" s="4">
        <v>0</v>
      </c>
    </row>
    <row r="193" spans="1:17" x14ac:dyDescent="0.3">
      <c r="A193" t="s">
        <v>30</v>
      </c>
      <c r="B193">
        <v>65</v>
      </c>
      <c r="C193">
        <v>51</v>
      </c>
      <c r="D193">
        <v>3</v>
      </c>
      <c r="E193" s="3">
        <v>5.8824000000000001E-2</v>
      </c>
      <c r="F193">
        <v>18</v>
      </c>
      <c r="G193" s="3">
        <v>0.352941</v>
      </c>
      <c r="H193">
        <v>11</v>
      </c>
      <c r="I193" s="3">
        <v>0.21568599999999999</v>
      </c>
      <c r="J193">
        <v>12</v>
      </c>
      <c r="K193" s="3">
        <v>0.235294</v>
      </c>
      <c r="L193">
        <v>6</v>
      </c>
      <c r="M193" s="3">
        <v>0.117647</v>
      </c>
      <c r="N193">
        <v>1</v>
      </c>
      <c r="O193" s="3">
        <v>1.9608E-2</v>
      </c>
      <c r="P193">
        <v>0</v>
      </c>
      <c r="Q193" s="4">
        <v>0</v>
      </c>
    </row>
    <row r="194" spans="1:17" x14ac:dyDescent="0.3">
      <c r="A194" t="s">
        <v>31</v>
      </c>
      <c r="B194">
        <v>144</v>
      </c>
      <c r="C194">
        <v>102</v>
      </c>
      <c r="D194">
        <v>1</v>
      </c>
      <c r="E194" s="3">
        <v>9.8040000000000002E-3</v>
      </c>
      <c r="F194">
        <v>39</v>
      </c>
      <c r="G194" s="3">
        <v>0.382353</v>
      </c>
      <c r="H194">
        <v>43</v>
      </c>
      <c r="I194" s="3">
        <v>0.42156900000000003</v>
      </c>
      <c r="J194">
        <v>13</v>
      </c>
      <c r="K194" s="3">
        <v>0.12745100000000001</v>
      </c>
      <c r="L194">
        <v>6</v>
      </c>
      <c r="M194" s="3">
        <v>5.8824000000000001E-2</v>
      </c>
      <c r="N194">
        <v>0</v>
      </c>
      <c r="O194" s="4">
        <v>0</v>
      </c>
      <c r="P194">
        <v>0</v>
      </c>
      <c r="Q194" s="4">
        <v>0</v>
      </c>
    </row>
    <row r="195" spans="1:17" x14ac:dyDescent="0.3">
      <c r="A195" t="s">
        <v>32</v>
      </c>
      <c r="B195">
        <v>1354</v>
      </c>
      <c r="C195">
        <v>437</v>
      </c>
      <c r="D195">
        <v>7</v>
      </c>
      <c r="E195" s="3">
        <v>1.6018000000000001E-2</v>
      </c>
      <c r="F195">
        <v>173</v>
      </c>
      <c r="G195" s="3">
        <v>0.39588099999999998</v>
      </c>
      <c r="H195">
        <v>158</v>
      </c>
      <c r="I195" s="3">
        <v>0.36155599999999999</v>
      </c>
      <c r="J195">
        <v>79</v>
      </c>
      <c r="K195" s="3">
        <v>0.18077799999999999</v>
      </c>
      <c r="L195">
        <v>19</v>
      </c>
      <c r="M195" s="3">
        <v>4.3478000000000003E-2</v>
      </c>
      <c r="N195">
        <v>1</v>
      </c>
      <c r="O195" s="3">
        <v>2.2880000000000001E-3</v>
      </c>
      <c r="P195">
        <v>0</v>
      </c>
      <c r="Q195" s="4">
        <v>0</v>
      </c>
    </row>
    <row r="197" spans="1:17" x14ac:dyDescent="0.3">
      <c r="A197" t="s">
        <v>56</v>
      </c>
      <c r="B197" t="s">
        <v>41</v>
      </c>
      <c r="C197" t="s">
        <v>42</v>
      </c>
    </row>
    <row r="198" spans="1:17" x14ac:dyDescent="0.3">
      <c r="A198" t="s">
        <v>57</v>
      </c>
      <c r="B198" s="2">
        <v>250</v>
      </c>
      <c r="C198" s="3">
        <v>1.9113000000000002E-2</v>
      </c>
    </row>
    <row r="199" spans="1:17" x14ac:dyDescent="0.3">
      <c r="A199" t="s">
        <v>58</v>
      </c>
      <c r="B199" s="2">
        <v>4525</v>
      </c>
      <c r="C199" s="3">
        <v>0.34594799999999998</v>
      </c>
    </row>
    <row r="200" spans="1:17" x14ac:dyDescent="0.3">
      <c r="A200" t="s">
        <v>59</v>
      </c>
      <c r="B200" s="2">
        <v>5055</v>
      </c>
      <c r="C200" s="3">
        <v>0.38646799999999998</v>
      </c>
    </row>
    <row r="201" spans="1:17" x14ac:dyDescent="0.3">
      <c r="A201" t="s">
        <v>60</v>
      </c>
      <c r="B201" s="2">
        <v>2395</v>
      </c>
      <c r="C201" s="3">
        <v>0.18310399999999999</v>
      </c>
    </row>
    <row r="202" spans="1:17" x14ac:dyDescent="0.3">
      <c r="A202" t="s">
        <v>61</v>
      </c>
      <c r="B202" s="2">
        <v>830</v>
      </c>
      <c r="C202" s="3">
        <v>6.3455999999999999E-2</v>
      </c>
    </row>
    <row r="203" spans="1:17" x14ac:dyDescent="0.3">
      <c r="A203" t="s">
        <v>62</v>
      </c>
      <c r="B203" s="2">
        <v>25</v>
      </c>
      <c r="C203" s="3">
        <v>1.9109999999999999E-3</v>
      </c>
    </row>
    <row r="204" spans="1:17" x14ac:dyDescent="0.3">
      <c r="A204" t="s">
        <v>63</v>
      </c>
      <c r="B204" s="2">
        <v>0</v>
      </c>
      <c r="C204" s="4">
        <v>0</v>
      </c>
    </row>
    <row r="207" spans="1:17" x14ac:dyDescent="0.3">
      <c r="A207" t="s">
        <v>65</v>
      </c>
    </row>
    <row r="208" spans="1:17" x14ac:dyDescent="0.3">
      <c r="B208" t="s">
        <v>1</v>
      </c>
      <c r="C208" t="s">
        <v>1</v>
      </c>
      <c r="D208" t="s">
        <v>47</v>
      </c>
      <c r="F208" t="s">
        <v>48</v>
      </c>
      <c r="H208" t="s">
        <v>49</v>
      </c>
      <c r="J208" t="s">
        <v>50</v>
      </c>
      <c r="L208" t="s">
        <v>51</v>
      </c>
      <c r="N208" t="s">
        <v>52</v>
      </c>
      <c r="P208" t="s">
        <v>53</v>
      </c>
    </row>
    <row r="209" spans="1:17" x14ac:dyDescent="0.3">
      <c r="A209" t="s">
        <v>2</v>
      </c>
      <c r="B209" t="s">
        <v>39</v>
      </c>
      <c r="C209" t="s">
        <v>40</v>
      </c>
      <c r="D209" t="s">
        <v>54</v>
      </c>
      <c r="E209" t="s">
        <v>55</v>
      </c>
      <c r="F209" t="s">
        <v>54</v>
      </c>
      <c r="G209" t="s">
        <v>55</v>
      </c>
      <c r="H209" t="s">
        <v>54</v>
      </c>
      <c r="I209" t="s">
        <v>55</v>
      </c>
      <c r="J209" t="s">
        <v>54</v>
      </c>
      <c r="K209" t="s">
        <v>55</v>
      </c>
      <c r="L209" t="s">
        <v>54</v>
      </c>
      <c r="M209" t="s">
        <v>55</v>
      </c>
      <c r="N209" t="s">
        <v>54</v>
      </c>
      <c r="O209" t="s">
        <v>55</v>
      </c>
      <c r="P209" t="s">
        <v>54</v>
      </c>
      <c r="Q209" t="s">
        <v>55</v>
      </c>
    </row>
    <row r="210" spans="1:17" x14ac:dyDescent="0.3">
      <c r="A210" t="s">
        <v>34</v>
      </c>
      <c r="B210">
        <v>53</v>
      </c>
      <c r="C210">
        <v>40</v>
      </c>
      <c r="D210">
        <v>1</v>
      </c>
      <c r="E210" s="3">
        <v>2.5000000000000001E-2</v>
      </c>
      <c r="F210">
        <v>4</v>
      </c>
      <c r="G210" s="3">
        <v>0.1</v>
      </c>
      <c r="H210">
        <v>16</v>
      </c>
      <c r="I210" s="3">
        <v>0.4</v>
      </c>
      <c r="J210">
        <v>11</v>
      </c>
      <c r="K210" s="3">
        <v>0.27500000000000002</v>
      </c>
      <c r="L210">
        <v>5</v>
      </c>
      <c r="M210" s="3">
        <v>0.125</v>
      </c>
      <c r="N210">
        <v>2</v>
      </c>
      <c r="O210" s="3">
        <v>0.05</v>
      </c>
      <c r="P210">
        <v>1</v>
      </c>
      <c r="Q210" s="3">
        <v>2.5000000000000001E-2</v>
      </c>
    </row>
    <row r="211" spans="1:17" x14ac:dyDescent="0.3">
      <c r="A211" t="s">
        <v>35</v>
      </c>
      <c r="B211">
        <v>9</v>
      </c>
      <c r="C211">
        <v>7</v>
      </c>
      <c r="D211">
        <v>1</v>
      </c>
      <c r="E211" s="3">
        <v>0.14285700000000001</v>
      </c>
      <c r="F211">
        <v>1</v>
      </c>
      <c r="G211" s="3">
        <v>0.14285700000000001</v>
      </c>
      <c r="H211">
        <v>1</v>
      </c>
      <c r="I211" s="3">
        <v>0.14285700000000001</v>
      </c>
      <c r="J211">
        <v>1</v>
      </c>
      <c r="K211" s="3">
        <v>0.14285700000000001</v>
      </c>
      <c r="L211">
        <v>2</v>
      </c>
      <c r="M211" s="3">
        <v>0.28571400000000002</v>
      </c>
      <c r="N211">
        <v>1</v>
      </c>
      <c r="O211" s="3">
        <v>0.14285700000000001</v>
      </c>
      <c r="P211">
        <v>0</v>
      </c>
      <c r="Q211" s="4">
        <v>0</v>
      </c>
    </row>
    <row r="212" spans="1:17" x14ac:dyDescent="0.3">
      <c r="A212" t="s">
        <v>36</v>
      </c>
      <c r="B212">
        <v>14</v>
      </c>
      <c r="C212">
        <v>10</v>
      </c>
      <c r="D212">
        <v>0</v>
      </c>
      <c r="E212" s="4">
        <v>0</v>
      </c>
      <c r="F212">
        <v>2</v>
      </c>
      <c r="G212" s="3">
        <v>0.2</v>
      </c>
      <c r="H212">
        <v>3</v>
      </c>
      <c r="I212" s="3">
        <v>0.3</v>
      </c>
      <c r="J212">
        <v>4</v>
      </c>
      <c r="K212" s="3">
        <v>0.4</v>
      </c>
      <c r="L212">
        <v>1</v>
      </c>
      <c r="M212" s="3">
        <v>0.1</v>
      </c>
      <c r="N212">
        <v>0</v>
      </c>
      <c r="O212" s="4">
        <v>0</v>
      </c>
      <c r="P212">
        <v>0</v>
      </c>
      <c r="Q212" s="4">
        <v>0</v>
      </c>
    </row>
    <row r="214" spans="1:17" x14ac:dyDescent="0.3">
      <c r="A214" t="s">
        <v>56</v>
      </c>
      <c r="B214" t="s">
        <v>41</v>
      </c>
      <c r="C214" t="s">
        <v>42</v>
      </c>
    </row>
    <row r="215" spans="1:17" x14ac:dyDescent="0.3">
      <c r="A215" t="s">
        <v>57</v>
      </c>
      <c r="B215" s="2">
        <v>70</v>
      </c>
      <c r="C215" s="3">
        <v>7.0111000000000007E-2</v>
      </c>
    </row>
    <row r="216" spans="1:17" x14ac:dyDescent="0.3">
      <c r="A216" t="s">
        <v>58</v>
      </c>
      <c r="B216" s="5">
        <v>86.99</v>
      </c>
      <c r="C216" s="3">
        <v>8.7128999999999998E-2</v>
      </c>
    </row>
    <row r="217" spans="1:17" x14ac:dyDescent="0.3">
      <c r="A217" t="s">
        <v>59</v>
      </c>
      <c r="B217" s="5">
        <v>349.45</v>
      </c>
      <c r="C217" s="3">
        <v>0.35000700000000001</v>
      </c>
    </row>
    <row r="218" spans="1:17" x14ac:dyDescent="0.3">
      <c r="A218" t="s">
        <v>60</v>
      </c>
      <c r="B218" s="5">
        <v>293.56</v>
      </c>
      <c r="C218" s="3">
        <v>0.29402800000000001</v>
      </c>
    </row>
    <row r="219" spans="1:17" x14ac:dyDescent="0.3">
      <c r="A219" t="s">
        <v>61</v>
      </c>
      <c r="B219" s="5">
        <v>148.41</v>
      </c>
      <c r="C219" s="3">
        <v>0.148646</v>
      </c>
    </row>
    <row r="220" spans="1:17" x14ac:dyDescent="0.3">
      <c r="A220" t="s">
        <v>62</v>
      </c>
      <c r="B220" s="2">
        <v>40</v>
      </c>
      <c r="C220" s="3">
        <v>4.0064000000000002E-2</v>
      </c>
    </row>
    <row r="221" spans="1:17" x14ac:dyDescent="0.3">
      <c r="A221" t="s">
        <v>63</v>
      </c>
      <c r="B221" s="2">
        <v>10</v>
      </c>
      <c r="C221" s="3">
        <v>1.0016000000000001E-2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AE162"/>
  <sheetViews>
    <sheetView topLeftCell="A82" workbookViewId="0">
      <selection activeCell="B139" sqref="B139"/>
    </sheetView>
  </sheetViews>
  <sheetFormatPr defaultRowHeight="12" x14ac:dyDescent="0.3"/>
  <cols>
    <col min="1" max="1" width="56.6640625" bestFit="1" customWidth="1"/>
    <col min="2" max="2" width="33.6640625" bestFit="1" customWidth="1"/>
    <col min="3" max="3" width="16.44140625" bestFit="1" customWidth="1"/>
    <col min="4" max="4" width="13" customWidth="1"/>
    <col min="5" max="5" width="13.44140625" customWidth="1"/>
    <col min="6" max="6" width="16" style="15" customWidth="1"/>
    <col min="7" max="7" width="24.33203125" hidden="1" customWidth="1"/>
    <col min="8" max="8" width="63.33203125" hidden="1" customWidth="1"/>
    <col min="9" max="9" width="7" hidden="1" customWidth="1"/>
    <col min="10" max="10" width="27" hidden="1" customWidth="1"/>
    <col min="11" max="11" width="6.44140625" style="24" hidden="1" customWidth="1"/>
    <col min="12" max="12" width="30" hidden="1" customWidth="1"/>
    <col min="13" max="13" width="17" bestFit="1" customWidth="1"/>
    <col min="14" max="14" width="15" customWidth="1"/>
    <col min="15" max="15" width="16.109375" customWidth="1"/>
    <col min="16" max="16" width="14.6640625" customWidth="1"/>
    <col min="17" max="17" width="14.77734375" customWidth="1"/>
    <col min="18" max="18" width="14.44140625" customWidth="1"/>
    <col min="19" max="19" width="13.77734375" customWidth="1"/>
    <col min="20" max="20" width="14.6640625" customWidth="1"/>
    <col min="21" max="21" width="18.6640625" style="45" customWidth="1"/>
    <col min="22" max="31" width="9.33203125" style="45"/>
  </cols>
  <sheetData>
    <row r="1" spans="1:20" ht="19.5" customHeight="1" thickBot="1" x14ac:dyDescent="0.4">
      <c r="A1" s="71" t="s">
        <v>158</v>
      </c>
      <c r="B1" s="72">
        <v>7</v>
      </c>
      <c r="C1" s="61"/>
      <c r="D1" s="61"/>
      <c r="E1" s="61"/>
      <c r="F1" s="62"/>
      <c r="G1" s="61"/>
      <c r="H1" s="61"/>
      <c r="I1" s="61"/>
      <c r="J1" s="61"/>
      <c r="K1" s="63"/>
      <c r="L1" s="61"/>
      <c r="M1" s="61"/>
      <c r="N1" s="61"/>
      <c r="O1" s="61"/>
      <c r="P1" s="61"/>
      <c r="Q1" s="61"/>
      <c r="R1" s="61"/>
      <c r="S1" s="61"/>
      <c r="T1" s="61"/>
    </row>
    <row r="2" spans="1:20" x14ac:dyDescent="0.3">
      <c r="A2" s="61"/>
      <c r="B2" s="61"/>
      <c r="C2" s="61"/>
      <c r="D2" s="61"/>
      <c r="E2" s="61"/>
      <c r="F2" s="62"/>
      <c r="G2" s="61"/>
      <c r="H2" s="61"/>
      <c r="I2" s="61"/>
      <c r="J2" s="61"/>
      <c r="K2" s="63"/>
      <c r="L2" s="61"/>
      <c r="M2" s="61"/>
      <c r="N2" s="61"/>
      <c r="O2" s="61"/>
      <c r="P2" s="61"/>
      <c r="Q2" s="61"/>
      <c r="R2" s="61"/>
      <c r="S2" s="61"/>
      <c r="T2" s="61"/>
    </row>
    <row r="3" spans="1:20" ht="12.5" thickBot="1" x14ac:dyDescent="0.35">
      <c r="A3" s="109" t="s">
        <v>173</v>
      </c>
      <c r="B3" s="109"/>
      <c r="C3" s="61"/>
      <c r="D3" s="61"/>
      <c r="E3" s="61"/>
      <c r="F3" s="62"/>
      <c r="G3" s="61"/>
      <c r="H3" s="61"/>
      <c r="I3" s="61"/>
      <c r="J3" s="61"/>
      <c r="K3" s="63"/>
      <c r="L3" s="61"/>
      <c r="M3" s="61"/>
      <c r="N3" s="61"/>
      <c r="O3" s="61"/>
      <c r="P3" s="61"/>
      <c r="Q3" s="61"/>
      <c r="R3" s="61"/>
      <c r="S3" s="61"/>
      <c r="T3" s="61"/>
    </row>
    <row r="4" spans="1:20" ht="12.5" thickBot="1" x14ac:dyDescent="0.35">
      <c r="A4" s="6" t="s">
        <v>112</v>
      </c>
      <c r="B4" s="64" t="str">
        <f ca="1">"Total: " &amp; C_PG1_TOTAL &amp; " | Unique: " &amp; C_PG1_UNIQUE</f>
        <v>Total: 72 | Unique: 72</v>
      </c>
      <c r="C4" s="12"/>
      <c r="D4" s="98"/>
      <c r="E4" s="98"/>
      <c r="F4" s="98"/>
      <c r="G4" s="136" t="s">
        <v>75</v>
      </c>
      <c r="H4" s="137"/>
      <c r="I4" s="99"/>
      <c r="J4" s="99"/>
      <c r="K4" s="100"/>
      <c r="L4" s="99"/>
      <c r="M4" s="101"/>
      <c r="N4" s="133" t="s">
        <v>109</v>
      </c>
      <c r="O4" s="134"/>
      <c r="P4" s="134"/>
      <c r="Q4" s="134"/>
      <c r="R4" s="134"/>
      <c r="S4" s="134"/>
      <c r="T4" s="135"/>
    </row>
    <row r="5" spans="1:20" ht="13" thickTop="1" thickBot="1" x14ac:dyDescent="0.35">
      <c r="A5" s="7" t="s">
        <v>19</v>
      </c>
      <c r="B5" s="129" t="s">
        <v>69</v>
      </c>
      <c r="C5" s="102"/>
      <c r="D5" s="74" t="s">
        <v>73</v>
      </c>
      <c r="E5" s="75" t="s">
        <v>72</v>
      </c>
      <c r="F5" s="103" t="s">
        <v>106</v>
      </c>
      <c r="G5" s="104" t="s">
        <v>74</v>
      </c>
      <c r="H5" s="105">
        <f>B1</f>
        <v>7</v>
      </c>
      <c r="I5" s="140" t="s">
        <v>99</v>
      </c>
      <c r="J5" s="141"/>
      <c r="K5" s="141" t="s">
        <v>100</v>
      </c>
      <c r="L5" s="141"/>
      <c r="M5" s="106"/>
      <c r="N5" s="38" t="s">
        <v>47</v>
      </c>
      <c r="O5" s="39" t="s">
        <v>48</v>
      </c>
      <c r="P5" s="39" t="s">
        <v>49</v>
      </c>
      <c r="Q5" s="39" t="s">
        <v>50</v>
      </c>
      <c r="R5" s="39" t="s">
        <v>51</v>
      </c>
      <c r="S5" s="39" t="s">
        <v>52</v>
      </c>
      <c r="T5" s="40" t="s">
        <v>53</v>
      </c>
    </row>
    <row r="6" spans="1:20" x14ac:dyDescent="0.3">
      <c r="A6" s="8" t="s">
        <v>24</v>
      </c>
      <c r="B6" s="130"/>
      <c r="C6" s="13" t="s">
        <v>107</v>
      </c>
      <c r="D6" s="95">
        <f ca="1">SUM(IFERROR(VLOOKUP(A5, C_CPPS_RANGE, 4,FALSE),0),IFERROR(VLOOKUP(A6, C_CPPS_RANGE, 4,FALSE),0),IFERROR(VLOOKUP(A7, C_CPPS_RANGE, 4,FALSE),0))</f>
        <v>10281.31</v>
      </c>
      <c r="E6" s="96">
        <f ca="1">SUM(IFERROR(VLOOKUP(A5, P_CPPS_RANGE, 4,FALSE),0),IFERROR(VLOOKUP(A6, P_CPPS_RANGE, 4,FALSE),0),IFERROR(VLOOKUP(A7, P_CPPS_RANGE, 4,FALSE),0))</f>
        <v>8806.4399999999987</v>
      </c>
      <c r="F6" s="36">
        <f ca="1">D6-E6</f>
        <v>1474.8700000000008</v>
      </c>
      <c r="G6" s="19" t="s">
        <v>76</v>
      </c>
      <c r="H6" s="20">
        <f>H5*3+1</f>
        <v>22</v>
      </c>
      <c r="I6" s="15" t="s">
        <v>101</v>
      </c>
      <c r="J6" s="15" t="s">
        <v>102</v>
      </c>
      <c r="K6" s="24" t="s">
        <v>101</v>
      </c>
      <c r="L6" s="15" t="s">
        <v>102</v>
      </c>
      <c r="M6" s="97" t="s">
        <v>110</v>
      </c>
      <c r="N6" s="42">
        <f ca="1">IFERROR((SUM(IFERROR(VLOOKUP(A5, C_PSDPS_RANGE, 4,FALSE),0),IFERROR(VLOOKUP(A6, C_PSDPS_RANGE, 4,FALSE),0),IFERROR(VLOOKUP(A7, C_PSDPS_RANGE, 4,FALSE),0)))/N8,0)</f>
        <v>6.9444444444444448E-2</v>
      </c>
      <c r="O6" s="43">
        <f ca="1">IFERROR((SUM(IFERROR(VLOOKUP(A5, C_PSDPS_RANGE, 6,FALSE),0),IFERROR(VLOOKUP(A6, C_PSDPS_RANGE, 6,FALSE),0),IFERROR(VLOOKUP(A7, C_PSDPS_RANGE, 6,FALSE),0)))/N8,0)</f>
        <v>0.1111111111111111</v>
      </c>
      <c r="P6" s="43">
        <f ca="1">IFERROR((SUM(IFERROR(VLOOKUP(A5, C_PSDPS_RANGE, 8,FALSE),0),IFERROR(VLOOKUP(A6, C_PSDPS_RANGE, 8,FALSE),0),IFERROR(VLOOKUP(A7, C_PSDPS_RANGE, 8,FALSE),0)))/N8,0)</f>
        <v>0.1111111111111111</v>
      </c>
      <c r="Q6" s="43">
        <f ca="1">IFERROR((SUM(IFERROR(VLOOKUP(A5, C_PSDPS_RANGE, 10,FALSE),0),IFERROR(VLOOKUP(A6, C_PSDPS_RANGE, 10,FALSE),0),IFERROR(VLOOKUP(A7, C_PSDPS_RANGE, 10,FALSE),0)))/N8,0)</f>
        <v>0.2638888888888889</v>
      </c>
      <c r="R6" s="43">
        <f ca="1">IFERROR((SUM(IFERROR(VLOOKUP(A5, C_PSDPS_RANGE, 12,FALSE),0),IFERROR(VLOOKUP(A6, C_PSDPS_RANGE, 12,FALSE),0),IFERROR(VLOOKUP(A7, C_PSDPS_RANGE, 12,FALSE),0)))/N8,0)</f>
        <v>0.30555555555555558</v>
      </c>
      <c r="S6" s="43">
        <f ca="1">IFERROR((SUM(IFERROR(VLOOKUP(A5, C_PSDPS_RANGE, 14,FALSE),0),IFERROR(VLOOKUP(A6, C_PSDPS_RANGE, 14,FALSE),0),IFERROR(VLOOKUP(A7, C_PSDPS_RANGE, 14,FALSE),0)))/N8,0)</f>
        <v>9.7222222222222224E-2</v>
      </c>
      <c r="T6" s="44">
        <f ca="1">IFERROR((SUM(IFERROR(VLOOKUP(A5, C_PSDPS_RANGE, 16,FALSE),0),IFERROR(VLOOKUP(A6, C_PSDPS_RANGE, 16,FALSE),0),IFERROR(VLOOKUP(A7, C_PSDPS_RANGE, 16,FALSE),0)))/N8,0)</f>
        <v>4.1666666666666664E-2</v>
      </c>
    </row>
    <row r="7" spans="1:20" ht="12.5" thickBot="1" x14ac:dyDescent="0.35">
      <c r="A7" s="9" t="s">
        <v>25</v>
      </c>
      <c r="B7" s="131"/>
      <c r="C7" s="14" t="s">
        <v>108</v>
      </c>
      <c r="D7" s="31">
        <f ca="1">SUM(IFERROR(VLOOKUP(A5, C_CPPS_RANGE, 5,FALSE),0),IFERROR(VLOOKUP(A6, C_CPPS_RANGE, 5,FALSE),0),IFERROR(VLOOKUP(A7, C_CPPS_RANGE, 5,FALSE),0))</f>
        <v>0.243031</v>
      </c>
      <c r="E7" s="33">
        <f ca="1">SUM(IFERROR(VLOOKUP(A5, P_CPPS_RANGE, 5,FALSE),0),IFERROR(VLOOKUP(A6, P_CPPS_RANGE, 5,FALSE),0),IFERROR(VLOOKUP(A7, P_CPPS_RANGE, 5,FALSE),0))</f>
        <v>0.18890399999999999</v>
      </c>
      <c r="F7" s="37">
        <f ca="1">D7-E7</f>
        <v>5.4127000000000008E-2</v>
      </c>
      <c r="G7" s="16" t="s">
        <v>77</v>
      </c>
      <c r="H7" s="17" t="s">
        <v>0</v>
      </c>
      <c r="I7" s="21">
        <f ca="1">MATCH(H7,INDIRECT("'" &amp; H22 &amp; "!A:A"),0)</f>
        <v>1</v>
      </c>
      <c r="J7" s="26" t="str">
        <f ca="1">"'" &amp; H22 &amp; "!A" &amp; MATCH(H7,INDIRECT("'" &amp; H22 &amp; "!A:A"),0) &amp; ":" &amp; ADDRESS(I8-3,MAX_WIDTH,4)</f>
        <v>'CURRENT CRUISE'!A1:V23</v>
      </c>
      <c r="K7" s="24">
        <f ca="1">MATCH(H7,INDIRECT("'" &amp; H23 &amp; "!A:A"),0)</f>
        <v>1</v>
      </c>
      <c r="L7" s="25" t="str">
        <f ca="1">"'" &amp; H23 &amp; "!A" &amp; MATCH(H7,INDIRECT("'" &amp; H23 &amp; "!A:A"),0) &amp; ":" &amp; ADDRESS(K8-3,MAX_WIDTH,4)</f>
        <v>'PREVIOUS CRUISE'!A1:V24</v>
      </c>
      <c r="M7" s="54" t="s">
        <v>111</v>
      </c>
      <c r="N7" s="55">
        <f ca="1">IFERROR(N6-((SUM(IFERROR(VLOOKUP(A5, P_PSDPS_RANGE, 4,FALSE),0),IFERROR(VLOOKUP(A6, P_PSDPS_RANGE, 4,FALSE),0),IFERROR(VLOOKUP(A7, P_PSDPS_RANGE, 4,FALSE),0)))/O8),0)</f>
        <v>-3.4003831417624517E-2</v>
      </c>
      <c r="O7" s="56">
        <f ca="1">IFERROR(O6-((SUM(IFERROR(VLOOKUP(A5, P_PSDPS_RANGE, 6,FALSE),0),IFERROR(VLOOKUP(A6, P_PSDPS_RANGE, 6,FALSE),0),IFERROR(VLOOKUP(A7, P_PSDPS_RANGE, 6,FALSE),0)))/O8),0)</f>
        <v>-2.6819923371647514E-2</v>
      </c>
      <c r="P7" s="56">
        <f ca="1">IFERROR(P6-((SUM(IFERROR(VLOOKUP(A5, P_PSDPS_RANGE, 8,FALSE),0),IFERROR(VLOOKUP(A6, P_PSDPS_RANGE, 8,FALSE),0),IFERROR(VLOOKUP(A7, P_PSDPS_RANGE, 8,FALSE),0)))/O8),0)</f>
        <v>-4.4061302681992348E-2</v>
      </c>
      <c r="Q7" s="56">
        <f ca="1">IFERROR(Q6-((SUM(IFERROR(VLOOKUP(A5,P_PSDPS_RANGE,10,FALSE),0),IFERROR(VLOOKUP(A6,P_PSDPS_RANGE,10,FALSE),0),IFERROR(VLOOKUP(A7,P_PSDPS_RANGE,10,FALSE),0)))/O8),0)</f>
        <v>9.1475095785440608E-2</v>
      </c>
      <c r="R7" s="56">
        <f ca="1">IFERROR(R6-((SUM(IFERROR(VLOOKUP(A5, P_PSDPS_RANGE, 12,FALSE),0),IFERROR(VLOOKUP(A6, P_PSDPS_RANGE, 12,FALSE),0),IFERROR(VLOOKUP(A7, P_PSDPS_RANGE, 12,FALSE),0)))/O8),0)</f>
        <v>2.9693486590038343E-2</v>
      </c>
      <c r="S7" s="56">
        <f ca="1">IFERROR(S6-((SUM(IFERROR(VLOOKUP(A5, P_PSDPS_RANGE, 14,FALSE),0),IFERROR(VLOOKUP(A6, P_PSDPS_RANGE, 14,FALSE),0),IFERROR(VLOOKUP(A7, P_PSDPS_RANGE, 14,FALSE),0)))/O8),0)</f>
        <v>2.8256704980842914E-2</v>
      </c>
      <c r="T7" s="57">
        <f ca="1">IFERROR(T6-((SUM(IFERROR(VLOOKUP(A5, P_PSDPS_RANGE, 16,FALSE),0),IFERROR(VLOOKUP(A6, P_PSDPS_RANGE, 16,FALSE),0),IFERROR(VLOOKUP(A7, P_PSDPS_RANGE, 16,FALSE),0)))/O8),0)</f>
        <v>-4.4540229885057479E-2</v>
      </c>
    </row>
    <row r="8" spans="1:20" ht="12.5" thickBot="1" x14ac:dyDescent="0.35">
      <c r="A8" s="6" t="s">
        <v>113</v>
      </c>
      <c r="B8" s="65" t="str">
        <f ca="1">"Total: " &amp; C_PG2_TOTAL &amp; " | Unique: " &amp; C_PG2_UNIQUE</f>
        <v>Total: 30 | Unique: 30</v>
      </c>
      <c r="C8" s="45"/>
      <c r="D8" s="46"/>
      <c r="E8" s="46"/>
      <c r="F8" s="46"/>
      <c r="G8" s="47" t="s">
        <v>78</v>
      </c>
      <c r="H8" s="48" t="s">
        <v>26</v>
      </c>
      <c r="I8" s="49">
        <f ca="1">MATCH(H8,INDIRECT("'" &amp; H22 &amp; "!A:A"),0)</f>
        <v>26</v>
      </c>
      <c r="J8" s="50" t="str">
        <f ca="1">"'" &amp; H22 &amp; "!A" &amp; MATCH(H8,INDIRECT("'" &amp; H22 &amp; "!A:A"),0) &amp; ":" &amp; ADDRESS(I9-3,MAX_WIDTH,4)</f>
        <v>'CURRENT CRUISE'!A26:V34</v>
      </c>
      <c r="K8" s="51">
        <f ca="1">MATCH(H8,INDIRECT("'" &amp; H23 &amp; "!A:A"),0)</f>
        <v>27</v>
      </c>
      <c r="L8" s="52" t="str">
        <f ca="1">"'" &amp; H23 &amp; "!A" &amp; MATCH(H8,INDIRECT("'" &amp; H23 &amp; "!A:A"),0) &amp; ":" &amp; ADDRESS(K9-3,MAX_WIDTH,4)</f>
        <v>'PREVIOUS CRUISE'!A27:V35</v>
      </c>
      <c r="M8" s="45"/>
      <c r="N8" s="45">
        <f ca="1">SUM(IFERROR(VLOOKUP(A5, C_PSDPS_RANGE, 3,FALSE),0),IFERROR(VLOOKUP(A6, C_PSDPS_RANGE, 3,FALSE),0),IFERROR(VLOOKUP(A7, C_PSDPS_RANGE, 3,FALSE),0))</f>
        <v>72</v>
      </c>
      <c r="O8" s="45">
        <f ca="1">SUM(IFERROR(VLOOKUP(A5, P_PSDPS_RANGE, 3,FALSE),0),IFERROR(VLOOKUP(A6, P_PSDPS_RANGE, 3,FALSE),0),IFERROR(VLOOKUP(A7, P_PSDPS_RANGE, 3,FALSE),0))</f>
        <v>58</v>
      </c>
      <c r="P8" s="45"/>
      <c r="Q8" s="45"/>
      <c r="R8" s="45"/>
      <c r="S8" s="45"/>
      <c r="T8" s="45"/>
    </row>
    <row r="9" spans="1:20" ht="13" thickTop="1" thickBot="1" x14ac:dyDescent="0.35">
      <c r="A9" s="10" t="s">
        <v>16</v>
      </c>
      <c r="B9" s="129" t="s">
        <v>70</v>
      </c>
      <c r="C9" s="12"/>
      <c r="D9" s="27" t="s">
        <v>73</v>
      </c>
      <c r="E9" s="28" t="s">
        <v>72</v>
      </c>
      <c r="F9" s="35" t="s">
        <v>106</v>
      </c>
      <c r="G9" s="16" t="s">
        <v>79</v>
      </c>
      <c r="H9" s="17" t="s">
        <v>33</v>
      </c>
      <c r="I9" s="21">
        <f ca="1">MATCH(H9,INDIRECT("'" &amp; H22 &amp; "!A:A"),0)</f>
        <v>37</v>
      </c>
      <c r="J9" s="26" t="str">
        <f ca="1">"'" &amp; H22 &amp; "!A" &amp; MATCH(H9,INDIRECT("'" &amp; H22 &amp; "!A:A"),0) &amp; ":" &amp; ADDRESS(I10-3,MAX_WIDTH,4)</f>
        <v>'CURRENT CRUISE'!A37:V42</v>
      </c>
      <c r="K9" s="24">
        <f ca="1">MATCH(H9,INDIRECT("'" &amp; H23 &amp; "!A:A"),0)</f>
        <v>38</v>
      </c>
      <c r="L9" s="25" t="str">
        <f ca="1">"'" &amp; H23 &amp; "!A" &amp; MATCH(H9,INDIRECT("'" &amp; H23 &amp; "!A:A"),0) &amp; ":" &amp; ADDRESS(K10-3,MAX_WIDTH,4)</f>
        <v>'PREVIOUS CRUISE'!A38:V43</v>
      </c>
      <c r="M9" s="41"/>
      <c r="N9" s="38" t="s">
        <v>47</v>
      </c>
      <c r="O9" s="39" t="s">
        <v>48</v>
      </c>
      <c r="P9" s="39" t="s">
        <v>49</v>
      </c>
      <c r="Q9" s="39" t="s">
        <v>50</v>
      </c>
      <c r="R9" s="39" t="s">
        <v>51</v>
      </c>
      <c r="S9" s="39" t="s">
        <v>52</v>
      </c>
      <c r="T9" s="40" t="s">
        <v>53</v>
      </c>
    </row>
    <row r="10" spans="1:20" x14ac:dyDescent="0.3">
      <c r="A10" s="8" t="s">
        <v>21</v>
      </c>
      <c r="B10" s="130"/>
      <c r="C10" s="13" t="s">
        <v>107</v>
      </c>
      <c r="D10" s="29">
        <f ca="1">SUM(IFERROR(VLOOKUP(A9,C_CPPS_RANGE, 4,FALSE),0),IFERROR(VLOOKUP(A10, C_CPPS_RANGE, 4,FALSE),0),IFERROR(VLOOKUP(A11, C_CPPS_RANGE, 4,FALSE),0))</f>
        <v>6294.58</v>
      </c>
      <c r="E10" s="30">
        <f ca="1">SUM(IFERROR(VLOOKUP(A9,P_CPPS_RANGE, 4,FALSE),0),IFERROR(VLOOKUP(A10, P_CPPS_RANGE, 4,FALSE),0),IFERROR(VLOOKUP(A11, P_CPPS_RANGE, 4,FALSE),0))</f>
        <v>11132.44</v>
      </c>
      <c r="F10" s="36">
        <f ca="1">D10-E10</f>
        <v>-4837.8600000000006</v>
      </c>
      <c r="G10" s="16" t="s">
        <v>80</v>
      </c>
      <c r="H10" s="17" t="s">
        <v>37</v>
      </c>
      <c r="I10" s="21">
        <f ca="1">MATCH(H10,INDIRECT("'" &amp; H22 &amp; "!A:A"),0)</f>
        <v>45</v>
      </c>
      <c r="J10" s="26" t="str">
        <f ca="1">"'" &amp; H22 &amp; "!A" &amp; MATCH(H10,INDIRECT("'" &amp; H22 &amp; "!A:A"),0) &amp; ":" &amp; ADDRESS(I11-3,MAX_WIDTH,4)</f>
        <v>'CURRENT CRUISE'!A45:V76</v>
      </c>
      <c r="K10" s="24">
        <f ca="1">MATCH(H10,INDIRECT("'" &amp; H23 &amp; "!A:A"),0)</f>
        <v>46</v>
      </c>
      <c r="L10" s="25" t="str">
        <f ca="1">"'" &amp; H23 &amp; "!A" &amp; MATCH(H10,INDIRECT("'" &amp; H23 &amp; "!A:A"),0) &amp; ":" &amp; ADDRESS(K11-3,MAX_WIDTH,4)</f>
        <v>'PREVIOUS CRUISE'!A46:V78</v>
      </c>
      <c r="M10" s="53" t="s">
        <v>110</v>
      </c>
      <c r="N10" s="42">
        <f ca="1">IFERROR((SUM(IFERROR(VLOOKUP(A9, C_PSDPS_RANGE, 4,FALSE),0),IFERROR(VLOOKUP(A10, C_PSDPS_RANGE, 4,FALSE),0),IFERROR(VLOOKUP(A11, C_PSDPS_RANGE, 4,FALSE),0)))/N12,0)</f>
        <v>0.2</v>
      </c>
      <c r="O10" s="43">
        <f ca="1">IFERROR((SUM(IFERROR(VLOOKUP(A9, C_PSDPS_RANGE, 6,FALSE),0),IFERROR(VLOOKUP(A10, C_PSDPS_RANGE, 6,FALSE),0),IFERROR(VLOOKUP(A11, C_PSDPS_RANGE, 6,FALSE),0)))/N12,0)</f>
        <v>0.13333333333333333</v>
      </c>
      <c r="P10" s="43">
        <f ca="1">IFERROR((SUM(IFERROR(VLOOKUP(A9, C_PSDPS_RANGE, 8,FALSE),0),IFERROR(VLOOKUP(A10, C_PSDPS_RANGE, 8,FALSE),0),IFERROR(VLOOKUP(A11, C_PSDPS_RANGE, 8,FALSE),0)))/N12,0)</f>
        <v>0.13333333333333333</v>
      </c>
      <c r="Q10" s="43">
        <f ca="1">IFERROR((SUM(IFERROR(VLOOKUP(A9, C_PSDPS_RANGE, 10,FALSE),0),IFERROR(VLOOKUP(A10, C_PSDPS_RANGE, 10,FALSE),0),IFERROR(VLOOKUP(A11, C_PSDPS_RANGE, 10,FALSE),0)))/N12,0)</f>
        <v>0.36666666666666664</v>
      </c>
      <c r="R10" s="43">
        <f ca="1">IFERROR((SUM(IFERROR(VLOOKUP(A9, C_PSDPS_RANGE, 12,FALSE),0),IFERROR(VLOOKUP(A10, C_PSDPS_RANGE, 12,FALSE),0),IFERROR(VLOOKUP(A11, C_PSDPS_RANGE, 12,FALSE),0)))/N12,0)</f>
        <v>0.13333333333333333</v>
      </c>
      <c r="S10" s="43">
        <f ca="1">IFERROR((SUM(IFERROR(VLOOKUP(A9, C_PSDPS_RANGE, 14,FALSE),0),IFERROR(VLOOKUP(A10, C_PSDPS_RANGE, 14,FALSE),0),IFERROR(VLOOKUP(A11, C_PSDPS_RANGE, 14,FALSE),0)))/N12,0)</f>
        <v>3.3333333333333333E-2</v>
      </c>
      <c r="T10" s="44">
        <f ca="1">IFERROR((SUM(IFERROR(VLOOKUP(A9, C_PSDPS_RANGE, 16,FALSE),0),IFERROR(VLOOKUP(A10, C_PSDPS_RANGE, 16,FALSE),0),IFERROR(VLOOKUP(A11, C_PSDPS_RANGE, 16,FALSE),0)))/N12,0)</f>
        <v>0</v>
      </c>
    </row>
    <row r="11" spans="1:20" ht="12.5" thickBot="1" x14ac:dyDescent="0.35">
      <c r="A11" s="68" t="s">
        <v>22</v>
      </c>
      <c r="B11" s="131"/>
      <c r="C11" s="14" t="s">
        <v>108</v>
      </c>
      <c r="D11" s="31">
        <f ca="1">SUM(IFERROR(VLOOKUP(A9,C_CPPS_RANGE, 5,FALSE),0),IFERROR(VLOOKUP(A10, C_CPPS_RANGE, 5,FALSE),0),IFERROR(VLOOKUP(A11, C_CPPS_RANGE, 5,FALSE),0))</f>
        <v>0.14879199999999998</v>
      </c>
      <c r="E11" s="33">
        <f ca="1">SUM(IFERROR(VLOOKUP(A9,P_CPPS_RANGE, 5,FALSE),0),IFERROR(VLOOKUP(A10, P_CPPS_RANGE, 5,FALSE),0),IFERROR(VLOOKUP(A11, P_CPPS_RANGE, 5,FALSE),0))</f>
        <v>0.23879700000000001</v>
      </c>
      <c r="F11" s="37">
        <f ca="1">D11-E11</f>
        <v>-9.0005000000000029E-2</v>
      </c>
      <c r="G11" s="16" t="s">
        <v>84</v>
      </c>
      <c r="H11" s="17" t="s">
        <v>38</v>
      </c>
      <c r="I11" s="21">
        <f ca="1">MATCH(H11,INDIRECT("'" &amp; H22 &amp; "!A:A"),0)</f>
        <v>79</v>
      </c>
      <c r="J11" s="26" t="str">
        <f ca="1">"'" &amp; H22 &amp; "!A" &amp; MATCH(H11,INDIRECT("'" &amp; H22 &amp; "!A:A"),0) &amp; ":" &amp; ADDRESS(I12-3,MAX_WIDTH,4)</f>
        <v>'CURRENT CRUISE'!A79:V100</v>
      </c>
      <c r="K11" s="24">
        <f ca="1">MATCH(H11,INDIRECT("'" &amp; H23 &amp; "!A:A"),0)</f>
        <v>81</v>
      </c>
      <c r="L11" s="25" t="str">
        <f ca="1">"'" &amp; H23 &amp; "!A" &amp; MATCH(H11,INDIRECT("'" &amp; H23 &amp; "!A:A"),0) &amp; ":" &amp; ADDRESS(K12-3,MAX_WIDTH,4)</f>
        <v>'PREVIOUS CRUISE'!A81:V103</v>
      </c>
      <c r="M11" s="54" t="s">
        <v>111</v>
      </c>
      <c r="N11" s="55">
        <f ca="1">IFERROR(N10-((SUM(IFERROR(VLOOKUP(A9, P_PSDPS_RANGE, 4,FALSE),0),IFERROR(VLOOKUP(A10, P_PSDPS_RANGE, 4,FALSE),0),IFERROR(VLOOKUP(A11, P_PSDPS_RANGE, 4,FALSE),0)))/O12),0)</f>
        <v>4.7457627118644069E-2</v>
      </c>
      <c r="O11" s="56">
        <f ca="1">IFERROR(O10-((SUM(IFERROR(VLOOKUP(A9, P_PSDPS_RANGE, 6,FALSE),0),IFERROR(VLOOKUP(A10, P_PSDPS_RANGE, 6,FALSE),0),IFERROR(VLOOKUP(A11, P_PSDPS_RANGE, 6,FALSE),0)))/O12),0)</f>
        <v>8.2485875706214684E-2</v>
      </c>
      <c r="P11" s="56">
        <f ca="1">IFERROR(P10-((SUM(IFERROR(VLOOKUP(A9, P_PSDPS_RANGE, 8,FALSE),0),IFERROR(VLOOKUP(A10, P_PSDPS_RANGE, 8,FALSE),0),IFERROR(VLOOKUP(A11, P_PSDPS_RANGE, 8,FALSE),0)))/O12),0)</f>
        <v>-7.0056497175141258E-2</v>
      </c>
      <c r="Q11" s="56">
        <f ca="1">IFERROR(Q10-((SUM(IFERROR(VLOOKUP(A9,P_PSDPS_RANGE,10,FALSE),0),IFERROR(VLOOKUP(A10,P_PSDPS_RANGE,10,FALSE),0),IFERROR(VLOOKUP(A11,P_PSDPS_RANGE,10,FALSE),0)))/O12),0)</f>
        <v>-2.3163841807909646E-2</v>
      </c>
      <c r="R11" s="56">
        <f ca="1">IFERROR(R10-((SUM(IFERROR(VLOOKUP(A9, P_PSDPS_RANGE, 12,FALSE),0),IFERROR(VLOOKUP(A10, P_PSDPS_RANGE, 12,FALSE),0),IFERROR(VLOOKUP(A11, P_PSDPS_RANGE, 12,FALSE),0)))/O12),0)</f>
        <v>3.1638418079096037E-2</v>
      </c>
      <c r="S11" s="56">
        <f ca="1">IFERROR(S10-((SUM(IFERROR(VLOOKUP(A9, P_PSDPS_RANGE, 14,FALSE),0),IFERROR(VLOOKUP(A10, P_PSDPS_RANGE, 14,FALSE),0),IFERROR(VLOOKUP(A11, P_PSDPS_RANGE, 14,FALSE),0)))/O12),0)</f>
        <v>-3.4463276836158192E-2</v>
      </c>
      <c r="T11" s="57">
        <f ca="1">IFERROR(T10-((SUM(IFERROR(VLOOKUP(A9, P_PSDPS_RANGE, 16,FALSE),0),IFERROR(VLOOKUP(A10, P_PSDPS_RANGE, 16,FALSE),0),IFERROR(VLOOKUP(A11, P_PSDPS_RANGE, 16,FALSE),0)))/O12),0)</f>
        <v>-3.3898305084745763E-2</v>
      </c>
    </row>
    <row r="12" spans="1:20" ht="12.5" thickBot="1" x14ac:dyDescent="0.35">
      <c r="A12" s="6" t="s">
        <v>114</v>
      </c>
      <c r="B12" s="65" t="str">
        <f ca="1">"Total: " &amp; C_PG3_TOTAL &amp; " | Unique: " &amp; C_PG3_UNIQUE</f>
        <v>Total: 72 | Unique: 72</v>
      </c>
      <c r="C12" s="45"/>
      <c r="D12" s="46"/>
      <c r="E12" s="46"/>
      <c r="F12" s="46"/>
      <c r="G12" s="47" t="s">
        <v>85</v>
      </c>
      <c r="H12" s="48" t="s">
        <v>43</v>
      </c>
      <c r="I12" s="49">
        <f ca="1">MATCH(H12,INDIRECT("'" &amp; H22 &amp; "!A:A"),0)</f>
        <v>103</v>
      </c>
      <c r="J12" s="50" t="str">
        <f ca="1">"'" &amp; H22 &amp; "!A" &amp; MATCH(H12,INDIRECT("'" &amp; H22 &amp; "!A:A"),0) &amp; ":" &amp; ADDRESS(I13-3,MAX_WIDTH,4)</f>
        <v>'CURRENT CRUISE'!A103:V110</v>
      </c>
      <c r="K12" s="51">
        <f ca="1">MATCH(H12,INDIRECT("'" &amp; H23 &amp; "!A:A"),0)</f>
        <v>106</v>
      </c>
      <c r="L12" s="52" t="str">
        <f ca="1">"'" &amp; H23 &amp; "!A" &amp; MATCH(H7,INDIRECT("'" &amp; H23 &amp; "!A:A"),0) &amp; ":" &amp; ADDRESS(K13-3,MAX_WIDTH,4)</f>
        <v>'PREVIOUS CRUISE'!A1:V113</v>
      </c>
      <c r="M12" s="45"/>
      <c r="N12" s="45">
        <f ca="1">SUM(IFERROR(VLOOKUP(A9, C_PSDPS_RANGE, 3,FALSE),0),IFERROR(VLOOKUP(A10, C_PSDPS_RANGE, 3,FALSE),0),IFERROR(VLOOKUP(A11, C_PSDPS_RANGE, 3,FALSE),0))</f>
        <v>30</v>
      </c>
      <c r="O12" s="45">
        <f ca="1">SUM(IFERROR(VLOOKUP(A9, P_PSDPS_RANGE, 3,FALSE),0),IFERROR(VLOOKUP(A10, P_PSDPS_RANGE, 3,FALSE),0),IFERROR(VLOOKUP(A11, P_PSDPS_RANGE, 3,FALSE),0))</f>
        <v>59</v>
      </c>
      <c r="P12" s="45"/>
      <c r="Q12" s="45"/>
      <c r="R12" s="45"/>
      <c r="S12" s="45"/>
      <c r="T12" s="45"/>
    </row>
    <row r="13" spans="1:20" ht="13" thickTop="1" thickBot="1" x14ac:dyDescent="0.35">
      <c r="A13" s="7" t="s">
        <v>18</v>
      </c>
      <c r="B13" s="129" t="s">
        <v>23</v>
      </c>
      <c r="C13" s="12"/>
      <c r="D13" s="27" t="s">
        <v>73</v>
      </c>
      <c r="E13" s="28" t="s">
        <v>72</v>
      </c>
      <c r="F13" s="35" t="s">
        <v>106</v>
      </c>
      <c r="G13" s="16" t="s">
        <v>86</v>
      </c>
      <c r="H13" s="17" t="s">
        <v>44</v>
      </c>
      <c r="I13" s="21">
        <f ca="1">MATCH(H13,INDIRECT("'" &amp; H22 &amp; "!A:A"),0)</f>
        <v>113</v>
      </c>
      <c r="J13" s="26" t="str">
        <f ca="1">"'" &amp; H22 &amp; "!A" &amp; MATCH(H13,INDIRECT("'" &amp; H22 &amp; "!A:A"),0) &amp; ":" &amp; ADDRESS(I14-3,MAX_WIDTH,4)</f>
        <v>'CURRENT CRUISE'!A113:V117</v>
      </c>
      <c r="K13" s="24">
        <f ca="1">MATCH(H13,INDIRECT("'" &amp; H23 &amp; "!A:A"),0)</f>
        <v>116</v>
      </c>
      <c r="L13" s="25" t="str">
        <f ca="1">"'" &amp; H23 &amp; "!A" &amp; MATCH(H12,INDIRECT("'" &amp; H23 &amp; "!A:A"),0) &amp; ":" &amp; ADDRESS(K14-3,MAX_WIDTH,4)</f>
        <v>'PREVIOUS CRUISE'!A106:V120</v>
      </c>
      <c r="M13" s="41"/>
      <c r="N13" s="38" t="s">
        <v>47</v>
      </c>
      <c r="O13" s="39" t="s">
        <v>48</v>
      </c>
      <c r="P13" s="39" t="s">
        <v>49</v>
      </c>
      <c r="Q13" s="39" t="s">
        <v>50</v>
      </c>
      <c r="R13" s="39" t="s">
        <v>51</v>
      </c>
      <c r="S13" s="39" t="s">
        <v>52</v>
      </c>
      <c r="T13" s="40" t="s">
        <v>53</v>
      </c>
    </row>
    <row r="14" spans="1:20" x14ac:dyDescent="0.3">
      <c r="A14" s="8" t="s">
        <v>23</v>
      </c>
      <c r="B14" s="130"/>
      <c r="C14" s="13" t="s">
        <v>107</v>
      </c>
      <c r="D14" s="29">
        <f ca="1">SUM(IFERROR(VLOOKUP(A13, C_CPPS_RANGE, 4,FALSE),0),IFERROR(VLOOKUP(A14, C_CPPS_RANGE, 4,FALSE),0),IFERROR(VLOOKUP(A15, C_CPPS_RANGE, 4,FALSE),0))</f>
        <v>6749.69</v>
      </c>
      <c r="E14" s="30">
        <f ca="1">SUM(IFERROR(VLOOKUP(A13, P_CPPS_RANGE, 4,FALSE),0),IFERROR(VLOOKUP(A14, P_CPPS_RANGE, 4,FALSE),0),IFERROR(VLOOKUP(A15, P_CPPS_RANGE, 4,FALSE),0))</f>
        <v>8321.35</v>
      </c>
      <c r="F14" s="36">
        <f ca="1">D14-E14</f>
        <v>-1571.6600000000008</v>
      </c>
      <c r="G14" s="16" t="s">
        <v>88</v>
      </c>
      <c r="H14" s="17" t="s">
        <v>45</v>
      </c>
      <c r="I14" s="21">
        <f ca="1">MATCH(H14,INDIRECT("'" &amp; H22 &amp; "!A:A"),0)</f>
        <v>120</v>
      </c>
      <c r="J14" s="26" t="str">
        <f ca="1">"'" &amp; H22 &amp; "!A" &amp; MATCH(H14,INDIRECT("'" &amp; H22 &amp; "!A:A"),0) &amp; ":" &amp; ADDRESS(I15-3,MAX_WIDTH,4)</f>
        <v>'CURRENT CRUISE'!A120:V150</v>
      </c>
      <c r="K14" s="24">
        <f ca="1">MATCH(H14,INDIRECT("'" &amp; H23 &amp; "!A:A"),0)</f>
        <v>123</v>
      </c>
      <c r="L14" s="25" t="str">
        <f ca="1">"'" &amp; H23 &amp; "!A" &amp; MATCH(H13,INDIRECT("'" &amp; H23 &amp; "!A:A"),0) &amp; ":" &amp; ADDRESS(K15-3,MAX_WIDTH,4)</f>
        <v>'PREVIOUS CRUISE'!A116:V154</v>
      </c>
      <c r="M14" s="53" t="s">
        <v>110</v>
      </c>
      <c r="N14" s="42">
        <f ca="1">IFERROR((SUM(IFERROR(VLOOKUP(A13, C_PSDPS_RANGE, 4,FALSE),0),IFERROR(VLOOKUP(A14, C_PSDPS_RANGE, 4,FALSE),0),IFERROR(VLOOKUP(A15, C_PSDPS_RANGE, 4,FALSE),0)))/N16,0)</f>
        <v>0.41666666666666669</v>
      </c>
      <c r="O14" s="43">
        <f ca="1">IFERROR((SUM(IFERROR(VLOOKUP(A13, C_PSDPS_RANGE, 6,FALSE),0),IFERROR(VLOOKUP(A14, C_PSDPS_RANGE, 6,FALSE),0),IFERROR(VLOOKUP(A15, C_PSDPS_RANGE, 6,FALSE),0)))/N16,0)</f>
        <v>0.20833333333333334</v>
      </c>
      <c r="P14" s="43">
        <f ca="1">IFERROR((SUM(IFERROR(VLOOKUP(A13, C_PSDPS_RANGE, 8,FALSE),0),IFERROR(VLOOKUP(A14, C_PSDPS_RANGE, 8,FALSE),0),IFERROR(VLOOKUP(A15, C_PSDPS_RANGE, 8,FALSE),0)))/N16,0)</f>
        <v>8.3333333333333329E-2</v>
      </c>
      <c r="Q14" s="43">
        <f ca="1">IFERROR((SUM(IFERROR(VLOOKUP(A13, C_PSDPS_RANGE, 10,FALSE),0),IFERROR(VLOOKUP(A14, C_PSDPS_RANGE, 10,FALSE),0),IFERROR(VLOOKUP(A15, C_PSDPS_RANGE, 10,FALSE),0)))/N16,0)</f>
        <v>0.1388888888888889</v>
      </c>
      <c r="R14" s="43">
        <f ca="1">IFERROR((SUM(IFERROR(VLOOKUP(A13, C_PSDPS_RANGE, 12,FALSE),0),IFERROR(VLOOKUP(A14, C_PSDPS_RANGE, 12,FALSE),0),IFERROR(VLOOKUP(A15, C_PSDPS_RANGE, 12,FALSE),0)))/N16,0)</f>
        <v>9.7222222222222224E-2</v>
      </c>
      <c r="S14" s="43">
        <f ca="1">IFERROR((SUM(IFERROR(VLOOKUP(A13, C_PSDPS_RANGE, 14,FALSE),0),IFERROR(VLOOKUP(A14, C_PSDPS_RANGE, 14,FALSE),0),IFERROR(VLOOKUP(A15, C_PSDPS_RANGE, 14,FALSE),0)))/N16,0)</f>
        <v>4.1666666666666664E-2</v>
      </c>
      <c r="T14" s="44">
        <f ca="1">IFERROR((SUM(IFERROR(VLOOKUP(A13, C_PSDPS_RANGE, 16,FALSE),0),IFERROR(VLOOKUP(A14, C_PSDPS_RANGE, 16,FALSE),0),IFERROR(VLOOKUP(A15, C_PSDPS_RANGE, 16,FALSE),0)))/N16,0)</f>
        <v>1.3888888888888888E-2</v>
      </c>
    </row>
    <row r="15" spans="1:20" ht="12.5" thickBot="1" x14ac:dyDescent="0.35">
      <c r="A15" s="9"/>
      <c r="B15" s="131"/>
      <c r="C15" s="14" t="s">
        <v>108</v>
      </c>
      <c r="D15" s="31">
        <f ca="1">SUM(IFERROR(VLOOKUP(A13, C_CPPS_RANGE, 5,FALSE),0),IFERROR(VLOOKUP(A14, C_CPPS_RANGE, 5,FALSE),0),IFERROR(VLOOKUP(A15, C_CPPS_RANGE, 5,FALSE),0))</f>
        <v>0.15955</v>
      </c>
      <c r="E15" s="33">
        <f ca="1">SUM(IFERROR(VLOOKUP(A13, P_CPPS_RANGE, 5,FALSE),0),IFERROR(VLOOKUP(A14, P_CPPS_RANGE, 5,FALSE),0),IFERROR(VLOOKUP(A15, P_CPPS_RANGE, 5,FALSE),0))</f>
        <v>0.17849799999999999</v>
      </c>
      <c r="F15" s="37">
        <f ca="1">D15-E15</f>
        <v>-1.8947999999999993E-2</v>
      </c>
      <c r="G15" s="16" t="s">
        <v>87</v>
      </c>
      <c r="H15" s="17" t="s">
        <v>46</v>
      </c>
      <c r="I15" s="21">
        <f ca="1">MATCH(H15,INDIRECT("'" &amp; H22 &amp; "!A:A"),0)</f>
        <v>153</v>
      </c>
      <c r="J15" s="26" t="str">
        <f ca="1">"'" &amp; H22 &amp; "!A" &amp; MATCH(H15,INDIRECT("'" &amp; H22 &amp; "!A:A"),0) &amp; ":Q" &amp; I16 - 2</f>
        <v>'CURRENT CRUISE'!A153:Q175</v>
      </c>
      <c r="K15" s="24">
        <f ca="1">MATCH(H15,INDIRECT("'" &amp; H23 &amp; "!A:A"),0)</f>
        <v>157</v>
      </c>
      <c r="L15" s="25" t="str">
        <f ca="1">"'" &amp; H23 &amp; "!A" &amp; MATCH(H15,INDIRECT("'" &amp; H23 &amp; "!A:A"),0) &amp; ":Q" &amp; K16 - 2</f>
        <v>'PREVIOUS CRUISE'!A157:Q180</v>
      </c>
      <c r="M15" s="54" t="s">
        <v>111</v>
      </c>
      <c r="N15" s="55">
        <f ca="1">IFERROR(N14-((SUM(IFERROR(VLOOKUP(A13, P_PSDPS_RANGE, 4,FALSE),0),IFERROR(VLOOKUP(A14, P_PSDPS_RANGE, 4,FALSE),0),IFERROR(VLOOKUP(A15, P_PSDPS_RANGE, 4,FALSE),0)))/O16),0)</f>
        <v>2.3408239700374533E-2</v>
      </c>
      <c r="O15" s="56">
        <f ca="1">IFERROR(O14-((SUM(IFERROR(VLOOKUP(A13, P_PSDPS_RANGE, 6,FALSE),0),IFERROR(VLOOKUP(A14, P_PSDPS_RANGE, 6,FALSE),0),IFERROR(VLOOKUP(A15, P_PSDPS_RANGE, 6,FALSE),0)))/O16),0)</f>
        <v>-5.0093632958801509E-2</v>
      </c>
      <c r="P15" s="56">
        <f ca="1">IFERROR(P14-((SUM(IFERROR(VLOOKUP(A13, P_PSDPS_RANGE, 8,FALSE),0),IFERROR(VLOOKUP(A14, P_PSDPS_RANGE, 8,FALSE),0),IFERROR(VLOOKUP(A15, P_PSDPS_RANGE, 8,FALSE),0)))/O16),0)</f>
        <v>-2.9026217228464421E-2</v>
      </c>
      <c r="Q15" s="56">
        <f ca="1">IFERROR(Q14-((SUM(IFERROR(VLOOKUP(A13,P_PSDPS_RANGE,10,FALSE),0),IFERROR(VLOOKUP(A14,P_PSDPS_RANGE,10,FALSE),0),IFERROR(VLOOKUP(A15,P_PSDPS_RANGE,10,FALSE),0)))/O16),0)</f>
        <v>4.0574282147315954E-3</v>
      </c>
      <c r="R15" s="56">
        <f ca="1">IFERROR(R14-((SUM(IFERROR(VLOOKUP(A13, P_PSDPS_RANGE, 12,FALSE),0),IFERROR(VLOOKUP(A14, P_PSDPS_RANGE, 12,FALSE),0),IFERROR(VLOOKUP(A15, P_PSDPS_RANGE, 12,FALSE),0)))/O16),0)</f>
        <v>2.9806491885143574E-2</v>
      </c>
      <c r="S15" s="56">
        <f ca="1">IFERROR(S14-((SUM(IFERROR(VLOOKUP(A13, P_PSDPS_RANGE, 14,FALSE),0),IFERROR(VLOOKUP(A14, P_PSDPS_RANGE, 14,FALSE),0),IFERROR(VLOOKUP(A15, P_PSDPS_RANGE, 14,FALSE),0)))/O16),0)</f>
        <v>3.0430711610486889E-2</v>
      </c>
      <c r="T15" s="57">
        <f ca="1">IFERROR(T14-((SUM(IFERROR(VLOOKUP(A13, P_PSDPS_RANGE, 16,FALSE),0),IFERROR(VLOOKUP(A14, P_PSDPS_RANGE, 16,FALSE),0),IFERROR(VLOOKUP(A15, P_PSDPS_RANGE, 16,FALSE),0)))/O16),0)</f>
        <v>-8.5830212234706618E-3</v>
      </c>
    </row>
    <row r="16" spans="1:20" ht="12.5" thickBot="1" x14ac:dyDescent="0.35">
      <c r="A16" s="6" t="s">
        <v>115</v>
      </c>
      <c r="B16" s="65" t="str">
        <f ca="1">"Total: " &amp; SUM(C_PG1_TOTAL, C_PG2_TOTAL,C_PG3_TOTAL) &amp; " | Unique: " &amp; SUM(C_PG1_UNIQUE,C_PG2_UNIQUE,C_PG3_UNIQUE)</f>
        <v>Total: 174 | Unique: 174</v>
      </c>
      <c r="D16" s="15"/>
      <c r="E16" s="15"/>
      <c r="G16" s="16" t="s">
        <v>89</v>
      </c>
      <c r="H16" s="17" t="s">
        <v>81</v>
      </c>
      <c r="I16" s="21">
        <f ca="1">MATCH("Age Group",INDIRECT("'" &amp; H22 &amp; "!A" &amp; I15 &amp; ":A" &amp; I17),0)-1 + I15</f>
        <v>177</v>
      </c>
      <c r="J16" s="26" t="str">
        <f ca="1">"'" &amp; H22 &amp; "!A" &amp; I16 &amp; ":C" &amp; I16+7</f>
        <v>'CURRENT CRUISE'!A177:C184</v>
      </c>
      <c r="K16" s="24">
        <f ca="1">MATCH("Age Group",INDIRECT("'" &amp; H23 &amp; "!A" &amp; K15 &amp; ":A" &amp; 300),0)-1 + K15</f>
        <v>182</v>
      </c>
      <c r="L16" s="25" t="str">
        <f ca="1">"'" &amp; H23 &amp; "!A" &amp; K6 &amp; ":C" &amp; K16+7</f>
        <v>'PREVIOUS CRUISE'!ASTART:C189</v>
      </c>
      <c r="N16">
        <f ca="1">SUM(IFERROR(VLOOKUP(A13, C_PSDPS_RANGE, 3,FALSE),0),IFERROR(VLOOKUP(A14, C_PSDPS_RANGE, 3,FALSE),0),IFERROR(VLOOKUP(A15, C_PSDPS_RANGE, 3,FALSE),0))</f>
        <v>72</v>
      </c>
      <c r="O16">
        <f ca="1">SUM(IFERROR(VLOOKUP(A13, P_PSDPS_RANGE, 3,FALSE),0),IFERROR(VLOOKUP(A14, P_PSDPS_RANGE, 3,FALSE),0),IFERROR(VLOOKUP(A15, P_PSDPS_RANGE, 3,FALSE),0))</f>
        <v>89</v>
      </c>
    </row>
    <row r="17" spans="1:20" ht="13" thickTop="1" thickBot="1" x14ac:dyDescent="0.35">
      <c r="A17" s="10" t="s">
        <v>69</v>
      </c>
      <c r="B17" s="129" t="s">
        <v>71</v>
      </c>
      <c r="C17" s="12"/>
      <c r="D17" s="27" t="s">
        <v>73</v>
      </c>
      <c r="E17" s="28" t="s">
        <v>72</v>
      </c>
      <c r="F17" s="35" t="s">
        <v>106</v>
      </c>
      <c r="G17" s="16" t="s">
        <v>90</v>
      </c>
      <c r="H17" s="17" t="s">
        <v>64</v>
      </c>
      <c r="I17" s="21">
        <f ca="1">MATCH(H17,INDIRECT("'" &amp; H22 &amp; "!A:A"),0)</f>
        <v>187</v>
      </c>
      <c r="J17" s="26" t="str">
        <f ca="1">"'" &amp; H22 &amp; "!A" &amp; I17 &amp; ":Q" &amp; I18 - 2</f>
        <v>'CURRENT CRUISE'!A187:Q195</v>
      </c>
      <c r="K17" s="24">
        <f ca="1">MATCH(H17,INDIRECT("'" &amp; H23 &amp; "!A:A"),0)</f>
        <v>192</v>
      </c>
      <c r="L17" s="25" t="str">
        <f ca="1">"'" &amp; H23 &amp; "!A" &amp; MATCH(H17,INDIRECT("'" &amp; H23 &amp; "!A:A"),0) &amp; ":Q" &amp; K18 - 2</f>
        <v>'PREVIOUS CRUISE'!A192:Q200</v>
      </c>
      <c r="M17" s="41"/>
      <c r="N17" s="38" t="s">
        <v>47</v>
      </c>
      <c r="O17" s="39" t="s">
        <v>48</v>
      </c>
      <c r="P17" s="39" t="s">
        <v>49</v>
      </c>
      <c r="Q17" s="39" t="s">
        <v>50</v>
      </c>
      <c r="R17" s="39" t="s">
        <v>51</v>
      </c>
      <c r="S17" s="39" t="s">
        <v>52</v>
      </c>
      <c r="T17" s="40" t="s">
        <v>53</v>
      </c>
    </row>
    <row r="18" spans="1:20" x14ac:dyDescent="0.3">
      <c r="A18" s="11" t="s">
        <v>70</v>
      </c>
      <c r="B18" s="130"/>
      <c r="C18" s="13" t="s">
        <v>107</v>
      </c>
      <c r="D18" s="29">
        <f ca="1">SUM(D6,D10,D14)</f>
        <v>23325.579999999998</v>
      </c>
      <c r="E18" s="34">
        <f ca="1">SUM(E6,E10,E14)</f>
        <v>28260.229999999996</v>
      </c>
      <c r="F18" s="36">
        <f ca="1">D18-E18</f>
        <v>-4934.6499999999978</v>
      </c>
      <c r="G18" s="16" t="s">
        <v>91</v>
      </c>
      <c r="H18" s="17" t="s">
        <v>82</v>
      </c>
      <c r="I18" s="21">
        <f ca="1">MATCH("Age Group",INDIRECT("'" &amp; H22 &amp; "!A" &amp; I17 &amp; ":A" &amp; I19),0)-1 + I17</f>
        <v>197</v>
      </c>
      <c r="J18" s="26" t="str">
        <f ca="1">"'" &amp; H22 &amp; "!A" &amp; I18 &amp; ":C" &amp; I18+7</f>
        <v>'CURRENT CRUISE'!A197:C204</v>
      </c>
      <c r="K18" s="24">
        <f ca="1">MATCH("Age Group",INDIRECT("'" &amp; H23 &amp; "!A" &amp; K17 &amp; ":A" &amp; 300),0)-1 + K17</f>
        <v>202</v>
      </c>
      <c r="L18" s="25" t="str">
        <f ca="1">"'" &amp; H23 &amp; "!A" &amp; K18 &amp; ":C" &amp; K18+7</f>
        <v>'PREVIOUS CRUISE'!A202:C209</v>
      </c>
      <c r="M18" s="53" t="s">
        <v>110</v>
      </c>
      <c r="N18" s="42">
        <f ca="1">IFERROR((SUM(IFERROR(VLOOKUP(A17, C_PSDPS_RANGE, 4,FALSE),0),IFERROR(VLOOKUP(A18, C_PSDPS_RANGE, 4,FALSE),0),IFERROR(VLOOKUP(A19, C_PSDPS_RANGE, 4,FALSE),0)))/N20,0)</f>
        <v>0.34883720930232559</v>
      </c>
      <c r="O18" s="43">
        <f ca="1">IFERROR((SUM(IFERROR(VLOOKUP(A17, C_PSDPS_RANGE, 6,FALSE),0),IFERROR(VLOOKUP(A18, C_PSDPS_RANGE, 6,FALSE),0),IFERROR(VLOOKUP(A19, C_PSDPS_RANGE, 6,FALSE),0)))/N20,0)</f>
        <v>0.20930232558139536</v>
      </c>
      <c r="P18" s="43">
        <f ca="1">IFERROR((SUM(IFERROR(VLOOKUP(A17, C_PSDPS_RANGE, 8,FALSE),0),IFERROR(VLOOKUP(A18, C_PSDPS_RANGE, 8,FALSE),0),IFERROR(VLOOKUP(A19, C_PSDPS_RANGE, 8,FALSE),0)))/N20,0)</f>
        <v>0.11627906976744186</v>
      </c>
      <c r="Q18" s="43">
        <f ca="1">IFERROR((SUM(IFERROR(VLOOKUP(A17, C_PSDPS_RANGE, 10,FALSE),0),IFERROR(VLOOKUP(A18, C_PSDPS_RANGE, 10,FALSE),0),IFERROR(VLOOKUP(A19, C_PSDPS_RANGE, 10,FALSE),0)))/N20,0)</f>
        <v>0.13953488372093023</v>
      </c>
      <c r="R18" s="43">
        <f ca="1">IFERROR((SUM(IFERROR(VLOOKUP(A17, C_PSDPS_RANGE, 12,FALSE),0),IFERROR(VLOOKUP(A18, C_PSDPS_RANGE, 12,FALSE),0),IFERROR(VLOOKUP(A19, C_PSDPS_RANGE, 12,FALSE),0)))/N20,0)</f>
        <v>9.3023255813953487E-2</v>
      </c>
      <c r="S18" s="43">
        <f ca="1">IFERROR((SUM(IFERROR(VLOOKUP(A17, C_PSDPS_RANGE, 14,FALSE),0),IFERROR(VLOOKUP(A18, C_PSDPS_RANGE, 14,FALSE),0),IFERROR(VLOOKUP(A19, C_PSDPS_RANGE, 14,FALSE),0)))/N20,0)</f>
        <v>6.9767441860465115E-2</v>
      </c>
      <c r="T18" s="44">
        <f ca="1">IFERROR((SUM(IFERROR(VLOOKUP(A17, C_PSDPS_RANGE, 16,FALSE),0),IFERROR(VLOOKUP(A18, C_PSDPS_RANGE, 16,FALSE),0),IFERROR(VLOOKUP(A19, C_PSDPS_RANGE, 16,FALSE),0)))/N20,0)</f>
        <v>2.3255813953488372E-2</v>
      </c>
    </row>
    <row r="19" spans="1:20" ht="12.5" thickBot="1" x14ac:dyDescent="0.35">
      <c r="A19" s="9" t="s">
        <v>23</v>
      </c>
      <c r="B19" s="131"/>
      <c r="C19" s="14" t="s">
        <v>108</v>
      </c>
      <c r="D19" s="31">
        <f ca="1">SUM(D7,D11,D15)</f>
        <v>0.551373</v>
      </c>
      <c r="E19" s="33">
        <f ca="1">SUM(E7,E11,E15)</f>
        <v>0.60619899999999993</v>
      </c>
      <c r="F19" s="37">
        <f ca="1">D19-E19</f>
        <v>-5.482599999999993E-2</v>
      </c>
      <c r="G19" s="16" t="s">
        <v>92</v>
      </c>
      <c r="H19" s="17" t="s">
        <v>65</v>
      </c>
      <c r="I19" s="21">
        <f ca="1">MATCH(H19,INDIRECT("'" &amp; H22 &amp; "!A:A"),0)</f>
        <v>207</v>
      </c>
      <c r="J19" s="26" t="str">
        <f ca="1">"'" &amp; H22 &amp; "!A" &amp; MATCH(H19,INDIRECT("'" &amp; H22 &amp; "!A:A"),0) &amp; ":Q" &amp; I20 - 2</f>
        <v>'CURRENT CRUISE'!A207:Q212</v>
      </c>
      <c r="K19" s="24">
        <f ca="1">MATCH(H19,INDIRECT("'" &amp; H23 &amp; "!A:A"),0)</f>
        <v>212</v>
      </c>
      <c r="L19" s="25" t="str">
        <f ca="1">"'" &amp; H23 &amp; "!A" &amp; MATCH(H19,INDIRECT("'" &amp; H23 &amp; "!A:A"),0) &amp; ":Q" &amp; K20 - 2</f>
        <v>'PREVIOUS CRUISE'!A212:Q217</v>
      </c>
      <c r="M19" s="54" t="s">
        <v>111</v>
      </c>
      <c r="N19" s="55">
        <f ca="1">IFERROR(N18-((SUM(IFERROR(VLOOKUP(A17, P_PSDPS_RANGE, 4,FALSE),0),IFERROR(VLOOKUP(A18, P_PSDPS_RANGE, 4,FALSE),0),IFERROR(VLOOKUP(A19, P_PSDPS_RANGE, 4,FALSE),0)))/O20),0)</f>
        <v>-9.7591362126245862E-2</v>
      </c>
      <c r="O19" s="56">
        <f ca="1">IFERROR(O18-((SUM(IFERROR(VLOOKUP(A17, P_PSDPS_RANGE, 6,FALSE),0),IFERROR(VLOOKUP(A18, P_PSDPS_RANGE, 6,FALSE),0),IFERROR(VLOOKUP(A19, P_PSDPS_RANGE, 6,FALSE),0)))/O20),0)</f>
        <v>-7.6411960132890339E-2</v>
      </c>
      <c r="P19" s="56">
        <f ca="1">IFERROR(P18-((SUM(IFERROR(VLOOKUP(A17, P_PSDPS_RANGE, 8,FALSE),0),IFERROR(VLOOKUP(A18, P_PSDPS_RANGE, 8,FALSE),0),IFERROR(VLOOKUP(A19, P_PSDPS_RANGE, 8,FALSE),0)))/O20),0)</f>
        <v>8.0564784053156147E-2</v>
      </c>
      <c r="Q19" s="56">
        <f ca="1">IFERROR(Q18-((SUM(IFERROR(VLOOKUP(A17,P_PSDPS_RANGE,10,FALSE),0),IFERROR(VLOOKUP(A18,P_PSDPS_RANGE,10,FALSE),0),IFERROR(VLOOKUP(A19,P_PSDPS_RANGE,10,FALSE),0)))/O20),0)</f>
        <v>1.4534883720930231E-2</v>
      </c>
      <c r="R19" s="56">
        <f ca="1">IFERROR(R18-((SUM(IFERROR(VLOOKUP(A17, P_PSDPS_RANGE, 12,FALSE),0),IFERROR(VLOOKUP(A18, P_PSDPS_RANGE, 12,FALSE),0),IFERROR(VLOOKUP(A19, P_PSDPS_RANGE, 12,FALSE),0)))/O20),0)</f>
        <v>2.1594684385382062E-2</v>
      </c>
      <c r="S19" s="56">
        <f ca="1">IFERROR(S18-((SUM(IFERROR(VLOOKUP(A17, P_PSDPS_RANGE, 14,FALSE),0),IFERROR(VLOOKUP(A18, P_PSDPS_RANGE, 14,FALSE),0),IFERROR(VLOOKUP(A19, P_PSDPS_RANGE, 14,FALSE),0)))/O20),0)</f>
        <v>5.1910299003322259E-2</v>
      </c>
      <c r="T19" s="57">
        <f ca="1">IFERROR(T18-((SUM(IFERROR(VLOOKUP(A17, P_PSDPS_RANGE, 16,FALSE),0),IFERROR(VLOOKUP(A18, P_PSDPS_RANGE, 16,FALSE),0),IFERROR(VLOOKUP(A19, P_PSDPS_RANGE, 16,FALSE),0)))/O20),0)</f>
        <v>5.3986710963455156E-3</v>
      </c>
    </row>
    <row r="20" spans="1:20" ht="12.5" thickBot="1" x14ac:dyDescent="0.35">
      <c r="A20" s="6" t="s">
        <v>116</v>
      </c>
      <c r="B20" s="65" t="str">
        <f ca="1">"Total: " &amp; C_PG5_TOTAL &amp; " | Unique: " &amp; C_PG5_UNIQUE</f>
        <v>Total: 2947 | Unique: 82</v>
      </c>
      <c r="C20" s="45"/>
      <c r="D20" s="46"/>
      <c r="E20" s="46"/>
      <c r="F20" s="46"/>
      <c r="G20" s="47" t="s">
        <v>93</v>
      </c>
      <c r="H20" s="48" t="s">
        <v>83</v>
      </c>
      <c r="I20" s="49">
        <f ca="1">MATCH("Age Group",INDIRECT("'" &amp; H22 &amp; "!A" &amp; I19 &amp; ":A" &amp; 300),0)-1 + I19</f>
        <v>214</v>
      </c>
      <c r="J20" s="50" t="str">
        <f ca="1">"'" &amp; H22 &amp; "!A" &amp; I20 &amp; ":C" &amp; I20+7</f>
        <v>'CURRENT CRUISE'!A214:C221</v>
      </c>
      <c r="K20" s="51">
        <f ca="1">MATCH("Age Group",INDIRECT("'" &amp; H23 &amp; "!A" &amp; K19 &amp; ":A" &amp; 300),0)-1 + K19</f>
        <v>219</v>
      </c>
      <c r="L20" s="52" t="str">
        <f ca="1">"'" &amp; H23 &amp; "!A" &amp; K20 &amp; ":C" &amp; K20+7</f>
        <v>'PREVIOUS CRUISE'!A219:C226</v>
      </c>
      <c r="M20" s="45"/>
      <c r="N20" s="45">
        <f ca="1">SUM(IFERROR(VLOOKUP(A17, C_PSDPS_RANGE, 3,FALSE),0),IFERROR(VLOOKUP(A18, C_PSDPS_RANGE, 3,FALSE),0),IFERROR(VLOOKUP(A19, C_PSDPS_RANGE, 3,FALSE),0))</f>
        <v>43</v>
      </c>
      <c r="O20" s="45">
        <f ca="1">SUM(IFERROR(VLOOKUP(A17, P_PSDPS_RANGE, 3,FALSE),0),IFERROR(VLOOKUP(A18, P_PSDPS_RANGE, 3,FALSE),0),IFERROR(VLOOKUP(A19, P_PSDPS_RANGE, 3,FALSE),0))</f>
        <v>56</v>
      </c>
      <c r="P20" s="45"/>
      <c r="Q20" s="45"/>
      <c r="R20" s="45"/>
      <c r="S20" s="45"/>
      <c r="T20" s="45"/>
    </row>
    <row r="21" spans="1:20" ht="13" thickTop="1" thickBot="1" x14ac:dyDescent="0.35">
      <c r="A21" s="10" t="s">
        <v>15</v>
      </c>
      <c r="B21" s="129" t="s">
        <v>104</v>
      </c>
      <c r="C21" s="12"/>
      <c r="D21" s="27" t="s">
        <v>73</v>
      </c>
      <c r="E21" s="28" t="s">
        <v>72</v>
      </c>
      <c r="F21" s="35" t="s">
        <v>106</v>
      </c>
      <c r="G21" s="138" t="s">
        <v>94</v>
      </c>
      <c r="H21" s="139"/>
      <c r="M21" s="41"/>
      <c r="N21" s="38" t="s">
        <v>47</v>
      </c>
      <c r="O21" s="39" t="s">
        <v>48</v>
      </c>
      <c r="P21" s="39" t="s">
        <v>49</v>
      </c>
      <c r="Q21" s="39" t="s">
        <v>50</v>
      </c>
      <c r="R21" s="39" t="s">
        <v>51</v>
      </c>
      <c r="S21" s="39" t="s">
        <v>52</v>
      </c>
      <c r="T21" s="40" t="s">
        <v>53</v>
      </c>
    </row>
    <row r="22" spans="1:20" x14ac:dyDescent="0.3">
      <c r="A22" s="11"/>
      <c r="B22" s="130"/>
      <c r="C22" s="13" t="s">
        <v>107</v>
      </c>
      <c r="D22" s="29">
        <f ca="1">SUM(IFERROR(VLOOKUP(A21, C_CPPS_RANGE, 4,FALSE),0),IFERROR(VLOOKUP(A22, C_CPPS_RANGE, 4,FALSE),0),IFERROR(VLOOKUP(A23, C_CPPS_RANGE, 4,FALSE),0))</f>
        <v>2908.99</v>
      </c>
      <c r="E22" s="34">
        <f ca="1">SUM(IFERROR(VLOOKUP(A21, P_CPPS_RANGE, 4,FALSE),0),IFERROR(VLOOKUP(A22, P_CPPS_RANGE, 4,FALSE),0),IFERROR(VLOOKUP(A23, P_CPPS_RANGE, 4,FALSE),0))</f>
        <v>2431.44</v>
      </c>
      <c r="F22" s="36">
        <f ca="1">D22-E22</f>
        <v>477.54999999999973</v>
      </c>
      <c r="G22" s="16" t="s">
        <v>96</v>
      </c>
      <c r="H22" s="22" t="s">
        <v>95</v>
      </c>
      <c r="M22" s="53" t="s">
        <v>110</v>
      </c>
      <c r="N22" s="42">
        <f ca="1">IFERROR((SUM(IFERROR(VLOOKUP(A21, C_PSDPS_RANGE, 4,FALSE),0),IFERROR(VLOOKUP(A22, C_PSDPS_RANGE, 4,FALSE),0),IFERROR(VLOOKUP(A23, C_PSDPS_RANGE, 4,FALSE),0)))/N24,0)</f>
        <v>0.10975609756097561</v>
      </c>
      <c r="O22" s="43">
        <f ca="1">IFERROR((SUM(IFERROR(VLOOKUP(A21, C_PSDPS_RANGE, 6,FALSE),0),IFERROR(VLOOKUP(A22, C_PSDPS_RANGE, 6,FALSE),0),IFERROR(VLOOKUP(A23, C_PSDPS_RANGE, 6,FALSE),0)))/N24,0)</f>
        <v>0.1951219512195122</v>
      </c>
      <c r="P22" s="43">
        <f ca="1">IFERROR((SUM(IFERROR(VLOOKUP(A21, C_PSDPS_RANGE, 8,FALSE),0),IFERROR(VLOOKUP(A22, C_PSDPS_RANGE, 8,FALSE),0),IFERROR(VLOOKUP(A23, C_PSDPS_RANGE, 8,FALSE),0)))/N24,0)</f>
        <v>0.24390243902439024</v>
      </c>
      <c r="Q22" s="43">
        <f ca="1">IFERROR((SUM(IFERROR(VLOOKUP(A21, C_PSDPS_RANGE, 10,FALSE),0),IFERROR(VLOOKUP(A22, C_PSDPS_RANGE, 10,FALSE),0),IFERROR(VLOOKUP(A23, C_PSDPS_RANGE, 10,FALSE),0)))/N24,0)</f>
        <v>0.17073170731707318</v>
      </c>
      <c r="R22" s="43">
        <f ca="1">IFERROR((SUM(IFERROR(VLOOKUP(A21, C_PSDPS_RANGE, 12,FALSE),0),IFERROR(VLOOKUP(A22, C_PSDPS_RANGE, 12,FALSE),0),IFERROR(VLOOKUP(A23, C_PSDPS_RANGE, 12,FALSE),0)))/N24,0)</f>
        <v>0.23170731707317074</v>
      </c>
      <c r="S22" s="43">
        <f ca="1">IFERROR((SUM(IFERROR(VLOOKUP(A21, C_PSDPS_RANGE, 14,FALSE),0),IFERROR(VLOOKUP(A22, C_PSDPS_RANGE, 14,FALSE),0),IFERROR(VLOOKUP(A23, C_PSDPS_RANGE, 14,FALSE),0)))/N24,0)</f>
        <v>4.878048780487805E-2</v>
      </c>
      <c r="T22" s="44">
        <f ca="1">IFERROR((SUM(IFERROR(VLOOKUP(A21, C_PSDPS_RANGE, 16,FALSE),0),IFERROR(VLOOKUP(A22, C_PSDPS_RANGE, 16,FALSE),0),IFERROR(VLOOKUP(A23, C_PSDPS_RANGE, 16,FALSE),0)))/N24,0)</f>
        <v>0</v>
      </c>
    </row>
    <row r="23" spans="1:20" ht="12.5" thickBot="1" x14ac:dyDescent="0.35">
      <c r="A23" s="9"/>
      <c r="B23" s="131"/>
      <c r="C23" s="14" t="s">
        <v>108</v>
      </c>
      <c r="D23" s="31">
        <f ca="1">SUM(IFERROR(VLOOKUP(A21, C_CPPS_RANGE, 5,FALSE),0),IFERROR(VLOOKUP(A22, C_CPPS_RANGE, 5,FALSE),0),IFERROR(VLOOKUP(A23, C_CPPS_RANGE, 5,FALSE),0))</f>
        <v>6.8763000000000005E-2</v>
      </c>
      <c r="E23" s="33">
        <f ca="1">SUM(IFERROR(VLOOKUP(A21, P_CPPS_RANGE, 5,FALSE),0),IFERROR(VLOOKUP(A22, P_CPPS_RANGE, 5,FALSE),0),IFERROR(VLOOKUP(A23, P_CPPS_RANGE, 5,FALSE),0))</f>
        <v>5.2156000000000001E-2</v>
      </c>
      <c r="F23" s="37">
        <f ca="1">D23-E23</f>
        <v>1.6607000000000004E-2</v>
      </c>
      <c r="G23" s="18" t="s">
        <v>97</v>
      </c>
      <c r="H23" s="23" t="s">
        <v>98</v>
      </c>
      <c r="M23" s="54" t="s">
        <v>111</v>
      </c>
      <c r="N23" s="55">
        <f ca="1">IFERROR(N22-((SUM(IFERROR(VLOOKUP(A21, P_PSDPS_RANGE, 4,FALSE),0),IFERROR(VLOOKUP(A22, P_PSDPS_RANGE, 4,FALSE),0),IFERROR(VLOOKUP(A23, P_PSDPS_RANGE, 4,FALSE),0)))/O24),0)</f>
        <v>-3.1088972861559608E-2</v>
      </c>
      <c r="O23" s="56">
        <f ca="1">IFERROR(O22-((SUM(IFERROR(VLOOKUP(A21, P_PSDPS_RANGE, 6,FALSE),0),IFERROR(VLOOKUP(A22, P_PSDPS_RANGE, 6,FALSE),0),IFERROR(VLOOKUP(A23, P_PSDPS_RANGE, 6,FALSE),0)))/O24),0)</f>
        <v>-5.8399175541051174E-2</v>
      </c>
      <c r="P23" s="56">
        <f ca="1">IFERROR(P22-((SUM(IFERROR(VLOOKUP(A21, P_PSDPS_RANGE, 8,FALSE),0),IFERROR(VLOOKUP(A22, P_PSDPS_RANGE, 8,FALSE),0),IFERROR(VLOOKUP(A23, P_PSDPS_RANGE, 8,FALSE),0)))/O24),0)</f>
        <v>0.10305736860185502</v>
      </c>
      <c r="Q23" s="56">
        <f ca="1">IFERROR(Q22-((SUM(IFERROR(VLOOKUP(A21,P_PSDPS_RANGE,10,FALSE),0),IFERROR(VLOOKUP(A22,P_PSDPS_RANGE,10,FALSE),0),IFERROR(VLOOKUP(A23,P_PSDPS_RANGE,10,FALSE),0)))/O24),0)</f>
        <v>-2.6451391274476099E-2</v>
      </c>
      <c r="R23" s="56">
        <f ca="1">IFERROR(R22-((SUM(IFERROR(VLOOKUP(A21, P_PSDPS_RANGE, 12,FALSE),0),IFERROR(VLOOKUP(A22, P_PSDPS_RANGE, 12,FALSE),0),IFERROR(VLOOKUP(A23, P_PSDPS_RANGE, 12,FALSE),0)))/O24),0)</f>
        <v>6.2693232566128493E-2</v>
      </c>
      <c r="S23" s="56">
        <f ca="1">IFERROR(S22-((SUM(IFERROR(VLOOKUP(A21, P_PSDPS_RANGE, 14,FALSE),0),IFERROR(VLOOKUP(A22, P_PSDPS_RANGE, 14,FALSE),0),IFERROR(VLOOKUP(A23, P_PSDPS_RANGE, 14,FALSE),0)))/O24),0)</f>
        <v>-7.5575403641360353E-3</v>
      </c>
      <c r="T23" s="57">
        <f ca="1">IFERROR(T22-((SUM(IFERROR(VLOOKUP(A21, P_PSDPS_RANGE, 16,FALSE),0),IFERROR(VLOOKUP(A22, P_PSDPS_RANGE, 16,FALSE),0),IFERROR(VLOOKUP(A23, P_PSDPS_RANGE, 16,FALSE),0)))/O24),0)</f>
        <v>-4.2253521126760563E-2</v>
      </c>
    </row>
    <row r="24" spans="1:20" ht="12.5" thickBot="1" x14ac:dyDescent="0.35">
      <c r="A24" s="6" t="s">
        <v>117</v>
      </c>
      <c r="B24" s="65" t="str">
        <f ca="1">"Total: " &amp; C_PG6_TOTAL &amp; " | Unique: " &amp; C_PG6_UNIQUE</f>
        <v>Total: 26 | Unique: 23</v>
      </c>
      <c r="C24" s="45"/>
      <c r="D24" s="46"/>
      <c r="E24" s="46"/>
      <c r="F24" s="46"/>
      <c r="G24" s="45"/>
      <c r="H24" s="45"/>
      <c r="I24" s="45"/>
      <c r="J24" s="45"/>
      <c r="K24" s="51"/>
      <c r="L24" s="45"/>
      <c r="M24" s="45"/>
      <c r="N24" s="45">
        <f ca="1">SUM(IFERROR(VLOOKUP(A21, C_PSDPS_RANGE, 3,FALSE),0),IFERROR(VLOOKUP(A22, C_PSDPS_RANGE, 3,FALSE),0),IFERROR(VLOOKUP(A23, C_PSDPS_RANGE, 3,FALSE),0))</f>
        <v>82</v>
      </c>
      <c r="O24" s="45">
        <f ca="1">SUM(IFERROR(VLOOKUP(A21, P_PSDPS_RANGE, 3,FALSE),0),IFERROR(VLOOKUP(A22, P_PSDPS_RANGE, 3,FALSE),0),IFERROR(VLOOKUP(A23, P_PSDPS_RANGE, 3,FALSE),0))</f>
        <v>71</v>
      </c>
      <c r="P24" s="45"/>
      <c r="Q24" s="45"/>
      <c r="R24" s="45"/>
      <c r="S24" s="45"/>
      <c r="T24" s="45"/>
    </row>
    <row r="25" spans="1:20" ht="13" thickTop="1" thickBot="1" x14ac:dyDescent="0.35">
      <c r="A25" s="10" t="s">
        <v>7</v>
      </c>
      <c r="B25" s="129" t="s">
        <v>103</v>
      </c>
      <c r="C25" s="12"/>
      <c r="D25" s="27" t="s">
        <v>73</v>
      </c>
      <c r="E25" s="28" t="s">
        <v>72</v>
      </c>
      <c r="F25" s="35" t="s">
        <v>106</v>
      </c>
      <c r="M25" s="41"/>
      <c r="N25" s="38" t="s">
        <v>47</v>
      </c>
      <c r="O25" s="39" t="s">
        <v>48</v>
      </c>
      <c r="P25" s="39" t="s">
        <v>49</v>
      </c>
      <c r="Q25" s="39" t="s">
        <v>50</v>
      </c>
      <c r="R25" s="39" t="s">
        <v>51</v>
      </c>
      <c r="S25" s="39" t="s">
        <v>52</v>
      </c>
      <c r="T25" s="40" t="s">
        <v>53</v>
      </c>
    </row>
    <row r="26" spans="1:20" x14ac:dyDescent="0.3">
      <c r="A26" s="11"/>
      <c r="B26" s="130"/>
      <c r="C26" s="13" t="s">
        <v>107</v>
      </c>
      <c r="D26" s="29">
        <f ca="1">SUM(IFERROR(VLOOKUP(A25, C_CPPS_RANGE, 4,FALSE),0),IFERROR(VLOOKUP(A26, C_CPPS_RANGE, 4,FALSE),0),IFERROR(VLOOKUP(A27, C_CPPS_RANGE, 4,FALSE),0))</f>
        <v>1881.75</v>
      </c>
      <c r="E26" s="34">
        <f ca="1">SUM(IFERROR(VLOOKUP(A25, P_CPPS_RANGE, 4,FALSE),0),IFERROR(VLOOKUP(A26, P_CPPS_RANGE, 4,FALSE),0),IFERROR(VLOOKUP(A27, P_CPPS_RANGE, 4,FALSE),0))</f>
        <v>1710</v>
      </c>
      <c r="F26" s="36">
        <f ca="1">D26-E26</f>
        <v>171.75</v>
      </c>
      <c r="M26" s="53" t="s">
        <v>110</v>
      </c>
      <c r="N26" s="42">
        <f ca="1">IFERROR((SUM(IFERROR(VLOOKUP(A25, C_PSDPS_RANGE, 4,FALSE),0),IFERROR(VLOOKUP(A26, C_PSDPS_RANGE, 4,FALSE),0),IFERROR(VLOOKUP(A27, C_PSDPS_RANGE, 4,FALSE),0)))/N28,0)</f>
        <v>4.3478260869565216E-2</v>
      </c>
      <c r="O26" s="43">
        <f ca="1">IFERROR((SUM(IFERROR(VLOOKUP(A25, C_PSDPS_RANGE, 6,FALSE),0),IFERROR(VLOOKUP(A26, C_PSDPS_RANGE, 6,FALSE),0),IFERROR(VLOOKUP(A27, C_PSDPS_RANGE, 6,FALSE),0)))/N28,0)</f>
        <v>0.17391304347826086</v>
      </c>
      <c r="P26" s="43">
        <f ca="1">IFERROR((SUM(IFERROR(VLOOKUP(A25, C_PSDPS_RANGE, 8,FALSE),0),IFERROR(VLOOKUP(A26, C_PSDPS_RANGE, 8,FALSE),0),IFERROR(VLOOKUP(A27, C_PSDPS_RANGE, 8,FALSE),0)))/N28,0)</f>
        <v>8.6956521739130432E-2</v>
      </c>
      <c r="Q26" s="43">
        <f ca="1">IFERROR((SUM(IFERROR(VLOOKUP(A25, C_PSDPS_RANGE, 10,FALSE),0),IFERROR(VLOOKUP(A26, C_PSDPS_RANGE, 10,FALSE),0),IFERROR(VLOOKUP(A27, C_PSDPS_RANGE, 10,FALSE),0)))/N28,0)</f>
        <v>0.34782608695652173</v>
      </c>
      <c r="R26" s="43">
        <f ca="1">IFERROR((SUM(IFERROR(VLOOKUP(A25, C_PSDPS_RANGE, 12,FALSE),0),IFERROR(VLOOKUP(A26, C_PSDPS_RANGE, 12,FALSE),0),IFERROR(VLOOKUP(A27, C_PSDPS_RANGE, 12,FALSE),0)))/N28,0)</f>
        <v>0.21739130434782608</v>
      </c>
      <c r="S26" s="43">
        <f ca="1">IFERROR((SUM(IFERROR(VLOOKUP(A25, C_PSDPS_RANGE, 14,FALSE),0),IFERROR(VLOOKUP(A26, C_PSDPS_RANGE, 14,FALSE),0),IFERROR(VLOOKUP(A27, C_PSDPS_RANGE, 14,FALSE),0)))/N28,0)</f>
        <v>8.6956521739130432E-2</v>
      </c>
      <c r="T26" s="44">
        <f ca="1">IFERROR((SUM(IFERROR(VLOOKUP(A25, C_PSDPS_RANGE, 16,FALSE),0),IFERROR(VLOOKUP(A26, C_PSDPS_RANGE, 16,FALSE),0),IFERROR(VLOOKUP(A27, C_PSDPS_RANGE, 16,FALSE),0)))/N28,0)</f>
        <v>4.3478260869565216E-2</v>
      </c>
    </row>
    <row r="27" spans="1:20" ht="12.5" thickBot="1" x14ac:dyDescent="0.35">
      <c r="A27" s="9"/>
      <c r="B27" s="131"/>
      <c r="C27" s="14" t="s">
        <v>108</v>
      </c>
      <c r="D27" s="31">
        <f ca="1">SUM(IFERROR(VLOOKUP(A25, C_CPPS_RANGE, 5,FALSE),0),IFERROR(VLOOKUP(A26, C_CPPS_RANGE, 5,FALSE),0),IFERROR(VLOOKUP(A27, C_CPPS_RANGE, 5,FALSE),0))</f>
        <v>4.4481E-2</v>
      </c>
      <c r="E27" s="33">
        <f ca="1">SUM(IFERROR(VLOOKUP(A25, P_CPPS_RANGE, 5,FALSE),0),IFERROR(VLOOKUP(A26, P_CPPS_RANGE, 5,FALSE),0),IFERROR(VLOOKUP(A27, P_CPPS_RANGE, 5,FALSE),0))</f>
        <v>3.6680999999999998E-2</v>
      </c>
      <c r="F27" s="37">
        <f ca="1">D27-E27</f>
        <v>7.8000000000000014E-3</v>
      </c>
      <c r="M27" s="54" t="s">
        <v>111</v>
      </c>
      <c r="N27" s="55">
        <f ca="1">IFERROR(N26-((SUM(IFERROR(VLOOKUP(A25, P_PSDPS_RANGE, 4,FALSE),0),IFERROR(VLOOKUP(A26, P_PSDPS_RANGE, 4,FALSE),0),IFERROR(VLOOKUP(A27, P_PSDPS_RANGE, 4,FALSE),0)))/O28),0)</f>
        <v>-1.9762845849802396E-3</v>
      </c>
      <c r="O27" s="56">
        <f ca="1">IFERROR(O26-((SUM(IFERROR(VLOOKUP(A25, P_PSDPS_RANGE, 6,FALSE),0),IFERROR(VLOOKUP(A26, P_PSDPS_RANGE, 6,FALSE),0),IFERROR(VLOOKUP(A27, P_PSDPS_RANGE, 6,FALSE),0)))/O28),0)</f>
        <v>0.1284584980237154</v>
      </c>
      <c r="P27" s="56">
        <f ca="1">IFERROR(P26-((SUM(IFERROR(VLOOKUP(A25, P_PSDPS_RANGE, 8,FALSE),0),IFERROR(VLOOKUP(A26, P_PSDPS_RANGE, 8,FALSE),0),IFERROR(VLOOKUP(A27, P_PSDPS_RANGE, 8,FALSE),0)))/O28),0)</f>
        <v>-9.4861660079051391E-2</v>
      </c>
      <c r="Q27" s="56">
        <f ca="1">IFERROR(Q26-((SUM(IFERROR(VLOOKUP(A25,P_PSDPS_RANGE,10,FALSE),0),IFERROR(VLOOKUP(A26,P_PSDPS_RANGE,10,FALSE),0),IFERROR(VLOOKUP(A27,P_PSDPS_RANGE,10,FALSE),0)))/O28),0)</f>
        <v>0.16600790513833991</v>
      </c>
      <c r="R27" s="56">
        <f ca="1">IFERROR(R26-((SUM(IFERROR(VLOOKUP(A25, P_PSDPS_RANGE, 12,FALSE),0),IFERROR(VLOOKUP(A26, P_PSDPS_RANGE, 12,FALSE),0),IFERROR(VLOOKUP(A27, P_PSDPS_RANGE, 12,FALSE),0)))/O28),0)</f>
        <v>-5.5335968379446626E-2</v>
      </c>
      <c r="S27" s="56">
        <f ca="1">IFERROR(S26-((SUM(IFERROR(VLOOKUP(A25, P_PSDPS_RANGE, 14,FALSE),0),IFERROR(VLOOKUP(A26, P_PSDPS_RANGE, 14,FALSE),0),IFERROR(VLOOKUP(A27, P_PSDPS_RANGE, 14,FALSE),0)))/O28),0)</f>
        <v>-0.14031620553359683</v>
      </c>
      <c r="T27" s="57">
        <f ca="1">IFERROR(T26-((SUM(IFERROR(VLOOKUP(A25, P_PSDPS_RANGE, 16,FALSE),0),IFERROR(VLOOKUP(A26, P_PSDPS_RANGE, 16,FALSE),0),IFERROR(VLOOKUP(A27, P_PSDPS_RANGE, 16,FALSE),0)))/O28),0)</f>
        <v>-1.9762845849802396E-3</v>
      </c>
    </row>
    <row r="28" spans="1:20" ht="12.5" thickBot="1" x14ac:dyDescent="0.35">
      <c r="A28" s="6" t="s">
        <v>118</v>
      </c>
      <c r="B28" s="65" t="str">
        <f ca="1">"Total: " &amp; C_PG7_TOTAL &amp; " | Unique: " &amp; C_PG7_UNIQUE</f>
        <v>Total: 37 | Unique: 36</v>
      </c>
      <c r="M28" s="45"/>
      <c r="N28" s="45">
        <f ca="1">SUM(IFERROR(VLOOKUP(A25, C_PSDPS_RANGE, 3,FALSE),0),IFERROR(VLOOKUP(A26, C_PSDPS_RANGE, 3,FALSE),0),IFERROR(VLOOKUP(A27, C_PSDPS_RANGE, 3,FALSE),0))</f>
        <v>23</v>
      </c>
      <c r="O28" s="45">
        <f ca="1">SUM(IFERROR(VLOOKUP(A25, P_PSDPS_RANGE, 3,FALSE),0),IFERROR(VLOOKUP(A26, P_PSDPS_RANGE, 3,FALSE),0),IFERROR(VLOOKUP(A27, P_PSDPS_RANGE, 3,FALSE),0))</f>
        <v>22</v>
      </c>
      <c r="P28" s="45"/>
    </row>
    <row r="29" spans="1:20" ht="13" thickTop="1" thickBot="1" x14ac:dyDescent="0.35">
      <c r="A29" s="7" t="s">
        <v>8</v>
      </c>
      <c r="B29" s="132" t="s">
        <v>68</v>
      </c>
      <c r="C29" s="12"/>
      <c r="D29" s="27" t="s">
        <v>73</v>
      </c>
      <c r="E29" s="28" t="s">
        <v>72</v>
      </c>
      <c r="F29" s="35" t="s">
        <v>106</v>
      </c>
      <c r="M29" s="41"/>
      <c r="N29" s="38" t="s">
        <v>47</v>
      </c>
      <c r="O29" s="39" t="s">
        <v>48</v>
      </c>
      <c r="P29" s="39" t="s">
        <v>49</v>
      </c>
      <c r="Q29" s="39" t="s">
        <v>50</v>
      </c>
      <c r="R29" s="39" t="s">
        <v>51</v>
      </c>
      <c r="S29" s="39" t="s">
        <v>52</v>
      </c>
      <c r="T29" s="40" t="s">
        <v>53</v>
      </c>
    </row>
    <row r="30" spans="1:20" x14ac:dyDescent="0.3">
      <c r="A30" s="8" t="s">
        <v>17</v>
      </c>
      <c r="B30" s="130"/>
      <c r="C30" s="13" t="s">
        <v>107</v>
      </c>
      <c r="D30" s="29">
        <f ca="1">SUM(IFERROR(VLOOKUP(A29, C_CPPS_RANGE, 4,FALSE),0),IFERROR(VLOOKUP(A30, C_CPPS_RANGE, 4,FALSE),0),IFERROR(VLOOKUP(A31, C_CPPS_RANGE, 4,FALSE),0))</f>
        <v>4305</v>
      </c>
      <c r="E30" s="30">
        <f ca="1">SUM(IFERROR(VLOOKUP(A29, P_CPPS_RANGE, 4,FALSE),0),IFERROR(VLOOKUP(A30, P_CPPS_RANGE, 4,FALSE),0),IFERROR(VLOOKUP(A31, P_CPPS_RANGE, 4,FALSE),0))</f>
        <v>4095</v>
      </c>
      <c r="F30" s="36">
        <f ca="1">D30-E30</f>
        <v>210</v>
      </c>
      <c r="M30" s="53" t="s">
        <v>110</v>
      </c>
      <c r="N30" s="42">
        <f ca="1">IFERROR((SUM(IFERROR(VLOOKUP(A29, C_PSDPS_RANGE, 4,FALSE),0),IFERROR(VLOOKUP(A30, C_PSDPS_RANGE, 4,FALSE),0),IFERROR(VLOOKUP(A31, C_PSDPS_RANGE, 4,FALSE),0)))/N32,0)</f>
        <v>2.7777777777777776E-2</v>
      </c>
      <c r="O30" s="43">
        <f ca="1">IFERROR((SUM(IFERROR(VLOOKUP(A29, C_PSDPS_RANGE, 6,FALSE),0),IFERROR(VLOOKUP(A30, C_PSDPS_RANGE, 6,FALSE),0),IFERROR(VLOOKUP(A31, C_PSDPS_RANGE, 6,FALSE),0)))/N32,0)</f>
        <v>0.19444444444444445</v>
      </c>
      <c r="P30" s="43">
        <f ca="1">IFERROR((SUM(IFERROR(VLOOKUP(A29, C_PSDPS_RANGE, 8,FALSE),0),IFERROR(VLOOKUP(A30, C_PSDPS_RANGE, 8,FALSE),0),IFERROR(VLOOKUP(A31, C_PSDPS_RANGE, 8,FALSE),0)))/N32,0)</f>
        <v>8.3333333333333329E-2</v>
      </c>
      <c r="Q30" s="43">
        <f ca="1">IFERROR((SUM(IFERROR(VLOOKUP(A29, C_PSDPS_RANGE, 10,FALSE),0),IFERROR(VLOOKUP(A30, C_PSDPS_RANGE, 10,FALSE),0),IFERROR(VLOOKUP(A31, C_PSDPS_RANGE, 10,FALSE),0)))/N32,0)</f>
        <v>0.30555555555555558</v>
      </c>
      <c r="R30" s="43">
        <f ca="1">IFERROR((SUM(IFERROR(VLOOKUP(A29, C_PSDPS_RANGE, 12,FALSE),0),IFERROR(VLOOKUP(A30, C_PSDPS_RANGE, 12,FALSE),0),IFERROR(VLOOKUP(A31, C_PSDPS_RANGE, 12,FALSE),0)))/N32,0)</f>
        <v>0.25</v>
      </c>
      <c r="S30" s="43">
        <f ca="1">IFERROR((SUM(IFERROR(VLOOKUP(A29, C_PSDPS_RANGE, 14,FALSE),0),IFERROR(VLOOKUP(A30, C_PSDPS_RANGE, 14,FALSE),0),IFERROR(VLOOKUP(A31, C_PSDPS_RANGE, 14,FALSE),0)))/N32,0)</f>
        <v>0.1388888888888889</v>
      </c>
      <c r="T30" s="44">
        <f ca="1">IFERROR((SUM(IFERROR(VLOOKUP(A29, C_PSDPS_RANGE, 16,FALSE),0),IFERROR(VLOOKUP(A30, C_PSDPS_RANGE, 16,FALSE),0),IFERROR(VLOOKUP(A31, C_PSDPS_RANGE, 16,FALSE),0)))/N32,0)</f>
        <v>0</v>
      </c>
    </row>
    <row r="31" spans="1:20" ht="12.5" thickBot="1" x14ac:dyDescent="0.35">
      <c r="A31" s="9"/>
      <c r="B31" s="131"/>
      <c r="C31" s="14" t="s">
        <v>108</v>
      </c>
      <c r="D31" s="31">
        <f ca="1">SUM(IFERROR(VLOOKUP(A29, C_CPPS_RANGE, 5,FALSE),0),IFERROR(VLOOKUP(A30, C_CPPS_RANGE, 5,FALSE),0),IFERROR(VLOOKUP(A31, C_CPPS_RANGE, 5,FALSE),0))</f>
        <v>0.10176199999999999</v>
      </c>
      <c r="E31" s="32">
        <f ca="1">SUM(IFERROR(VLOOKUP(A29, P_CPPS_RANGE, 5,FALSE),0),IFERROR(VLOOKUP(A30, P_CPPS_RANGE, 5,FALSE),0),IFERROR(VLOOKUP(A31, P_CPPS_RANGE, 5,FALSE),0))</f>
        <v>8.7840000000000001E-2</v>
      </c>
      <c r="F31" s="37">
        <f ca="1">D31-E31</f>
        <v>1.392199999999999E-2</v>
      </c>
      <c r="M31" s="54" t="s">
        <v>111</v>
      </c>
      <c r="N31" s="55">
        <f ca="1">IFERROR(N30-((SUM(IFERROR(VLOOKUP(A29, P_PSDPS_RANGE, 4,FALSE),0),IFERROR(VLOOKUP(A30, P_PSDPS_RANGE, 4,FALSE),0),IFERROR(VLOOKUP(A31, P_PSDPS_RANGE, 4,FALSE),0)))/O32),0)</f>
        <v>-0.11507936507936507</v>
      </c>
      <c r="O31" s="56">
        <f ca="1">IFERROR(O30-((SUM(IFERROR(VLOOKUP(A29, P_PSDPS_RANGE, 6,FALSE),0),IFERROR(VLOOKUP(A30, P_PSDPS_RANGE, 6,FALSE),0),IFERROR(VLOOKUP(A31, P_PSDPS_RANGE, 6,FALSE),0)))/O32),0)</f>
        <v>0.10873015873015873</v>
      </c>
      <c r="P31" s="56">
        <f ca="1">IFERROR(P30-((SUM(IFERROR(VLOOKUP(A29, P_PSDPS_RANGE, 8,FALSE),0),IFERROR(VLOOKUP(A30, P_PSDPS_RANGE, 8,FALSE),0),IFERROR(VLOOKUP(A31, P_PSDPS_RANGE, 8,FALSE),0)))/O32),0)</f>
        <v>-0.11666666666666668</v>
      </c>
      <c r="Q31" s="56">
        <f ca="1">IFERROR(Q30-((SUM(IFERROR(VLOOKUP(A29,P_PSDPS_RANGE,10,FALSE),0),IFERROR(VLOOKUP(A30,P_PSDPS_RANGE,10,FALSE),0),IFERROR(VLOOKUP(A31,P_PSDPS_RANGE,10,FALSE),0)))/O32),0)</f>
        <v>0.10555555555555557</v>
      </c>
      <c r="R31" s="56">
        <f ca="1">IFERROR(R30-((SUM(IFERROR(VLOOKUP(A29, P_PSDPS_RANGE, 12,FALSE),0),IFERROR(VLOOKUP(A30, P_PSDPS_RANGE, 12,FALSE),0),IFERROR(VLOOKUP(A31, P_PSDPS_RANGE, 12,FALSE),0)))/O32),0)</f>
        <v>4.9999999999999989E-2</v>
      </c>
      <c r="S31" s="56">
        <f ca="1">IFERROR(S30-((SUM(IFERROR(VLOOKUP(A29, P_PSDPS_RANGE, 14,FALSE),0),IFERROR(VLOOKUP(A30, P_PSDPS_RANGE, 14,FALSE),0),IFERROR(VLOOKUP(A31, P_PSDPS_RANGE, 14,FALSE),0)))/O32),0)</f>
        <v>-3.2539682539682535E-2</v>
      </c>
      <c r="T31" s="57">
        <f ca="1">IFERROR(T30-((SUM(IFERROR(VLOOKUP(A29, P_PSDPS_RANGE, 16,FALSE),0),IFERROR(VLOOKUP(A30, P_PSDPS_RANGE, 16,FALSE),0),IFERROR(VLOOKUP(A31, P_PSDPS_RANGE, 16,FALSE),0)))/O32),0)</f>
        <v>0</v>
      </c>
    </row>
    <row r="32" spans="1:20" ht="12.5" thickBot="1" x14ac:dyDescent="0.35">
      <c r="A32" s="6" t="s">
        <v>119</v>
      </c>
      <c r="B32" s="65" t="str">
        <f ca="1">"Total: " &amp; C_PG8_TOTAL &amp; " | Unique: " &amp; C_PG8_UNIQUE</f>
        <v>Total: 148 | Unique: 148</v>
      </c>
      <c r="C32" s="45"/>
      <c r="D32" s="46"/>
      <c r="E32" s="46"/>
      <c r="F32" s="46"/>
      <c r="G32" s="45"/>
      <c r="H32" s="45"/>
      <c r="I32" s="45"/>
      <c r="J32" s="45"/>
      <c r="K32" s="51"/>
      <c r="L32" s="45"/>
      <c r="M32" s="45"/>
      <c r="N32" s="45">
        <f ca="1">SUM(IFERROR(VLOOKUP(A29, C_PSDPS_RANGE, 3,FALSE),0),IFERROR(VLOOKUP(A30, C_PSDPS_RANGE, 3,FALSE),0),IFERROR(VLOOKUP(A31, C_PSDPS_RANGE, 3,FALSE),0))</f>
        <v>36</v>
      </c>
      <c r="O32" s="45">
        <f ca="1">SUM(IFERROR(VLOOKUP(A29, P_PSDPS_RANGE, 3,FALSE),0),IFERROR(VLOOKUP(A30, P_PSDPS_RANGE, 3,FALSE),0),IFERROR(VLOOKUP(A31, P_PSDPS_RANGE, 3,FALSE),0))</f>
        <v>35</v>
      </c>
      <c r="P32" s="45"/>
      <c r="Q32" s="45"/>
      <c r="R32" s="45"/>
      <c r="S32" s="45"/>
      <c r="T32" s="45"/>
    </row>
    <row r="33" spans="1:20" ht="13" thickTop="1" thickBot="1" x14ac:dyDescent="0.35">
      <c r="A33" s="10" t="s">
        <v>10</v>
      </c>
      <c r="B33" s="129" t="s">
        <v>157</v>
      </c>
      <c r="C33" s="12"/>
      <c r="D33" s="27" t="s">
        <v>73</v>
      </c>
      <c r="E33" s="28" t="s">
        <v>72</v>
      </c>
      <c r="F33" s="35" t="s">
        <v>106</v>
      </c>
      <c r="M33" s="41"/>
      <c r="N33" s="38" t="s">
        <v>47</v>
      </c>
      <c r="O33" s="39" t="s">
        <v>48</v>
      </c>
      <c r="P33" s="39" t="s">
        <v>49</v>
      </c>
      <c r="Q33" s="39" t="s">
        <v>50</v>
      </c>
      <c r="R33" s="39" t="s">
        <v>51</v>
      </c>
      <c r="S33" s="39" t="s">
        <v>52</v>
      </c>
      <c r="T33" s="40" t="s">
        <v>53</v>
      </c>
    </row>
    <row r="34" spans="1:20" x14ac:dyDescent="0.3">
      <c r="A34" s="11"/>
      <c r="B34" s="130"/>
      <c r="C34" s="13" t="s">
        <v>107</v>
      </c>
      <c r="D34" s="29">
        <f ca="1">SUM(IFERROR(VLOOKUP(A33, C_CPPS_RANGE, 4,FALSE),0),IFERROR(VLOOKUP(A34, C_CPPS_RANGE, 4,FALSE),0),IFERROR(VLOOKUP(A35, C_CPPS_RANGE, 4,FALSE),0))</f>
        <v>8880</v>
      </c>
      <c r="E34" s="34">
        <f ca="1">SUM(IFERROR(VLOOKUP(A33, P_CPPS_RANGE, 4,FALSE),0),IFERROR(VLOOKUP(A34, P_CPPS_RANGE, 4,FALSE),0),IFERROR(VLOOKUP(A35, P_CPPS_RANGE, 4,FALSE),0))</f>
        <v>9120</v>
      </c>
      <c r="F34" s="36">
        <f ca="1">D34-E34</f>
        <v>-240</v>
      </c>
      <c r="M34" s="53" t="s">
        <v>110</v>
      </c>
      <c r="N34" s="42">
        <f ca="1">IFERROR((SUM(IFERROR(VLOOKUP(A33, C_PSDPS_RANGE, 4,FALSE),0),IFERROR(VLOOKUP(A34, C_PSDPS_RANGE, 4,FALSE),0),IFERROR(VLOOKUP(A35, C_PSDPS_RANGE, 4,FALSE),0)))/N36,0)</f>
        <v>1.3513513513513514E-2</v>
      </c>
      <c r="O34" s="43">
        <f ca="1">IFERROR((SUM(IFERROR(VLOOKUP(A33, C_PSDPS_RANGE, 6,FALSE),0),IFERROR(VLOOKUP(A34, C_PSDPS_RANGE, 6,FALSE),0),IFERROR(VLOOKUP(A35, C_PSDPS_RANGE, 6,FALSE),0)))/N36,0)</f>
        <v>4.0540540540540543E-2</v>
      </c>
      <c r="P34" s="43">
        <f ca="1">IFERROR((SUM(IFERROR(VLOOKUP(A33, C_PSDPS_RANGE, 8,FALSE),0),IFERROR(VLOOKUP(A34, C_PSDPS_RANGE, 8,FALSE),0),IFERROR(VLOOKUP(A35, C_PSDPS_RANGE, 8,FALSE),0)))/N36,0)</f>
        <v>9.45945945945946E-2</v>
      </c>
      <c r="Q34" s="43">
        <f ca="1">IFERROR((SUM(IFERROR(VLOOKUP(A33, C_PSDPS_RANGE, 10,FALSE),0),IFERROR(VLOOKUP(A34, C_PSDPS_RANGE, 10,FALSE),0),IFERROR(VLOOKUP(A35, C_PSDPS_RANGE, 10,FALSE),0)))/N36,0)</f>
        <v>0.30405405405405406</v>
      </c>
      <c r="R34" s="43">
        <f ca="1">IFERROR((SUM(IFERROR(VLOOKUP(A33, C_PSDPS_RANGE, 12,FALSE),0),IFERROR(VLOOKUP(A34, C_PSDPS_RANGE, 12,FALSE),0),IFERROR(VLOOKUP(A35, C_PSDPS_RANGE, 12,FALSE),0)))/N36,0)</f>
        <v>0.23648648648648649</v>
      </c>
      <c r="S34" s="43">
        <f ca="1">IFERROR((SUM(IFERROR(VLOOKUP(A33, C_PSDPS_RANGE, 14,FALSE),0),IFERROR(VLOOKUP(A34, C_PSDPS_RANGE, 14,FALSE),0),IFERROR(VLOOKUP(A35, C_PSDPS_RANGE, 14,FALSE),0)))/N36,0)</f>
        <v>0.14189189189189189</v>
      </c>
      <c r="T34" s="44">
        <f ca="1">IFERROR((SUM(IFERROR(VLOOKUP(A33, C_PSDPS_RANGE, 16,FALSE),0),IFERROR(VLOOKUP(A34, C_PSDPS_RANGE, 16,FALSE),0),IFERROR(VLOOKUP(A35, C_PSDPS_RANGE, 16,FALSE),0)))/N36,0)</f>
        <v>0.16891891891891891</v>
      </c>
    </row>
    <row r="35" spans="1:20" ht="12.5" thickBot="1" x14ac:dyDescent="0.35">
      <c r="A35" s="9"/>
      <c r="B35" s="131"/>
      <c r="C35" s="14" t="s">
        <v>108</v>
      </c>
      <c r="D35" s="31">
        <f ca="1">SUM(IFERROR(VLOOKUP(A33, C_CPPS_RANGE, 5,FALSE),0),IFERROR(VLOOKUP(A34, C_CPPS_RANGE, 5,FALSE),0),IFERROR(VLOOKUP(A35, C_CPPS_RANGE, 5,FALSE),0))</f>
        <v>0.20990600000000001</v>
      </c>
      <c r="E35" s="33">
        <f ca="1">SUM(IFERROR(VLOOKUP(A33, P_CPPS_RANGE, 5,FALSE),0),IFERROR(VLOOKUP(A34, P_CPPS_RANGE, 5,FALSE),0),IFERROR(VLOOKUP(A35, P_CPPS_RANGE, 5,FALSE),0))</f>
        <v>0.195629</v>
      </c>
      <c r="F35" s="37">
        <f ca="1">D35-E35</f>
        <v>1.4277000000000012E-2</v>
      </c>
      <c r="M35" s="54" t="s">
        <v>111</v>
      </c>
      <c r="N35" s="55">
        <f ca="1">IFERROR(N34-((SUM(IFERROR(VLOOKUP(A33, P_PSDPS_RANGE, 4,FALSE),0),IFERROR(VLOOKUP(A34, P_PSDPS_RANGE, 4,FALSE),0),IFERROR(VLOOKUP(A35, P_PSDPS_RANGE, 4,FALSE),0)))/O36),0)</f>
        <v>6.934566145092462E-3</v>
      </c>
      <c r="O35" s="56">
        <f ca="1">IFERROR(O34-((SUM(IFERROR(VLOOKUP(A33, P_PSDPS_RANGE, 6,FALSE),0),IFERROR(VLOOKUP(A34, P_PSDPS_RANGE, 6,FALSE),0),IFERROR(VLOOKUP(A35, P_PSDPS_RANGE, 6,FALSE),0)))/O36),0)</f>
        <v>-1.8669985775248928E-2</v>
      </c>
      <c r="P35" s="56">
        <f ca="1">IFERROR(P34-((SUM(IFERROR(VLOOKUP(A33, P_PSDPS_RANGE, 8,FALSE),0),IFERROR(VLOOKUP(A34, P_PSDPS_RANGE, 8,FALSE),0),IFERROR(VLOOKUP(A35, P_PSDPS_RANGE, 8,FALSE),0)))/O36),0)</f>
        <v>-1.0668563300142236E-2</v>
      </c>
      <c r="Q35" s="56">
        <f ca="1">IFERROR(Q34-((SUM(IFERROR(VLOOKUP(A33,P_PSDPS_RANGE,10,FALSE),0),IFERROR(VLOOKUP(A34,P_PSDPS_RANGE,10,FALSE),0),IFERROR(VLOOKUP(A35,P_PSDPS_RANGE,10,FALSE),0)))/O36),0)</f>
        <v>-1.1735419630156452E-2</v>
      </c>
      <c r="R35" s="56">
        <f ca="1">IFERROR(R34-((SUM(IFERROR(VLOOKUP(A33, P_PSDPS_RANGE, 12,FALSE),0),IFERROR(VLOOKUP(A34, P_PSDPS_RANGE, 12,FALSE),0),IFERROR(VLOOKUP(A35, P_PSDPS_RANGE, 12,FALSE),0)))/O36),0)</f>
        <v>-3.9829302987197751E-2</v>
      </c>
      <c r="S35" s="56">
        <f ca="1">IFERROR(S34-((SUM(IFERROR(VLOOKUP(A33, P_PSDPS_RANGE, 14,FALSE),0),IFERROR(VLOOKUP(A34, P_PSDPS_RANGE, 14,FALSE),0),IFERROR(VLOOKUP(A35, P_PSDPS_RANGE, 14,FALSE),0)))/O36),0)</f>
        <v>4.3207681365576095E-2</v>
      </c>
      <c r="T35" s="57">
        <f ca="1">IFERROR(T34-((SUM(IFERROR(VLOOKUP(A33, P_PSDPS_RANGE, 16,FALSE),0),IFERROR(VLOOKUP(A34, P_PSDPS_RANGE, 16,FALSE),0),IFERROR(VLOOKUP(A35, P_PSDPS_RANGE, 16,FALSE),0)))/O36),0)</f>
        <v>3.0761024182076796E-2</v>
      </c>
    </row>
    <row r="36" spans="1:20" ht="12.5" thickBot="1" x14ac:dyDescent="0.35">
      <c r="A36" s="6" t="s">
        <v>120</v>
      </c>
      <c r="B36" s="65" t="str">
        <f ca="1">"Total: " &amp; C_PG9_TOTAL &amp; " | Unique: " &amp; C_PG9_UNIQUE</f>
        <v>Total: 19 | Unique: 16</v>
      </c>
      <c r="C36" s="45"/>
      <c r="D36" s="46"/>
      <c r="E36" s="46"/>
      <c r="F36" s="46"/>
      <c r="G36" s="45"/>
      <c r="H36" s="45"/>
      <c r="I36" s="45"/>
      <c r="J36" s="45"/>
      <c r="K36" s="51"/>
      <c r="L36" s="45"/>
      <c r="M36" s="45"/>
      <c r="N36" s="45">
        <f ca="1">SUM(IFERROR(VLOOKUP(A33, C_PSDPS_RANGE, 3,FALSE),0),IFERROR(VLOOKUP(A34, C_PSDPS_RANGE, 3,FALSE),0),IFERROR(VLOOKUP(A35, C_PSDPS_RANGE, 3,FALSE),0))</f>
        <v>148</v>
      </c>
      <c r="O36" s="45">
        <f ca="1">SUM(IFERROR(VLOOKUP(A33, P_PSDPS_RANGE, 3,FALSE),0),IFERROR(VLOOKUP(A34, P_PSDPS_RANGE, 3,FALSE),0),IFERROR(VLOOKUP(A35, P_PSDPS_RANGE, 3,FALSE),0))</f>
        <v>152</v>
      </c>
      <c r="P36" s="45"/>
      <c r="Q36" s="45"/>
      <c r="R36" s="45"/>
      <c r="S36" s="45"/>
      <c r="T36" s="45"/>
    </row>
    <row r="37" spans="1:20" ht="13" thickTop="1" thickBot="1" x14ac:dyDescent="0.35">
      <c r="A37" s="10" t="s">
        <v>13</v>
      </c>
      <c r="B37" s="129" t="s">
        <v>105</v>
      </c>
      <c r="C37" s="12"/>
      <c r="D37" s="27" t="s">
        <v>73</v>
      </c>
      <c r="E37" s="28" t="s">
        <v>72</v>
      </c>
      <c r="F37" s="35" t="s">
        <v>106</v>
      </c>
      <c r="M37" s="41"/>
      <c r="N37" s="38" t="s">
        <v>47</v>
      </c>
      <c r="O37" s="39" t="s">
        <v>48</v>
      </c>
      <c r="P37" s="39" t="s">
        <v>49</v>
      </c>
      <c r="Q37" s="39" t="s">
        <v>50</v>
      </c>
      <c r="R37" s="39" t="s">
        <v>51</v>
      </c>
      <c r="S37" s="39" t="s">
        <v>52</v>
      </c>
      <c r="T37" s="40" t="s">
        <v>53</v>
      </c>
    </row>
    <row r="38" spans="1:20" x14ac:dyDescent="0.3">
      <c r="A38" s="11" t="s">
        <v>14</v>
      </c>
      <c r="B38" s="130"/>
      <c r="C38" s="13" t="s">
        <v>107</v>
      </c>
      <c r="D38" s="29">
        <f ca="1">SUM(IFERROR(VLOOKUP(A37, C_CPPS_RANGE, 4,FALSE),0),IFERROR(VLOOKUP(A38, C_CPPS_RANGE, 4,FALSE),0),IFERROR(VLOOKUP(A39, C_CPPS_RANGE, 4,FALSE),0))</f>
        <v>264.05</v>
      </c>
      <c r="E38" s="34">
        <f ca="1">SUM(IFERROR(VLOOKUP(A37, P_CPPS_RANGE, 4,FALSE),0),IFERROR(VLOOKUP(A38, P_CPPS_RANGE, 4,FALSE),0),IFERROR(VLOOKUP(A39, P_CPPS_RANGE, 4,FALSE),0))</f>
        <v>254</v>
      </c>
      <c r="F38" s="36">
        <f ca="1">D38-E38</f>
        <v>10.050000000000011</v>
      </c>
      <c r="M38" s="53" t="s">
        <v>110</v>
      </c>
      <c r="N38" s="42">
        <f ca="1">IFERROR((SUM(IFERROR(VLOOKUP(A37, C_PSDPS_RANGE, 4,FALSE),0),IFERROR(VLOOKUP(A38, C_PSDPS_RANGE, 4,FALSE),0),IFERROR(VLOOKUP(A39, C_PSDPS_RANGE, 4,FALSE),0)))/N40,0)</f>
        <v>0.125</v>
      </c>
      <c r="O38" s="43">
        <f ca="1">IFERROR((SUM(IFERROR(VLOOKUP(A37, C_PSDPS_RANGE, 6,FALSE),0),IFERROR(VLOOKUP(A38, C_PSDPS_RANGE, 6,FALSE),0),IFERROR(VLOOKUP(A39, C_PSDPS_RANGE, 6,FALSE),0)))/N40,0)</f>
        <v>0.1875</v>
      </c>
      <c r="P38" s="43">
        <f ca="1">IFERROR((SUM(IFERROR(VLOOKUP(A37, C_PSDPS_RANGE, 8,FALSE),0),IFERROR(VLOOKUP(A38, C_PSDPS_RANGE, 8,FALSE),0),IFERROR(VLOOKUP(A39, C_PSDPS_RANGE, 8,FALSE),0)))/N40,0)</f>
        <v>0.25</v>
      </c>
      <c r="Q38" s="43">
        <f ca="1">IFERROR((SUM(IFERROR(VLOOKUP(A37, C_PSDPS_RANGE, 10,FALSE),0),IFERROR(VLOOKUP(A38, C_PSDPS_RANGE, 10,FALSE),0),IFERROR(VLOOKUP(A39, C_PSDPS_RANGE, 10,FALSE),0)))/N40,0)</f>
        <v>0.1875</v>
      </c>
      <c r="R38" s="43">
        <f ca="1">IFERROR((SUM(IFERROR(VLOOKUP(A37, C_PSDPS_RANGE, 12,FALSE),0),IFERROR(VLOOKUP(A38, C_PSDPS_RANGE, 12,FALSE),0),IFERROR(VLOOKUP(A39, C_PSDPS_RANGE, 12,FALSE),0)))/N40,0)</f>
        <v>0.125</v>
      </c>
      <c r="S38" s="43">
        <f ca="1">IFERROR((SUM(IFERROR(VLOOKUP(A37, C_PSDPS_RANGE, 14,FALSE),0),IFERROR(VLOOKUP(A38, C_PSDPS_RANGE, 14,FALSE),0),IFERROR(VLOOKUP(A39, C_PSDPS_RANGE, 14,FALSE),0)))/N40,0)</f>
        <v>6.25E-2</v>
      </c>
      <c r="T38" s="44">
        <f ca="1">IFERROR((SUM(IFERROR(VLOOKUP(A37, C_PSDPS_RANGE, 16,FALSE),0),IFERROR(VLOOKUP(A38, C_PSDPS_RANGE, 16,FALSE),0),IFERROR(VLOOKUP(A39, C_PSDPS_RANGE, 16,FALSE),0)))/N40,0)</f>
        <v>6.25E-2</v>
      </c>
    </row>
    <row r="39" spans="1:20" ht="12.5" thickBot="1" x14ac:dyDescent="0.35">
      <c r="A39" s="9"/>
      <c r="B39" s="131"/>
      <c r="C39" s="14" t="s">
        <v>108</v>
      </c>
      <c r="D39" s="31">
        <f ca="1">SUM(IFERROR(VLOOKUP(A37, C_CPPS_RANGE, 5,FALSE),0),IFERROR(VLOOKUP(A38, C_CPPS_RANGE, 5,FALSE),0),IFERROR(VLOOKUP(A39, C_CPPS_RANGE, 5,FALSE),0))</f>
        <v>6.2420000000000002E-3</v>
      </c>
      <c r="E39" s="33">
        <f ca="1">SUM(IFERROR(VLOOKUP(A37, P_CPPS_RANGE, 5,FALSE),0),IFERROR(VLOOKUP(A38, P_CPPS_RANGE, 5,FALSE),0),IFERROR(VLOOKUP(A39, P_CPPS_RANGE, 5,FALSE),0))</f>
        <v>5.4489999999999999E-3</v>
      </c>
      <c r="F39" s="37">
        <f ca="1">D39-E39</f>
        <v>7.930000000000003E-4</v>
      </c>
      <c r="M39" s="54" t="s">
        <v>111</v>
      </c>
      <c r="N39" s="55">
        <f ca="1">IFERROR(N38-((SUM(IFERROR(VLOOKUP(A37, P_PSDPS_RANGE, 4,FALSE),0),IFERROR(VLOOKUP(A38, P_PSDPS_RANGE, 4,FALSE),0),IFERROR(VLOOKUP(A39, P_PSDPS_RANGE, 4,FALSE),0)))/O40),0)</f>
        <v>7.2368421052631582E-2</v>
      </c>
      <c r="O39" s="56">
        <f ca="1">IFERROR(O38-((SUM(IFERROR(VLOOKUP(A37, P_PSDPS_RANGE, 6,FALSE),0),IFERROR(VLOOKUP(A38, P_PSDPS_RANGE, 6,FALSE),0),IFERROR(VLOOKUP(A39, P_PSDPS_RANGE, 6,FALSE),0)))/O40),0)</f>
        <v>0.13486842105263158</v>
      </c>
      <c r="P39" s="56">
        <f ca="1">IFERROR(P38-((SUM(IFERROR(VLOOKUP(A37, P_PSDPS_RANGE, 8,FALSE),0),IFERROR(VLOOKUP(A38, P_PSDPS_RANGE, 8,FALSE),0),IFERROR(VLOOKUP(A39, P_PSDPS_RANGE, 8,FALSE),0)))/O40),0)</f>
        <v>-6.5789473684210509E-2</v>
      </c>
      <c r="Q39" s="56">
        <f ca="1">IFERROR(Q38-((SUM(IFERROR(VLOOKUP(A37,P_PSDPS_RANGE,10,FALSE),0),IFERROR(VLOOKUP(A38,P_PSDPS_RANGE,10,FALSE),0),IFERROR(VLOOKUP(A39,P_PSDPS_RANGE,10,FALSE),0)))/O40),0)</f>
        <v>-2.3026315789473673E-2</v>
      </c>
      <c r="R39" s="56">
        <f ca="1">IFERROR(R38-((SUM(IFERROR(VLOOKUP(A37, P_PSDPS_RANGE, 12,FALSE),0),IFERROR(VLOOKUP(A38, P_PSDPS_RANGE, 12,FALSE),0),IFERROR(VLOOKUP(A39, P_PSDPS_RANGE, 12,FALSE),0)))/O40),0)</f>
        <v>-0.13815789473684209</v>
      </c>
      <c r="S39" s="56">
        <f ca="1">IFERROR(S38-((SUM(IFERROR(VLOOKUP(A37, P_PSDPS_RANGE, 14,FALSE),0),IFERROR(VLOOKUP(A38, P_PSDPS_RANGE, 14,FALSE),0),IFERROR(VLOOKUP(A39, P_PSDPS_RANGE, 14,FALSE),0)))/O40),0)</f>
        <v>9.8684210526315819E-3</v>
      </c>
      <c r="T39" s="57">
        <f ca="1">IFERROR(T38-((SUM(IFERROR(VLOOKUP(A37, P_PSDPS_RANGE, 16,FALSE),0),IFERROR(VLOOKUP(A38, P_PSDPS_RANGE, 16,FALSE),0),IFERROR(VLOOKUP(A39, P_PSDPS_RANGE, 16,FALSE),0)))/O40),0)</f>
        <v>9.8684210526315819E-3</v>
      </c>
    </row>
    <row r="40" spans="1:20" s="45" customFormat="1" x14ac:dyDescent="0.3">
      <c r="F40" s="46"/>
      <c r="K40" s="51"/>
      <c r="N40" s="45">
        <f ca="1">SUM(IFERROR(VLOOKUP(A37, C_PSDPS_RANGE, 3,FALSE),0),IFERROR(VLOOKUP(A38, C_PSDPS_RANGE, 3,FALSE),0),IFERROR(VLOOKUP(A39, C_PSDPS_RANGE, 3,FALSE),0))</f>
        <v>16</v>
      </c>
      <c r="O40" s="45">
        <f ca="1">SUM(IFERROR(VLOOKUP(A37, P_PSDPS_RANGE, 3,FALSE),0),IFERROR(VLOOKUP(A38, P_PSDPS_RANGE, 3,FALSE),0),IFERROR(VLOOKUP(A39, P_PSDPS_RANGE, 3,FALSE),0))</f>
        <v>19</v>
      </c>
    </row>
    <row r="41" spans="1:20" hidden="1" x14ac:dyDescent="0.3">
      <c r="A41" s="61"/>
      <c r="B41" s="62" t="s">
        <v>96</v>
      </c>
      <c r="C41" s="62" t="s">
        <v>97</v>
      </c>
      <c r="D41" s="61"/>
      <c r="E41" s="61"/>
      <c r="F41" s="62"/>
      <c r="G41" s="61"/>
      <c r="H41" s="61"/>
      <c r="I41" s="61"/>
      <c r="J41" s="61"/>
      <c r="K41" s="63"/>
      <c r="L41" s="61"/>
      <c r="M41" s="61"/>
      <c r="N41" s="61"/>
      <c r="O41" s="61"/>
      <c r="P41" s="61"/>
      <c r="Q41" s="61"/>
      <c r="R41" s="61"/>
      <c r="S41" s="61"/>
      <c r="T41" s="61"/>
    </row>
    <row r="42" spans="1:20" hidden="1" x14ac:dyDescent="0.3">
      <c r="A42" s="61" t="s">
        <v>121</v>
      </c>
      <c r="B42" s="62">
        <f ca="1">SUM(IFERROR(VLOOKUP(A5, C_CPPS_RANGE, 2,FALSE),0),IFERROR(VLOOKUP(A6, C_CPPS_RANGE, 2,FALSE),0),IFERROR(VLOOKUP(A7, C_CPPS_RANGE, 2,FALSE),0))</f>
        <v>72</v>
      </c>
      <c r="C42" s="62">
        <f ca="1">SUM(IFERROR(VLOOKUP(A5, P_CPPS_RANGE, 2,FALSE),0),IFERROR(VLOOKUP(A6, P_CPPS_RANGE, 2,FALSE),0),IFERROR(VLOOKUP(A7, P_CPPS_RANGE, 2,FALSE),0))</f>
        <v>58</v>
      </c>
      <c r="D42" s="61" t="s">
        <v>139</v>
      </c>
      <c r="E42" s="61"/>
      <c r="F42" s="62"/>
      <c r="G42" s="61"/>
      <c r="H42" s="61"/>
      <c r="I42" s="61"/>
      <c r="J42" s="61"/>
      <c r="K42" s="63"/>
      <c r="L42" s="61"/>
      <c r="M42" s="61"/>
      <c r="N42" s="61"/>
      <c r="O42" s="61"/>
      <c r="P42" s="61"/>
      <c r="Q42" s="61"/>
      <c r="R42" s="61"/>
      <c r="S42" s="61"/>
      <c r="T42" s="61"/>
    </row>
    <row r="43" spans="1:20" hidden="1" x14ac:dyDescent="0.3">
      <c r="A43" s="61" t="s">
        <v>122</v>
      </c>
      <c r="B43" s="62">
        <f ca="1">SUM(IFERROR(VLOOKUP(A9, C_CPPS_RANGE, 2,FALSE),0),IFERROR(VLOOKUP(A10, C_CPPS_RANGE, 2,FALSE),0),IFERROR(VLOOKUP(A11, C_CPPS_RANGE, 2,FALSE),0))</f>
        <v>30</v>
      </c>
      <c r="C43" s="62">
        <f ca="1">SUM(IFERROR(VLOOKUP(A9, P_CPPS_RANGE, 2,FALSE),0),IFERROR(VLOOKUP(A10, P_CPPS_RANGE, 2,FALSE),0),IFERROR(VLOOKUP(A11, P_CPPS_RANGE, 2,FALSE),0))</f>
        <v>59</v>
      </c>
      <c r="D43" s="61" t="s">
        <v>140</v>
      </c>
      <c r="E43" s="61"/>
      <c r="F43" s="62"/>
      <c r="G43" s="61"/>
      <c r="H43" s="61"/>
      <c r="I43" s="61"/>
      <c r="J43" s="61"/>
      <c r="K43" s="63"/>
      <c r="L43" s="61"/>
      <c r="M43" s="61"/>
      <c r="N43" s="61"/>
      <c r="O43" s="61"/>
      <c r="P43" s="61"/>
      <c r="Q43" s="61"/>
      <c r="R43" s="61"/>
      <c r="S43" s="61"/>
      <c r="T43" s="61"/>
    </row>
    <row r="44" spans="1:20" hidden="1" x14ac:dyDescent="0.3">
      <c r="A44" s="61" t="s">
        <v>123</v>
      </c>
      <c r="B44" s="62">
        <f ca="1">SUM(IFERROR(VLOOKUP(A13, C_CPPS_RANGE, 2,FALSE),0),IFERROR(VLOOKUP(A14, C_CPPS_RANGE, 2,FALSE),0),IFERROR(VLOOKUP(A15, C_CPPS_RANGE, 2,FALSE),0))</f>
        <v>72</v>
      </c>
      <c r="C44" s="62">
        <f ca="1">SUM(IFERROR(VLOOKUP(A13, P_CPPS_RANGE, 2,FALSE),0),IFERROR(VLOOKUP(A14, P_CPPS_RANGE, 2,FALSE),0),IFERROR(VLOOKUP(A15, P_CPPS_RANGE, 2,FALSE),0))</f>
        <v>89</v>
      </c>
      <c r="D44" s="61" t="s">
        <v>141</v>
      </c>
      <c r="E44" s="61"/>
      <c r="F44" s="62"/>
      <c r="G44" s="61"/>
      <c r="H44" s="61"/>
      <c r="I44" s="61"/>
      <c r="J44" s="61"/>
      <c r="K44" s="63"/>
      <c r="L44" s="61"/>
      <c r="M44" s="61"/>
      <c r="N44" s="61"/>
      <c r="O44" s="61"/>
      <c r="P44" s="61"/>
      <c r="Q44" s="61"/>
      <c r="R44" s="61"/>
      <c r="S44" s="61"/>
      <c r="T44" s="61"/>
    </row>
    <row r="45" spans="1:20" hidden="1" x14ac:dyDescent="0.3">
      <c r="A45" s="61" t="s">
        <v>124</v>
      </c>
      <c r="B45" s="62">
        <f ca="1">SUM(IFERROR(VLOOKUP(A17, C_CPPS_RANGE, 2,FALSE),0),IFERROR(VLOOKUP(A18, C_CPPS_RANGE, 2,FALSE),0),IFERROR(VLOOKUP(A19, C_CPPS_RANGE, 2,FALSE),0))</f>
        <v>43</v>
      </c>
      <c r="C45" s="62">
        <f ca="1">SUM(IFERROR(VLOOKUP(A17, P_CPPS_RANGE, 2,FALSE),0),IFERROR(VLOOKUP(A18, P_CPPS_RANGE, 2,FALSE),0),IFERROR(VLOOKUP(A19, P_CPPS_RANGE, 2,FALSE),0))</f>
        <v>56</v>
      </c>
      <c r="D45" s="61" t="s">
        <v>142</v>
      </c>
      <c r="E45" s="61"/>
      <c r="F45" s="62"/>
      <c r="G45" s="61"/>
      <c r="H45" s="61"/>
      <c r="I45" s="61"/>
      <c r="J45" s="61"/>
      <c r="K45" s="63"/>
      <c r="L45" s="61"/>
      <c r="M45" s="61"/>
      <c r="N45" s="61"/>
      <c r="O45" s="61"/>
      <c r="P45" s="61"/>
      <c r="Q45" s="61"/>
      <c r="R45" s="61"/>
      <c r="S45" s="61"/>
      <c r="T45" s="61"/>
    </row>
    <row r="46" spans="1:20" hidden="1" x14ac:dyDescent="0.3">
      <c r="A46" s="61" t="s">
        <v>125</v>
      </c>
      <c r="B46" s="62">
        <f ca="1">SUM(IFERROR(VLOOKUP(A21, C_CPPS_RANGE, 2,FALSE),0),IFERROR(VLOOKUP(A22, C_CPPS_RANGE, 2,FALSE),0),IFERROR(VLOOKUP(A23, C_CPPS_RANGE, 2,FALSE),0))</f>
        <v>2947</v>
      </c>
      <c r="C46" s="62">
        <f ca="1">SUM(IFERROR(VLOOKUP(A21, P_CPPS_RANGE, 2,FALSE),0),IFERROR(VLOOKUP(A22, P_CPPS_RANGE, 2,FALSE),0),IFERROR(VLOOKUP(A23, P_CPPS_RANGE, 2,FALSE),0))</f>
        <v>2456</v>
      </c>
      <c r="D46" s="61" t="s">
        <v>143</v>
      </c>
      <c r="E46" s="61"/>
      <c r="F46" s="62"/>
      <c r="G46" s="61"/>
      <c r="H46" s="61"/>
      <c r="I46" s="61"/>
      <c r="J46" s="61"/>
      <c r="K46" s="63"/>
      <c r="L46" s="61"/>
      <c r="M46" s="61"/>
      <c r="N46" s="61"/>
      <c r="O46" s="61"/>
      <c r="P46" s="61"/>
      <c r="Q46" s="61"/>
      <c r="R46" s="61"/>
      <c r="S46" s="61"/>
      <c r="T46" s="61"/>
    </row>
    <row r="47" spans="1:20" hidden="1" x14ac:dyDescent="0.3">
      <c r="A47" s="61" t="s">
        <v>126</v>
      </c>
      <c r="B47" s="62">
        <f ca="1">SUM(IFERROR(VLOOKUP(A25, C_CPPS_RANGE, 2,FALSE),0),IFERROR(VLOOKUP(A26, C_CPPS_RANGE, 2,FALSE),0),IFERROR(VLOOKUP(A27, C_CPPS_RANGE, 2,FALSE),0))</f>
        <v>26</v>
      </c>
      <c r="C47" s="62">
        <f ca="1">SUM(IFERROR(VLOOKUP(A25, P_CPPS_RANGE, 2,FALSE),0),IFERROR(VLOOKUP(A26, P_CPPS_RANGE, 2,FALSE),0),IFERROR(VLOOKUP(A27, P_CPPS_RANGE, 2,FALSE),0))</f>
        <v>23</v>
      </c>
      <c r="D47" s="61" t="s">
        <v>144</v>
      </c>
      <c r="E47" s="61"/>
      <c r="F47" s="62"/>
      <c r="G47" s="61"/>
      <c r="H47" s="61"/>
      <c r="I47" s="61"/>
      <c r="J47" s="61"/>
      <c r="K47" s="63"/>
      <c r="L47" s="61"/>
      <c r="M47" s="61"/>
      <c r="N47" s="61"/>
      <c r="O47" s="61"/>
      <c r="P47" s="61"/>
      <c r="Q47" s="61"/>
      <c r="R47" s="61"/>
      <c r="S47" s="61"/>
      <c r="T47" s="61"/>
    </row>
    <row r="48" spans="1:20" hidden="1" x14ac:dyDescent="0.3">
      <c r="A48" s="61" t="s">
        <v>127</v>
      </c>
      <c r="B48" s="62">
        <f ca="1">SUM(IFERROR(VLOOKUP(A29, C_CPPS_RANGE, 2,FALSE),0),IFERROR(VLOOKUP(A30, C_CPPS_RANGE, 2,FALSE),0),IFERROR(VLOOKUP(A31, C_CPPS_RANGE, 2,FALSE),0))</f>
        <v>37</v>
      </c>
      <c r="C48" s="62">
        <f ca="1">SUM(IFERROR(VLOOKUP(A29, P_CPPS_RANGE, 2,FALSE),0),IFERROR(VLOOKUP(A30, P_CPPS_RANGE, 2,FALSE),0),IFERROR(VLOOKUP(A31, P_CPPS_RANGE, 2,FALSE),0))</f>
        <v>35</v>
      </c>
      <c r="D48" s="61" t="s">
        <v>145</v>
      </c>
      <c r="E48" s="61"/>
      <c r="F48" s="62"/>
      <c r="G48" s="61"/>
      <c r="H48" s="61"/>
      <c r="I48" s="61"/>
      <c r="J48" s="61"/>
      <c r="K48" s="63"/>
      <c r="L48" s="61"/>
      <c r="M48" s="61"/>
      <c r="N48" s="61"/>
      <c r="O48" s="61"/>
      <c r="P48" s="61"/>
      <c r="Q48" s="61"/>
      <c r="R48" s="61"/>
      <c r="S48" s="61"/>
      <c r="T48" s="61"/>
    </row>
    <row r="49" spans="1:20" hidden="1" x14ac:dyDescent="0.3">
      <c r="A49" s="61" t="s">
        <v>128</v>
      </c>
      <c r="B49" s="62">
        <f ca="1">SUM(IFERROR(VLOOKUP(A33, C_CPPS_RANGE, 2,FALSE),0),IFERROR(VLOOKUP(A34, C_CPPS_RANGE, 2,FALSE),0),IFERROR(VLOOKUP(A35, C_CPPS_RANGE, 2,FALSE),0))</f>
        <v>148</v>
      </c>
      <c r="C49" s="62">
        <f ca="1">SUM(IFERROR(VLOOKUP(A33, P_CPPS_RANGE, 2,FALSE),0),IFERROR(VLOOKUP(A34, P_CPPS_RANGE, 2,FALSE),0),IFERROR(VLOOKUP(A35, P_CPPS_RANGE, 2,FALSE),0))</f>
        <v>152</v>
      </c>
      <c r="D49" s="61" t="s">
        <v>146</v>
      </c>
      <c r="E49" s="61"/>
      <c r="F49" s="62"/>
      <c r="G49" s="61"/>
      <c r="H49" s="61"/>
      <c r="I49" s="61"/>
      <c r="J49" s="61"/>
      <c r="K49" s="63"/>
      <c r="L49" s="61"/>
      <c r="M49" s="61"/>
      <c r="N49" s="61"/>
      <c r="O49" s="61"/>
      <c r="P49" s="61"/>
      <c r="Q49" s="61"/>
      <c r="R49" s="61"/>
      <c r="S49" s="61"/>
      <c r="T49" s="61"/>
    </row>
    <row r="50" spans="1:20" hidden="1" x14ac:dyDescent="0.3">
      <c r="A50" s="61" t="s">
        <v>129</v>
      </c>
      <c r="B50" s="62">
        <f ca="1">SUM(IFERROR(VLOOKUP(A37, C_CPPS_RANGE, 2,FALSE),0),IFERROR(VLOOKUP(A38, C_CPPS_RANGE, 2,FALSE),0),IFERROR(VLOOKUP(A39, C_CPPS_RANGE, 2,FALSE),0))</f>
        <v>19</v>
      </c>
      <c r="C50" s="62">
        <f ca="1">SUM(IFERROR(VLOOKUP(A37, P_CPPS_RANGE, 2,FALSE),0),IFERROR(VLOOKUP(A38, P_CPPS_RANGE, 2,FALSE),0),IFERROR(VLOOKUP(A39, P_CPPS_RANGE, 2,FALSE),0))</f>
        <v>20</v>
      </c>
      <c r="D50" s="61" t="s">
        <v>147</v>
      </c>
      <c r="E50" s="61"/>
      <c r="F50" s="62"/>
      <c r="G50" s="61"/>
      <c r="H50" s="61"/>
      <c r="I50" s="61"/>
      <c r="J50" s="61"/>
      <c r="K50" s="63"/>
      <c r="L50" s="61"/>
      <c r="M50" s="61"/>
      <c r="N50" s="61"/>
      <c r="O50" s="61"/>
      <c r="P50" s="61"/>
      <c r="Q50" s="61"/>
      <c r="R50" s="61"/>
      <c r="S50" s="61"/>
      <c r="T50" s="61"/>
    </row>
    <row r="51" spans="1:20" hidden="1" x14ac:dyDescent="0.3">
      <c r="A51" s="61" t="s">
        <v>130</v>
      </c>
      <c r="B51" s="62">
        <f ca="1">SUM(IFERROR(VLOOKUP(A5, C_CPPS_RANGE, 3,FALSE),0),IFERROR(VLOOKUP(A6, C_CPPS_RANGE, 3,FALSE),0),IFERROR(VLOOKUP(A7, C_CPPS_RANGE, 3,FALSE),0))</f>
        <v>72</v>
      </c>
      <c r="C51" s="62">
        <f ca="1">SUM(IFERROR(VLOOKUP(A5, P_CPPS_RANGE, 3,FALSE),0),IFERROR(VLOOKUP(A6, P_CPPS_RANGE, 3,FALSE),0),IFERROR(VLOOKUP(A7, P_CPPS_RANGE, 3,FALSE),0))</f>
        <v>58</v>
      </c>
      <c r="D51" s="61" t="s">
        <v>148</v>
      </c>
      <c r="E51" s="61"/>
      <c r="F51" s="62"/>
      <c r="G51" s="61"/>
      <c r="H51" s="61"/>
      <c r="I51" s="61"/>
      <c r="J51" s="61"/>
      <c r="K51" s="63"/>
      <c r="L51" s="61"/>
      <c r="M51" s="61"/>
      <c r="N51" s="61"/>
      <c r="O51" s="61"/>
      <c r="P51" s="61"/>
      <c r="Q51" s="61"/>
      <c r="R51" s="61"/>
      <c r="S51" s="61"/>
      <c r="T51" s="61"/>
    </row>
    <row r="52" spans="1:20" hidden="1" x14ac:dyDescent="0.3">
      <c r="A52" s="61" t="s">
        <v>131</v>
      </c>
      <c r="B52" s="62">
        <f ca="1">SUM(IFERROR(VLOOKUP(A9, C_CPPS_RANGE, 3,FALSE),0),IFERROR(VLOOKUP(A10, C_CPPS_RANGE, 3,FALSE),0),IFERROR(VLOOKUP(A11, C_CPPS_RANGE, 3,FALSE),0))</f>
        <v>30</v>
      </c>
      <c r="C52" s="62">
        <f ca="1">SUM(IFERROR(VLOOKUP(A9, P_CPPS_RANGE, 3,FALSE),0),IFERROR(VLOOKUP(A10, P_CPPS_RANGE, 3,FALSE),0),IFERROR(VLOOKUP(A11, P_CPPS_RANGE, 3,FALSE),0))</f>
        <v>59</v>
      </c>
      <c r="D52" s="61" t="s">
        <v>149</v>
      </c>
      <c r="E52" s="61"/>
      <c r="F52" s="62"/>
      <c r="G52" s="61"/>
      <c r="H52" s="61"/>
      <c r="I52" s="61"/>
      <c r="J52" s="61"/>
      <c r="K52" s="63"/>
      <c r="L52" s="61"/>
      <c r="M52" s="61"/>
      <c r="N52" s="61"/>
      <c r="O52" s="61"/>
      <c r="P52" s="61"/>
      <c r="Q52" s="61"/>
      <c r="R52" s="61"/>
      <c r="S52" s="61"/>
      <c r="T52" s="61"/>
    </row>
    <row r="53" spans="1:20" hidden="1" x14ac:dyDescent="0.3">
      <c r="A53" s="61" t="s">
        <v>132</v>
      </c>
      <c r="B53" s="62">
        <f ca="1">SUM(IFERROR(VLOOKUP(A13, C_CPPS_RANGE, 3,FALSE),0),IFERROR(VLOOKUP(A14, C_CPPS_RANGE, 3,FALSE),0),IFERROR(VLOOKUP(A15, C_CPPS_RANGE, 3,FALSE),0))</f>
        <v>72</v>
      </c>
      <c r="C53" s="62">
        <f ca="1">SUM(IFERROR(VLOOKUP(A13, P_CPPS_RANGE, 3,FALSE),0),IFERROR(VLOOKUP(A14, P_CPPS_RANGE, 3,FALSE),0),IFERROR(VLOOKUP(A15, P_CPPS_RANGE, 3,FALSE),0))</f>
        <v>89</v>
      </c>
      <c r="D53" s="61" t="s">
        <v>150</v>
      </c>
      <c r="E53" s="61"/>
      <c r="F53" s="62"/>
      <c r="G53" s="61"/>
      <c r="H53" s="61"/>
      <c r="I53" s="61"/>
      <c r="J53" s="61"/>
      <c r="K53" s="63"/>
      <c r="L53" s="61"/>
      <c r="M53" s="61"/>
      <c r="N53" s="61"/>
      <c r="O53" s="61"/>
      <c r="P53" s="61"/>
      <c r="Q53" s="61"/>
      <c r="R53" s="61"/>
      <c r="S53" s="61"/>
      <c r="T53" s="61"/>
    </row>
    <row r="54" spans="1:20" hidden="1" x14ac:dyDescent="0.3">
      <c r="A54" s="61" t="s">
        <v>133</v>
      </c>
      <c r="B54" s="62">
        <f ca="1">SUM(IFERROR(VLOOKUP(A17, C_CPPS_RANGE, 3,FALSE),0),IFERROR(VLOOKUP(A18, C_CPPS_RANGE, 3,FALSE),0),IFERROR(VLOOKUP(A19, C_CPPS_RANGE, 3,FALSE),0))</f>
        <v>43</v>
      </c>
      <c r="C54" s="62">
        <f ca="1">SUM(IFERROR(VLOOKUP(A17, P_CPPS_RANGE, 3,FALSE),0),IFERROR(VLOOKUP(A18, P_CPPS_RANGE, 3,FALSE),0),IFERROR(VLOOKUP(A19, P_CPPS_RANGE, 3,FALSE),0))</f>
        <v>56</v>
      </c>
      <c r="D54" s="61" t="s">
        <v>151</v>
      </c>
      <c r="E54" s="61"/>
      <c r="F54" s="62"/>
      <c r="G54" s="61"/>
      <c r="H54" s="61"/>
      <c r="I54" s="61"/>
      <c r="J54" s="61"/>
      <c r="K54" s="63"/>
      <c r="L54" s="61"/>
      <c r="M54" s="61"/>
      <c r="N54" s="61"/>
      <c r="O54" s="61"/>
      <c r="P54" s="61"/>
      <c r="Q54" s="61"/>
      <c r="R54" s="61"/>
      <c r="S54" s="61"/>
      <c r="T54" s="61"/>
    </row>
    <row r="55" spans="1:20" hidden="1" x14ac:dyDescent="0.3">
      <c r="A55" s="61" t="s">
        <v>134</v>
      </c>
      <c r="B55" s="62">
        <f ca="1">SUM(IFERROR(VLOOKUP(A21, C_CPPS_RANGE, 3,FALSE),0),IFERROR(VLOOKUP(A22, C_CPPS_RANGE, 3,FALSE),0),IFERROR(VLOOKUP(A23, C_CPPS_RANGE, 3,FALSE),0))</f>
        <v>82</v>
      </c>
      <c r="C55" s="62">
        <f ca="1">SUM(IFERROR(VLOOKUP(A21, P_CPPS_RANGE, 3,FALSE),0),IFERROR(VLOOKUP(A22, P_CPPS_RANGE, 3,FALSE),0),IFERROR(VLOOKUP(A23, P_CPPS_RANGE, 3,FALSE),0))</f>
        <v>71</v>
      </c>
      <c r="D55" s="61" t="s">
        <v>152</v>
      </c>
      <c r="E55" s="61"/>
      <c r="F55" s="62"/>
      <c r="G55" s="61"/>
      <c r="H55" s="61"/>
      <c r="I55" s="61"/>
      <c r="J55" s="61"/>
      <c r="K55" s="63"/>
      <c r="L55" s="61"/>
      <c r="M55" s="61"/>
      <c r="N55" s="61"/>
      <c r="O55" s="61"/>
      <c r="P55" s="61"/>
      <c r="Q55" s="61"/>
      <c r="R55" s="61"/>
      <c r="S55" s="61"/>
      <c r="T55" s="61"/>
    </row>
    <row r="56" spans="1:20" hidden="1" x14ac:dyDescent="0.3">
      <c r="A56" s="61" t="s">
        <v>135</v>
      </c>
      <c r="B56" s="62">
        <f ca="1">SUM(IFERROR(VLOOKUP(A25, C_CPPS_RANGE, 3,FALSE),0),IFERROR(VLOOKUP(A26, C_CPPS_RANGE, 3,FALSE),0),IFERROR(VLOOKUP(A27, C_CPPS_RANGE, 3,FALSE),0))</f>
        <v>23</v>
      </c>
      <c r="C56" s="62">
        <f ca="1">SUM(IFERROR(VLOOKUP(A25, P_CPPS_RANGE, 3,FALSE),0),IFERROR(VLOOKUP(A26, P_CPPS_RANGE, 3,FALSE),0),IFERROR(VLOOKUP(A27, P_CPPS_RANGE, 3,FALSE),0))</f>
        <v>22</v>
      </c>
      <c r="D56" s="61" t="s">
        <v>153</v>
      </c>
      <c r="E56" s="61"/>
      <c r="F56" s="62"/>
      <c r="G56" s="61"/>
      <c r="H56" s="61"/>
      <c r="I56" s="61"/>
      <c r="J56" s="61"/>
      <c r="K56" s="63"/>
      <c r="L56" s="61"/>
      <c r="M56" s="61"/>
      <c r="N56" s="61"/>
      <c r="O56" s="61"/>
      <c r="P56" s="61"/>
      <c r="Q56" s="61"/>
      <c r="R56" s="61"/>
      <c r="S56" s="61"/>
      <c r="T56" s="61"/>
    </row>
    <row r="57" spans="1:20" hidden="1" x14ac:dyDescent="0.3">
      <c r="A57" s="61" t="s">
        <v>136</v>
      </c>
      <c r="B57" s="62">
        <f ca="1">SUM(IFERROR(VLOOKUP(A29, C_CPPS_RANGE, 3,FALSE),0),IFERROR(VLOOKUP(A30, C_CPPS_RANGE, 3,FALSE),0),IFERROR(VLOOKUP(A31, C_CPPS_RANGE, 3,FALSE),0))</f>
        <v>36</v>
      </c>
      <c r="C57" s="62">
        <f ca="1">SUM(IFERROR(VLOOKUP(A29, P_CPPS_RANGE, 3,FALSE),0),IFERROR(VLOOKUP(A30, P_CPPS_RANGE, 3,FALSE),0),IFERROR(VLOOKUP(A31, P_CPPS_RANGE, 3,FALSE),0))</f>
        <v>35</v>
      </c>
      <c r="D57" s="61" t="s">
        <v>154</v>
      </c>
      <c r="E57" s="61"/>
      <c r="F57" s="62"/>
      <c r="G57" s="61"/>
      <c r="H57" s="61"/>
      <c r="I57" s="61"/>
      <c r="J57" s="61"/>
      <c r="K57" s="63"/>
      <c r="L57" s="61"/>
      <c r="M57" s="61"/>
      <c r="N57" s="61"/>
      <c r="O57" s="61"/>
      <c r="P57" s="61"/>
      <c r="Q57" s="61"/>
      <c r="R57" s="61"/>
      <c r="S57" s="61"/>
      <c r="T57" s="61"/>
    </row>
    <row r="58" spans="1:20" hidden="1" x14ac:dyDescent="0.3">
      <c r="A58" s="61" t="s">
        <v>137</v>
      </c>
      <c r="B58" s="62">
        <f ca="1">SUM(IFERROR(VLOOKUP(A33, C_CPPS_RANGE, 3,FALSE),0),IFERROR(VLOOKUP(A34, C_CPPS_RANGE, 3,FALSE),0),IFERROR(VLOOKUP(A35, C_CPPS_RANGE, 3,FALSE),0))</f>
        <v>148</v>
      </c>
      <c r="C58" s="62">
        <f ca="1">SUM(IFERROR(VLOOKUP(A33, P_CPPS_RANGE, 3,FALSE),0),IFERROR(VLOOKUP(A34, P_CPPS_RANGE, 3,FALSE),0),IFERROR(VLOOKUP(A35, P_CPPS_RANGE, 3,FALSE),0))</f>
        <v>152</v>
      </c>
      <c r="D58" s="61" t="s">
        <v>155</v>
      </c>
      <c r="E58" s="61"/>
      <c r="F58" s="62"/>
      <c r="G58" s="61"/>
      <c r="H58" s="61"/>
      <c r="I58" s="61"/>
      <c r="J58" s="61"/>
      <c r="K58" s="63"/>
      <c r="L58" s="61"/>
      <c r="M58" s="61"/>
      <c r="N58" s="61"/>
      <c r="O58" s="61"/>
      <c r="P58" s="61"/>
      <c r="Q58" s="61"/>
      <c r="R58" s="61"/>
      <c r="S58" s="61"/>
      <c r="T58" s="61"/>
    </row>
    <row r="59" spans="1:20" hidden="1" x14ac:dyDescent="0.3">
      <c r="A59" s="61" t="s">
        <v>138</v>
      </c>
      <c r="B59" s="62">
        <f ca="1">SUM(IFERROR(VLOOKUP(A37, C_CPPS_RANGE, 3,FALSE),0),IFERROR(VLOOKUP(A38, C_CPPS_RANGE, 3,FALSE),0),IFERROR(VLOOKUP(A39, C_CPPS_RANGE, 3,FALSE),0))</f>
        <v>16</v>
      </c>
      <c r="C59" s="62">
        <f ca="1">SUM(IFERROR(VLOOKUP(A37, P_CPPS_RANGE, 3,FALSE),0),IFERROR(VLOOKUP(A38, P_CPPS_RANGE, 3,FALSE),0),IFERROR(VLOOKUP(A39, P_CPPS_RANGE, 3,FALSE),0))</f>
        <v>19</v>
      </c>
      <c r="D59" s="61" t="s">
        <v>156</v>
      </c>
      <c r="E59" s="61"/>
      <c r="F59" s="62"/>
      <c r="G59" s="61"/>
      <c r="H59" s="61"/>
      <c r="I59" s="61"/>
      <c r="J59" s="61"/>
      <c r="K59" s="63"/>
      <c r="L59" s="61"/>
      <c r="M59" s="61"/>
      <c r="N59" s="61"/>
      <c r="O59" s="61"/>
      <c r="P59" s="61"/>
      <c r="Q59" s="61"/>
      <c r="R59" s="61"/>
      <c r="S59" s="61"/>
      <c r="T59" s="61"/>
    </row>
    <row r="60" spans="1:20" hidden="1" x14ac:dyDescent="0.3">
      <c r="A60" s="61"/>
      <c r="B60" s="61"/>
      <c r="C60" s="61"/>
      <c r="D60" s="61"/>
      <c r="E60" s="61"/>
      <c r="F60" s="62"/>
      <c r="G60" s="61"/>
      <c r="H60" s="61"/>
      <c r="I60" s="61"/>
      <c r="J60" s="61"/>
      <c r="K60" s="63"/>
      <c r="L60" s="61"/>
      <c r="M60" s="61"/>
      <c r="N60" s="61"/>
      <c r="O60" s="61"/>
      <c r="P60" s="61"/>
      <c r="Q60" s="61"/>
      <c r="R60" s="61"/>
      <c r="S60" s="61"/>
      <c r="T60" s="61"/>
    </row>
    <row r="61" spans="1:20" hidden="1" x14ac:dyDescent="0.3">
      <c r="A61" s="61"/>
      <c r="B61" s="61"/>
      <c r="C61" s="61"/>
      <c r="D61" s="61"/>
      <c r="E61" s="61"/>
      <c r="F61" s="62"/>
      <c r="G61" s="61"/>
      <c r="H61" s="61"/>
      <c r="I61" s="61"/>
      <c r="J61" s="61"/>
      <c r="K61" s="63"/>
      <c r="L61" s="61"/>
      <c r="M61" s="61"/>
      <c r="N61" s="61"/>
      <c r="O61" s="61"/>
      <c r="P61" s="61"/>
      <c r="Q61" s="61"/>
      <c r="R61" s="61"/>
      <c r="S61" s="61"/>
      <c r="T61" s="61"/>
    </row>
    <row r="62" spans="1:20" hidden="1" x14ac:dyDescent="0.3">
      <c r="A62" s="66"/>
      <c r="B62" s="61"/>
      <c r="C62" s="61"/>
      <c r="D62" s="61"/>
      <c r="E62" s="61"/>
      <c r="F62" s="62"/>
      <c r="G62" s="61"/>
      <c r="H62" s="61"/>
      <c r="I62" s="61"/>
      <c r="J62" s="61"/>
      <c r="K62" s="63"/>
      <c r="L62" s="61"/>
      <c r="M62" s="61"/>
      <c r="N62" s="61"/>
      <c r="O62" s="61"/>
      <c r="P62" s="61"/>
      <c r="Q62" s="61"/>
      <c r="R62" s="61"/>
      <c r="S62" s="61"/>
      <c r="T62" s="61"/>
    </row>
    <row r="63" spans="1:20" hidden="1" x14ac:dyDescent="0.3">
      <c r="A63" s="61"/>
      <c r="B63" s="61"/>
      <c r="C63" s="61"/>
      <c r="D63" s="61"/>
      <c r="E63" s="61"/>
      <c r="F63" s="62"/>
      <c r="G63" s="61"/>
      <c r="H63" s="61"/>
      <c r="I63" s="61"/>
      <c r="J63" s="61"/>
      <c r="K63" s="63"/>
      <c r="L63" s="61"/>
      <c r="M63" s="61"/>
      <c r="N63" s="61"/>
      <c r="O63" s="61"/>
      <c r="P63" s="61"/>
      <c r="Q63" s="61"/>
      <c r="R63" s="61"/>
      <c r="S63" s="61"/>
      <c r="T63" s="61"/>
    </row>
    <row r="64" spans="1:20" x14ac:dyDescent="0.3">
      <c r="A64" s="61"/>
      <c r="B64" s="61"/>
      <c r="C64" s="61"/>
      <c r="D64" s="61"/>
      <c r="E64" s="61"/>
      <c r="F64" s="62"/>
      <c r="G64" s="61"/>
      <c r="H64" s="61"/>
      <c r="I64" s="61"/>
      <c r="J64" s="61"/>
      <c r="K64" s="63"/>
      <c r="L64" s="61"/>
      <c r="M64" s="61"/>
      <c r="N64" s="61"/>
      <c r="O64" s="61"/>
      <c r="P64" s="61"/>
      <c r="Q64" s="61"/>
      <c r="R64" s="61"/>
      <c r="S64" s="61"/>
      <c r="T64" s="61"/>
    </row>
    <row r="65" spans="1:20" x14ac:dyDescent="0.3">
      <c r="A65" s="142" t="str">
        <f ca="1">CONCATENATE(B5, " generated ", TEXT(D7,"#,##0.00%"), " of total revenue [", TEXT(F7,"+#,##0.00%;-#,##0.00%; - "), " to prev.]")</f>
        <v>Unlimited Cruise Package generated 24.30% of total revenue [+5.41% to prev.]</v>
      </c>
      <c r="B65" s="142"/>
      <c r="C65" s="142"/>
      <c r="D65" s="142"/>
      <c r="E65" s="142"/>
      <c r="F65" s="142"/>
      <c r="G65" s="142"/>
      <c r="H65" s="142"/>
      <c r="I65" s="142"/>
      <c r="J65" s="142"/>
      <c r="K65" s="142"/>
      <c r="L65" s="142"/>
      <c r="M65" s="142"/>
      <c r="N65" s="142"/>
      <c r="O65" s="67"/>
      <c r="P65" s="61"/>
      <c r="Q65" s="61"/>
      <c r="R65" s="61"/>
      <c r="S65" s="61"/>
      <c r="T65" s="61"/>
    </row>
    <row r="66" spans="1:20" x14ac:dyDescent="0.3">
      <c r="A66" s="142" t="str">
        <f ca="1">CONCATENATE(B9, " generated ", TEXT(D11,"#,##0.00%"), " of total revenue [", TEXT(F11,"+#,##0.00%;-#,##0.00%; - "), " to prev.]")</f>
        <v>Unlimited Premium Cruise Package generated 14.88% of total revenue [-9.00% to prev.]</v>
      </c>
      <c r="B66" s="142"/>
      <c r="C66" s="142"/>
      <c r="D66" s="142"/>
      <c r="E66" s="142"/>
      <c r="F66" s="142"/>
      <c r="G66" s="142"/>
      <c r="H66" s="142"/>
      <c r="I66" s="142"/>
      <c r="J66" s="142"/>
      <c r="K66" s="142"/>
      <c r="L66" s="142"/>
      <c r="M66" s="142"/>
      <c r="N66" s="142"/>
      <c r="O66" s="67"/>
      <c r="P66" s="61"/>
      <c r="Q66" s="61"/>
      <c r="R66" s="61"/>
      <c r="S66" s="61"/>
      <c r="T66" s="61"/>
    </row>
    <row r="67" spans="1:20" x14ac:dyDescent="0.3">
      <c r="A67" s="142" t="str">
        <f ca="1">CONCATENATE(B13, " generated ", TEXT(D15,"#,##0.00%"), " of total revenue [", TEXT(F15,"+#,##0.00%;-#,##0.00%; - "), " to prev.]")</f>
        <v>Unlimited Social Media generated 15.96% of total revenue [-1.89% to prev.]</v>
      </c>
      <c r="B67" s="142"/>
      <c r="C67" s="142"/>
      <c r="D67" s="142"/>
      <c r="E67" s="142"/>
      <c r="F67" s="142"/>
      <c r="G67" s="142"/>
      <c r="H67" s="142"/>
      <c r="I67" s="142"/>
      <c r="J67" s="142"/>
      <c r="K67" s="142"/>
      <c r="L67" s="142"/>
      <c r="M67" s="142"/>
      <c r="N67" s="142"/>
      <c r="O67" s="67"/>
      <c r="P67" s="61"/>
      <c r="Q67" s="61"/>
      <c r="R67" s="61"/>
      <c r="S67" s="61"/>
      <c r="T67" s="61"/>
    </row>
    <row r="68" spans="1:20" x14ac:dyDescent="0.3">
      <c r="A68" s="142" t="str">
        <f ca="1">CONCATENATE(B17, " generated ", TEXT(D19,"#,##0.00%"), " of total revenue [", TEXT(F19,"+#,##0.00%;-#,##0.00%; - "), " to prev.]")</f>
        <v>Unlimited Packages generated 55.14% of total revenue [-5.48% to prev.]</v>
      </c>
      <c r="B68" s="142"/>
      <c r="C68" s="142"/>
      <c r="D68" s="142"/>
      <c r="E68" s="142"/>
      <c r="F68" s="142"/>
      <c r="G68" s="142"/>
      <c r="H68" s="142"/>
      <c r="I68" s="142"/>
      <c r="J68" s="142"/>
      <c r="K68" s="142"/>
      <c r="L68" s="142"/>
      <c r="M68" s="142"/>
      <c r="N68" s="142"/>
      <c r="O68" s="67"/>
      <c r="P68" s="61"/>
      <c r="Q68" s="61"/>
      <c r="R68" s="61"/>
      <c r="S68" s="61"/>
      <c r="T68" s="61"/>
    </row>
    <row r="69" spans="1:20" x14ac:dyDescent="0.3">
      <c r="A69" s="142" t="str">
        <f ca="1">CONCATENATE(B21, " generated ", TEXT(D23,"#,##0.00%"), " of total revenue [", TEXT(F23,"+#,##0.00%;-#,##0.00%; - "), " to prev.]")</f>
        <v>PAYG generated 6.88% of total revenue [+1.66% to prev.]</v>
      </c>
      <c r="B69" s="142"/>
      <c r="C69" s="142"/>
      <c r="D69" s="142"/>
      <c r="E69" s="142"/>
      <c r="F69" s="142"/>
      <c r="G69" s="142"/>
      <c r="H69" s="142"/>
      <c r="I69" s="142"/>
      <c r="J69" s="142"/>
      <c r="K69" s="142"/>
      <c r="L69" s="142"/>
      <c r="M69" s="142"/>
      <c r="N69" s="142"/>
      <c r="O69" s="67"/>
      <c r="P69" s="61"/>
      <c r="Q69" s="61"/>
      <c r="R69" s="61"/>
      <c r="S69" s="61"/>
      <c r="T69" s="61"/>
    </row>
    <row r="70" spans="1:20" x14ac:dyDescent="0.3">
      <c r="A70" s="142" t="str">
        <f ca="1">CONCATENATE(B25, " generated ", TEXT(D27,"#,##0.00%"), " of total revenue [", TEXT(F27,"+#,##0.00%;-#,##0.00%; - "), " to prev.]")</f>
        <v>Time Plan 100 generated 4.45% of total revenue [+0.78% to prev.]</v>
      </c>
      <c r="B70" s="142"/>
      <c r="C70" s="142"/>
      <c r="D70" s="142"/>
      <c r="E70" s="142"/>
      <c r="F70" s="142"/>
      <c r="G70" s="142"/>
      <c r="H70" s="142"/>
      <c r="I70" s="142"/>
      <c r="J70" s="142"/>
      <c r="K70" s="142"/>
      <c r="L70" s="142"/>
      <c r="M70" s="142"/>
      <c r="N70" s="142"/>
      <c r="O70" s="67"/>
      <c r="P70" s="61"/>
      <c r="Q70" s="61"/>
      <c r="R70" s="61"/>
      <c r="S70" s="61"/>
      <c r="T70" s="61"/>
    </row>
    <row r="71" spans="1:20" x14ac:dyDescent="0.3">
      <c r="A71" s="142" t="str">
        <f ca="1">CONCATENATE(B29, " generated ", TEXT(D31,"#,##0.00%"), " of total revenue [", TEXT(F31,"+#,##0.00%;-#,##0.00%; - "), " to prev.]")</f>
        <v>Time Plan 250 generated 10.18% of total revenue [+1.39% to prev.]</v>
      </c>
      <c r="B71" s="142"/>
      <c r="C71" s="142"/>
      <c r="D71" s="142"/>
      <c r="E71" s="142"/>
      <c r="F71" s="142"/>
      <c r="G71" s="142"/>
      <c r="H71" s="142"/>
      <c r="I71" s="142"/>
      <c r="J71" s="142"/>
      <c r="K71" s="142"/>
      <c r="L71" s="142"/>
      <c r="M71" s="142"/>
      <c r="N71" s="142"/>
      <c r="O71" s="67"/>
      <c r="P71" s="61"/>
      <c r="Q71" s="61"/>
      <c r="R71" s="61"/>
      <c r="S71" s="61"/>
      <c r="T71" s="61"/>
    </row>
    <row r="72" spans="1:20" x14ac:dyDescent="0.3">
      <c r="A72" s="142" t="str">
        <f ca="1">CONCATENATE(B33, " generated ", TEXT(D35,"#,##0.00%"), " of total revenue [", TEXT(F35,"+#,##0.00%;-#,##0.00%; - "), " to prev.]")</f>
        <v>Distinctive Voyage (CHI250) generated 20.99% of total revenue [+1.43% to prev.]</v>
      </c>
      <c r="B72" s="142"/>
      <c r="C72" s="142"/>
      <c r="D72" s="142"/>
      <c r="E72" s="142"/>
      <c r="F72" s="142"/>
      <c r="G72" s="142"/>
      <c r="H72" s="142"/>
      <c r="I72" s="142"/>
      <c r="J72" s="142"/>
      <c r="K72" s="142"/>
      <c r="L72" s="142"/>
      <c r="M72" s="142"/>
      <c r="N72" s="142"/>
      <c r="O72" s="67"/>
      <c r="P72" s="61"/>
      <c r="Q72" s="61"/>
      <c r="R72" s="61"/>
      <c r="S72" s="61"/>
      <c r="T72" s="61"/>
    </row>
    <row r="73" spans="1:20" x14ac:dyDescent="0.3">
      <c r="A73" s="69"/>
      <c r="B73" s="69"/>
      <c r="C73" s="69"/>
      <c r="D73" s="69"/>
      <c r="E73" s="69"/>
      <c r="F73" s="69"/>
      <c r="G73" s="69"/>
      <c r="H73" s="69"/>
      <c r="I73" s="69"/>
      <c r="J73" s="69"/>
      <c r="K73" s="69"/>
      <c r="L73" s="69"/>
      <c r="M73" s="69"/>
      <c r="N73" s="69"/>
      <c r="O73" s="67"/>
      <c r="P73" s="61"/>
      <c r="Q73" s="61"/>
      <c r="R73" s="61"/>
      <c r="S73" s="61"/>
      <c r="T73" s="61"/>
    </row>
    <row r="74" spans="1:20" x14ac:dyDescent="0.3">
      <c r="A74" s="69"/>
      <c r="B74" s="69"/>
      <c r="C74" s="69"/>
      <c r="D74" s="69"/>
      <c r="E74" s="69"/>
      <c r="F74" s="69"/>
      <c r="G74" s="69"/>
      <c r="H74" s="69"/>
      <c r="I74" s="69"/>
      <c r="J74" s="69"/>
      <c r="K74" s="69"/>
      <c r="L74" s="69"/>
      <c r="M74" s="69"/>
      <c r="N74" s="69"/>
      <c r="O74" s="67"/>
      <c r="P74" s="61"/>
      <c r="Q74" s="61"/>
      <c r="R74" s="61"/>
      <c r="S74" s="61"/>
      <c r="T74" s="61"/>
    </row>
    <row r="75" spans="1:20" x14ac:dyDescent="0.3">
      <c r="A75" s="142" t="str">
        <f ca="1">CONCATENATE(B5, " - ", "up to 31 years (", TEXT(N6+O6,"#,##0.00%"), ") [", TEXT(N7+O7,"+#,##0.00%;-#,##0.00%; - "), " to prev.], age 32-51 (", TEXT(P6+Q6,"#,##0.00%"), ") [", TEXT(P7+Q7,"+#,##0.00%;-#,##0.00%; - "),"to prev.]", ", age 52-71 (", TEXT(R6+S6,"#,##0.00%"), ") [", TEXT(R7+S7,"+#,##0.00%;-#,##0.00%; - "),"to prev.]", ", age 72+ (", TEXT(T6,"#,##0.00%"), ") [", TEXT(T7,"+#,##0.00%;-#,##0.00%; - "),"to prev.]")</f>
        <v>Unlimited Cruise Package - up to 31 years (18.06%) [-6.08% to prev.], age 32-51 (37.50%) [+4.74%to prev.], age 52-71 (40.28%) [+5.80%to prev.], age 72+ (4.17%) [-4.45%to prev.]</v>
      </c>
      <c r="B75" s="142"/>
      <c r="C75" s="142"/>
      <c r="D75" s="142"/>
      <c r="E75" s="142"/>
      <c r="F75" s="142"/>
      <c r="G75" s="142"/>
      <c r="H75" s="142"/>
      <c r="I75" s="142"/>
      <c r="J75" s="142"/>
      <c r="K75" s="142"/>
      <c r="L75" s="142"/>
      <c r="M75" s="142"/>
      <c r="N75" s="142"/>
      <c r="O75" s="67"/>
      <c r="P75" s="61"/>
      <c r="Q75" s="61"/>
      <c r="R75" s="61"/>
      <c r="S75" s="61"/>
      <c r="T75" s="61"/>
    </row>
    <row r="76" spans="1:20" x14ac:dyDescent="0.3">
      <c r="A76" s="142" t="str">
        <f ca="1">CONCATENATE(B9, " - ", "up to 31 years (", TEXT(N10+O10,"#,##0.00%"), ") [", TEXT(N11+O11,"+#,##0.00%;-#,##0.00%; - "), " to prev.], age 32-51 (", TEXT(P10+Q10,"#,##0.00%"), ") [", TEXT(P11+Q11,"+#,##0.00%;-#,##0.00%; - "),"to prev.]", ", age 52-71 (", TEXT(R10+S10,"#,##0.00%"), ") [", TEXT(R11+S11,"+#,##0.00%;-#,##0.00%; - "),"to prev.]", ", age 72+ (", TEXT(T10,"#,##0.00%"), ") [", TEXT(T11,"+#,##0.00%;-#,##0.00%; - "),"to prev.]")</f>
        <v>Unlimited Premium Cruise Package - up to 31 years (33.33%) [+12.99% to prev.], age 32-51 (50.00%) [-9.32%to prev.], age 52-71 (16.67%) [-0.28%to prev.], age 72+ (0.00%) [-3.39%to prev.]</v>
      </c>
      <c r="B76" s="142"/>
      <c r="C76" s="142"/>
      <c r="D76" s="142"/>
      <c r="E76" s="142"/>
      <c r="F76" s="142"/>
      <c r="G76" s="142"/>
      <c r="H76" s="142"/>
      <c r="I76" s="142"/>
      <c r="J76" s="142"/>
      <c r="K76" s="142"/>
      <c r="L76" s="142"/>
      <c r="M76" s="142"/>
      <c r="N76" s="142"/>
      <c r="O76" s="67"/>
      <c r="P76" s="61"/>
      <c r="Q76" s="61"/>
      <c r="R76" s="61"/>
      <c r="S76" s="61"/>
      <c r="T76" s="61"/>
    </row>
    <row r="77" spans="1:20" x14ac:dyDescent="0.3">
      <c r="A77" s="142" t="str">
        <f ca="1">CONCATENATE(B13, " - ", "up to 31 years (", TEXT(N14+O14,"#,##0.00%"), ") [", TEXT(N15+O15,"+#,##0.00%;-#,##0.00%; - "), " to prev.], age 32-51 (", TEXT(P14+Q14,"#,##0.00%"), ") [", TEXT(P15+Q15,"+#,##0.00%;-#,##0.00%; - "),"to prev.]", ", age 52-71 (", TEXT(R14+S14,"#,##0.00%"), ") [", TEXT(R15+S15,"+#,##0.00%;-#,##0.00%; - "),"to prev.]", ", age 72+ (", TEXT(T14,"#,##0.00%"), ") [", TEXT(T15,"+#,##0.00%;-#,##0.00%; - "),"to prev.]")</f>
        <v>Unlimited Social Media - up to 31 years (62.50%) [-2.67% to prev.], age 32-51 (22.22%) [-2.50%to prev.], age 52-71 (13.89%) [+6.02%to prev.], age 72+ (1.39%) [-0.86%to prev.]</v>
      </c>
      <c r="B77" s="142"/>
      <c r="C77" s="142"/>
      <c r="D77" s="142"/>
      <c r="E77" s="142"/>
      <c r="F77" s="142"/>
      <c r="G77" s="142"/>
      <c r="H77" s="142"/>
      <c r="I77" s="142"/>
      <c r="J77" s="142"/>
      <c r="K77" s="142"/>
      <c r="L77" s="142"/>
      <c r="M77" s="142"/>
      <c r="N77" s="142"/>
      <c r="O77" s="67"/>
      <c r="P77" s="61"/>
      <c r="Q77" s="61"/>
      <c r="R77" s="61"/>
      <c r="S77" s="61"/>
      <c r="T77" s="61"/>
    </row>
    <row r="78" spans="1:20" x14ac:dyDescent="0.3">
      <c r="A78" s="142" t="str">
        <f ca="1">CONCATENATE(B17, " - ", "up to 31 years (", TEXT(N18+O18,"#,##0.00%"), ") [", TEXT(N19+O19,"+#,##0.00%;-#,##0.00%; - "), " to prev.], age 32-51 (", TEXT(P18+Q18,"#,##0.00%"), ") [", TEXT(P19+Q19,"+#,##0.00%;-#,##0.00%; - "),"to prev.]", ", age 52-71 (", TEXT(R18+S18,"#,##0.00%"), ") [", TEXT(R19+S19,"+#,##0.00%;-#,##0.00%; - "),"to prev.]", ", age 72+ (", TEXT(T18,"#,##0.00%"), ") [", TEXT(T19,"+#,##0.00%;-#,##0.00%; - "),"to prev.]")</f>
        <v>Unlimited Packages - up to 31 years (55.81%) [-17.40% to prev.], age 32-51 (25.58%) [+9.51%to prev.], age 52-71 (16.28%) [+7.35%to prev.], age 72+ (2.33%) [+0.54%to prev.]</v>
      </c>
      <c r="B78" s="142"/>
      <c r="C78" s="142"/>
      <c r="D78" s="142"/>
      <c r="E78" s="142"/>
      <c r="F78" s="142"/>
      <c r="G78" s="142"/>
      <c r="H78" s="142"/>
      <c r="I78" s="142"/>
      <c r="J78" s="142"/>
      <c r="K78" s="142"/>
      <c r="L78" s="142"/>
      <c r="M78" s="142"/>
      <c r="N78" s="142"/>
      <c r="O78" s="67"/>
      <c r="P78" s="61"/>
      <c r="Q78" s="61"/>
      <c r="R78" s="61"/>
      <c r="S78" s="61"/>
      <c r="T78" s="61"/>
    </row>
    <row r="79" spans="1:20" x14ac:dyDescent="0.3">
      <c r="A79" s="142" t="str">
        <f ca="1">CONCATENATE(B21, " - ", "up to 31 years (", TEXT(N22+O22,"#,##0.00%"), ") [", TEXT(N23+O23,"+#,##0.00%;-#,##0.00%; - "), " to prev.], age 32-51 (", TEXT(P22+Q22,"#,##0.00%"), ") [", TEXT(P23+Q23,"+#,##0.00%;-#,##0.00%; - "),"to prev.]", ", age 52-71 (", TEXT(R22+S22,"#,##0.00%"), ") [", TEXT(R23+S23,"+#,##0.00%;-#,##0.00%; - "),"to prev.]", ", age 72+ (", TEXT(T22,"#,##0.00%"), ") [", TEXT(T23,"+#,##0.00%;-#,##0.00%; - "),"to prev.]")</f>
        <v>PAYG - up to 31 years (30.49%) [-8.95% to prev.], age 32-51 (41.46%) [+7.66%to prev.], age 52-71 (28.05%) [+5.51%to prev.], age 72+ (0.00%) [-4.23%to prev.]</v>
      </c>
      <c r="B79" s="142"/>
      <c r="C79" s="142"/>
      <c r="D79" s="142"/>
      <c r="E79" s="142"/>
      <c r="F79" s="142"/>
      <c r="G79" s="142"/>
      <c r="H79" s="142"/>
      <c r="I79" s="142"/>
      <c r="J79" s="142"/>
      <c r="K79" s="142"/>
      <c r="L79" s="142"/>
      <c r="M79" s="142"/>
      <c r="N79" s="142"/>
      <c r="O79" s="67"/>
      <c r="P79" s="61"/>
      <c r="Q79" s="61"/>
      <c r="R79" s="61"/>
      <c r="S79" s="61"/>
      <c r="T79" s="61"/>
    </row>
    <row r="80" spans="1:20" x14ac:dyDescent="0.3">
      <c r="A80" s="142" t="str">
        <f ca="1">CONCATENATE(B25, " - ", "up to 31 years (", TEXT(N26+O26,"#,##0.00%"), ") [", TEXT(N27+O27,"+#,##0.00%;-#,##0.00%; - "), " to prev.], age 32-51 (", TEXT(P26+Q26,"#,##0.00%"), ") [", TEXT(P27+Q27,"+#,##0.00%;-#,##0.00%; - "),"to prev.]", ", age 52-71 (", TEXT(R26+S26,"#,##0.00%"), ") [", TEXT(R27+S27,"+#,##0.00%;-#,##0.00%; - "),"to prev.]", ", age 72+ (", TEXT(T26,"#,##0.00%"), ") [", TEXT(T27,"+#,##0.00%;-#,##0.00%; - "),"to prev.]")</f>
        <v>Time Plan 100 - up to 31 years (21.74%) [+12.65% to prev.], age 32-51 (43.48%) [+7.11%to prev.], age 52-71 (30.43%) [-19.57%to prev.], age 72+ (4.35%) [-0.20%to prev.]</v>
      </c>
      <c r="B80" s="142"/>
      <c r="C80" s="142"/>
      <c r="D80" s="142"/>
      <c r="E80" s="142"/>
      <c r="F80" s="142"/>
      <c r="G80" s="142"/>
      <c r="H80" s="142"/>
      <c r="I80" s="142"/>
      <c r="J80" s="142"/>
      <c r="K80" s="142"/>
      <c r="L80" s="142"/>
      <c r="M80" s="142"/>
      <c r="N80" s="142"/>
      <c r="O80" s="67"/>
      <c r="P80" s="61"/>
      <c r="Q80" s="61"/>
      <c r="R80" s="61"/>
      <c r="S80" s="61"/>
      <c r="T80" s="61"/>
    </row>
    <row r="81" spans="1:21" x14ac:dyDescent="0.3">
      <c r="A81" s="161" t="str">
        <f ca="1">CONCATENATE(B29, " - ", "up to 31 years (", TEXT(N30+O30,"#,##0.00%"), ") [", TEXT(N31+O31,"+#,##0.00%;-#,##0.00%; - "), " to prev.], age 32-51 (", TEXT(P30+Q30,"#,##0.00%"), ") [", TEXT(P31+Q31,"+#,##0.00%;-#,##0.00%; - "),"to prev.]", ", age 52-71 (", TEXT(R30+S30,"#,##0.00%"), ") [", TEXT(R31+S31,"+#,##0.00%;-#,##0.00%; - "),"to prev.]", ", age 72+ (", TEXT(T30,"#,##0.00%"), ") [", TEXT(T31,"+#,##0.00%;-#,##0.00%; - "),"to prev.]")</f>
        <v>Time Plan 250 - up to 31 years (22.22%) [-0.63% to prev.], age 32-51 (38.89%) [-1.11%to prev.], age 52-71 (38.89%) [+1.75%to prev.], age 72+ (0.00%) [ - to prev.]</v>
      </c>
      <c r="B81" s="161"/>
      <c r="C81" s="161"/>
      <c r="D81" s="161"/>
      <c r="E81" s="161"/>
      <c r="F81" s="161"/>
      <c r="G81" s="161"/>
      <c r="H81" s="161"/>
      <c r="I81" s="161"/>
      <c r="J81" s="161"/>
      <c r="K81" s="161"/>
      <c r="L81" s="161"/>
      <c r="M81" s="161"/>
      <c r="N81" s="161"/>
      <c r="O81" s="61"/>
      <c r="P81" s="61"/>
      <c r="Q81" s="61"/>
      <c r="R81" s="61"/>
      <c r="S81" s="61"/>
      <c r="T81" s="61"/>
    </row>
    <row r="82" spans="1:21" x14ac:dyDescent="0.3">
      <c r="A82" s="161" t="str">
        <f ca="1">CONCATENATE(B33, " - ", "up to 31 years (", TEXT(N34+O34,"#,##0.00%"), ") [", TEXT(N35+O35,"+#,##0.00%;-#,##0.00%; - "), " to prev.], age 32-51 (", TEXT(P34+Q34,"#,##0.00%"), ") [", TEXT(P35+Q35,"+#,##0.00%;-#,##0.00%; - "),"to prev.]", ", age 52-71 (", TEXT(R34+S34,"#,##0.00%"), ") [", TEXT(R35+S35,"+#,##0.00%;-#,##0.00%; - "),"to prev.]", ", age 72+ (", TEXT(T34,"#,##0.00%"), ") [", TEXT(T35,"+#,##0.00%;-#,##0.00%; - "),"to prev.]")</f>
        <v>Distinctive Voyage (CHI250) - up to 31 years (5.41%) [-1.17% to prev.], age 32-51 (39.86%) [-2.24%to prev.], age 52-71 (37.84%) [+0.34%to prev.], age 72+ (16.89%) [+3.08%to prev.]</v>
      </c>
      <c r="B82" s="161"/>
      <c r="C82" s="161"/>
      <c r="D82" s="161"/>
      <c r="E82" s="161"/>
      <c r="F82" s="161"/>
      <c r="G82" s="161"/>
      <c r="H82" s="161"/>
      <c r="I82" s="161"/>
      <c r="J82" s="161"/>
      <c r="K82" s="161"/>
      <c r="L82" s="161"/>
      <c r="M82" s="161"/>
      <c r="N82" s="161"/>
      <c r="O82" s="61"/>
      <c r="P82" s="61"/>
      <c r="Q82" s="61"/>
      <c r="R82" s="61"/>
      <c r="S82" s="61"/>
      <c r="T82" s="61"/>
    </row>
    <row r="83" spans="1:21" x14ac:dyDescent="0.3">
      <c r="A83" s="161" t="str">
        <f ca="1">CONCATENATE(B37, " - ", "up to 31 years (", TEXT(N38+O38,"#,##0.00%"), ") [", TEXT(N39+O39,"+#,##0.00%;-#,##0.00%; - "), " to prev.], age 32-51 (", TEXT(P38+Q38,"#,##0.00%"), ") [", TEXT(P39+Q39,"+#,##0.00%;-#,##0.00%; - "),"to prev.]", ", age 52-71 (", TEXT(R38+S38,"#,##0.00%"), ") [", TEXT(R39+S39,"+#,##0.00%;-#,##0.00%; - "),"to prev.]", ", age 72+ (", TEXT(T38,"#,##0.00%"), ") [", TEXT(T39,"+#,##0.00%;-#,##0.00%; - "),"to prev.]")</f>
        <v>EOC Packages - up to 31 years (31.25%) [+20.72% to prev.], age 32-51 (43.75%) [-8.88%to prev.], age 52-71 (18.75%) [-12.83%to prev.], age 72+ (6.25%) [+0.99%to prev.]</v>
      </c>
      <c r="B83" s="161"/>
      <c r="C83" s="161"/>
      <c r="D83" s="161"/>
      <c r="E83" s="161"/>
      <c r="F83" s="161"/>
      <c r="G83" s="161"/>
      <c r="H83" s="161"/>
      <c r="I83" s="161"/>
      <c r="J83" s="161"/>
      <c r="K83" s="161"/>
      <c r="L83" s="161"/>
      <c r="M83" s="161"/>
      <c r="N83" s="161"/>
      <c r="O83" s="61"/>
      <c r="P83" s="61"/>
      <c r="Q83" s="61"/>
      <c r="R83" s="61"/>
      <c r="S83" s="61"/>
      <c r="T83" s="61"/>
    </row>
    <row r="84" spans="1:21" x14ac:dyDescent="0.3">
      <c r="A84" s="70"/>
      <c r="B84" s="70"/>
      <c r="C84" s="70"/>
      <c r="D84" s="70"/>
      <c r="E84" s="70"/>
      <c r="F84" s="70"/>
      <c r="G84" s="70"/>
      <c r="H84" s="70"/>
      <c r="I84" s="70"/>
      <c r="J84" s="70"/>
      <c r="K84" s="70"/>
      <c r="L84" s="70"/>
      <c r="M84" s="70"/>
      <c r="N84" s="70"/>
      <c r="O84" s="61"/>
      <c r="P84" s="61"/>
      <c r="Q84" s="61"/>
      <c r="R84" s="61"/>
      <c r="S84" s="61"/>
      <c r="T84" s="61"/>
    </row>
    <row r="85" spans="1:21" x14ac:dyDescent="0.3">
      <c r="A85" s="70"/>
      <c r="B85" s="70"/>
      <c r="C85" s="70"/>
      <c r="D85" s="70"/>
      <c r="E85" s="70"/>
      <c r="F85" s="70"/>
      <c r="G85" s="70"/>
      <c r="H85" s="70"/>
      <c r="I85" s="70"/>
      <c r="J85" s="70"/>
      <c r="K85" s="70"/>
      <c r="L85" s="70"/>
      <c r="M85" s="70"/>
      <c r="N85" s="70"/>
      <c r="O85" s="61"/>
      <c r="P85" s="61"/>
      <c r="Q85" s="61"/>
      <c r="R85" s="61"/>
      <c r="S85" s="61"/>
      <c r="T85" s="61"/>
    </row>
    <row r="86" spans="1:21" x14ac:dyDescent="0.3">
      <c r="A86" s="161" t="str">
        <f ca="1">CONCATENATE("As for the automatic plan upgrades, guests purchased ", IFERROR(VLOOKUP("Unlimited Wi-Fi Upgrade 1 - 12 Days",C_CPPS_RANGE,3,FALSE),0), " ", B5, " [", TEXT(IFERROR(VLOOKUP("Unlimited Wi-Fi Upgrade 1 - 12 Days",C_CPPS_RANGE,3,FALSE),0)-IFERROR(VLOOKUP("Unlimited Wi-Fi Upgrade 1 - 12 Days",P_CPPS_RANGE,3,FALSE),0),"+#,#0;-#,#0; -"), " to prev.]", ", and ", IFERROR(VLOOKUP("Unlimited Premium Wi-Fi Upgrade 1-12 Days",C_CPPS_RANGE,3,FALSE),0), " ", B9, " [", TEXT(IFERROR(VLOOKUP("Unlimited Premium Wi-Fi Upgrade 1-12 Days",C_CPPS_RANGE,3,FALSE),0)-IFERROR(VLOOKUP("Unlimited Premium Wi-Fi Upgrade 1-12 Days",P_CPPS_RANGE,3,FALSE),0),"+#,#0;-#,#0; -"), " to prev.].")</f>
        <v>As for the automatic plan upgrades, guests purchased 12 Unlimited Cruise Package [ - to prev.], and 0 Unlimited Premium Cruise Package [-12 to prev.].</v>
      </c>
      <c r="B86" s="161"/>
      <c r="C86" s="161"/>
      <c r="D86" s="161"/>
      <c r="E86" s="161"/>
      <c r="F86" s="161"/>
      <c r="G86" s="161"/>
      <c r="H86" s="161"/>
      <c r="I86" s="161"/>
      <c r="J86" s="161"/>
      <c r="K86" s="161"/>
      <c r="L86" s="161"/>
      <c r="M86" s="161"/>
      <c r="N86" s="161"/>
      <c r="O86" s="61"/>
      <c r="P86" s="61"/>
      <c r="Q86" s="61"/>
      <c r="R86" s="61"/>
      <c r="S86" s="61"/>
      <c r="T86" s="61"/>
    </row>
    <row r="87" spans="1:21" x14ac:dyDescent="0.3">
      <c r="A87" s="61" t="str">
        <f ca="1">CONCATENATE("In total we sold ", SUM(C_PG1_TOTAL, C_PG2_TOTAL,C_PG3_TOTAL), " ",B17, " [", TEXT(SUM(C_PG1_TOTAL, C_PG2_TOTAL,C_PG3_TOTAL) - SUM(P_PG1_TOTAL, P_PG2_TOTAL,P_PG3_TOTAL),"+#,##0;-#,##0; - "), " to prev.] "," (",A88,").")</f>
        <v>In total we sold 174 Unlimited Packages [-32 to prev.]  (Unlimited Cruise Package: 72 [+14 to prev.], Unlimited Premium Cruise Package: 30 [-29 to prev.], Unlimited Social Media: 72 [-17 to prev.]).</v>
      </c>
      <c r="B87" s="61"/>
      <c r="C87" s="61"/>
      <c r="D87" s="61"/>
      <c r="E87" s="61"/>
      <c r="F87" s="62"/>
      <c r="G87" s="61"/>
      <c r="H87" s="61"/>
      <c r="I87" s="61"/>
      <c r="J87" s="61"/>
      <c r="K87" s="63"/>
      <c r="L87" s="61"/>
      <c r="M87" s="61"/>
      <c r="N87" s="61"/>
      <c r="O87" s="61"/>
      <c r="P87" s="61"/>
      <c r="Q87" s="61"/>
      <c r="R87" s="61"/>
      <c r="S87" s="61"/>
      <c r="T87" s="61"/>
    </row>
    <row r="88" spans="1:21" x14ac:dyDescent="0.3">
      <c r="A88" s="70" t="str">
        <f ca="1">CONCATENATE(B5, ": ", C_PG1_TOTAL, " [", TEXT(C_PG1_TOTAL - P_PG1_TOTAL, "+#,##0;-#,##0; - "), " to prev.]",", ",B9, ": ", C_PG2_TOTAL, " [", TEXT(C_PG2_TOTAL - P_PG2_TOTAL, "+#,##0;-#,##0; - "), " to prev.]",", ",B13, ": ", C_PG3_TOTAL, " [", TEXT(C_PG3_TOTAL - P_PG3_TOTAL, "+#,##0;-#,##0; - "), " to prev.]")</f>
        <v>Unlimited Cruise Package: 72 [+14 to prev.], Unlimited Premium Cruise Package: 30 [-29 to prev.], Unlimited Social Media: 72 [-17 to prev.]</v>
      </c>
      <c r="B88" s="70"/>
      <c r="C88" s="70"/>
      <c r="D88" s="70"/>
      <c r="E88" s="70"/>
      <c r="F88" s="70"/>
      <c r="G88" s="70"/>
      <c r="H88" s="70"/>
      <c r="I88" s="70"/>
      <c r="J88" s="70"/>
      <c r="K88" s="70"/>
      <c r="L88" s="70"/>
      <c r="M88" s="70"/>
      <c r="N88" s="70"/>
      <c r="O88" s="61"/>
      <c r="P88" s="61"/>
      <c r="Q88" s="61"/>
      <c r="R88" s="61"/>
      <c r="S88" s="61"/>
      <c r="T88" s="61"/>
    </row>
    <row r="89" spans="1:21" x14ac:dyDescent="0.3">
      <c r="A89" s="70"/>
      <c r="B89" s="70"/>
      <c r="C89" s="70"/>
      <c r="D89" s="70"/>
      <c r="E89" s="70"/>
      <c r="F89" s="70"/>
      <c r="G89" s="70"/>
      <c r="H89" s="70"/>
      <c r="I89" s="70"/>
      <c r="J89" s="70"/>
      <c r="K89" s="70"/>
      <c r="L89" s="70"/>
      <c r="M89" s="70"/>
      <c r="N89" s="70"/>
      <c r="O89" s="61"/>
      <c r="P89" s="61"/>
      <c r="Q89" s="61"/>
      <c r="R89" s="61"/>
      <c r="S89" s="61"/>
      <c r="T89" s="61"/>
    </row>
    <row r="90" spans="1:21" ht="12.5" thickBot="1" x14ac:dyDescent="0.35">
      <c r="A90" s="61"/>
      <c r="B90" s="61"/>
      <c r="C90" s="61"/>
      <c r="D90" s="61"/>
      <c r="E90" s="61"/>
      <c r="F90" s="62"/>
      <c r="G90" s="61"/>
      <c r="H90" s="61"/>
      <c r="I90" s="61"/>
      <c r="J90" s="61"/>
      <c r="K90" s="63"/>
      <c r="L90" s="61"/>
      <c r="M90" s="61"/>
      <c r="N90" s="61"/>
      <c r="O90" s="61"/>
      <c r="P90" s="61"/>
      <c r="Q90" s="61"/>
      <c r="R90" s="61"/>
      <c r="S90" s="61"/>
      <c r="T90" s="61"/>
    </row>
    <row r="91" spans="1:21" ht="12.5" thickBot="1" x14ac:dyDescent="0.35">
      <c r="A91" s="73" t="s">
        <v>172</v>
      </c>
      <c r="B91" s="58"/>
      <c r="C91" s="58"/>
      <c r="D91" s="58"/>
      <c r="E91" s="58"/>
      <c r="F91" s="59"/>
      <c r="G91" s="58"/>
      <c r="H91" s="58"/>
      <c r="I91" s="58"/>
      <c r="J91" s="58"/>
      <c r="K91" s="60"/>
      <c r="L91" s="58"/>
      <c r="M91" s="58"/>
      <c r="N91" s="58"/>
      <c r="O91" s="58"/>
      <c r="P91" s="61"/>
      <c r="Q91" s="171" t="s">
        <v>174</v>
      </c>
      <c r="R91" s="171"/>
      <c r="S91" s="172"/>
      <c r="T91" s="107" t="s">
        <v>176</v>
      </c>
      <c r="U91" s="108">
        <v>4489.1499999999996</v>
      </c>
    </row>
    <row r="92" spans="1:21" x14ac:dyDescent="0.3">
      <c r="A92" s="152" t="s">
        <v>160</v>
      </c>
      <c r="B92" s="153"/>
      <c r="C92" s="153"/>
      <c r="D92" s="153"/>
      <c r="E92" s="153"/>
      <c r="F92" s="153"/>
      <c r="G92" s="153"/>
      <c r="H92" s="153"/>
      <c r="I92" s="153"/>
      <c r="J92" s="153"/>
      <c r="K92" s="153"/>
      <c r="L92" s="153"/>
      <c r="M92" s="153"/>
      <c r="N92" s="153"/>
      <c r="O92" s="154"/>
      <c r="P92" s="61"/>
      <c r="Q92" s="162" t="s">
        <v>175</v>
      </c>
      <c r="R92" s="163"/>
      <c r="S92" s="163"/>
      <c r="T92" s="163"/>
      <c r="U92" s="164"/>
    </row>
    <row r="93" spans="1:21" x14ac:dyDescent="0.3">
      <c r="A93" s="155"/>
      <c r="B93" s="156"/>
      <c r="C93" s="156"/>
      <c r="D93" s="156"/>
      <c r="E93" s="156"/>
      <c r="F93" s="156"/>
      <c r="G93" s="156"/>
      <c r="H93" s="156"/>
      <c r="I93" s="156"/>
      <c r="J93" s="156"/>
      <c r="K93" s="156"/>
      <c r="L93" s="156"/>
      <c r="M93" s="156"/>
      <c r="N93" s="156"/>
      <c r="O93" s="157"/>
      <c r="P93" s="61"/>
      <c r="Q93" s="165"/>
      <c r="R93" s="166"/>
      <c r="S93" s="166"/>
      <c r="T93" s="166"/>
      <c r="U93" s="167"/>
    </row>
    <row r="94" spans="1:21" x14ac:dyDescent="0.3">
      <c r="A94" s="155"/>
      <c r="B94" s="156"/>
      <c r="C94" s="156"/>
      <c r="D94" s="156"/>
      <c r="E94" s="156"/>
      <c r="F94" s="156"/>
      <c r="G94" s="156"/>
      <c r="H94" s="156"/>
      <c r="I94" s="156"/>
      <c r="J94" s="156"/>
      <c r="K94" s="156"/>
      <c r="L94" s="156"/>
      <c r="M94" s="156"/>
      <c r="N94" s="156"/>
      <c r="O94" s="157"/>
      <c r="P94" s="58"/>
      <c r="Q94" s="165"/>
      <c r="R94" s="166"/>
      <c r="S94" s="166"/>
      <c r="T94" s="166"/>
      <c r="U94" s="167"/>
    </row>
    <row r="95" spans="1:21" x14ac:dyDescent="0.3">
      <c r="A95" s="155"/>
      <c r="B95" s="156"/>
      <c r="C95" s="156"/>
      <c r="D95" s="156"/>
      <c r="E95" s="156"/>
      <c r="F95" s="156"/>
      <c r="G95" s="156"/>
      <c r="H95" s="156"/>
      <c r="I95" s="156"/>
      <c r="J95" s="156"/>
      <c r="K95" s="156"/>
      <c r="L95" s="156"/>
      <c r="M95" s="156"/>
      <c r="N95" s="156"/>
      <c r="O95" s="157"/>
      <c r="P95" s="58"/>
      <c r="Q95" s="165"/>
      <c r="R95" s="166"/>
      <c r="S95" s="166"/>
      <c r="T95" s="166"/>
      <c r="U95" s="167"/>
    </row>
    <row r="96" spans="1:21" ht="12.5" thickBot="1" x14ac:dyDescent="0.35">
      <c r="A96" s="158"/>
      <c r="B96" s="159"/>
      <c r="C96" s="159"/>
      <c r="D96" s="159"/>
      <c r="E96" s="159"/>
      <c r="F96" s="159"/>
      <c r="G96" s="159"/>
      <c r="H96" s="159"/>
      <c r="I96" s="159"/>
      <c r="J96" s="159"/>
      <c r="K96" s="159"/>
      <c r="L96" s="159"/>
      <c r="M96" s="159"/>
      <c r="N96" s="159"/>
      <c r="O96" s="160"/>
      <c r="P96" s="58"/>
      <c r="Q96" s="165"/>
      <c r="R96" s="166"/>
      <c r="S96" s="166"/>
      <c r="T96" s="166"/>
      <c r="U96" s="167"/>
    </row>
    <row r="97" spans="1:28" x14ac:dyDescent="0.3">
      <c r="A97" s="58"/>
      <c r="B97" s="58"/>
      <c r="C97" s="58"/>
      <c r="D97" s="58"/>
      <c r="E97" s="58"/>
      <c r="F97" s="59"/>
      <c r="G97" s="58"/>
      <c r="H97" s="58"/>
      <c r="I97" s="58"/>
      <c r="J97" s="58"/>
      <c r="K97" s="60"/>
      <c r="L97" s="58"/>
      <c r="M97" s="58"/>
      <c r="N97" s="58"/>
      <c r="O97" s="58"/>
      <c r="P97" s="58"/>
      <c r="Q97" s="165"/>
      <c r="R97" s="166"/>
      <c r="S97" s="166"/>
      <c r="T97" s="166"/>
      <c r="U97" s="167"/>
    </row>
    <row r="98" spans="1:28" x14ac:dyDescent="0.3">
      <c r="A98" s="58"/>
      <c r="B98" s="58"/>
      <c r="C98" s="58"/>
      <c r="D98" s="58"/>
      <c r="E98" s="58"/>
      <c r="F98" s="59"/>
      <c r="G98" s="58"/>
      <c r="H98" s="58"/>
      <c r="I98" s="58"/>
      <c r="J98" s="58"/>
      <c r="K98" s="60"/>
      <c r="L98" s="58"/>
      <c r="M98" s="58"/>
      <c r="N98" s="58"/>
      <c r="O98" s="58"/>
      <c r="P98" s="58"/>
      <c r="Q98" s="165"/>
      <c r="R98" s="166"/>
      <c r="S98" s="166"/>
      <c r="T98" s="166"/>
      <c r="U98" s="167"/>
    </row>
    <row r="99" spans="1:28" ht="12.5" thickBot="1" x14ac:dyDescent="0.35">
      <c r="A99" s="73" t="s">
        <v>171</v>
      </c>
      <c r="B99" s="61"/>
      <c r="C99" s="61"/>
      <c r="D99" s="61"/>
      <c r="E99" s="61"/>
      <c r="F99" s="62"/>
      <c r="G99" s="61"/>
      <c r="H99" s="61"/>
      <c r="I99" s="61"/>
      <c r="J99" s="61"/>
      <c r="K99" s="63"/>
      <c r="L99" s="61"/>
      <c r="M99" s="61"/>
      <c r="N99" s="61"/>
      <c r="O99" s="61"/>
      <c r="P99" s="58"/>
      <c r="Q99" s="165"/>
      <c r="R99" s="166"/>
      <c r="S99" s="166"/>
      <c r="T99" s="166"/>
      <c r="U99" s="167"/>
    </row>
    <row r="100" spans="1:28" x14ac:dyDescent="0.3">
      <c r="A100" s="143" t="s">
        <v>161</v>
      </c>
      <c r="B100" s="144"/>
      <c r="C100" s="144"/>
      <c r="D100" s="144"/>
      <c r="E100" s="144"/>
      <c r="F100" s="144"/>
      <c r="G100" s="144"/>
      <c r="H100" s="144"/>
      <c r="I100" s="144"/>
      <c r="J100" s="144"/>
      <c r="K100" s="144"/>
      <c r="L100" s="144"/>
      <c r="M100" s="144"/>
      <c r="N100" s="144"/>
      <c r="O100" s="145"/>
      <c r="P100" s="58"/>
      <c r="Q100" s="165"/>
      <c r="R100" s="166"/>
      <c r="S100" s="166"/>
      <c r="T100" s="166"/>
      <c r="U100" s="167"/>
    </row>
    <row r="101" spans="1:28" x14ac:dyDescent="0.3">
      <c r="A101" s="146"/>
      <c r="B101" s="147"/>
      <c r="C101" s="147"/>
      <c r="D101" s="147"/>
      <c r="E101" s="147"/>
      <c r="F101" s="147"/>
      <c r="G101" s="147"/>
      <c r="H101" s="147"/>
      <c r="I101" s="147"/>
      <c r="J101" s="147"/>
      <c r="K101" s="147"/>
      <c r="L101" s="147"/>
      <c r="M101" s="147"/>
      <c r="N101" s="147"/>
      <c r="O101" s="148"/>
      <c r="P101" s="58"/>
      <c r="Q101" s="165"/>
      <c r="R101" s="166"/>
      <c r="S101" s="166"/>
      <c r="T101" s="166"/>
      <c r="U101" s="167"/>
    </row>
    <row r="102" spans="1:28" x14ac:dyDescent="0.3">
      <c r="A102" s="146"/>
      <c r="B102" s="147"/>
      <c r="C102" s="147"/>
      <c r="D102" s="147"/>
      <c r="E102" s="147"/>
      <c r="F102" s="147"/>
      <c r="G102" s="147"/>
      <c r="H102" s="147"/>
      <c r="I102" s="147"/>
      <c r="J102" s="147"/>
      <c r="K102" s="147"/>
      <c r="L102" s="147"/>
      <c r="M102" s="147"/>
      <c r="N102" s="147"/>
      <c r="O102" s="148"/>
      <c r="P102" s="58"/>
      <c r="Q102" s="165"/>
      <c r="R102" s="166"/>
      <c r="S102" s="166"/>
      <c r="T102" s="166"/>
      <c r="U102" s="167"/>
    </row>
    <row r="103" spans="1:28" x14ac:dyDescent="0.3">
      <c r="A103" s="146"/>
      <c r="B103" s="147"/>
      <c r="C103" s="147"/>
      <c r="D103" s="147"/>
      <c r="E103" s="147"/>
      <c r="F103" s="147"/>
      <c r="G103" s="147"/>
      <c r="H103" s="147"/>
      <c r="I103" s="147"/>
      <c r="J103" s="147"/>
      <c r="K103" s="147"/>
      <c r="L103" s="147"/>
      <c r="M103" s="147"/>
      <c r="N103" s="147"/>
      <c r="O103" s="148"/>
      <c r="P103" s="58"/>
      <c r="Q103" s="165"/>
      <c r="R103" s="166"/>
      <c r="S103" s="166"/>
      <c r="T103" s="166"/>
      <c r="U103" s="167"/>
      <c r="V103" s="58"/>
      <c r="W103" s="58"/>
      <c r="X103" s="58"/>
      <c r="Y103" s="58"/>
      <c r="Z103" s="58"/>
      <c r="AA103" s="58"/>
      <c r="AB103" s="58"/>
    </row>
    <row r="104" spans="1:28" ht="12.5" thickBot="1" x14ac:dyDescent="0.35">
      <c r="A104" s="149"/>
      <c r="B104" s="150"/>
      <c r="C104" s="150"/>
      <c r="D104" s="150"/>
      <c r="E104" s="150"/>
      <c r="F104" s="150"/>
      <c r="G104" s="150"/>
      <c r="H104" s="150"/>
      <c r="I104" s="150"/>
      <c r="J104" s="150"/>
      <c r="K104" s="150"/>
      <c r="L104" s="150"/>
      <c r="M104" s="150"/>
      <c r="N104" s="150"/>
      <c r="O104" s="151"/>
      <c r="P104" s="58"/>
      <c r="Q104" s="168"/>
      <c r="R104" s="169"/>
      <c r="S104" s="169"/>
      <c r="T104" s="169"/>
      <c r="U104" s="170"/>
      <c r="V104" s="58"/>
      <c r="W104" s="58"/>
      <c r="X104" s="58"/>
      <c r="Y104" s="58"/>
      <c r="Z104" s="58"/>
      <c r="AA104" s="58"/>
      <c r="AB104" s="58"/>
    </row>
    <row r="105" spans="1:28" x14ac:dyDescent="0.3">
      <c r="A105" s="61"/>
      <c r="B105" s="61"/>
      <c r="C105" s="61"/>
      <c r="D105" s="61"/>
      <c r="E105" s="61"/>
      <c r="F105" s="62"/>
      <c r="G105" s="61"/>
      <c r="H105" s="61"/>
      <c r="I105" s="61"/>
      <c r="J105" s="61"/>
      <c r="K105" s="63"/>
      <c r="L105" s="61"/>
      <c r="M105" s="61"/>
      <c r="N105" s="61"/>
      <c r="O105" s="61"/>
      <c r="P105" s="58"/>
      <c r="Q105" s="58"/>
      <c r="R105" s="58"/>
      <c r="S105" s="58"/>
      <c r="T105" s="58"/>
      <c r="U105" s="58"/>
      <c r="V105" s="58"/>
      <c r="W105" s="58"/>
      <c r="X105" s="58"/>
      <c r="Y105" s="58"/>
      <c r="Z105" s="58"/>
      <c r="AA105" s="58"/>
      <c r="AB105" s="58"/>
    </row>
    <row r="106" spans="1:28" ht="12.5" thickBot="1" x14ac:dyDescent="0.35">
      <c r="A106" s="61"/>
      <c r="B106" s="61"/>
      <c r="C106" s="61"/>
      <c r="D106" s="61"/>
      <c r="E106" s="61"/>
      <c r="F106" s="62"/>
      <c r="G106" s="61"/>
      <c r="H106" s="61"/>
      <c r="I106" s="61"/>
      <c r="J106" s="61"/>
      <c r="K106" s="63"/>
      <c r="L106" s="61"/>
      <c r="M106" s="61"/>
      <c r="N106" s="61"/>
      <c r="O106" s="61"/>
      <c r="P106" s="58"/>
      <c r="Q106" s="58"/>
      <c r="R106" s="58"/>
      <c r="S106" s="58"/>
      <c r="T106" s="58"/>
      <c r="U106" s="58"/>
      <c r="V106" s="58"/>
      <c r="W106" s="58"/>
      <c r="X106" s="58"/>
      <c r="Y106" s="58"/>
      <c r="Z106" s="58"/>
      <c r="AA106" s="58"/>
      <c r="AB106" s="58"/>
    </row>
    <row r="107" spans="1:28" ht="16" thickBot="1" x14ac:dyDescent="0.4">
      <c r="A107" s="73" t="s">
        <v>159</v>
      </c>
      <c r="B107" s="61"/>
      <c r="C107" s="61"/>
      <c r="D107" s="61"/>
      <c r="E107" s="61"/>
      <c r="F107" s="62"/>
      <c r="G107" s="61"/>
      <c r="H107" s="61"/>
      <c r="I107" s="61"/>
      <c r="J107" s="61"/>
      <c r="K107" s="63"/>
      <c r="L107" s="61"/>
      <c r="M107" s="61"/>
      <c r="N107" s="61"/>
      <c r="O107" s="61"/>
      <c r="P107" s="58"/>
      <c r="Q107" s="126" t="s">
        <v>165</v>
      </c>
      <c r="R107" s="127"/>
      <c r="S107" s="127"/>
      <c r="T107" s="127"/>
      <c r="U107" s="128"/>
      <c r="V107" s="77"/>
      <c r="W107" s="77"/>
      <c r="X107" s="77"/>
      <c r="Y107" s="58"/>
      <c r="Z107" s="58"/>
      <c r="AA107" s="58"/>
      <c r="AB107" s="58"/>
    </row>
    <row r="108" spans="1:28" x14ac:dyDescent="0.3">
      <c r="A108" s="143" t="str">
        <f ca="1">CONCATENATE(A92,CHAR(10),CHAR(10),"In terms of sales numbers our results were following:",CHAR(10),"- " &amp; A72,CHAR(10),"- " &amp; A68, CHAR(10),"- " &amp; A71, CHAR(10),"- " &amp; A70, CHAR(10),"- " &amp; A69, CHAR(10), CHAR(10), A86, CHAR(10), A87,CHAR(10),CHAR(10),"Demographically looking at sales figure passenger flow was:",CHAR(10),"- ", A82, CHAR(10), "- ", A78,CHAR(10), "- ", A81, CHAR(10), "- ", A80,CHAR(10), "- ", A79, CHAR(10), CHAR(10),A100, CHAR(10), CHAR(10),"In terms of credits, for this cruise we had total of ",TEXT(U91,"$#,##0.0,k")," distributed as follows:", CHAR(10),Q92)</f>
        <v>Cruise started off busy, but slightly less busy than the previous one. This is a Summer season cruise, we have a lot of families onboard and organized groups so demand for Internet Service is evident. Overall this is a younger population than what we usually experience at cruises, mainly due to fact that majority of them are on vacations and their younger family members are out of school. This also reflects on overall package sales, as well as the types of packages that are in demand.
In terms of sales numbers our results were following:
- Distinctive Voyage (CHI250) generated 20.99% of total revenue [+1.43% to prev.]
- Unlimited Packages generated 55.14% of total revenue [-5.48% to prev.]
- Time Plan 250 generated 10.18% of total revenue [+1.39% to prev.]
- Time Plan 100 generated 4.45% of total revenue [+0.78% to prev.]
- PAYG generated 6.88% of total revenue [+1.66% to prev.]
As for the automatic plan upgrades, guests purchased 12 Unlimited Cruise Package [ - to prev.], and 0 Unlimited Premium Cruise Package [-12 to prev.].
In total we sold 174 Unlimited Packages [-32 to prev.]  (Unlimited Cruise Package: 72 [+14 to prev.], Unlimited Premium Cruise Package: 30 [-29 to prev.], Unlimited Social Media: 72 [-17 to prev.]).
Demographically looking at sales figure passenger flow was:
- Distinctive Voyage (CHI250) - up to 31 years (5.41%) [-1.17% to prev.], age 32-51 (39.86%) [-2.24%to prev.], age 52-71 (37.84%) [+0.34%to prev.], age 72+ (16.89%) [+3.08%to prev.]
- Unlimited Packages - up to 31 years (55.81%) [-17.40% to prev.], age 32-51 (25.58%) [+9.51%to prev.], age 52-71 (16.28%) [+7.35%to prev.], age 72+ (2.33%) [+0.54%to prev.]
- Time Plan 250 - up to 31 years (22.22%) [-0.63% to prev.], age 32-51 (38.89%) [-1.11%to prev.], age 52-71 (38.89%) [+1.75%to prev.], age 72+ (0.00%) [ - to prev.]
- Time Plan 100 - up to 31 years (21.74%) [+12.65% to prev.], age 32-51 (43.48%) [+7.11%to prev.], age 52-71 (30.43%) [-19.57%to prev.], age 72+ (4.35%) [-0.20%to prev.]
- PAYG - up to 31 years (30.49%) [-8.95% to prev.], age 32-51 (41.46%) [+7.66%to prev.], age 52-71 (28.05%) [+5.51%to prev.], age 72+ (0.00%) [-4.23%to prev.]
We had no issues during the cruise, overall guest were happy. While docked in Bermuda, we were connected to the TWN shoreside which worked without any interruptions during our stay. This greatly contributed to overall satisfaction because of huge amount of cruise long packages sold and guests uploading pictures/videos to social media services as well as sharing them with other family members / friends. 
In terms of credits, for this cruise we had total of $4.5k distributed as follows:
35.96% - Automatic plan upgrades
20.58% - Incorrect plan purchase
17.98% - TP purchase instead of CHI activation
14.52% - Unable to logout / Unable to reach desired content
10.95% - Plan upgrade to UCP</v>
      </c>
      <c r="B108" s="144"/>
      <c r="C108" s="144"/>
      <c r="D108" s="144"/>
      <c r="E108" s="144"/>
      <c r="F108" s="144"/>
      <c r="G108" s="144"/>
      <c r="H108" s="144"/>
      <c r="I108" s="144"/>
      <c r="J108" s="144"/>
      <c r="K108" s="144"/>
      <c r="L108" s="144"/>
      <c r="M108" s="144"/>
      <c r="N108" s="144"/>
      <c r="O108" s="145"/>
      <c r="P108" s="58"/>
      <c r="Q108" s="78"/>
      <c r="R108" s="79"/>
      <c r="S108" s="79"/>
      <c r="T108" s="93" t="s">
        <v>167</v>
      </c>
      <c r="U108" s="94" t="s">
        <v>168</v>
      </c>
      <c r="V108" s="58"/>
      <c r="W108" s="58"/>
      <c r="X108" s="58"/>
      <c r="Y108" s="58"/>
      <c r="Z108" s="58"/>
      <c r="AA108" s="58"/>
      <c r="AB108" s="58"/>
    </row>
    <row r="109" spans="1:28" x14ac:dyDescent="0.3">
      <c r="A109" s="146"/>
      <c r="B109" s="147"/>
      <c r="C109" s="147"/>
      <c r="D109" s="147"/>
      <c r="E109" s="147"/>
      <c r="F109" s="147"/>
      <c r="G109" s="147"/>
      <c r="H109" s="147"/>
      <c r="I109" s="147"/>
      <c r="J109" s="147"/>
      <c r="K109" s="147"/>
      <c r="L109" s="147"/>
      <c r="M109" s="147"/>
      <c r="N109" s="147"/>
      <c r="O109" s="148"/>
      <c r="P109" s="58"/>
      <c r="Q109" s="120" t="str">
        <f>B29</f>
        <v>Time Plan 250</v>
      </c>
      <c r="R109" s="121"/>
      <c r="S109" s="121"/>
      <c r="T109" s="81">
        <f ca="1">C_PG7_TOTAL</f>
        <v>37</v>
      </c>
      <c r="U109" s="82">
        <f ca="1">D30</f>
        <v>4305</v>
      </c>
      <c r="V109" s="58"/>
      <c r="W109" s="58"/>
      <c r="X109" s="58"/>
      <c r="Y109" s="58"/>
      <c r="Z109" s="58"/>
      <c r="AA109" s="58"/>
      <c r="AB109" s="58"/>
    </row>
    <row r="110" spans="1:28" x14ac:dyDescent="0.3">
      <c r="A110" s="146"/>
      <c r="B110" s="147"/>
      <c r="C110" s="147"/>
      <c r="D110" s="147"/>
      <c r="E110" s="147"/>
      <c r="F110" s="147"/>
      <c r="G110" s="147"/>
      <c r="H110" s="147"/>
      <c r="I110" s="147"/>
      <c r="J110" s="147"/>
      <c r="K110" s="147"/>
      <c r="L110" s="147"/>
      <c r="M110" s="147"/>
      <c r="N110" s="147"/>
      <c r="O110" s="148"/>
      <c r="P110" s="58"/>
      <c r="Q110" s="83"/>
      <c r="R110" s="84"/>
      <c r="S110" s="84"/>
      <c r="T110" s="80"/>
      <c r="U110" s="85"/>
      <c r="V110" s="58"/>
      <c r="W110" s="58"/>
      <c r="X110" s="58"/>
      <c r="Y110" s="58"/>
      <c r="Z110" s="58"/>
      <c r="AA110" s="58"/>
      <c r="AB110" s="58"/>
    </row>
    <row r="111" spans="1:28" x14ac:dyDescent="0.3">
      <c r="A111" s="146"/>
      <c r="B111" s="147"/>
      <c r="C111" s="147"/>
      <c r="D111" s="147"/>
      <c r="E111" s="147"/>
      <c r="F111" s="147"/>
      <c r="G111" s="147"/>
      <c r="H111" s="147"/>
      <c r="I111" s="147"/>
      <c r="J111" s="147"/>
      <c r="K111" s="147"/>
      <c r="L111" s="147"/>
      <c r="M111" s="147"/>
      <c r="N111" s="147"/>
      <c r="O111" s="148"/>
      <c r="P111" s="58"/>
      <c r="Q111" s="120" t="str">
        <f>B25</f>
        <v>Time Plan 100</v>
      </c>
      <c r="R111" s="121"/>
      <c r="S111" s="121"/>
      <c r="T111" s="81">
        <f ca="1">C_PG6_TOTAL</f>
        <v>26</v>
      </c>
      <c r="U111" s="82">
        <f ca="1">D26</f>
        <v>1881.75</v>
      </c>
      <c r="V111" s="58"/>
      <c r="W111" s="58"/>
      <c r="X111" s="58"/>
      <c r="Y111" s="58"/>
      <c r="Z111" s="58"/>
      <c r="AA111" s="58"/>
      <c r="AB111" s="58"/>
    </row>
    <row r="112" spans="1:28" x14ac:dyDescent="0.3">
      <c r="A112" s="146"/>
      <c r="B112" s="147"/>
      <c r="C112" s="147"/>
      <c r="D112" s="147"/>
      <c r="E112" s="147"/>
      <c r="F112" s="147"/>
      <c r="G112" s="147"/>
      <c r="H112" s="147"/>
      <c r="I112" s="147"/>
      <c r="J112" s="147"/>
      <c r="K112" s="147"/>
      <c r="L112" s="147"/>
      <c r="M112" s="147"/>
      <c r="N112" s="147"/>
      <c r="O112" s="148"/>
      <c r="P112" s="61"/>
      <c r="Q112" s="83"/>
      <c r="R112" s="84"/>
      <c r="S112" s="84"/>
      <c r="T112" s="80"/>
      <c r="U112" s="85"/>
      <c r="V112" s="58"/>
      <c r="W112" s="58"/>
      <c r="X112" s="58"/>
      <c r="Y112" s="58"/>
      <c r="Z112" s="58"/>
      <c r="AA112" s="58"/>
      <c r="AB112" s="58"/>
    </row>
    <row r="113" spans="1:28" x14ac:dyDescent="0.3">
      <c r="A113" s="146"/>
      <c r="B113" s="147"/>
      <c r="C113" s="147"/>
      <c r="D113" s="147"/>
      <c r="E113" s="147"/>
      <c r="F113" s="147"/>
      <c r="G113" s="147"/>
      <c r="H113" s="147"/>
      <c r="I113" s="147"/>
      <c r="J113" s="147"/>
      <c r="K113" s="147"/>
      <c r="L113" s="147"/>
      <c r="M113" s="147"/>
      <c r="N113" s="147"/>
      <c r="O113" s="148"/>
      <c r="P113" s="61"/>
      <c r="Q113" s="120" t="str">
        <f>B17</f>
        <v>Unlimited Packages</v>
      </c>
      <c r="R113" s="121"/>
      <c r="S113" s="121"/>
      <c r="T113" s="81">
        <f ca="1">SUM(C_PG1_TOTAL, C_PG2_TOTAL,C_PG3_TOTAL)</f>
        <v>174</v>
      </c>
      <c r="U113" s="82">
        <f ca="1">SUM(D6,D10,D14)</f>
        <v>23325.579999999998</v>
      </c>
      <c r="V113" s="58"/>
      <c r="W113" s="58"/>
      <c r="X113" s="58"/>
      <c r="Y113" s="58"/>
      <c r="Z113" s="58"/>
      <c r="AA113" s="58"/>
      <c r="AB113" s="58"/>
    </row>
    <row r="114" spans="1:28" x14ac:dyDescent="0.3">
      <c r="A114" s="146"/>
      <c r="B114" s="147"/>
      <c r="C114" s="147"/>
      <c r="D114" s="147"/>
      <c r="E114" s="147"/>
      <c r="F114" s="147"/>
      <c r="G114" s="147"/>
      <c r="H114" s="147"/>
      <c r="I114" s="147"/>
      <c r="J114" s="147"/>
      <c r="K114" s="147"/>
      <c r="L114" s="147"/>
      <c r="M114" s="147"/>
      <c r="N114" s="147"/>
      <c r="O114" s="148"/>
      <c r="P114" s="61"/>
      <c r="Q114" s="83"/>
      <c r="R114" s="84"/>
      <c r="S114" s="84"/>
      <c r="T114" s="80"/>
      <c r="U114" s="85"/>
      <c r="V114" s="58"/>
      <c r="W114" s="58"/>
      <c r="X114" s="58"/>
      <c r="Y114" s="58"/>
      <c r="Z114" s="58"/>
      <c r="AA114" s="58"/>
      <c r="AB114" s="58"/>
    </row>
    <row r="115" spans="1:28" x14ac:dyDescent="0.3">
      <c r="A115" s="146"/>
      <c r="B115" s="147"/>
      <c r="C115" s="147"/>
      <c r="D115" s="147"/>
      <c r="E115" s="147"/>
      <c r="F115" s="147"/>
      <c r="G115" s="147"/>
      <c r="H115" s="147"/>
      <c r="I115" s="147"/>
      <c r="J115" s="147"/>
      <c r="K115" s="147"/>
      <c r="L115" s="147"/>
      <c r="M115" s="147"/>
      <c r="N115" s="147"/>
      <c r="O115" s="148"/>
      <c r="P115" s="61"/>
      <c r="Q115" s="120" t="s">
        <v>163</v>
      </c>
      <c r="R115" s="121"/>
      <c r="S115" s="121"/>
      <c r="T115" s="122">
        <f ca="1">SUM(INDIRECT("'" &amp; H22 &amp; "!B" &amp; T116 &amp; ":B" &amp; U116))</f>
        <v>23548.780000000002</v>
      </c>
      <c r="U115" s="123"/>
      <c r="V115" s="58"/>
      <c r="W115" s="58"/>
      <c r="X115" s="58"/>
      <c r="Y115" s="58"/>
      <c r="Z115" s="58"/>
      <c r="AA115" s="58"/>
      <c r="AB115" s="58"/>
    </row>
    <row r="116" spans="1:28" x14ac:dyDescent="0.3">
      <c r="A116" s="146"/>
      <c r="B116" s="147"/>
      <c r="C116" s="147"/>
      <c r="D116" s="147"/>
      <c r="E116" s="147"/>
      <c r="F116" s="147"/>
      <c r="G116" s="147"/>
      <c r="H116" s="147"/>
      <c r="I116" s="147"/>
      <c r="J116" s="147"/>
      <c r="K116" s="147"/>
      <c r="L116" s="147"/>
      <c r="M116" s="147"/>
      <c r="N116" s="147"/>
      <c r="O116" s="148"/>
      <c r="P116" s="61"/>
      <c r="Q116" s="86"/>
      <c r="R116" s="87"/>
      <c r="S116" s="87"/>
      <c r="T116" s="88">
        <f ca="1">ROW(C_CCSS_RANGE)+3</f>
        <v>48</v>
      </c>
      <c r="U116" s="89">
        <f ca="1">ROW(C_CCSS_RANGE)+ROWS(C_CCSS_RANGE)-1</f>
        <v>76</v>
      </c>
      <c r="V116" s="58"/>
      <c r="W116" s="58"/>
      <c r="X116" s="58"/>
      <c r="Y116" s="58"/>
      <c r="Z116" s="58"/>
      <c r="AA116" s="58"/>
      <c r="AB116" s="58"/>
    </row>
    <row r="117" spans="1:28" x14ac:dyDescent="0.3">
      <c r="A117" s="146"/>
      <c r="B117" s="147"/>
      <c r="C117" s="147"/>
      <c r="D117" s="147"/>
      <c r="E117" s="147"/>
      <c r="F117" s="147"/>
      <c r="G117" s="147"/>
      <c r="H117" s="147"/>
      <c r="I117" s="147"/>
      <c r="J117" s="147"/>
      <c r="K117" s="147"/>
      <c r="L117" s="147"/>
      <c r="M117" s="147"/>
      <c r="N117" s="147"/>
      <c r="O117" s="148"/>
      <c r="P117" s="61"/>
      <c r="Q117" s="120" t="s">
        <v>164</v>
      </c>
      <c r="R117" s="121"/>
      <c r="S117" s="121"/>
      <c r="T117" s="122">
        <f ca="1">SUM(INDIRECT("'" &amp; H22 &amp; "!" &amp;  ADDRESS(T116,MAX_WIDTH-2,4) &amp; ":" &amp; ADDRESS(U116,MAX_WIDTH-2,4)))</f>
        <v>3514.06</v>
      </c>
      <c r="U117" s="123"/>
      <c r="V117" s="58"/>
      <c r="W117" s="58"/>
      <c r="X117" s="58"/>
      <c r="Y117" s="58"/>
      <c r="Z117" s="58"/>
      <c r="AA117" s="58"/>
      <c r="AB117" s="58"/>
    </row>
    <row r="118" spans="1:28" x14ac:dyDescent="0.3">
      <c r="A118" s="146"/>
      <c r="B118" s="147"/>
      <c r="C118" s="147"/>
      <c r="D118" s="147"/>
      <c r="E118" s="147"/>
      <c r="F118" s="147"/>
      <c r="G118" s="147"/>
      <c r="H118" s="147"/>
      <c r="I118" s="147"/>
      <c r="J118" s="147"/>
      <c r="K118" s="147"/>
      <c r="L118" s="147"/>
      <c r="M118" s="147"/>
      <c r="N118" s="147"/>
      <c r="O118" s="148"/>
      <c r="P118" s="61"/>
      <c r="Q118" s="83"/>
      <c r="R118" s="84"/>
      <c r="S118" s="84"/>
      <c r="T118" s="80"/>
      <c r="U118" s="85"/>
      <c r="V118" s="58"/>
      <c r="W118" s="58"/>
      <c r="X118" s="58"/>
      <c r="Y118" s="58"/>
      <c r="Z118" s="58"/>
      <c r="AA118" s="58"/>
      <c r="AB118" s="58"/>
    </row>
    <row r="119" spans="1:28" x14ac:dyDescent="0.3">
      <c r="A119" s="146"/>
      <c r="B119" s="147"/>
      <c r="C119" s="147"/>
      <c r="D119" s="147"/>
      <c r="E119" s="147"/>
      <c r="F119" s="147"/>
      <c r="G119" s="147"/>
      <c r="H119" s="147"/>
      <c r="I119" s="147"/>
      <c r="J119" s="147"/>
      <c r="K119" s="147"/>
      <c r="L119" s="147"/>
      <c r="M119" s="147"/>
      <c r="N119" s="147"/>
      <c r="O119" s="148"/>
      <c r="P119" s="61"/>
      <c r="Q119" s="120" t="s">
        <v>166</v>
      </c>
      <c r="R119" s="121"/>
      <c r="S119" s="121"/>
      <c r="T119" s="124">
        <f ca="1">SUM(INDIRECT("'" &amp; H22 &amp; "!C" &amp; T120 &amp; ":C" &amp; U120))</f>
        <v>619</v>
      </c>
      <c r="U119" s="125"/>
      <c r="V119" s="58"/>
      <c r="W119" s="58"/>
      <c r="X119" s="58"/>
      <c r="Y119" s="58"/>
      <c r="Z119" s="58"/>
      <c r="AA119" s="58"/>
      <c r="AB119" s="58"/>
    </row>
    <row r="120" spans="1:28" ht="12.5" thickBot="1" x14ac:dyDescent="0.35">
      <c r="A120" s="146"/>
      <c r="B120" s="147"/>
      <c r="C120" s="147"/>
      <c r="D120" s="147"/>
      <c r="E120" s="147"/>
      <c r="F120" s="147"/>
      <c r="G120" s="147"/>
      <c r="H120" s="147"/>
      <c r="I120" s="147"/>
      <c r="J120" s="147"/>
      <c r="K120" s="147"/>
      <c r="L120" s="147"/>
      <c r="M120" s="147"/>
      <c r="N120" s="147"/>
      <c r="O120" s="148"/>
      <c r="P120" s="61"/>
      <c r="Q120" s="90"/>
      <c r="R120" s="91"/>
      <c r="S120" s="91"/>
      <c r="T120" s="91">
        <f ca="1">ROW(C_CPPS_RANGE)+2</f>
        <v>81</v>
      </c>
      <c r="U120" s="92">
        <f ca="1">ROW(C_CPPS_RANGE)+ROWS(C_CPPS_RANGE)-1</f>
        <v>100</v>
      </c>
      <c r="V120" s="58"/>
      <c r="W120" s="58"/>
      <c r="X120" s="58"/>
      <c r="Y120" s="58"/>
      <c r="Z120" s="58"/>
      <c r="AA120" s="58"/>
      <c r="AB120" s="58"/>
    </row>
    <row r="121" spans="1:28" x14ac:dyDescent="0.3">
      <c r="A121" s="146"/>
      <c r="B121" s="147"/>
      <c r="C121" s="147"/>
      <c r="D121" s="147"/>
      <c r="E121" s="147"/>
      <c r="F121" s="147"/>
      <c r="G121" s="147"/>
      <c r="H121" s="147"/>
      <c r="I121" s="147"/>
      <c r="J121" s="147"/>
      <c r="K121" s="147"/>
      <c r="L121" s="147"/>
      <c r="M121" s="147"/>
      <c r="N121" s="147"/>
      <c r="O121" s="148"/>
      <c r="P121" s="61"/>
      <c r="Q121" s="58"/>
      <c r="R121" s="76"/>
      <c r="S121" s="58"/>
      <c r="T121" s="58"/>
      <c r="U121" s="58"/>
      <c r="V121" s="58"/>
      <c r="W121" s="58"/>
      <c r="X121" s="58"/>
      <c r="Y121" s="58"/>
      <c r="Z121" s="58"/>
      <c r="AA121" s="58"/>
      <c r="AB121" s="58"/>
    </row>
    <row r="122" spans="1:28" x14ac:dyDescent="0.3">
      <c r="A122" s="146"/>
      <c r="B122" s="147"/>
      <c r="C122" s="147"/>
      <c r="D122" s="147"/>
      <c r="E122" s="147"/>
      <c r="F122" s="147"/>
      <c r="G122" s="147"/>
      <c r="H122" s="147"/>
      <c r="I122" s="147"/>
      <c r="J122" s="147"/>
      <c r="K122" s="147"/>
      <c r="L122" s="147"/>
      <c r="M122" s="147"/>
      <c r="N122" s="147"/>
      <c r="O122" s="148"/>
      <c r="P122" s="61"/>
      <c r="Q122" s="58"/>
      <c r="R122" s="58"/>
      <c r="S122" s="58"/>
      <c r="T122" s="58"/>
      <c r="U122" s="58"/>
      <c r="V122" s="58"/>
      <c r="W122" s="58"/>
      <c r="X122" s="58"/>
      <c r="Y122" s="58"/>
      <c r="Z122" s="58"/>
      <c r="AA122" s="58"/>
      <c r="AB122" s="58"/>
    </row>
    <row r="123" spans="1:28" ht="12.5" thickBot="1" x14ac:dyDescent="0.35">
      <c r="A123" s="146"/>
      <c r="B123" s="147"/>
      <c r="C123" s="147"/>
      <c r="D123" s="147"/>
      <c r="E123" s="147"/>
      <c r="F123" s="147"/>
      <c r="G123" s="147"/>
      <c r="H123" s="147"/>
      <c r="I123" s="147"/>
      <c r="J123" s="147"/>
      <c r="K123" s="147"/>
      <c r="L123" s="147"/>
      <c r="M123" s="147"/>
      <c r="N123" s="147"/>
      <c r="O123" s="148"/>
      <c r="P123" s="61"/>
      <c r="Q123" s="119" t="s">
        <v>170</v>
      </c>
      <c r="R123" s="119"/>
      <c r="S123" s="119"/>
      <c r="T123" s="119"/>
      <c r="U123" s="119"/>
      <c r="V123" s="119"/>
      <c r="W123" s="119"/>
      <c r="X123" s="119"/>
      <c r="Y123" s="119"/>
      <c r="Z123" s="119"/>
      <c r="AA123" s="58"/>
      <c r="AB123" s="58"/>
    </row>
    <row r="124" spans="1:28" x14ac:dyDescent="0.3">
      <c r="A124" s="146"/>
      <c r="B124" s="147"/>
      <c r="C124" s="147"/>
      <c r="D124" s="147"/>
      <c r="E124" s="147"/>
      <c r="F124" s="147"/>
      <c r="G124" s="147"/>
      <c r="H124" s="147"/>
      <c r="I124" s="147"/>
      <c r="J124" s="147"/>
      <c r="K124" s="147"/>
      <c r="L124" s="147"/>
      <c r="M124" s="147"/>
      <c r="N124" s="147"/>
      <c r="O124" s="148"/>
      <c r="P124" s="61"/>
      <c r="Q124" s="110" t="s">
        <v>169</v>
      </c>
      <c r="R124" s="111"/>
      <c r="S124" s="111"/>
      <c r="T124" s="111"/>
      <c r="U124" s="111"/>
      <c r="V124" s="111"/>
      <c r="W124" s="111"/>
      <c r="X124" s="111"/>
      <c r="Y124" s="111"/>
      <c r="Z124" s="112"/>
      <c r="AA124" s="58"/>
      <c r="AB124" s="58"/>
    </row>
    <row r="125" spans="1:28" x14ac:dyDescent="0.3">
      <c r="A125" s="146"/>
      <c r="B125" s="147"/>
      <c r="C125" s="147"/>
      <c r="D125" s="147"/>
      <c r="E125" s="147"/>
      <c r="F125" s="147"/>
      <c r="G125" s="147"/>
      <c r="H125" s="147"/>
      <c r="I125" s="147"/>
      <c r="J125" s="147"/>
      <c r="K125" s="147"/>
      <c r="L125" s="147"/>
      <c r="M125" s="147"/>
      <c r="N125" s="147"/>
      <c r="O125" s="148"/>
      <c r="P125" s="61"/>
      <c r="Q125" s="113"/>
      <c r="R125" s="114"/>
      <c r="S125" s="114"/>
      <c r="T125" s="114"/>
      <c r="U125" s="114"/>
      <c r="V125" s="114"/>
      <c r="W125" s="114"/>
      <c r="X125" s="114"/>
      <c r="Y125" s="114"/>
      <c r="Z125" s="115"/>
      <c r="AA125" s="58"/>
      <c r="AB125" s="58"/>
    </row>
    <row r="126" spans="1:28" x14ac:dyDescent="0.3">
      <c r="A126" s="146"/>
      <c r="B126" s="147"/>
      <c r="C126" s="147"/>
      <c r="D126" s="147"/>
      <c r="E126" s="147"/>
      <c r="F126" s="147"/>
      <c r="G126" s="147"/>
      <c r="H126" s="147"/>
      <c r="I126" s="147"/>
      <c r="J126" s="147"/>
      <c r="K126" s="147"/>
      <c r="L126" s="147"/>
      <c r="M126" s="147"/>
      <c r="N126" s="147"/>
      <c r="O126" s="148"/>
      <c r="P126" s="61"/>
      <c r="Q126" s="113"/>
      <c r="R126" s="114"/>
      <c r="S126" s="114"/>
      <c r="T126" s="114"/>
      <c r="U126" s="114"/>
      <c r="V126" s="114"/>
      <c r="W126" s="114"/>
      <c r="X126" s="114"/>
      <c r="Y126" s="114"/>
      <c r="Z126" s="115"/>
    </row>
    <row r="127" spans="1:28" ht="12.5" thickBot="1" x14ac:dyDescent="0.35">
      <c r="A127" s="146"/>
      <c r="B127" s="147"/>
      <c r="C127" s="147"/>
      <c r="D127" s="147"/>
      <c r="E127" s="147"/>
      <c r="F127" s="147"/>
      <c r="G127" s="147"/>
      <c r="H127" s="147"/>
      <c r="I127" s="147"/>
      <c r="J127" s="147"/>
      <c r="K127" s="147"/>
      <c r="L127" s="147"/>
      <c r="M127" s="147"/>
      <c r="N127" s="147"/>
      <c r="O127" s="148"/>
      <c r="P127" s="61"/>
      <c r="Q127" s="116"/>
      <c r="R127" s="117"/>
      <c r="S127" s="117"/>
      <c r="T127" s="117"/>
      <c r="U127" s="117"/>
      <c r="V127" s="117"/>
      <c r="W127" s="117"/>
      <c r="X127" s="117"/>
      <c r="Y127" s="117"/>
      <c r="Z127" s="118"/>
    </row>
    <row r="128" spans="1:28" x14ac:dyDescent="0.3">
      <c r="A128" s="146"/>
      <c r="B128" s="147"/>
      <c r="C128" s="147"/>
      <c r="D128" s="147"/>
      <c r="E128" s="147"/>
      <c r="F128" s="147"/>
      <c r="G128" s="147"/>
      <c r="H128" s="147"/>
      <c r="I128" s="147"/>
      <c r="J128" s="147"/>
      <c r="K128" s="147"/>
      <c r="L128" s="147"/>
      <c r="M128" s="147"/>
      <c r="N128" s="147"/>
      <c r="O128" s="148"/>
      <c r="P128" s="61"/>
      <c r="Q128" s="61"/>
      <c r="R128" s="61"/>
      <c r="S128" s="61"/>
      <c r="T128" s="61"/>
    </row>
    <row r="129" spans="1:20" x14ac:dyDescent="0.3">
      <c r="A129" s="146"/>
      <c r="B129" s="147"/>
      <c r="C129" s="147"/>
      <c r="D129" s="147"/>
      <c r="E129" s="147"/>
      <c r="F129" s="147"/>
      <c r="G129" s="147"/>
      <c r="H129" s="147"/>
      <c r="I129" s="147"/>
      <c r="J129" s="147"/>
      <c r="K129" s="147"/>
      <c r="L129" s="147"/>
      <c r="M129" s="147"/>
      <c r="N129" s="147"/>
      <c r="O129" s="148"/>
      <c r="P129" s="61"/>
      <c r="Q129" s="61"/>
      <c r="R129" s="61"/>
      <c r="S129" s="61"/>
      <c r="T129" s="61"/>
    </row>
    <row r="130" spans="1:20" x14ac:dyDescent="0.3">
      <c r="A130" s="146"/>
      <c r="B130" s="147"/>
      <c r="C130" s="147"/>
      <c r="D130" s="147"/>
      <c r="E130" s="147"/>
      <c r="F130" s="147"/>
      <c r="G130" s="147"/>
      <c r="H130" s="147"/>
      <c r="I130" s="147"/>
      <c r="J130" s="147"/>
      <c r="K130" s="147"/>
      <c r="L130" s="147"/>
      <c r="M130" s="147"/>
      <c r="N130" s="147"/>
      <c r="O130" s="148"/>
      <c r="P130" s="61"/>
      <c r="Q130" s="61"/>
      <c r="R130" s="61"/>
      <c r="S130" s="61"/>
      <c r="T130" s="61"/>
    </row>
    <row r="131" spans="1:20" x14ac:dyDescent="0.3">
      <c r="A131" s="146"/>
      <c r="B131" s="147"/>
      <c r="C131" s="147"/>
      <c r="D131" s="147"/>
      <c r="E131" s="147"/>
      <c r="F131" s="147"/>
      <c r="G131" s="147"/>
      <c r="H131" s="147"/>
      <c r="I131" s="147"/>
      <c r="J131" s="147"/>
      <c r="K131" s="147"/>
      <c r="L131" s="147"/>
      <c r="M131" s="147"/>
      <c r="N131" s="147"/>
      <c r="O131" s="148"/>
      <c r="P131" s="61"/>
      <c r="Q131" s="61"/>
      <c r="R131" s="61"/>
      <c r="S131" s="61"/>
      <c r="T131" s="61"/>
    </row>
    <row r="132" spans="1:20" x14ac:dyDescent="0.3">
      <c r="A132" s="146"/>
      <c r="B132" s="147"/>
      <c r="C132" s="147"/>
      <c r="D132" s="147"/>
      <c r="E132" s="147"/>
      <c r="F132" s="147"/>
      <c r="G132" s="147"/>
      <c r="H132" s="147"/>
      <c r="I132" s="147"/>
      <c r="J132" s="147"/>
      <c r="K132" s="147"/>
      <c r="L132" s="147"/>
      <c r="M132" s="147"/>
      <c r="N132" s="147"/>
      <c r="O132" s="148"/>
      <c r="P132" s="61"/>
      <c r="Q132" s="61"/>
      <c r="R132" s="61"/>
      <c r="S132" s="61"/>
      <c r="T132" s="61"/>
    </row>
    <row r="133" spans="1:20" x14ac:dyDescent="0.3">
      <c r="A133" s="146"/>
      <c r="B133" s="147"/>
      <c r="C133" s="147"/>
      <c r="D133" s="147"/>
      <c r="E133" s="147"/>
      <c r="F133" s="147"/>
      <c r="G133" s="147"/>
      <c r="H133" s="147"/>
      <c r="I133" s="147"/>
      <c r="J133" s="147"/>
      <c r="K133" s="147"/>
      <c r="L133" s="147"/>
      <c r="M133" s="147"/>
      <c r="N133" s="147"/>
      <c r="O133" s="148"/>
      <c r="P133" s="61"/>
      <c r="Q133" s="61"/>
      <c r="R133" s="61"/>
      <c r="S133" s="61"/>
      <c r="T133" s="61"/>
    </row>
    <row r="134" spans="1:20" x14ac:dyDescent="0.3">
      <c r="A134" s="146"/>
      <c r="B134" s="147"/>
      <c r="C134" s="147"/>
      <c r="D134" s="147"/>
      <c r="E134" s="147"/>
      <c r="F134" s="147"/>
      <c r="G134" s="147"/>
      <c r="H134" s="147"/>
      <c r="I134" s="147"/>
      <c r="J134" s="147"/>
      <c r="K134" s="147"/>
      <c r="L134" s="147"/>
      <c r="M134" s="147"/>
      <c r="N134" s="147"/>
      <c r="O134" s="148"/>
      <c r="P134" s="61"/>
      <c r="Q134" s="61"/>
      <c r="R134" s="61"/>
      <c r="S134" s="61"/>
      <c r="T134" s="61"/>
    </row>
    <row r="135" spans="1:20" x14ac:dyDescent="0.3">
      <c r="A135" s="146"/>
      <c r="B135" s="147"/>
      <c r="C135" s="147"/>
      <c r="D135" s="147"/>
      <c r="E135" s="147"/>
      <c r="F135" s="147"/>
      <c r="G135" s="147"/>
      <c r="H135" s="147"/>
      <c r="I135" s="147"/>
      <c r="J135" s="147"/>
      <c r="K135" s="147"/>
      <c r="L135" s="147"/>
      <c r="M135" s="147"/>
      <c r="N135" s="147"/>
      <c r="O135" s="148"/>
      <c r="P135" s="61"/>
      <c r="Q135" s="61"/>
      <c r="R135" s="61"/>
      <c r="S135" s="61"/>
      <c r="T135" s="61"/>
    </row>
    <row r="136" spans="1:20" ht="12.5" thickBot="1" x14ac:dyDescent="0.35">
      <c r="A136" s="149"/>
      <c r="B136" s="150"/>
      <c r="C136" s="150"/>
      <c r="D136" s="150"/>
      <c r="E136" s="150"/>
      <c r="F136" s="150"/>
      <c r="G136" s="150"/>
      <c r="H136" s="150"/>
      <c r="I136" s="150"/>
      <c r="J136" s="150"/>
      <c r="K136" s="150"/>
      <c r="L136" s="150"/>
      <c r="M136" s="150"/>
      <c r="N136" s="150"/>
      <c r="O136" s="151"/>
      <c r="P136" s="61"/>
      <c r="Q136" s="61"/>
      <c r="R136" s="61"/>
      <c r="S136" s="61"/>
      <c r="T136" s="61"/>
    </row>
    <row r="137" spans="1:20" x14ac:dyDescent="0.3">
      <c r="A137" s="61"/>
      <c r="B137" s="61"/>
      <c r="C137" s="61"/>
      <c r="D137" s="61"/>
      <c r="E137" s="61"/>
      <c r="F137" s="62"/>
      <c r="G137" s="61"/>
      <c r="H137" s="61"/>
      <c r="I137" s="61"/>
      <c r="J137" s="61"/>
      <c r="K137" s="63"/>
      <c r="L137" s="61"/>
      <c r="M137" s="61"/>
      <c r="N137" s="61"/>
      <c r="O137" s="61"/>
      <c r="P137" s="61"/>
      <c r="Q137" s="61"/>
      <c r="R137" s="61"/>
      <c r="S137" s="61"/>
      <c r="T137" s="61"/>
    </row>
    <row r="138" spans="1:20" x14ac:dyDescent="0.3">
      <c r="A138" s="61"/>
      <c r="B138" s="61"/>
      <c r="C138" s="61"/>
      <c r="D138" s="61"/>
      <c r="E138" s="61"/>
      <c r="F138" s="62"/>
      <c r="G138" s="61"/>
      <c r="H138" s="61"/>
      <c r="I138" s="61"/>
      <c r="J138" s="61"/>
      <c r="K138" s="63"/>
      <c r="L138" s="61"/>
      <c r="M138" s="61"/>
      <c r="N138" s="61"/>
      <c r="O138" s="61"/>
      <c r="P138" s="61"/>
      <c r="Q138" s="61"/>
      <c r="R138" s="61"/>
      <c r="S138" s="61"/>
      <c r="T138" s="61"/>
    </row>
    <row r="139" spans="1:20" x14ac:dyDescent="0.3">
      <c r="A139" s="61"/>
      <c r="B139" s="61"/>
      <c r="C139" s="61"/>
      <c r="D139" s="61"/>
      <c r="E139" s="61"/>
      <c r="F139" s="62"/>
      <c r="G139" s="61"/>
      <c r="H139" s="61"/>
      <c r="I139" s="61"/>
      <c r="J139" s="61"/>
      <c r="K139" s="63"/>
      <c r="L139" s="61"/>
      <c r="M139" s="61"/>
      <c r="N139" s="61"/>
      <c r="O139" s="61"/>
      <c r="P139" s="61"/>
      <c r="Q139" s="61"/>
      <c r="R139" s="61"/>
      <c r="S139" s="61"/>
      <c r="T139" s="61"/>
    </row>
    <row r="140" spans="1:20" x14ac:dyDescent="0.3">
      <c r="A140" s="61"/>
      <c r="B140" s="61"/>
      <c r="C140" s="61"/>
      <c r="D140" s="61"/>
      <c r="E140" s="61"/>
      <c r="F140" s="62"/>
      <c r="G140" s="61"/>
      <c r="H140" s="61"/>
      <c r="I140" s="61"/>
      <c r="J140" s="61"/>
      <c r="K140" s="63"/>
      <c r="L140" s="61"/>
      <c r="M140" s="61"/>
      <c r="N140" s="61"/>
      <c r="O140" s="61"/>
      <c r="P140" s="61"/>
      <c r="Q140" s="61"/>
      <c r="R140" s="61"/>
      <c r="S140" s="61"/>
      <c r="T140" s="61"/>
    </row>
    <row r="141" spans="1:20" x14ac:dyDescent="0.3">
      <c r="A141" s="61"/>
      <c r="B141" s="61"/>
      <c r="C141" s="61"/>
      <c r="D141" s="61"/>
      <c r="E141" s="61"/>
      <c r="F141" s="62"/>
      <c r="G141" s="61"/>
      <c r="H141" s="61"/>
      <c r="I141" s="61"/>
      <c r="J141" s="61"/>
      <c r="K141" s="63"/>
      <c r="L141" s="61"/>
      <c r="M141" s="61"/>
      <c r="N141" s="61"/>
      <c r="O141" s="61"/>
      <c r="P141" s="61"/>
      <c r="Q141" s="61"/>
      <c r="R141" s="61"/>
      <c r="S141" s="61"/>
      <c r="T141" s="61"/>
    </row>
    <row r="142" spans="1:20" x14ac:dyDescent="0.3">
      <c r="A142" s="61"/>
      <c r="B142" s="61"/>
      <c r="C142" s="61"/>
      <c r="D142" s="61"/>
      <c r="E142" s="61"/>
      <c r="F142" s="62"/>
      <c r="G142" s="61"/>
      <c r="H142" s="61"/>
      <c r="I142" s="61"/>
      <c r="J142" s="61"/>
      <c r="K142" s="63"/>
      <c r="L142" s="61"/>
      <c r="M142" s="61"/>
      <c r="N142" s="61"/>
      <c r="O142" s="61"/>
      <c r="P142" s="61"/>
      <c r="Q142" s="61"/>
      <c r="R142" s="61"/>
      <c r="S142" s="61"/>
      <c r="T142" s="61"/>
    </row>
    <row r="143" spans="1:20" x14ac:dyDescent="0.3">
      <c r="A143" s="61"/>
      <c r="B143" s="61"/>
      <c r="C143" s="61"/>
      <c r="D143" s="61"/>
      <c r="E143" s="61"/>
      <c r="F143" s="62"/>
      <c r="G143" s="61"/>
      <c r="H143" s="61"/>
      <c r="I143" s="61"/>
      <c r="J143" s="61"/>
      <c r="K143" s="63"/>
      <c r="L143" s="61"/>
      <c r="M143" s="61"/>
      <c r="N143" s="61"/>
      <c r="O143" s="61"/>
      <c r="P143" s="61"/>
      <c r="Q143" s="61"/>
      <c r="R143" s="61"/>
      <c r="S143" s="61"/>
      <c r="T143" s="61"/>
    </row>
    <row r="144" spans="1:20" x14ac:dyDescent="0.3">
      <c r="A144" s="61"/>
      <c r="B144" s="61"/>
      <c r="C144" s="61"/>
      <c r="D144" s="61"/>
      <c r="E144" s="61"/>
      <c r="F144" s="62"/>
      <c r="G144" s="61"/>
      <c r="H144" s="61"/>
      <c r="I144" s="61"/>
      <c r="J144" s="61"/>
      <c r="K144" s="63"/>
      <c r="L144" s="61"/>
      <c r="M144" s="61"/>
      <c r="N144" s="61"/>
      <c r="O144" s="61"/>
      <c r="P144" s="61"/>
      <c r="Q144" s="61"/>
      <c r="R144" s="61"/>
      <c r="S144" s="61"/>
      <c r="T144" s="61"/>
    </row>
    <row r="145" spans="1:20" x14ac:dyDescent="0.3">
      <c r="A145" s="61"/>
      <c r="B145" s="61"/>
      <c r="C145" s="61"/>
      <c r="D145" s="61"/>
      <c r="E145" s="61"/>
      <c r="F145" s="62"/>
      <c r="G145" s="61"/>
      <c r="H145" s="61"/>
      <c r="I145" s="61"/>
      <c r="J145" s="61"/>
      <c r="K145" s="63"/>
      <c r="L145" s="61"/>
      <c r="M145" s="61"/>
      <c r="N145" s="61"/>
      <c r="O145" s="61"/>
      <c r="P145" s="61"/>
      <c r="Q145" s="61"/>
      <c r="R145" s="61"/>
      <c r="S145" s="61"/>
      <c r="T145" s="61"/>
    </row>
    <row r="146" spans="1:20" x14ac:dyDescent="0.3">
      <c r="A146" s="61"/>
      <c r="B146" s="61"/>
      <c r="C146" s="61"/>
      <c r="D146" s="61"/>
      <c r="E146" s="61"/>
      <c r="F146" s="62"/>
      <c r="G146" s="61"/>
      <c r="H146" s="61"/>
      <c r="I146" s="61"/>
      <c r="J146" s="61"/>
      <c r="K146" s="63"/>
      <c r="L146" s="61"/>
      <c r="M146" s="61"/>
      <c r="N146" s="61"/>
      <c r="O146" s="61"/>
      <c r="P146" s="61"/>
      <c r="Q146" s="61"/>
      <c r="R146" s="61"/>
      <c r="S146" s="61"/>
      <c r="T146" s="61"/>
    </row>
    <row r="147" spans="1:20" x14ac:dyDescent="0.3">
      <c r="A147" s="61"/>
      <c r="B147" s="61"/>
      <c r="C147" s="61"/>
      <c r="D147" s="61"/>
      <c r="E147" s="61"/>
      <c r="F147" s="62"/>
      <c r="G147" s="61"/>
      <c r="H147" s="61"/>
      <c r="I147" s="61"/>
      <c r="J147" s="61"/>
      <c r="K147" s="63"/>
      <c r="L147" s="61"/>
      <c r="M147" s="61"/>
      <c r="N147" s="61"/>
      <c r="O147" s="61"/>
      <c r="P147" s="61"/>
      <c r="Q147" s="61"/>
      <c r="R147" s="61"/>
      <c r="S147" s="61"/>
      <c r="T147" s="61"/>
    </row>
    <row r="148" spans="1:20" x14ac:dyDescent="0.3">
      <c r="A148" s="61"/>
      <c r="B148" s="61"/>
      <c r="C148" s="61"/>
      <c r="D148" s="61"/>
      <c r="E148" s="61"/>
      <c r="F148" s="62"/>
      <c r="G148" s="61"/>
      <c r="H148" s="61"/>
      <c r="I148" s="61"/>
      <c r="J148" s="61"/>
      <c r="K148" s="63"/>
      <c r="L148" s="61"/>
      <c r="M148" s="61"/>
      <c r="N148" s="61"/>
      <c r="O148" s="61"/>
      <c r="P148" s="61"/>
      <c r="Q148" s="61"/>
      <c r="R148" s="61"/>
      <c r="S148" s="61"/>
      <c r="T148" s="61"/>
    </row>
    <row r="149" spans="1:20" x14ac:dyDescent="0.3">
      <c r="A149" s="61"/>
      <c r="B149" s="61"/>
      <c r="C149" s="61"/>
      <c r="D149" s="61"/>
      <c r="E149" s="61"/>
      <c r="F149" s="62"/>
      <c r="G149" s="61"/>
      <c r="H149" s="61"/>
      <c r="I149" s="61"/>
      <c r="J149" s="61"/>
      <c r="K149" s="63"/>
      <c r="L149" s="61"/>
      <c r="M149" s="61"/>
      <c r="N149" s="61"/>
      <c r="O149" s="61"/>
      <c r="P149" s="61"/>
      <c r="Q149" s="61"/>
      <c r="R149" s="61"/>
      <c r="S149" s="61"/>
      <c r="T149" s="61"/>
    </row>
    <row r="150" spans="1:20" x14ac:dyDescent="0.3">
      <c r="A150" s="61"/>
      <c r="B150" s="61"/>
      <c r="C150" s="61"/>
      <c r="D150" s="61"/>
      <c r="E150" s="61"/>
      <c r="F150" s="62"/>
      <c r="G150" s="61"/>
      <c r="H150" s="61"/>
      <c r="I150" s="61"/>
      <c r="J150" s="61"/>
      <c r="K150" s="63"/>
      <c r="L150" s="61"/>
      <c r="M150" s="61"/>
      <c r="N150" s="61"/>
      <c r="O150" s="61"/>
      <c r="P150" s="61"/>
      <c r="Q150" s="61"/>
      <c r="R150" s="61"/>
      <c r="S150" s="61"/>
      <c r="T150" s="61"/>
    </row>
    <row r="151" spans="1:20" x14ac:dyDescent="0.3">
      <c r="A151" s="61"/>
      <c r="B151" s="61"/>
      <c r="C151" s="61"/>
      <c r="D151" s="61"/>
      <c r="E151" s="61"/>
      <c r="F151" s="62"/>
      <c r="G151" s="61"/>
      <c r="H151" s="61"/>
      <c r="I151" s="61"/>
      <c r="J151" s="61"/>
      <c r="K151" s="63"/>
      <c r="L151" s="61"/>
      <c r="M151" s="61"/>
      <c r="N151" s="61"/>
      <c r="O151" s="61"/>
      <c r="P151" s="61"/>
      <c r="Q151" s="61"/>
      <c r="R151" s="61"/>
      <c r="S151" s="61"/>
      <c r="T151" s="61"/>
    </row>
    <row r="152" spans="1:20" x14ac:dyDescent="0.3">
      <c r="A152" s="61"/>
      <c r="B152" s="61"/>
      <c r="C152" s="61"/>
      <c r="D152" s="61"/>
      <c r="E152" s="61"/>
      <c r="F152" s="62"/>
      <c r="G152" s="61"/>
      <c r="H152" s="61"/>
      <c r="I152" s="61"/>
      <c r="J152" s="61"/>
      <c r="K152" s="63"/>
      <c r="L152" s="61"/>
      <c r="M152" s="61"/>
      <c r="N152" s="61"/>
      <c r="O152" s="61"/>
      <c r="P152" s="61"/>
      <c r="Q152" s="61"/>
      <c r="R152" s="61"/>
      <c r="S152" s="61"/>
      <c r="T152" s="61"/>
    </row>
    <row r="153" spans="1:20" x14ac:dyDescent="0.3">
      <c r="A153" s="61"/>
      <c r="B153" s="61"/>
      <c r="C153" s="61"/>
      <c r="D153" s="61"/>
      <c r="E153" s="61"/>
      <c r="F153" s="62"/>
      <c r="G153" s="61"/>
      <c r="H153" s="61"/>
      <c r="I153" s="61"/>
      <c r="J153" s="61"/>
      <c r="K153" s="63"/>
      <c r="L153" s="61"/>
      <c r="M153" s="61"/>
      <c r="N153" s="61"/>
      <c r="O153" s="61"/>
      <c r="P153" s="61"/>
      <c r="Q153" s="61"/>
      <c r="R153" s="61"/>
      <c r="S153" s="61"/>
      <c r="T153" s="61"/>
    </row>
    <row r="154" spans="1:20" x14ac:dyDescent="0.3">
      <c r="A154" s="61"/>
      <c r="B154" s="61"/>
      <c r="C154" s="61"/>
      <c r="D154" s="61"/>
      <c r="E154" s="61"/>
      <c r="F154" s="62"/>
      <c r="G154" s="61"/>
      <c r="H154" s="61"/>
      <c r="I154" s="61"/>
      <c r="J154" s="61"/>
      <c r="K154" s="63"/>
      <c r="L154" s="61"/>
      <c r="M154" s="61"/>
      <c r="N154" s="61"/>
      <c r="O154" s="61"/>
      <c r="P154" s="61"/>
      <c r="Q154" s="61"/>
      <c r="R154" s="61"/>
      <c r="S154" s="61"/>
      <c r="T154" s="61"/>
    </row>
    <row r="155" spans="1:20" x14ac:dyDescent="0.3">
      <c r="A155" s="61"/>
      <c r="B155" s="61"/>
      <c r="C155" s="61"/>
      <c r="D155" s="61"/>
      <c r="E155" s="61"/>
      <c r="F155" s="62"/>
      <c r="G155" s="61"/>
      <c r="H155" s="61"/>
      <c r="I155" s="61"/>
      <c r="J155" s="61"/>
      <c r="K155" s="63"/>
      <c r="L155" s="61"/>
      <c r="M155" s="61"/>
      <c r="N155" s="61"/>
      <c r="O155" s="61"/>
      <c r="P155" s="61"/>
      <c r="Q155" s="61"/>
      <c r="R155" s="61"/>
      <c r="S155" s="61"/>
      <c r="T155" s="61"/>
    </row>
    <row r="156" spans="1:20" x14ac:dyDescent="0.3">
      <c r="A156" s="61"/>
      <c r="B156" s="61"/>
      <c r="C156" s="61"/>
      <c r="D156" s="61"/>
      <c r="E156" s="61"/>
      <c r="F156" s="62"/>
      <c r="G156" s="61"/>
      <c r="H156" s="61"/>
      <c r="I156" s="61"/>
      <c r="J156" s="61"/>
      <c r="K156" s="63"/>
      <c r="L156" s="61"/>
      <c r="M156" s="61"/>
      <c r="N156" s="61"/>
      <c r="O156" s="61"/>
      <c r="P156" s="61"/>
      <c r="Q156" s="61"/>
      <c r="R156" s="61"/>
      <c r="S156" s="61"/>
      <c r="T156" s="61"/>
    </row>
    <row r="157" spans="1:20" x14ac:dyDescent="0.3">
      <c r="A157" s="61"/>
      <c r="B157" s="61"/>
      <c r="C157" s="61"/>
      <c r="D157" s="61"/>
      <c r="E157" s="61"/>
      <c r="F157" s="62"/>
      <c r="G157" s="61"/>
      <c r="H157" s="61"/>
      <c r="I157" s="61"/>
      <c r="J157" s="61"/>
      <c r="K157" s="63"/>
      <c r="L157" s="61"/>
      <c r="M157" s="61"/>
      <c r="N157" s="61"/>
      <c r="O157" s="61"/>
      <c r="P157" s="61"/>
      <c r="Q157" s="61"/>
      <c r="R157" s="61"/>
      <c r="S157" s="61"/>
      <c r="T157" s="61"/>
    </row>
    <row r="158" spans="1:20" x14ac:dyDescent="0.3">
      <c r="A158" s="61"/>
      <c r="B158" s="61"/>
      <c r="C158" s="61"/>
      <c r="D158" s="61"/>
      <c r="E158" s="61"/>
      <c r="F158" s="62"/>
      <c r="G158" s="61"/>
      <c r="H158" s="61"/>
      <c r="I158" s="61"/>
      <c r="J158" s="61"/>
      <c r="K158" s="63"/>
      <c r="L158" s="61"/>
      <c r="M158" s="61"/>
      <c r="N158" s="61"/>
      <c r="O158" s="61"/>
      <c r="P158" s="61"/>
      <c r="Q158" s="61"/>
      <c r="R158" s="61"/>
      <c r="S158" s="61"/>
      <c r="T158" s="61"/>
    </row>
    <row r="159" spans="1:20" x14ac:dyDescent="0.3">
      <c r="A159" s="61"/>
      <c r="B159" s="61"/>
      <c r="C159" s="61"/>
      <c r="D159" s="61"/>
      <c r="E159" s="61"/>
      <c r="F159" s="62"/>
      <c r="G159" s="61"/>
      <c r="H159" s="61"/>
      <c r="I159" s="61"/>
      <c r="J159" s="61"/>
      <c r="K159" s="63"/>
      <c r="L159" s="61"/>
      <c r="M159" s="61"/>
      <c r="N159" s="61"/>
      <c r="O159" s="61"/>
      <c r="P159" s="61"/>
      <c r="Q159" s="61"/>
      <c r="R159" s="61"/>
      <c r="S159" s="61"/>
      <c r="T159" s="61"/>
    </row>
    <row r="160" spans="1:20" x14ac:dyDescent="0.3">
      <c r="A160" s="61"/>
      <c r="B160" s="61"/>
      <c r="C160" s="61"/>
      <c r="D160" s="61"/>
      <c r="E160" s="61"/>
      <c r="F160" s="62"/>
      <c r="G160" s="61"/>
      <c r="H160" s="61"/>
      <c r="I160" s="61"/>
      <c r="J160" s="61"/>
      <c r="K160" s="63"/>
      <c r="L160" s="61"/>
      <c r="M160" s="61"/>
      <c r="N160" s="61"/>
      <c r="O160" s="61"/>
      <c r="P160" s="61"/>
      <c r="Q160" s="61"/>
      <c r="R160" s="61"/>
      <c r="S160" s="61"/>
      <c r="T160" s="61"/>
    </row>
    <row r="161" spans="1:20" x14ac:dyDescent="0.3">
      <c r="A161" s="61"/>
      <c r="B161" s="61"/>
      <c r="C161" s="61"/>
      <c r="D161" s="61"/>
      <c r="E161" s="61"/>
      <c r="F161" s="62"/>
      <c r="G161" s="61"/>
      <c r="H161" s="61"/>
      <c r="I161" s="61"/>
      <c r="J161" s="61"/>
      <c r="K161" s="63"/>
      <c r="L161" s="61"/>
      <c r="M161" s="61"/>
      <c r="N161" s="61"/>
      <c r="O161" s="61"/>
      <c r="P161" s="61"/>
      <c r="Q161" s="61"/>
      <c r="R161" s="61"/>
      <c r="S161" s="61"/>
      <c r="T161" s="61"/>
    </row>
    <row r="162" spans="1:20" x14ac:dyDescent="0.3">
      <c r="A162" s="61"/>
      <c r="B162" s="61"/>
      <c r="C162" s="61"/>
      <c r="D162" s="61"/>
      <c r="E162" s="61"/>
      <c r="F162" s="62"/>
      <c r="G162" s="61"/>
      <c r="H162" s="61"/>
      <c r="I162" s="61"/>
      <c r="J162" s="61"/>
      <c r="K162" s="63"/>
      <c r="L162" s="61"/>
      <c r="M162" s="61"/>
      <c r="N162" s="61"/>
      <c r="O162" s="61"/>
      <c r="P162" s="61"/>
      <c r="Q162" s="61"/>
      <c r="R162" s="61"/>
      <c r="S162" s="61"/>
      <c r="T162" s="61"/>
    </row>
  </sheetData>
  <sheetProtection password="C5D5" sheet="1" objects="1" scenarios="1"/>
  <protectedRanges>
    <protectedRange sqref="Q92:U104" name="CreditReport"/>
    <protectedRange sqref="A5:B7 A9:B11 A13:B15 A17:B19 A21:B23 A25:B27 A29:B31 A33:B35 A37:B39" name="PackageGroups"/>
    <protectedRange sqref="B1" name="CruiseLength"/>
    <protectedRange sqref="A92:O96" name="CruiseOverview"/>
    <protectedRange sqref="A100:O104" name="CruiseIssues"/>
    <protectedRange sqref="Q124:Z127" name="NextVoyagePlan"/>
    <protectedRange sqref="U91" name="TotalCredits"/>
  </protectedRanges>
  <mergeCells count="50">
    <mergeCell ref="Q92:U104"/>
    <mergeCell ref="Q91:S91"/>
    <mergeCell ref="A77:N77"/>
    <mergeCell ref="A78:N78"/>
    <mergeCell ref="A79:N79"/>
    <mergeCell ref="A71:N71"/>
    <mergeCell ref="A72:N72"/>
    <mergeCell ref="A75:N75"/>
    <mergeCell ref="A76:N76"/>
    <mergeCell ref="A100:O104"/>
    <mergeCell ref="A108:O136"/>
    <mergeCell ref="A92:O96"/>
    <mergeCell ref="A80:N80"/>
    <mergeCell ref="A81:N81"/>
    <mergeCell ref="A82:N82"/>
    <mergeCell ref="A83:N83"/>
    <mergeCell ref="A86:N86"/>
    <mergeCell ref="B33:B35"/>
    <mergeCell ref="B37:B39"/>
    <mergeCell ref="B25:B27"/>
    <mergeCell ref="A70:N70"/>
    <mergeCell ref="A65:N65"/>
    <mergeCell ref="A67:N67"/>
    <mergeCell ref="A66:N66"/>
    <mergeCell ref="A68:N68"/>
    <mergeCell ref="A69:N69"/>
    <mergeCell ref="B9:B11"/>
    <mergeCell ref="B13:B15"/>
    <mergeCell ref="B21:B23"/>
    <mergeCell ref="N4:T4"/>
    <mergeCell ref="G4:H4"/>
    <mergeCell ref="G21:H21"/>
    <mergeCell ref="I5:J5"/>
    <mergeCell ref="K5:L5"/>
    <mergeCell ref="A3:B3"/>
    <mergeCell ref="Q124:Z127"/>
    <mergeCell ref="Q123:Z123"/>
    <mergeCell ref="Q117:S117"/>
    <mergeCell ref="Q119:S119"/>
    <mergeCell ref="T115:U115"/>
    <mergeCell ref="T117:U117"/>
    <mergeCell ref="T119:U119"/>
    <mergeCell ref="Q109:S109"/>
    <mergeCell ref="Q111:S111"/>
    <mergeCell ref="Q113:S113"/>
    <mergeCell ref="Q115:S115"/>
    <mergeCell ref="Q107:U107"/>
    <mergeCell ref="B17:B19"/>
    <mergeCell ref="B29:B31"/>
    <mergeCell ref="B5:B7"/>
  </mergeCells>
  <conditionalFormatting sqref="F6 F10 F14 F18 F22 F26 F30 F34 F38">
    <cfRule type="iconSet" priority="4">
      <iconSet>
        <cfvo type="percent" val="0"/>
        <cfvo type="num" val="0"/>
        <cfvo type="num" val="1000"/>
      </iconSet>
    </cfRule>
  </conditionalFormatting>
  <conditionalFormatting sqref="F7 F11 F15 F19 F23 F27 F31 F35 F39">
    <cfRule type="iconSet" priority="3">
      <iconSet>
        <cfvo type="percent" val="0"/>
        <cfvo type="num" val="0"/>
        <cfvo type="num" val="0.05"/>
      </iconSet>
    </cfRule>
  </conditionalFormatting>
  <conditionalFormatting sqref="N39:T39 N35:T35 N31:T31 N27:T27 N23:T23 N19:T19 N15:T15 N11:T11 N7:T7">
    <cfRule type="iconSet" priority="1">
      <iconSet>
        <cfvo type="percent" val="0"/>
        <cfvo type="num" val="0"/>
        <cfvo type="num" val="0.05"/>
      </iconSet>
    </cfRule>
  </conditionalFormatting>
  <pageMargins left="0.7" right="0.7" top="0.75" bottom="0.75" header="0.3" footer="0.3"/>
  <pageSetup orientation="portrait" horizontalDpi="4294967294"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37</vt:i4>
      </vt:variant>
    </vt:vector>
  </HeadingPairs>
  <TitlesOfParts>
    <vt:vector size="40" baseType="lpstr">
      <vt:lpstr>PREVIOUS CRUISE</vt:lpstr>
      <vt:lpstr>CURRENT CRUISE</vt:lpstr>
      <vt:lpstr>SUMMARY</vt:lpstr>
      <vt:lpstr>C_PG1_TOTAL</vt:lpstr>
      <vt:lpstr>C_PG1_UNIQUE</vt:lpstr>
      <vt:lpstr>C_PG2_TOTAL</vt:lpstr>
      <vt:lpstr>C_PG2_UNIQUE</vt:lpstr>
      <vt:lpstr>C_PG3_TOTAL</vt:lpstr>
      <vt:lpstr>C_PG3_UNIQUE</vt:lpstr>
      <vt:lpstr>C_PG4_TOTAL</vt:lpstr>
      <vt:lpstr>C_PG4_UNIQUE</vt:lpstr>
      <vt:lpstr>C_PG5_TOTAL</vt:lpstr>
      <vt:lpstr>C_PG5_UNIQUE</vt:lpstr>
      <vt:lpstr>C_PG6_TOTAL</vt:lpstr>
      <vt:lpstr>C_PG6_UNIQUE</vt:lpstr>
      <vt:lpstr>C_PG7_TOTAL</vt:lpstr>
      <vt:lpstr>C_PG7_UNIQUE</vt:lpstr>
      <vt:lpstr>C_PG8_TOTAL</vt:lpstr>
      <vt:lpstr>C_PG8_UNIQUE</vt:lpstr>
      <vt:lpstr>C_PG9_TOTAL</vt:lpstr>
      <vt:lpstr>C_PG9_UNIQUE</vt:lpstr>
      <vt:lpstr>MAX_WIDTH</vt:lpstr>
      <vt:lpstr>P_PG1_TOTAL</vt:lpstr>
      <vt:lpstr>P_PG1_UNIQUE</vt:lpstr>
      <vt:lpstr>P_PG2_TOTAL</vt:lpstr>
      <vt:lpstr>P_PG2_UNIQUE</vt:lpstr>
      <vt:lpstr>P_PG3_TOTAL</vt:lpstr>
      <vt:lpstr>P_PG3_UNIQUE</vt:lpstr>
      <vt:lpstr>P_PG4_TOTAL</vt:lpstr>
      <vt:lpstr>P_PG4_UNIQUE</vt:lpstr>
      <vt:lpstr>P_PG5_TOTAL</vt:lpstr>
      <vt:lpstr>P_PG5_UNIQUE</vt:lpstr>
      <vt:lpstr>P_PG6_TOTAL</vt:lpstr>
      <vt:lpstr>P_PG6_UNIQUE</vt:lpstr>
      <vt:lpstr>P_PG7_TOTAL</vt:lpstr>
      <vt:lpstr>P_PG7_UNIQUE</vt:lpstr>
      <vt:lpstr>P_PG8_TOTAL</vt:lpstr>
      <vt:lpstr>P_PG8_UNIQUE</vt:lpstr>
      <vt:lpstr>P_PG9_TOTAL</vt:lpstr>
      <vt:lpstr>P_PG9_UNIQUE</vt:lpstr>
    </vt:vector>
  </TitlesOfParts>
  <Company>Maritime Telecommunications Network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manager</dc:creator>
  <cp:lastModifiedBy>Bojan Gluvacevic</cp:lastModifiedBy>
  <cp:lastPrinted>2018-07-20T00:06:34Z</cp:lastPrinted>
  <dcterms:created xsi:type="dcterms:W3CDTF">2018-07-18T01:04:56Z</dcterms:created>
  <dcterms:modified xsi:type="dcterms:W3CDTF">2021-10-20T22:35:44Z</dcterms:modified>
</cp:coreProperties>
</file>