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is\Desktop\"/>
    </mc:Choice>
  </mc:AlternateContent>
  <xr:revisionPtr revIDLastSave="0" documentId="13_ncr:1_{C06B9463-9A6A-4D5D-AD6F-12131ECCB8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" sheetId="1" r:id="rId1"/>
    <sheet name="Tra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P34" i="1"/>
  <c r="O34" i="1"/>
  <c r="N34" i="1"/>
  <c r="M34" i="1"/>
  <c r="K34" i="1"/>
  <c r="I34" i="1"/>
  <c r="O27" i="2"/>
  <c r="O28" i="2"/>
  <c r="O26" i="2"/>
  <c r="O25" i="2"/>
  <c r="M23" i="1" s="1"/>
  <c r="C7" i="1"/>
  <c r="O24" i="2"/>
  <c r="M33" i="1" s="1"/>
  <c r="O23" i="2"/>
  <c r="O21" i="2"/>
  <c r="O22" i="2"/>
  <c r="O20" i="2"/>
  <c r="O19" i="2"/>
  <c r="M32" i="1" s="1"/>
  <c r="O18" i="2"/>
  <c r="M25" i="1" s="1"/>
  <c r="O17" i="2"/>
  <c r="M31" i="1" s="1"/>
  <c r="O16" i="2"/>
  <c r="M30" i="1" s="1"/>
  <c r="O15" i="2"/>
  <c r="O14" i="2"/>
  <c r="O13" i="2"/>
  <c r="O12" i="2"/>
  <c r="M27" i="1" s="1"/>
  <c r="O11" i="2"/>
  <c r="M26" i="1" s="1"/>
  <c r="O10" i="2"/>
  <c r="O9" i="2"/>
  <c r="O8" i="2"/>
  <c r="O7" i="2"/>
  <c r="M21" i="1" s="1"/>
  <c r="O6" i="2"/>
  <c r="M20" i="1" s="1"/>
  <c r="O5" i="2"/>
  <c r="O4" i="2"/>
  <c r="O2" i="2"/>
  <c r="O3" i="2"/>
  <c r="B12" i="1"/>
  <c r="L34" i="1" l="1"/>
  <c r="M28" i="1"/>
  <c r="M29" i="1"/>
  <c r="D10" i="1" s="1"/>
  <c r="M22" i="1"/>
  <c r="M19" i="1"/>
  <c r="M24" i="1"/>
  <c r="D9" i="1" s="1"/>
  <c r="M18" i="1"/>
  <c r="I18" i="1"/>
  <c r="K18" i="1" s="1"/>
  <c r="C10" i="1"/>
  <c r="I33" i="1" s="1"/>
  <c r="K33" i="1" s="1"/>
  <c r="L33" i="1" s="1"/>
  <c r="C9" i="1"/>
  <c r="C8" i="1"/>
  <c r="N33" i="1" l="1"/>
  <c r="P33" i="1"/>
  <c r="D8" i="1"/>
  <c r="F8" i="1"/>
  <c r="O33" i="1"/>
  <c r="F10" i="1"/>
  <c r="F9" i="1"/>
  <c r="D7" i="1"/>
  <c r="I31" i="1"/>
  <c r="K31" i="1" s="1"/>
  <c r="O31" i="1" s="1"/>
  <c r="I32" i="1"/>
  <c r="K32" i="1" s="1"/>
  <c r="N18" i="1"/>
  <c r="I23" i="1"/>
  <c r="K23" i="1" s="1"/>
  <c r="I24" i="1"/>
  <c r="K24" i="1" s="1"/>
  <c r="N24" i="1" s="1"/>
  <c r="I20" i="1"/>
  <c r="K20" i="1" s="1"/>
  <c r="I22" i="1"/>
  <c r="K22" i="1" s="1"/>
  <c r="I19" i="1"/>
  <c r="K19" i="1" s="1"/>
  <c r="I21" i="1"/>
  <c r="K21" i="1" s="1"/>
  <c r="N21" i="1" s="1"/>
  <c r="O18" i="1"/>
  <c r="I25" i="1"/>
  <c r="K25" i="1" s="1"/>
  <c r="I30" i="1"/>
  <c r="K30" i="1" s="1"/>
  <c r="I27" i="1"/>
  <c r="K27" i="1" s="1"/>
  <c r="I28" i="1"/>
  <c r="K28" i="1" s="1"/>
  <c r="I29" i="1"/>
  <c r="K29" i="1" s="1"/>
  <c r="I26" i="1"/>
  <c r="K26" i="1" s="1"/>
  <c r="C12" i="1"/>
  <c r="K36" i="1" l="1"/>
  <c r="N36" i="1" s="1"/>
  <c r="P20" i="1"/>
  <c r="L20" i="1"/>
  <c r="D12" i="1"/>
  <c r="F12" i="1" s="1"/>
  <c r="F7" i="1"/>
  <c r="P31" i="1"/>
  <c r="N31" i="1"/>
  <c r="L31" i="1"/>
  <c r="P32" i="1"/>
  <c r="N32" i="1"/>
  <c r="O32" i="1"/>
  <c r="L32" i="1"/>
  <c r="N22" i="1"/>
  <c r="O29" i="1"/>
  <c r="N29" i="1"/>
  <c r="O25" i="1"/>
  <c r="N25" i="1"/>
  <c r="O28" i="1"/>
  <c r="N28" i="1"/>
  <c r="P23" i="1"/>
  <c r="N23" i="1"/>
  <c r="O27" i="1"/>
  <c r="N27" i="1"/>
  <c r="O26" i="1"/>
  <c r="N26" i="1"/>
  <c r="O30" i="1"/>
  <c r="N30" i="1"/>
  <c r="P19" i="1"/>
  <c r="N19" i="1"/>
  <c r="O20" i="1"/>
  <c r="N20" i="1"/>
  <c r="L24" i="1"/>
  <c r="O24" i="1"/>
  <c r="P24" i="1"/>
  <c r="L23" i="1"/>
  <c r="O23" i="1"/>
  <c r="P22" i="1"/>
  <c r="L22" i="1"/>
  <c r="O22" i="1"/>
  <c r="P26" i="1"/>
  <c r="L26" i="1"/>
  <c r="P30" i="1"/>
  <c r="L30" i="1"/>
  <c r="O21" i="1"/>
  <c r="P21" i="1"/>
  <c r="L21" i="1"/>
  <c r="P29" i="1"/>
  <c r="L29" i="1"/>
  <c r="P25" i="1"/>
  <c r="L25" i="1"/>
  <c r="P28" i="1"/>
  <c r="L28" i="1"/>
  <c r="P27" i="1"/>
  <c r="L27" i="1"/>
  <c r="L19" i="1"/>
  <c r="O19" i="1"/>
  <c r="P18" i="1"/>
  <c r="L18" i="1"/>
  <c r="P36" i="1" l="1"/>
  <c r="Q36" i="1" s="1"/>
  <c r="O36" i="1"/>
  <c r="L36" i="1"/>
  <c r="E7" i="1"/>
  <c r="E9" i="1"/>
  <c r="E8" i="1"/>
  <c r="E10" i="1"/>
  <c r="E12" i="1" l="1"/>
</calcChain>
</file>

<file path=xl/sharedStrings.xml><?xml version="1.0" encoding="utf-8"?>
<sst xmlns="http://schemas.openxmlformats.org/spreadsheetml/2006/main" count="249" uniqueCount="90">
  <si>
    <t>Asset class</t>
  </si>
  <si>
    <t>Nr.</t>
  </si>
  <si>
    <t>Ticker</t>
  </si>
  <si>
    <t>Allocation by Asset Class</t>
  </si>
  <si>
    <t>Available Fund EUR</t>
  </si>
  <si>
    <t>BONDS</t>
  </si>
  <si>
    <t>COMMODITIES</t>
  </si>
  <si>
    <t>Asset Class</t>
  </si>
  <si>
    <t>Amount EUR</t>
  </si>
  <si>
    <t>Total</t>
  </si>
  <si>
    <t>Allocation by Symbols</t>
  </si>
  <si>
    <t>Product</t>
  </si>
  <si>
    <t>ETF</t>
  </si>
  <si>
    <t>Name</t>
  </si>
  <si>
    <t>TER</t>
  </si>
  <si>
    <t>Inception Date</t>
  </si>
  <si>
    <t>Div.Yield</t>
  </si>
  <si>
    <t>Allocation to Asset Class</t>
  </si>
  <si>
    <t>Allocation EUR</t>
  </si>
  <si>
    <t>Allocation % in Portfolio</t>
  </si>
  <si>
    <t>Allocation from asset class %</t>
  </si>
  <si>
    <t xml:space="preserve">FY Dividends </t>
  </si>
  <si>
    <t>IBTU</t>
  </si>
  <si>
    <t>ISHARES USD TREASURY BOND 0-1YR UCIT ETF USD DIS</t>
  </si>
  <si>
    <t>Feb 20, 2019</t>
  </si>
  <si>
    <t>COMMON SHARES</t>
  </si>
  <si>
    <t>SGLD</t>
  </si>
  <si>
    <t>INVESCO PHYSICAL GOLD ETC</t>
  </si>
  <si>
    <t>Pref SHARES</t>
  </si>
  <si>
    <t>Feb 20, 2020</t>
  </si>
  <si>
    <t>NSS</t>
  </si>
  <si>
    <t>NUSTAR LOGISTICS LP 7.625% FIXED T0</t>
  </si>
  <si>
    <t>Stock</t>
  </si>
  <si>
    <t>JPM PRC</t>
  </si>
  <si>
    <t>JPMORGAN CHASE &amp; CO</t>
  </si>
  <si>
    <t>WCC PRA</t>
  </si>
  <si>
    <t>WESCO INTERNATIONAL INC PFD</t>
  </si>
  <si>
    <t>BAC PRM</t>
  </si>
  <si>
    <t>BANK OF AMERICA CORP</t>
  </si>
  <si>
    <t>C PRN</t>
  </si>
  <si>
    <t>CITIGROUP CAP XIII TR PFD SECS FIXE</t>
  </si>
  <si>
    <t>MS PRA</t>
  </si>
  <si>
    <t>MORGAN STANLEY DEP SHARES SER A - NON-CUM</t>
  </si>
  <si>
    <t>GS PRA</t>
  </si>
  <si>
    <t>GOLDMAN SACHS GROUP INC DEP SH REPS</t>
  </si>
  <si>
    <t>Allocated EUR</t>
  </si>
  <si>
    <t>Allocated %</t>
  </si>
  <si>
    <t>To Allocate EUR</t>
  </si>
  <si>
    <t>TIGR</t>
  </si>
  <si>
    <t>FLOT</t>
  </si>
  <si>
    <t>L&amp;G INDIA INR GOV BOND UCITS</t>
  </si>
  <si>
    <t>ISHARES USD FLOATING USD DIS</t>
  </si>
  <si>
    <t>Teladoc Health, Inc.</t>
  </si>
  <si>
    <t>Vanguard USD Emerging Markets Government Bond</t>
  </si>
  <si>
    <t>sec</t>
  </si>
  <si>
    <t>USD</t>
  </si>
  <si>
    <t>BUY</t>
  </si>
  <si>
    <t>Instrument</t>
  </si>
  <si>
    <t>TradeDate</t>
  </si>
  <si>
    <t>Symbol</t>
  </si>
  <si>
    <t>Description</t>
  </si>
  <si>
    <t>CurrencyPrimary</t>
  </si>
  <si>
    <t>FXRateToBase</t>
  </si>
  <si>
    <t>Quantity</t>
  </si>
  <si>
    <t>TradePrice</t>
  </si>
  <si>
    <t>Proceeds</t>
  </si>
  <si>
    <t>IBCommission</t>
  </si>
  <si>
    <t>NetCash</t>
  </si>
  <si>
    <t>CostBasis</t>
  </si>
  <si>
    <t>FifoPnlRealized</t>
  </si>
  <si>
    <t>Buy/Sell</t>
  </si>
  <si>
    <t>Cost Basis EUR</t>
  </si>
  <si>
    <t>Target Weight %</t>
  </si>
  <si>
    <t>ISHARES US TREASURY 0-1YR</t>
  </si>
  <si>
    <t>Actual Weight %</t>
  </si>
  <si>
    <t>EUR</t>
  </si>
  <si>
    <t>TDOC</t>
  </si>
  <si>
    <t>TELADOC HEALTH INC</t>
  </si>
  <si>
    <t>PCG PRA</t>
  </si>
  <si>
    <t>PACIFIC GAS &amp; ELEC CO</t>
  </si>
  <si>
    <t>MAA PRI</t>
  </si>
  <si>
    <t>MID-AMER APT CMNTYS INC 8.5% PFD SE</t>
  </si>
  <si>
    <t>VEMT</t>
  </si>
  <si>
    <t>VANG USDEMGVB USDD</t>
  </si>
  <si>
    <t>ET PRI</t>
  </si>
  <si>
    <t>ENERGY TRANSFER LP</t>
  </si>
  <si>
    <t>FTSE High Yield All-World UCITS</t>
  </si>
  <si>
    <t>VHYL</t>
  </si>
  <si>
    <t>VANG FTSE HDY USDD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</si>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</sst>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0" tint="-0.499984740745262"/>
      <name val="Aptos Narrow"/>
      <family val="2"/>
      <scheme val="minor"/>
    </font>
    <font>
      <sz val="10"/>
      <color theme="0" tint="-0.499984740745262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2" borderId="0" xfId="0" applyFill="1"/>
    <xf numFmtId="0" fontId="6" fillId="2" borderId="0" xfId="0" applyFont="1" applyFill="1"/>
    <xf numFmtId="0" fontId="3" fillId="2" borderId="0" xfId="0" applyFont="1" applyFill="1"/>
    <xf numFmtId="0" fontId="2" fillId="0" borderId="0" xfId="0" applyFont="1" applyAlignment="1">
      <alignment horizontal="right"/>
    </xf>
    <xf numFmtId="164" fontId="5" fillId="0" borderId="0" xfId="0" applyNumberFormat="1" applyFont="1"/>
    <xf numFmtId="164" fontId="2" fillId="0" borderId="0" xfId="2" applyNumberFormat="1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10" fontId="5" fillId="0" borderId="0" xfId="2" applyNumberFormat="1" applyFont="1"/>
    <xf numFmtId="14" fontId="5" fillId="0" borderId="0" xfId="0" applyNumberFormat="1" applyFont="1"/>
    <xf numFmtId="10" fontId="5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164" fontId="2" fillId="0" borderId="0" xfId="1" applyNumberFormat="1" applyFont="1"/>
    <xf numFmtId="9" fontId="5" fillId="3" borderId="0" xfId="2" applyFont="1" applyFill="1" applyAlignment="1"/>
    <xf numFmtId="1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4" fillId="0" borderId="0" xfId="2" applyNumberFormat="1" applyFont="1"/>
    <xf numFmtId="0" fontId="4" fillId="0" borderId="0" xfId="0" applyFont="1" applyAlignment="1">
      <alignment horizontal="center" vertical="center" wrapText="1"/>
    </xf>
    <xf numFmtId="1" fontId="5" fillId="0" borderId="0" xfId="0" applyNumberFormat="1" applyFont="1"/>
    <xf numFmtId="0" fontId="8" fillId="0" borderId="0" xfId="0" applyFont="1" applyAlignment="1">
      <alignment horizontal="center" vertical="center" wrapText="1"/>
    </xf>
    <xf numFmtId="0" fontId="10" fillId="0" borderId="0" xfId="0" applyFont="1"/>
    <xf numFmtId="0" fontId="9" fillId="0" borderId="0" xfId="2" applyNumberFormat="1" applyFont="1"/>
    <xf numFmtId="0" fontId="11" fillId="0" borderId="0" xfId="0" applyFont="1" applyAlignment="1">
      <alignment horizontal="center" vertical="center" wrapText="1"/>
    </xf>
    <xf numFmtId="9" fontId="12" fillId="0" borderId="0" xfId="2" applyFont="1"/>
    <xf numFmtId="164" fontId="5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3" fillId="0" borderId="0" xfId="0" applyFont="1"/>
    <xf numFmtId="14" fontId="0" fillId="0" borderId="0" xfId="0" applyNumberFormat="1"/>
    <xf numFmtId="1" fontId="5" fillId="0" borderId="0" xfId="0" applyNumberFormat="1" applyFont="1" applyAlignment="1">
      <alignment horizontal="right"/>
    </xf>
    <xf numFmtId="164" fontId="4" fillId="0" borderId="0" xfId="2" applyNumberFormat="1" applyFont="1" applyAlignment="1">
      <alignment horizontal="right"/>
    </xf>
    <xf numFmtId="164" fontId="4" fillId="0" borderId="0" xfId="0" applyNumberFormat="1" applyFont="1" applyAlignment="1">
      <alignment horizontal="center" vertical="center"/>
    </xf>
    <xf numFmtId="2" fontId="0" fillId="0" borderId="0" xfId="0" applyNumberFormat="1"/>
    <xf numFmtId="9" fontId="5" fillId="0" borderId="0" xfId="2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2" fillId="0" borderId="0" xfId="2" applyFont="1" applyAlignment="1">
      <alignment horizontal="center"/>
    </xf>
    <xf numFmtId="9" fontId="9" fillId="0" borderId="0" xfId="2" applyFont="1"/>
    <xf numFmtId="1" fontId="2" fillId="0" borderId="0" xfId="0" applyNumberFormat="1" applyFont="1"/>
    <xf numFmtId="43" fontId="14" fillId="0" borderId="0" xfId="1" applyFont="1"/>
    <xf numFmtId="9" fontId="14" fillId="0" borderId="0" xfId="2" applyFont="1"/>
    <xf numFmtId="9" fontId="2" fillId="3" borderId="0" xfId="2" applyFont="1" applyFill="1" applyAlignment="1"/>
    <xf numFmtId="43" fontId="2" fillId="0" borderId="0" xfId="1" applyFont="1"/>
    <xf numFmtId="10" fontId="2" fillId="0" borderId="0" xfId="2" applyNumberFormat="1" applyFont="1"/>
    <xf numFmtId="1" fontId="9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420029-3F7C-4A6D-8B8E-CD38E7647E81}" name="Table1" displayName="Table1" ref="A1:O28" totalsRowShown="0">
  <autoFilter ref="A1:O28" xr:uid="{E2420029-3F7C-4A6D-8B8E-CD38E7647E81}"/>
  <tableColumns count="15">
    <tableColumn id="1" xr3:uid="{E0CCD703-5E0F-4649-BA7A-3BF48CB5288B}" name="Instrument"/>
    <tableColumn id="2" xr3:uid="{390BB028-1C49-47B9-AC28-3204E56977AF}" name="TradeDate" dataDxfId="4"/>
    <tableColumn id="3" xr3:uid="{CD2D9937-D0F0-4F4A-A67E-07B38764934D}" name="Symbol"/>
    <tableColumn id="4" xr3:uid="{5F54E29F-757E-4490-B10D-08C063C88792}" name="Description"/>
    <tableColumn id="5" xr3:uid="{8B93EC23-C19E-43DB-8742-F71EAAA08577}" name="CurrencyPrimary"/>
    <tableColumn id="6" xr3:uid="{3C290EA5-E1E9-441C-8B24-85BC78A43622}" name="FXRateToBase"/>
    <tableColumn id="7" xr3:uid="{C4417163-322A-4635-9B24-5D956B56D204}" name="Quantity"/>
    <tableColumn id="8" xr3:uid="{E9F3BCC6-5200-4320-BF80-4B3CF88768BF}" name="TradePrice"/>
    <tableColumn id="9" xr3:uid="{9A907011-208D-43A9-8311-C5EAF1D63EE6}" name="Proceeds"/>
    <tableColumn id="10" xr3:uid="{D3C63F67-CC15-4E4A-9BD1-2749604C0A33}" name="IBCommission"/>
    <tableColumn id="11" xr3:uid="{ACD64A3E-DBA0-458F-9EA9-0FE779923A9A}" name="NetCash"/>
    <tableColumn id="12" xr3:uid="{AADADBDF-38D8-48D0-83AD-6EED12CAE2A2}" name="CostBasis"/>
    <tableColumn id="13" xr3:uid="{4D8C1446-E057-4EB4-9AE3-BFC760632BCD}" name="FifoPnlRealized"/>
    <tableColumn id="14" xr3:uid="{BF95958E-1D2B-4B61-8DF4-AA3163E3E695}" name="Buy/Sell"/>
    <tableColumn id="15" xr3:uid="{1237B163-6587-4698-87F5-09B632BCB310}" name="Cost Basis EUR" dataDxfId="3">
      <calculatedColumnFormula>Table1[[#This Row],[FXRateToBase]]*Table1[[#This Row],[CostBasis]]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8"/>
  <sheetViews>
    <sheetView tabSelected="1" zoomScale="90" zoomScaleNormal="90" workbookViewId="0"/>
  </sheetViews>
  <sheetFormatPr defaultRowHeight="15" x14ac:dyDescent="0.25"/>
  <cols>
    <col min="1" max="1" width="24.5703125" bestFit="1" customWidth="1"/>
    <col min="2" max="2" width="15.140625" bestFit="1" customWidth="1"/>
    <col min="3" max="3" width="10.42578125" bestFit="1" customWidth="1"/>
    <col min="4" max="4" width="13" style="24" customWidth="1"/>
    <col min="5" max="5" width="43.28515625" style="26" bestFit="1" customWidth="1"/>
    <col min="6" max="6" width="14.5703125" customWidth="1"/>
    <col min="7" max="7" width="12.28515625" bestFit="1" customWidth="1"/>
    <col min="9" max="9" width="11.7109375" customWidth="1"/>
    <col min="10" max="10" width="13.42578125" customWidth="1"/>
    <col min="11" max="11" width="10.85546875" customWidth="1"/>
    <col min="12" max="12" width="13.5703125" customWidth="1"/>
    <col min="13" max="13" width="11.85546875" bestFit="1" customWidth="1"/>
    <col min="14" max="14" width="10.85546875" customWidth="1"/>
    <col min="15" max="15" width="13.42578125" customWidth="1"/>
    <col min="16" max="16" width="11.140625" bestFit="1" customWidth="1"/>
  </cols>
  <sheetData>
    <row r="2" spans="1:16" x14ac:dyDescent="0.25">
      <c r="A2" s="1" t="s">
        <v>4</v>
      </c>
      <c r="B2" s="21">
        <v>13700</v>
      </c>
    </row>
    <row r="4" spans="1:16" x14ac:dyDescent="0.25">
      <c r="A4" s="9" t="s">
        <v>3</v>
      </c>
      <c r="B4" s="10"/>
      <c r="C4" s="10"/>
      <c r="D4" s="37"/>
      <c r="E4" s="38"/>
      <c r="F4" s="10"/>
      <c r="G4" s="39"/>
      <c r="H4" s="14"/>
      <c r="I4" s="14"/>
      <c r="J4" s="14"/>
    </row>
    <row r="5" spans="1:16" ht="8.25" customHeight="1" x14ac:dyDescent="0.25">
      <c r="A5" s="1"/>
    </row>
    <row r="6" spans="1:16" s="4" customFormat="1" ht="13.5" x14ac:dyDescent="0.25">
      <c r="A6" s="3" t="s">
        <v>7</v>
      </c>
      <c r="B6" s="15" t="s">
        <v>72</v>
      </c>
      <c r="C6" s="16" t="s">
        <v>8</v>
      </c>
      <c r="D6" s="3" t="s">
        <v>45</v>
      </c>
      <c r="E6" s="15" t="s">
        <v>74</v>
      </c>
      <c r="F6" s="15" t="s">
        <v>47</v>
      </c>
    </row>
    <row r="7" spans="1:16" s="4" customFormat="1" ht="13.5" x14ac:dyDescent="0.25">
      <c r="A7" s="5" t="s">
        <v>6</v>
      </c>
      <c r="B7" s="45">
        <v>0.05</v>
      </c>
      <c r="C7" s="12">
        <f>$B$2*B7</f>
        <v>685</v>
      </c>
      <c r="D7" s="41">
        <f>SUMIF($B$18:$B$33,A7,$M$18:$M$33)</f>
        <v>627.79099075556985</v>
      </c>
      <c r="E7" s="45">
        <f>D7/$D$12</f>
        <v>4.8572232494207876E-2</v>
      </c>
      <c r="F7" s="36">
        <f>C7-D7</f>
        <v>57.209009244430149</v>
      </c>
    </row>
    <row r="8" spans="1:16" s="4" customFormat="1" ht="13.5" x14ac:dyDescent="0.25">
      <c r="A8" s="5" t="s">
        <v>5</v>
      </c>
      <c r="B8" s="45">
        <v>0.75</v>
      </c>
      <c r="C8" s="12">
        <f>$B$2*B8</f>
        <v>10275</v>
      </c>
      <c r="D8" s="41">
        <f t="shared" ref="D8:D10" si="0">SUMIF($B$18:$B$33,A8,$M$18:$M$33)</f>
        <v>10138.914843959999</v>
      </c>
      <c r="E8" s="45">
        <f t="shared" ref="E8:E10" si="1">D8/$D$12</f>
        <v>0.78444854464555924</v>
      </c>
      <c r="F8" s="36">
        <f>C8-D8</f>
        <v>136.08515604000058</v>
      </c>
    </row>
    <row r="9" spans="1:16" s="4" customFormat="1" ht="13.5" x14ac:dyDescent="0.25">
      <c r="A9" s="5" t="s">
        <v>25</v>
      </c>
      <c r="B9" s="45">
        <v>0.05</v>
      </c>
      <c r="C9" s="12">
        <f>$B$2*B9</f>
        <v>685</v>
      </c>
      <c r="D9" s="41">
        <f t="shared" si="0"/>
        <v>620.12675662000004</v>
      </c>
      <c r="E9" s="45">
        <f t="shared" si="1"/>
        <v>4.7979250167598027E-2</v>
      </c>
      <c r="F9" s="36">
        <f>C9-D9</f>
        <v>64.873243379999963</v>
      </c>
    </row>
    <row r="10" spans="1:16" s="4" customFormat="1" ht="13.5" x14ac:dyDescent="0.25">
      <c r="A10" s="5" t="s">
        <v>28</v>
      </c>
      <c r="B10" s="45">
        <v>0.15</v>
      </c>
      <c r="C10" s="12">
        <f>$B$2*B10</f>
        <v>2055</v>
      </c>
      <c r="D10" s="41">
        <f t="shared" si="0"/>
        <v>1538.0621173940001</v>
      </c>
      <c r="E10" s="45">
        <f t="shared" si="1"/>
        <v>0.1189999726926349</v>
      </c>
      <c r="F10" s="36">
        <f>C10-D10</f>
        <v>516.9378826059999</v>
      </c>
    </row>
    <row r="11" spans="1:16" s="4" customFormat="1" ht="9" customHeight="1" x14ac:dyDescent="0.25">
      <c r="A11" s="5"/>
      <c r="B11" s="45"/>
      <c r="C11" s="12"/>
      <c r="D11" s="5"/>
      <c r="E11" s="6"/>
      <c r="F11" s="36"/>
    </row>
    <row r="12" spans="1:16" s="1" customFormat="1" x14ac:dyDescent="0.25">
      <c r="A12" s="11" t="s">
        <v>9</v>
      </c>
      <c r="B12" s="47">
        <f>SUM(B7:B10)</f>
        <v>1</v>
      </c>
      <c r="C12" s="13">
        <f>SUM(C7:C10)</f>
        <v>13700</v>
      </c>
      <c r="D12" s="42">
        <f>SUM(D7:D10)</f>
        <v>12924.894708729569</v>
      </c>
      <c r="E12" s="46">
        <f>SUM(E7:E10)</f>
        <v>1</v>
      </c>
      <c r="F12" s="43">
        <f>C12-D12</f>
        <v>775.10529127043083</v>
      </c>
    </row>
    <row r="13" spans="1:16" x14ac:dyDescent="0.25">
      <c r="A13" s="2"/>
    </row>
    <row r="15" spans="1:16" x14ac:dyDescent="0.25">
      <c r="A15" s="9" t="s">
        <v>10</v>
      </c>
      <c r="B15" s="9"/>
      <c r="C15" s="9"/>
      <c r="D15" s="25"/>
      <c r="E15" s="2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ht="15.75" customHeight="1" x14ac:dyDescent="0.25"/>
    <row r="17" spans="1:16" s="29" customFormat="1" ht="33.75" customHeight="1" x14ac:dyDescent="0.25">
      <c r="A17" s="29" t="s">
        <v>1</v>
      </c>
      <c r="B17" s="29" t="s">
        <v>0</v>
      </c>
      <c r="C17" s="29" t="s">
        <v>11</v>
      </c>
      <c r="D17" s="29" t="s">
        <v>2</v>
      </c>
      <c r="E17" s="29" t="s">
        <v>13</v>
      </c>
      <c r="F17" s="29" t="s">
        <v>14</v>
      </c>
      <c r="G17" s="29" t="s">
        <v>15</v>
      </c>
      <c r="H17" s="29" t="s">
        <v>16</v>
      </c>
      <c r="I17" s="31" t="s">
        <v>17</v>
      </c>
      <c r="J17" s="34" t="s">
        <v>20</v>
      </c>
      <c r="K17" s="31" t="s">
        <v>18</v>
      </c>
      <c r="L17" s="31" t="s">
        <v>19</v>
      </c>
      <c r="M17" s="29" t="s">
        <v>45</v>
      </c>
      <c r="N17" s="29" t="s">
        <v>46</v>
      </c>
      <c r="O17" s="29" t="s">
        <v>47</v>
      </c>
      <c r="P17" s="29" t="s">
        <v>21</v>
      </c>
    </row>
    <row r="18" spans="1:16" s="4" customFormat="1" ht="13.5" x14ac:dyDescent="0.25">
      <c r="A18" s="7">
        <v>1</v>
      </c>
      <c r="B18" s="7" t="s">
        <v>6</v>
      </c>
      <c r="C18" s="7" t="s">
        <v>12</v>
      </c>
      <c r="D18" s="7" t="s">
        <v>26</v>
      </c>
      <c r="E18" s="7" t="s">
        <v>27</v>
      </c>
      <c r="F18" s="19">
        <v>1.1999999999999999E-3</v>
      </c>
      <c r="G18" s="23" t="s">
        <v>24</v>
      </c>
      <c r="H18" s="17">
        <v>0</v>
      </c>
      <c r="I18" s="33">
        <f>IFERROR(VLOOKUP(B18,$A$7:$C$10,3,FALSE),0)</f>
        <v>685</v>
      </c>
      <c r="J18" s="35">
        <v>1</v>
      </c>
      <c r="K18" s="55">
        <f>I18*J18</f>
        <v>685</v>
      </c>
      <c r="L18" s="48">
        <f t="shared" ref="L18:L34" si="2">K18/$B$2</f>
        <v>0.05</v>
      </c>
      <c r="M18" s="30">
        <f>SUMIFS(Table1[Cost Basis EUR],Table1[Symbol],Summary!D18)</f>
        <v>627.79099075556985</v>
      </c>
      <c r="N18" s="22">
        <f>IFERROR( M18/K18, 0)</f>
        <v>0.9164831981833137</v>
      </c>
      <c r="O18" s="30">
        <f t="shared" ref="O18:O32" si="3">K18-M18</f>
        <v>57.209009244430149</v>
      </c>
      <c r="P18" s="30">
        <f t="shared" ref="P18:P31" si="4">K18*H18</f>
        <v>0</v>
      </c>
    </row>
    <row r="19" spans="1:16" s="4" customFormat="1" ht="13.5" x14ac:dyDescent="0.25">
      <c r="A19" s="7">
        <v>2</v>
      </c>
      <c r="B19" s="7" t="s">
        <v>5</v>
      </c>
      <c r="C19" s="7" t="s">
        <v>12</v>
      </c>
      <c r="D19" s="7" t="s">
        <v>22</v>
      </c>
      <c r="E19" s="7" t="s">
        <v>23</v>
      </c>
      <c r="F19" s="19">
        <v>6.9999999999999999E-4</v>
      </c>
      <c r="G19" s="23" t="s">
        <v>29</v>
      </c>
      <c r="H19" s="17">
        <v>0.05</v>
      </c>
      <c r="I19" s="33">
        <f t="shared" ref="I19:I34" si="5">IFERROR(VLOOKUP(B19,$A$7:$C$10,3,FALSE),0)</f>
        <v>10275</v>
      </c>
      <c r="J19" s="35">
        <v>0.6</v>
      </c>
      <c r="K19" s="55">
        <f t="shared" ref="K19:K34" si="6">I19*J19</f>
        <v>6165</v>
      </c>
      <c r="L19" s="48">
        <f t="shared" si="2"/>
        <v>0.45</v>
      </c>
      <c r="M19" s="30">
        <f>SUMIFS(Table1[Cost Basis EUR],Table1[Symbol],Summary!D19)</f>
        <v>6136.6078351999995</v>
      </c>
      <c r="N19" s="22">
        <f t="shared" ref="N19:N34" si="7">IFERROR( M19/K19, 0)</f>
        <v>0.99539462047039728</v>
      </c>
      <c r="O19" s="30">
        <f t="shared" si="3"/>
        <v>28.392164800000501</v>
      </c>
      <c r="P19" s="30">
        <f t="shared" si="4"/>
        <v>308.25</v>
      </c>
    </row>
    <row r="20" spans="1:16" s="4" customFormat="1" ht="13.5" x14ac:dyDescent="0.25">
      <c r="A20" s="7">
        <v>3</v>
      </c>
      <c r="B20" s="7" t="s">
        <v>5</v>
      </c>
      <c r="C20" s="7" t="s">
        <v>12</v>
      </c>
      <c r="D20" s="7" t="s">
        <v>49</v>
      </c>
      <c r="E20" s="7" t="s">
        <v>51</v>
      </c>
      <c r="F20" s="19">
        <v>1E-3</v>
      </c>
      <c r="G20" s="23"/>
      <c r="H20" s="17">
        <v>0.06</v>
      </c>
      <c r="I20" s="33">
        <f t="shared" si="5"/>
        <v>10275</v>
      </c>
      <c r="J20" s="35">
        <v>0.15</v>
      </c>
      <c r="K20" s="55">
        <f t="shared" si="6"/>
        <v>1541.25</v>
      </c>
      <c r="L20" s="48">
        <f>K20/$B$2</f>
        <v>0.1125</v>
      </c>
      <c r="M20" s="30">
        <f>SUMIFS(Table1[Cost Basis EUR],Table1[Symbol],Summary!D20)</f>
        <v>1841.3970087599998</v>
      </c>
      <c r="N20" s="22">
        <f t="shared" si="7"/>
        <v>1.194742584759124</v>
      </c>
      <c r="O20" s="30">
        <f t="shared" si="3"/>
        <v>-300.14700875999984</v>
      </c>
      <c r="P20" s="30">
        <f>K20*H20</f>
        <v>92.474999999999994</v>
      </c>
    </row>
    <row r="21" spans="1:16" s="4" customFormat="1" ht="13.5" x14ac:dyDescent="0.25">
      <c r="A21" s="7">
        <v>4</v>
      </c>
      <c r="B21" s="7" t="s">
        <v>5</v>
      </c>
      <c r="C21" s="7" t="s">
        <v>12</v>
      </c>
      <c r="D21" s="7" t="s">
        <v>48</v>
      </c>
      <c r="E21" s="7" t="s">
        <v>50</v>
      </c>
      <c r="F21" s="19">
        <v>3.8999999999999998E-3</v>
      </c>
      <c r="G21" s="23"/>
      <c r="H21" s="17">
        <v>7.0000000000000007E-2</v>
      </c>
      <c r="I21" s="33">
        <f t="shared" si="5"/>
        <v>10275</v>
      </c>
      <c r="J21" s="35">
        <v>0.1</v>
      </c>
      <c r="K21" s="55">
        <f t="shared" si="6"/>
        <v>1027.5</v>
      </c>
      <c r="L21" s="48">
        <f t="shared" si="2"/>
        <v>7.4999999999999997E-2</v>
      </c>
      <c r="M21" s="30">
        <f>SUMIFS(Table1[Cost Basis EUR],Table1[Symbol],Summary!D21)</f>
        <v>1000.96</v>
      </c>
      <c r="N21" s="22">
        <f t="shared" si="7"/>
        <v>0.97417031630170314</v>
      </c>
      <c r="O21" s="30">
        <f t="shared" si="3"/>
        <v>26.539999999999964</v>
      </c>
      <c r="P21" s="30">
        <f t="shared" si="4"/>
        <v>71.925000000000011</v>
      </c>
    </row>
    <row r="22" spans="1:16" s="4" customFormat="1" ht="13.5" x14ac:dyDescent="0.25">
      <c r="A22" s="7">
        <v>5</v>
      </c>
      <c r="B22" s="7" t="s">
        <v>5</v>
      </c>
      <c r="C22" s="7" t="s">
        <v>12</v>
      </c>
      <c r="D22" s="7" t="s">
        <v>82</v>
      </c>
      <c r="E22" s="7" t="s">
        <v>53</v>
      </c>
      <c r="F22" s="19">
        <v>2.5000000000000001E-3</v>
      </c>
      <c r="G22" s="23"/>
      <c r="H22" s="17">
        <v>6.2E-2</v>
      </c>
      <c r="I22" s="33">
        <f t="shared" si="5"/>
        <v>10275</v>
      </c>
      <c r="J22" s="35">
        <v>0.15</v>
      </c>
      <c r="K22" s="55">
        <f t="shared" si="6"/>
        <v>1541.25</v>
      </c>
      <c r="L22" s="48">
        <f t="shared" si="2"/>
        <v>0.1125</v>
      </c>
      <c r="M22" s="30">
        <f>SUMIFS(Table1[Cost Basis EUR],Table1[Symbol],Summary!D22)</f>
        <v>1159.9499999999998</v>
      </c>
      <c r="N22" s="22">
        <f t="shared" si="7"/>
        <v>0.75260340632603395</v>
      </c>
      <c r="O22" s="30">
        <f t="shared" si="3"/>
        <v>381.30000000000018</v>
      </c>
      <c r="P22" s="30">
        <f t="shared" si="4"/>
        <v>95.557500000000005</v>
      </c>
    </row>
    <row r="23" spans="1:16" s="4" customFormat="1" ht="13.5" x14ac:dyDescent="0.25">
      <c r="A23" s="7">
        <v>6</v>
      </c>
      <c r="B23" s="7" t="s">
        <v>25</v>
      </c>
      <c r="C23" s="7" t="s">
        <v>12</v>
      </c>
      <c r="D23" s="7" t="s">
        <v>87</v>
      </c>
      <c r="E23" s="7" t="s">
        <v>86</v>
      </c>
      <c r="F23" s="19">
        <v>2E-3</v>
      </c>
      <c r="G23" s="23"/>
      <c r="H23" s="17">
        <v>3.4000000000000002E-2</v>
      </c>
      <c r="I23" s="33">
        <f t="shared" si="5"/>
        <v>685</v>
      </c>
      <c r="J23" s="35">
        <v>0.9</v>
      </c>
      <c r="K23" s="55">
        <f t="shared" si="6"/>
        <v>616.5</v>
      </c>
      <c r="L23" s="48">
        <f t="shared" si="2"/>
        <v>4.4999999999999998E-2</v>
      </c>
      <c r="M23" s="30">
        <f>SUMIFS(Table1[Cost Basis EUR],Table1[Symbol],Summary!D23)</f>
        <v>487</v>
      </c>
      <c r="N23" s="22">
        <f t="shared" si="7"/>
        <v>0.78994322789943228</v>
      </c>
      <c r="O23" s="30">
        <f t="shared" si="3"/>
        <v>129.5</v>
      </c>
      <c r="P23" s="30">
        <f t="shared" si="4"/>
        <v>20.961000000000002</v>
      </c>
    </row>
    <row r="24" spans="1:16" s="4" customFormat="1" ht="13.5" x14ac:dyDescent="0.25">
      <c r="A24" s="7">
        <v>7</v>
      </c>
      <c r="B24" s="7" t="s">
        <v>25</v>
      </c>
      <c r="C24" s="7" t="s">
        <v>32</v>
      </c>
      <c r="D24" s="7" t="s">
        <v>76</v>
      </c>
      <c r="E24" s="7" t="s">
        <v>52</v>
      </c>
      <c r="F24" s="19">
        <v>0</v>
      </c>
      <c r="G24" s="23"/>
      <c r="H24" s="17">
        <v>0</v>
      </c>
      <c r="I24" s="33">
        <f t="shared" si="5"/>
        <v>685</v>
      </c>
      <c r="J24" s="35">
        <v>0.1</v>
      </c>
      <c r="K24" s="55">
        <f t="shared" si="6"/>
        <v>68.5</v>
      </c>
      <c r="L24" s="48">
        <f t="shared" si="2"/>
        <v>5.0000000000000001E-3</v>
      </c>
      <c r="M24" s="30">
        <f>SUMIFS(Table1[Cost Basis EUR],Table1[Symbol],Summary!D24)</f>
        <v>133.12675662000001</v>
      </c>
      <c r="N24" s="22">
        <f t="shared" si="7"/>
        <v>1.9434563010218979</v>
      </c>
      <c r="O24" s="30">
        <f t="shared" si="3"/>
        <v>-64.626756620000009</v>
      </c>
      <c r="P24" s="30">
        <f t="shared" si="4"/>
        <v>0</v>
      </c>
    </row>
    <row r="25" spans="1:16" s="4" customFormat="1" ht="13.5" x14ac:dyDescent="0.25">
      <c r="A25" s="7">
        <v>8</v>
      </c>
      <c r="B25" s="7" t="s">
        <v>28</v>
      </c>
      <c r="C25" s="7" t="s">
        <v>32</v>
      </c>
      <c r="D25" s="7" t="s">
        <v>78</v>
      </c>
      <c r="E25" s="7" t="s">
        <v>79</v>
      </c>
      <c r="F25" s="19">
        <v>0</v>
      </c>
      <c r="G25" s="18"/>
      <c r="H25" s="17">
        <v>6.8000000000000005E-2</v>
      </c>
      <c r="I25" s="33">
        <f t="shared" si="5"/>
        <v>2055</v>
      </c>
      <c r="J25" s="35">
        <v>0.05</v>
      </c>
      <c r="K25" s="55">
        <f t="shared" si="6"/>
        <v>102.75</v>
      </c>
      <c r="L25" s="48">
        <f t="shared" si="2"/>
        <v>7.4999999999999997E-3</v>
      </c>
      <c r="M25" s="30">
        <f>SUMIFS(Table1[Cost Basis EUR],Table1[Symbol],Summary!D25)</f>
        <v>104.61976</v>
      </c>
      <c r="N25" s="22">
        <f t="shared" si="7"/>
        <v>1.0181971776155718</v>
      </c>
      <c r="O25" s="30">
        <f t="shared" si="3"/>
        <v>-1.8697599999999994</v>
      </c>
      <c r="P25" s="30">
        <f t="shared" si="4"/>
        <v>6.9870000000000001</v>
      </c>
    </row>
    <row r="26" spans="1:16" s="4" customFormat="1" ht="13.5" x14ac:dyDescent="0.25">
      <c r="A26" s="7">
        <v>9</v>
      </c>
      <c r="B26" s="7" t="s">
        <v>28</v>
      </c>
      <c r="C26" s="7" t="s">
        <v>32</v>
      </c>
      <c r="D26" s="7" t="s">
        <v>33</v>
      </c>
      <c r="E26" s="7" t="s">
        <v>34</v>
      </c>
      <c r="F26" s="19">
        <v>0</v>
      </c>
      <c r="G26" s="18"/>
      <c r="H26" s="17">
        <v>0.06</v>
      </c>
      <c r="I26" s="33">
        <f t="shared" si="5"/>
        <v>2055</v>
      </c>
      <c r="J26" s="35">
        <v>0.12</v>
      </c>
      <c r="K26" s="55">
        <f t="shared" si="6"/>
        <v>246.6</v>
      </c>
      <c r="L26" s="48">
        <f t="shared" si="2"/>
        <v>1.7999999999999999E-2</v>
      </c>
      <c r="M26" s="30">
        <f>SUMIFS(Table1[Cost Basis EUR],Table1[Symbol],Summary!D26)</f>
        <v>234.65016600000001</v>
      </c>
      <c r="N26" s="22">
        <f t="shared" si="7"/>
        <v>0.95154163017031634</v>
      </c>
      <c r="O26" s="30">
        <f t="shared" si="3"/>
        <v>11.949833999999981</v>
      </c>
      <c r="P26" s="30">
        <f t="shared" si="4"/>
        <v>14.795999999999999</v>
      </c>
    </row>
    <row r="27" spans="1:16" s="4" customFormat="1" ht="13.5" x14ac:dyDescent="0.25">
      <c r="A27" s="7">
        <v>10</v>
      </c>
      <c r="B27" s="7" t="s">
        <v>28</v>
      </c>
      <c r="C27" s="7" t="s">
        <v>32</v>
      </c>
      <c r="D27" s="6" t="s">
        <v>35</v>
      </c>
      <c r="E27" s="7" t="s">
        <v>36</v>
      </c>
      <c r="F27" s="19">
        <v>0</v>
      </c>
      <c r="H27" s="17">
        <v>0.1</v>
      </c>
      <c r="I27" s="33">
        <f t="shared" si="5"/>
        <v>2055</v>
      </c>
      <c r="J27" s="35">
        <v>0.15</v>
      </c>
      <c r="K27" s="55">
        <f t="shared" si="6"/>
        <v>308.25</v>
      </c>
      <c r="L27" s="48">
        <f t="shared" si="2"/>
        <v>2.2499999999999999E-2</v>
      </c>
      <c r="M27" s="30">
        <f>SUMIFS(Table1[Cost Basis EUR],Table1[Symbol],Summary!D27)</f>
        <v>293.80046862400002</v>
      </c>
      <c r="N27" s="22">
        <f t="shared" si="7"/>
        <v>0.95312398580373081</v>
      </c>
      <c r="O27" s="30">
        <f t="shared" si="3"/>
        <v>14.449531375999982</v>
      </c>
      <c r="P27" s="30">
        <f t="shared" si="4"/>
        <v>30.825000000000003</v>
      </c>
    </row>
    <row r="28" spans="1:16" s="4" customFormat="1" ht="13.5" x14ac:dyDescent="0.25">
      <c r="A28" s="7">
        <v>11</v>
      </c>
      <c r="B28" s="7" t="s">
        <v>28</v>
      </c>
      <c r="C28" s="7" t="s">
        <v>32</v>
      </c>
      <c r="D28" s="6" t="s">
        <v>37</v>
      </c>
      <c r="E28" s="7" t="s">
        <v>38</v>
      </c>
      <c r="F28" s="19">
        <v>0</v>
      </c>
      <c r="H28" s="17">
        <v>0.06</v>
      </c>
      <c r="I28" s="33">
        <f t="shared" si="5"/>
        <v>2055</v>
      </c>
      <c r="J28" s="35">
        <v>0.12</v>
      </c>
      <c r="K28" s="55">
        <f t="shared" si="6"/>
        <v>246.6</v>
      </c>
      <c r="L28" s="48">
        <f t="shared" si="2"/>
        <v>1.7999999999999999E-2</v>
      </c>
      <c r="M28" s="30">
        <f>SUMIFS(Table1[Cost Basis EUR],Table1[Symbol],Summary!D28)</f>
        <v>216.7557764</v>
      </c>
      <c r="N28" s="22">
        <f t="shared" si="7"/>
        <v>0.87897719545823194</v>
      </c>
      <c r="O28" s="30">
        <f t="shared" si="3"/>
        <v>29.844223599999992</v>
      </c>
      <c r="P28" s="30">
        <f t="shared" si="4"/>
        <v>14.795999999999999</v>
      </c>
    </row>
    <row r="29" spans="1:16" x14ac:dyDescent="0.25">
      <c r="A29" s="7">
        <v>12</v>
      </c>
      <c r="B29" s="7" t="s">
        <v>28</v>
      </c>
      <c r="C29" s="7" t="s">
        <v>32</v>
      </c>
      <c r="D29" s="6" t="s">
        <v>39</v>
      </c>
      <c r="E29" s="7" t="s">
        <v>40</v>
      </c>
      <c r="F29" s="19">
        <v>0</v>
      </c>
      <c r="H29" s="17">
        <v>0.1</v>
      </c>
      <c r="I29" s="33">
        <f t="shared" si="5"/>
        <v>2055</v>
      </c>
      <c r="J29" s="35">
        <v>0.12</v>
      </c>
      <c r="K29" s="55">
        <f t="shared" si="6"/>
        <v>246.6</v>
      </c>
      <c r="L29" s="48">
        <f t="shared" si="2"/>
        <v>1.7999999999999999E-2</v>
      </c>
      <c r="M29" s="30">
        <f>SUMIFS(Table1[Cost Basis EUR],Table1[Symbol],Summary!D29)</f>
        <v>245.80694400000002</v>
      </c>
      <c r="N29" s="22">
        <f t="shared" si="7"/>
        <v>0.99678403892944045</v>
      </c>
      <c r="O29" s="30">
        <f t="shared" si="3"/>
        <v>0.79305599999997867</v>
      </c>
      <c r="P29" s="30">
        <f t="shared" si="4"/>
        <v>24.66</v>
      </c>
    </row>
    <row r="30" spans="1:16" x14ac:dyDescent="0.25">
      <c r="A30" s="7">
        <v>13</v>
      </c>
      <c r="B30" s="7" t="s">
        <v>28</v>
      </c>
      <c r="C30" s="7" t="s">
        <v>32</v>
      </c>
      <c r="D30" s="6" t="s">
        <v>41</v>
      </c>
      <c r="E30" s="7" t="s">
        <v>42</v>
      </c>
      <c r="F30" s="19">
        <v>0</v>
      </c>
      <c r="H30" s="17">
        <v>7.0000000000000007E-2</v>
      </c>
      <c r="I30" s="33">
        <f t="shared" si="5"/>
        <v>2055</v>
      </c>
      <c r="J30" s="35">
        <v>0.12</v>
      </c>
      <c r="K30" s="55">
        <f t="shared" si="6"/>
        <v>246.6</v>
      </c>
      <c r="L30" s="48">
        <f t="shared" si="2"/>
        <v>1.7999999999999999E-2</v>
      </c>
      <c r="M30" s="30">
        <f>SUMIFS(Table1[Cost Basis EUR],Table1[Symbol],Summary!D30)</f>
        <v>105.73287999999999</v>
      </c>
      <c r="N30" s="22">
        <f t="shared" si="7"/>
        <v>0.42876269261962691</v>
      </c>
      <c r="O30" s="30">
        <f t="shared" si="3"/>
        <v>140.86712</v>
      </c>
      <c r="P30" s="30">
        <f t="shared" si="4"/>
        <v>17.262</v>
      </c>
    </row>
    <row r="31" spans="1:16" x14ac:dyDescent="0.25">
      <c r="A31" s="7">
        <v>14</v>
      </c>
      <c r="B31" s="7" t="s">
        <v>28</v>
      </c>
      <c r="C31" s="7" t="s">
        <v>32</v>
      </c>
      <c r="D31" s="6" t="s">
        <v>43</v>
      </c>
      <c r="E31" s="7" t="s">
        <v>44</v>
      </c>
      <c r="F31" s="19">
        <v>0</v>
      </c>
      <c r="H31" s="17">
        <v>6.4000000000000001E-2</v>
      </c>
      <c r="I31" s="33">
        <f t="shared" si="5"/>
        <v>2055</v>
      </c>
      <c r="J31" s="35">
        <v>0.12</v>
      </c>
      <c r="K31" s="55">
        <f t="shared" si="6"/>
        <v>246.6</v>
      </c>
      <c r="L31" s="48">
        <f t="shared" si="2"/>
        <v>1.7999999999999999E-2</v>
      </c>
      <c r="M31" s="30">
        <f>SUMIFS(Table1[Cost Basis EUR],Table1[Symbol],Summary!D31)</f>
        <v>130.97021940000002</v>
      </c>
      <c r="N31" s="22">
        <f t="shared" si="7"/>
        <v>0.53110389051094897</v>
      </c>
      <c r="O31" s="30">
        <f t="shared" si="3"/>
        <v>115.62978059999998</v>
      </c>
      <c r="P31" s="30">
        <f t="shared" si="4"/>
        <v>15.782399999999999</v>
      </c>
    </row>
    <row r="32" spans="1:16" x14ac:dyDescent="0.25">
      <c r="A32" s="7">
        <v>15</v>
      </c>
      <c r="B32" s="7" t="s">
        <v>28</v>
      </c>
      <c r="C32" s="7" t="s">
        <v>32</v>
      </c>
      <c r="D32" s="6" t="s">
        <v>80</v>
      </c>
      <c r="E32" s="7" t="s">
        <v>81</v>
      </c>
      <c r="F32" s="19">
        <v>0</v>
      </c>
      <c r="H32" s="17">
        <v>7.6999999999999999E-2</v>
      </c>
      <c r="I32" s="33">
        <f t="shared" si="5"/>
        <v>2055</v>
      </c>
      <c r="J32" s="35">
        <v>0.05</v>
      </c>
      <c r="K32" s="55">
        <f t="shared" si="6"/>
        <v>102.75</v>
      </c>
      <c r="L32" s="48">
        <f t="shared" si="2"/>
        <v>7.4999999999999997E-3</v>
      </c>
      <c r="M32" s="30">
        <f>SUMIFS(Table1[Cost Basis EUR],Table1[Symbol],Summary!D32)</f>
        <v>101.427942</v>
      </c>
      <c r="N32" s="22">
        <f t="shared" si="7"/>
        <v>0.98713325547445252</v>
      </c>
      <c r="O32" s="30">
        <f t="shared" si="3"/>
        <v>1.3220579999999984</v>
      </c>
      <c r="P32" s="30">
        <f>K32*H32</f>
        <v>7.9117499999999996</v>
      </c>
    </row>
    <row r="33" spans="1:17" x14ac:dyDescent="0.25">
      <c r="A33" s="7">
        <v>16</v>
      </c>
      <c r="B33" s="7" t="s">
        <v>28</v>
      </c>
      <c r="C33" s="7" t="s">
        <v>32</v>
      </c>
      <c r="D33" s="6" t="s">
        <v>84</v>
      </c>
      <c r="E33" s="7" t="s">
        <v>85</v>
      </c>
      <c r="F33" s="19">
        <v>0</v>
      </c>
      <c r="H33" s="17">
        <v>7.4999999999999997E-2</v>
      </c>
      <c r="I33" s="33">
        <f t="shared" si="5"/>
        <v>2055</v>
      </c>
      <c r="J33" s="35">
        <v>0.05</v>
      </c>
      <c r="K33" s="55">
        <f t="shared" si="6"/>
        <v>102.75</v>
      </c>
      <c r="L33" s="48">
        <f t="shared" si="2"/>
        <v>7.4999999999999997E-3</v>
      </c>
      <c r="M33" s="30">
        <f>SUMIFS(Table1[Cost Basis EUR],Table1[Symbol],Summary!D33)</f>
        <v>104.29796096999999</v>
      </c>
      <c r="N33" s="22">
        <f t="shared" si="7"/>
        <v>1.0150653135766423</v>
      </c>
      <c r="O33" s="30">
        <f t="shared" ref="O33:O34" si="8">K33-M33</f>
        <v>-1.5479609699999912</v>
      </c>
      <c r="P33" s="30">
        <f>K33*H33</f>
        <v>7.7062499999999998</v>
      </c>
    </row>
    <row r="34" spans="1:17" x14ac:dyDescent="0.25">
      <c r="A34" s="7">
        <v>17</v>
      </c>
      <c r="B34" s="7" t="s">
        <v>28</v>
      </c>
      <c r="C34" s="7" t="s">
        <v>32</v>
      </c>
      <c r="D34" s="6"/>
      <c r="E34" s="7"/>
      <c r="F34" s="19">
        <v>0</v>
      </c>
      <c r="H34" s="17">
        <v>7.4999999999999997E-2</v>
      </c>
      <c r="I34" s="33">
        <f t="shared" si="5"/>
        <v>2055</v>
      </c>
      <c r="J34" s="35">
        <v>0.1</v>
      </c>
      <c r="K34" s="55">
        <f t="shared" si="6"/>
        <v>205.5</v>
      </c>
      <c r="L34" s="48">
        <f t="shared" si="2"/>
        <v>1.4999999999999999E-2</v>
      </c>
      <c r="M34" s="30">
        <f>SUMIFS(Table1[Cost Basis EUR],Table1[Symbol],Summary!D34)</f>
        <v>0</v>
      </c>
      <c r="N34" s="22">
        <f t="shared" si="7"/>
        <v>0</v>
      </c>
      <c r="O34" s="30">
        <f t="shared" si="8"/>
        <v>205.5</v>
      </c>
      <c r="P34" s="30">
        <f>K34*H34</f>
        <v>15.4125</v>
      </c>
    </row>
    <row r="35" spans="1:17" x14ac:dyDescent="0.25">
      <c r="K35" s="32"/>
      <c r="L35" s="32"/>
    </row>
    <row r="36" spans="1:17" x14ac:dyDescent="0.25">
      <c r="J36" s="11" t="s">
        <v>9</v>
      </c>
      <c r="K36" s="50">
        <f>SUM(K18:K34)</f>
        <v>13700.000000000002</v>
      </c>
      <c r="L36" s="51">
        <f>SUM(L18:L34)</f>
        <v>1</v>
      </c>
      <c r="M36" s="50">
        <f>SUM(M18:M34)</f>
        <v>12924.894708729567</v>
      </c>
      <c r="N36" s="52">
        <f>M36/K36</f>
        <v>0.94342297144011433</v>
      </c>
      <c r="O36" s="49">
        <f>SUM(O18:O34)</f>
        <v>775.10529127043083</v>
      </c>
      <c r="P36" s="53">
        <f>SUM(P18:P34)</f>
        <v>745.30740000000003</v>
      </c>
      <c r="Q36" s="54">
        <f>P36/K36</f>
        <v>5.4401999999999992E-2</v>
      </c>
    </row>
    <row r="37" spans="1:17" x14ac:dyDescent="0.25">
      <c r="M37" s="28"/>
    </row>
    <row r="48" spans="1:17" x14ac:dyDescent="0.25">
      <c r="I48" s="20"/>
    </row>
  </sheetData>
  <phoneticPr fontId="7" type="noConversion"/>
  <conditionalFormatting sqref="N36 N18:N34">
    <cfRule type="expression" dxfId="2" priority="1">
      <formula>N18 = 1</formula>
    </cfRule>
    <cfRule type="expression" dxfId="1" priority="2">
      <formula>AND(N18&lt;0.8,N18&gt;=0.5)</formula>
    </cfRule>
    <cfRule type="expression" dxfId="0" priority="3">
      <formula>N18&lt;0.5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topLeftCell="A13" zoomScale="80" zoomScaleNormal="80" workbookViewId="0">
      <selection activeCell="I33" sqref="I33"/>
    </sheetView>
  </sheetViews>
  <sheetFormatPr defaultRowHeight="15" x14ac:dyDescent="0.25"/>
  <cols>
    <col min="1" max="1" width="13" customWidth="1"/>
    <col min="2" max="2" width="12.28515625" customWidth="1"/>
    <col min="3" max="3" width="9.7109375" customWidth="1"/>
    <col min="4" max="4" width="26.7109375" bestFit="1" customWidth="1"/>
    <col min="5" max="5" width="18.28515625" customWidth="1"/>
    <col min="6" max="6" width="15.85546875" customWidth="1"/>
    <col min="7" max="7" width="10.7109375" customWidth="1"/>
    <col min="8" max="8" width="12.7109375" customWidth="1"/>
    <col min="9" max="9" width="11.5703125" customWidth="1"/>
    <col min="10" max="10" width="16.42578125" customWidth="1"/>
    <col min="11" max="11" width="11.140625" customWidth="1"/>
    <col min="12" max="12" width="12.5703125" customWidth="1"/>
    <col min="13" max="13" width="17" customWidth="1"/>
    <col min="14" max="14" width="10.42578125" customWidth="1"/>
    <col min="15" max="15" width="17.85546875" bestFit="1" customWidth="1"/>
  </cols>
  <sheetData>
    <row r="1" spans="1:15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t="s">
        <v>54</v>
      </c>
      <c r="B2" s="40">
        <v>45419</v>
      </c>
      <c r="C2" t="s">
        <v>26</v>
      </c>
      <c r="D2" t="s">
        <v>27</v>
      </c>
      <c r="E2" t="s">
        <v>55</v>
      </c>
      <c r="F2">
        <v>0.92979000000000001</v>
      </c>
      <c r="G2">
        <v>3</v>
      </c>
      <c r="H2">
        <v>223.8</v>
      </c>
      <c r="I2">
        <v>-671.4</v>
      </c>
      <c r="J2">
        <v>-4</v>
      </c>
      <c r="K2">
        <v>-675.4</v>
      </c>
      <c r="L2">
        <v>675.4</v>
      </c>
      <c r="M2">
        <v>0</v>
      </c>
      <c r="N2" t="s">
        <v>56</v>
      </c>
      <c r="O2" s="44">
        <f>Table1[[#This Row],[FXRateToBase]]*Table1[[#This Row],[CostBasis]]</f>
        <v>627.98016599999994</v>
      </c>
    </row>
    <row r="3" spans="1:15" x14ac:dyDescent="0.25">
      <c r="A3" t="s">
        <v>54</v>
      </c>
      <c r="B3" s="40">
        <v>45440</v>
      </c>
      <c r="C3" t="s">
        <v>26</v>
      </c>
      <c r="D3" t="s">
        <v>27</v>
      </c>
      <c r="E3" t="s">
        <v>55</v>
      </c>
      <c r="F3">
        <v>0.92105999999999999</v>
      </c>
      <c r="G3">
        <v>2</v>
      </c>
      <c r="H3">
        <v>226.02</v>
      </c>
      <c r="I3">
        <v>-452.04</v>
      </c>
      <c r="J3">
        <v>-4</v>
      </c>
      <c r="K3">
        <v>-456.04</v>
      </c>
      <c r="L3">
        <v>456.04</v>
      </c>
      <c r="M3">
        <v>0</v>
      </c>
      <c r="N3" t="s">
        <v>56</v>
      </c>
      <c r="O3" s="44">
        <f>Table1[[#This Row],[FXRateToBase]]*Table1[[#This Row],[CostBasis]]</f>
        <v>420.0402024</v>
      </c>
    </row>
    <row r="4" spans="1:15" x14ac:dyDescent="0.25">
      <c r="A4" t="s">
        <v>54</v>
      </c>
      <c r="B4" s="40">
        <v>45407</v>
      </c>
      <c r="C4" t="s">
        <v>22</v>
      </c>
      <c r="D4" t="s">
        <v>73</v>
      </c>
      <c r="E4" t="s">
        <v>55</v>
      </c>
      <c r="F4">
        <v>0.93196999999999997</v>
      </c>
      <c r="G4">
        <v>504</v>
      </c>
      <c r="H4">
        <v>5.04</v>
      </c>
      <c r="I4">
        <v>-2540.16</v>
      </c>
      <c r="J4">
        <v>-4</v>
      </c>
      <c r="K4">
        <v>-2544.16</v>
      </c>
      <c r="L4">
        <v>2544.16</v>
      </c>
      <c r="M4">
        <v>0</v>
      </c>
      <c r="N4" t="s">
        <v>56</v>
      </c>
      <c r="O4" s="44">
        <f>Table1[[#This Row],[FXRateToBase]]*Table1[[#This Row],[CostBasis]]</f>
        <v>2371.0807951999996</v>
      </c>
    </row>
    <row r="5" spans="1:15" x14ac:dyDescent="0.25">
      <c r="A5" t="s">
        <v>54</v>
      </c>
      <c r="B5" s="40">
        <v>45411</v>
      </c>
      <c r="C5" t="s">
        <v>22</v>
      </c>
      <c r="D5" t="s">
        <v>73</v>
      </c>
      <c r="E5" t="s">
        <v>55</v>
      </c>
      <c r="F5">
        <v>0.93279999999999996</v>
      </c>
      <c r="G5">
        <v>800</v>
      </c>
      <c r="H5">
        <v>5.0410000000000004</v>
      </c>
      <c r="I5">
        <v>-4032.8</v>
      </c>
      <c r="J5">
        <v>-4</v>
      </c>
      <c r="K5">
        <v>-4036.8</v>
      </c>
      <c r="L5">
        <v>4036.8</v>
      </c>
      <c r="M5">
        <v>0</v>
      </c>
      <c r="N5" t="s">
        <v>56</v>
      </c>
      <c r="O5" s="44">
        <f>Table1[[#This Row],[FXRateToBase]]*Table1[[#This Row],[CostBasis]]</f>
        <v>3765.5270399999999</v>
      </c>
    </row>
    <row r="6" spans="1:15" x14ac:dyDescent="0.25">
      <c r="A6" t="s">
        <v>54</v>
      </c>
      <c r="B6" s="40">
        <v>45429</v>
      </c>
      <c r="C6" t="s">
        <v>49</v>
      </c>
      <c r="D6" t="s">
        <v>51</v>
      </c>
      <c r="E6" t="s">
        <v>55</v>
      </c>
      <c r="F6">
        <v>0.91998000000000002</v>
      </c>
      <c r="G6">
        <v>398</v>
      </c>
      <c r="H6">
        <v>5.0190000000000001</v>
      </c>
      <c r="I6">
        <v>-1997.5619999999999</v>
      </c>
      <c r="J6">
        <v>-4</v>
      </c>
      <c r="K6">
        <v>-2001.5619999999999</v>
      </c>
      <c r="L6">
        <v>2001.5619999999999</v>
      </c>
      <c r="M6">
        <v>0</v>
      </c>
      <c r="N6" t="s">
        <v>56</v>
      </c>
      <c r="O6" s="44">
        <f>Table1[[#This Row],[FXRateToBase]]*Table1[[#This Row],[CostBasis]]</f>
        <v>1841.3970087599998</v>
      </c>
    </row>
    <row r="7" spans="1:15" x14ac:dyDescent="0.25">
      <c r="A7" t="s">
        <v>54</v>
      </c>
      <c r="B7" s="40">
        <v>45425</v>
      </c>
      <c r="C7" t="s">
        <v>48</v>
      </c>
      <c r="D7" t="s">
        <v>50</v>
      </c>
      <c r="E7" t="s">
        <v>75</v>
      </c>
      <c r="F7">
        <v>1</v>
      </c>
      <c r="G7">
        <v>122</v>
      </c>
      <c r="H7">
        <v>8.18</v>
      </c>
      <c r="I7">
        <v>-997.96</v>
      </c>
      <c r="J7">
        <v>-3</v>
      </c>
      <c r="K7">
        <v>-1000.96</v>
      </c>
      <c r="L7">
        <v>1000.96</v>
      </c>
      <c r="M7">
        <v>0</v>
      </c>
      <c r="N7" t="s">
        <v>56</v>
      </c>
      <c r="O7" s="44">
        <f>Table1[[#This Row],[FXRateToBase]]*Table1[[#This Row],[CostBasis]]</f>
        <v>1000.96</v>
      </c>
    </row>
    <row r="8" spans="1:15" x14ac:dyDescent="0.25">
      <c r="A8" t="s">
        <v>54</v>
      </c>
      <c r="B8" s="40">
        <v>45364</v>
      </c>
      <c r="C8" t="s">
        <v>76</v>
      </c>
      <c r="D8" t="s">
        <v>77</v>
      </c>
      <c r="E8" t="s">
        <v>55</v>
      </c>
      <c r="F8">
        <v>0.91342000000000001</v>
      </c>
      <c r="G8">
        <v>7</v>
      </c>
      <c r="H8">
        <v>15.2</v>
      </c>
      <c r="I8">
        <v>-106.4</v>
      </c>
      <c r="J8">
        <v>-1</v>
      </c>
      <c r="K8">
        <v>-107.4</v>
      </c>
      <c r="L8">
        <v>107.4</v>
      </c>
      <c r="M8">
        <v>0</v>
      </c>
      <c r="N8" t="s">
        <v>56</v>
      </c>
      <c r="O8" s="44">
        <f>Table1[[#This Row],[FXRateToBase]]*Table1[[#This Row],[CostBasis]]</f>
        <v>98.101308000000003</v>
      </c>
    </row>
    <row r="9" spans="1:15" x14ac:dyDescent="0.25">
      <c r="A9" t="s">
        <v>54</v>
      </c>
      <c r="B9" s="40">
        <v>45432</v>
      </c>
      <c r="C9" t="s">
        <v>76</v>
      </c>
      <c r="D9" t="s">
        <v>77</v>
      </c>
      <c r="E9" t="s">
        <v>55</v>
      </c>
      <c r="F9">
        <v>0.92108000000000001</v>
      </c>
      <c r="G9">
        <v>3</v>
      </c>
      <c r="H9">
        <v>12.55</v>
      </c>
      <c r="I9">
        <v>-37.65</v>
      </c>
      <c r="J9">
        <v>-0.3765</v>
      </c>
      <c r="K9">
        <v>-38.026499999999999</v>
      </c>
      <c r="L9">
        <v>38.026499999999999</v>
      </c>
      <c r="M9">
        <v>0</v>
      </c>
      <c r="N9" t="s">
        <v>56</v>
      </c>
      <c r="O9" s="44">
        <f>Table1[[#This Row],[FXRateToBase]]*Table1[[#This Row],[CostBasis]]</f>
        <v>35.025448619999999</v>
      </c>
    </row>
    <row r="10" spans="1:15" x14ac:dyDescent="0.25">
      <c r="A10" t="s">
        <v>54</v>
      </c>
      <c r="B10" s="40">
        <v>44804</v>
      </c>
      <c r="C10" t="s">
        <v>30</v>
      </c>
      <c r="D10" t="s">
        <v>31</v>
      </c>
      <c r="E10" t="s">
        <v>55</v>
      </c>
      <c r="F10">
        <v>0.99463999999999997</v>
      </c>
      <c r="G10">
        <v>10</v>
      </c>
      <c r="H10">
        <v>24.9</v>
      </c>
      <c r="I10">
        <v>-249</v>
      </c>
      <c r="J10">
        <v>-1</v>
      </c>
      <c r="K10">
        <v>-250</v>
      </c>
      <c r="L10">
        <v>250</v>
      </c>
      <c r="M10">
        <v>0</v>
      </c>
      <c r="N10" t="s">
        <v>56</v>
      </c>
      <c r="O10" s="44">
        <f>Table1[[#This Row],[FXRateToBase]]*Table1[[#This Row],[CostBasis]]</f>
        <v>248.66</v>
      </c>
    </row>
    <row r="11" spans="1:15" x14ac:dyDescent="0.25">
      <c r="A11" t="s">
        <v>54</v>
      </c>
      <c r="B11" s="40">
        <v>45413</v>
      </c>
      <c r="C11" t="s">
        <v>33</v>
      </c>
      <c r="D11" t="s">
        <v>34</v>
      </c>
      <c r="E11" t="s">
        <v>55</v>
      </c>
      <c r="F11">
        <v>0.93344000000000005</v>
      </c>
      <c r="G11">
        <v>5</v>
      </c>
      <c r="H11">
        <v>24.95</v>
      </c>
      <c r="I11">
        <v>-124.75</v>
      </c>
      <c r="J11">
        <v>-1</v>
      </c>
      <c r="K11">
        <v>-125.75</v>
      </c>
      <c r="L11">
        <v>125.75</v>
      </c>
      <c r="M11">
        <v>0</v>
      </c>
      <c r="N11" t="s">
        <v>56</v>
      </c>
      <c r="O11" s="44">
        <f>Table1[[#This Row],[FXRateToBase]]*Table1[[#This Row],[CostBasis]]</f>
        <v>117.38008000000001</v>
      </c>
    </row>
    <row r="12" spans="1:15" x14ac:dyDescent="0.25">
      <c r="A12" t="s">
        <v>54</v>
      </c>
      <c r="B12" s="40">
        <v>45377</v>
      </c>
      <c r="C12" t="s">
        <v>35</v>
      </c>
      <c r="D12" t="s">
        <v>36</v>
      </c>
      <c r="E12" t="s">
        <v>55</v>
      </c>
      <c r="F12">
        <v>0.92322000000000004</v>
      </c>
      <c r="G12">
        <v>10</v>
      </c>
      <c r="H12">
        <v>26.47</v>
      </c>
      <c r="I12">
        <v>-264.7</v>
      </c>
      <c r="J12">
        <v>-1</v>
      </c>
      <c r="K12">
        <v>-265.7</v>
      </c>
      <c r="L12">
        <v>265.7</v>
      </c>
      <c r="M12">
        <v>0</v>
      </c>
      <c r="N12" t="s">
        <v>56</v>
      </c>
      <c r="O12" s="44">
        <f>Table1[[#This Row],[FXRateToBase]]*Table1[[#This Row],[CostBasis]]</f>
        <v>245.299554</v>
      </c>
    </row>
    <row r="13" spans="1:15" x14ac:dyDescent="0.25">
      <c r="A13" t="s">
        <v>54</v>
      </c>
      <c r="B13" s="40">
        <v>45411</v>
      </c>
      <c r="C13" t="s">
        <v>37</v>
      </c>
      <c r="D13" t="s">
        <v>38</v>
      </c>
      <c r="E13" t="s">
        <v>55</v>
      </c>
      <c r="F13">
        <v>0.93279999999999996</v>
      </c>
      <c r="G13">
        <v>5</v>
      </c>
      <c r="H13">
        <v>23.217600000000001</v>
      </c>
      <c r="I13">
        <v>-116.08799999999999</v>
      </c>
      <c r="J13">
        <v>-1</v>
      </c>
      <c r="K13">
        <v>-117.08799999999999</v>
      </c>
      <c r="L13">
        <v>117.08799999999999</v>
      </c>
      <c r="M13">
        <v>0</v>
      </c>
      <c r="N13" t="s">
        <v>56</v>
      </c>
      <c r="O13" s="44">
        <f>Table1[[#This Row],[FXRateToBase]]*Table1[[#This Row],[CostBasis]]</f>
        <v>109.21968639999999</v>
      </c>
    </row>
    <row r="14" spans="1:15" x14ac:dyDescent="0.25">
      <c r="A14" t="s">
        <v>54</v>
      </c>
      <c r="B14" s="40">
        <v>45432</v>
      </c>
      <c r="C14" t="s">
        <v>37</v>
      </c>
      <c r="D14" t="s">
        <v>38</v>
      </c>
      <c r="E14" t="s">
        <v>55</v>
      </c>
      <c r="F14">
        <v>0.92108000000000001</v>
      </c>
      <c r="G14">
        <v>5</v>
      </c>
      <c r="H14">
        <v>23.15</v>
      </c>
      <c r="I14">
        <v>-115.75</v>
      </c>
      <c r="J14">
        <v>-1</v>
      </c>
      <c r="K14">
        <v>-116.75</v>
      </c>
      <c r="L14">
        <v>116.75</v>
      </c>
      <c r="M14">
        <v>0</v>
      </c>
      <c r="N14" t="s">
        <v>56</v>
      </c>
      <c r="O14" s="44">
        <f>Table1[[#This Row],[FXRateToBase]]*Table1[[#This Row],[CostBasis]]</f>
        <v>107.53609</v>
      </c>
    </row>
    <row r="15" spans="1:15" x14ac:dyDescent="0.25">
      <c r="A15" t="s">
        <v>54</v>
      </c>
      <c r="B15" s="40">
        <v>45411</v>
      </c>
      <c r="C15" t="s">
        <v>39</v>
      </c>
      <c r="D15" t="s">
        <v>40</v>
      </c>
      <c r="E15" t="s">
        <v>55</v>
      </c>
      <c r="F15">
        <v>0.93279999999999996</v>
      </c>
      <c r="G15">
        <v>5</v>
      </c>
      <c r="H15">
        <v>29.23</v>
      </c>
      <c r="I15">
        <v>-146.15</v>
      </c>
      <c r="J15">
        <v>-1</v>
      </c>
      <c r="K15">
        <v>-147.15</v>
      </c>
      <c r="L15">
        <v>147.15</v>
      </c>
      <c r="M15">
        <v>0</v>
      </c>
      <c r="N15" t="s">
        <v>56</v>
      </c>
      <c r="O15" s="44">
        <f>Table1[[#This Row],[FXRateToBase]]*Table1[[#This Row],[CostBasis]]</f>
        <v>137.26151999999999</v>
      </c>
    </row>
    <row r="16" spans="1:15" x14ac:dyDescent="0.25">
      <c r="A16" t="s">
        <v>54</v>
      </c>
      <c r="B16" s="40">
        <v>45411</v>
      </c>
      <c r="C16" t="s">
        <v>41</v>
      </c>
      <c r="D16" t="s">
        <v>42</v>
      </c>
      <c r="E16" t="s">
        <v>55</v>
      </c>
      <c r="F16">
        <v>0.93279999999999996</v>
      </c>
      <c r="G16">
        <v>5</v>
      </c>
      <c r="H16">
        <v>22.47</v>
      </c>
      <c r="I16">
        <v>-112.35</v>
      </c>
      <c r="J16">
        <v>-1</v>
      </c>
      <c r="K16">
        <v>-113.35</v>
      </c>
      <c r="L16">
        <v>113.35</v>
      </c>
      <c r="M16">
        <v>0</v>
      </c>
      <c r="N16" t="s">
        <v>56</v>
      </c>
      <c r="O16" s="44">
        <f>Table1[[#This Row],[FXRateToBase]]*Table1[[#This Row],[CostBasis]]</f>
        <v>105.73287999999999</v>
      </c>
    </row>
    <row r="17" spans="1:15" x14ac:dyDescent="0.25">
      <c r="A17" t="s">
        <v>54</v>
      </c>
      <c r="B17" s="40">
        <v>45419</v>
      </c>
      <c r="C17" t="s">
        <v>43</v>
      </c>
      <c r="D17" t="s">
        <v>44</v>
      </c>
      <c r="E17" t="s">
        <v>55</v>
      </c>
      <c r="F17">
        <v>0.92979000000000001</v>
      </c>
      <c r="G17">
        <v>6</v>
      </c>
      <c r="H17">
        <v>23.31</v>
      </c>
      <c r="I17">
        <v>-139.86000000000001</v>
      </c>
      <c r="J17">
        <v>-1</v>
      </c>
      <c r="K17">
        <v>-140.86000000000001</v>
      </c>
      <c r="L17">
        <v>140.86000000000001</v>
      </c>
      <c r="M17">
        <v>0</v>
      </c>
      <c r="N17" t="s">
        <v>56</v>
      </c>
      <c r="O17" s="44">
        <f>Table1[[#This Row],[FXRateToBase]]*Table1[[#This Row],[CostBasis]]</f>
        <v>130.97021940000002</v>
      </c>
    </row>
    <row r="18" spans="1:15" x14ac:dyDescent="0.25">
      <c r="A18" t="s">
        <v>54</v>
      </c>
      <c r="B18" s="40">
        <v>45443</v>
      </c>
      <c r="C18" t="s">
        <v>78</v>
      </c>
      <c r="D18" t="s">
        <v>79</v>
      </c>
      <c r="E18" t="s">
        <v>55</v>
      </c>
      <c r="F18">
        <v>0.92176000000000002</v>
      </c>
      <c r="G18">
        <v>5</v>
      </c>
      <c r="H18">
        <v>22.5</v>
      </c>
      <c r="I18">
        <v>-112.5</v>
      </c>
      <c r="J18">
        <v>-1</v>
      </c>
      <c r="K18">
        <v>-113.5</v>
      </c>
      <c r="L18">
        <v>113.5</v>
      </c>
      <c r="M18">
        <v>0</v>
      </c>
      <c r="N18" t="s">
        <v>56</v>
      </c>
      <c r="O18" s="44">
        <f>Table1[[#This Row],[FXRateToBase]]*Table1[[#This Row],[CostBasis]]</f>
        <v>104.61976</v>
      </c>
    </row>
    <row r="19" spans="1:15" x14ac:dyDescent="0.25">
      <c r="A19" t="s">
        <v>54</v>
      </c>
      <c r="B19" s="40">
        <v>45446</v>
      </c>
      <c r="C19" t="s">
        <v>80</v>
      </c>
      <c r="D19" t="s">
        <v>81</v>
      </c>
      <c r="E19" t="s">
        <v>55</v>
      </c>
      <c r="F19">
        <v>0.91707000000000005</v>
      </c>
      <c r="G19">
        <v>2</v>
      </c>
      <c r="H19">
        <v>54.8</v>
      </c>
      <c r="I19">
        <v>-109.6</v>
      </c>
      <c r="J19">
        <v>-1</v>
      </c>
      <c r="K19">
        <v>-110.6</v>
      </c>
      <c r="L19">
        <v>110.6</v>
      </c>
      <c r="M19">
        <v>0</v>
      </c>
      <c r="N19" t="s">
        <v>56</v>
      </c>
      <c r="O19" s="44">
        <f>Table1[[#This Row],[FXRateToBase]]*Table1[[#This Row],[CostBasis]]</f>
        <v>101.427942</v>
      </c>
    </row>
    <row r="20" spans="1:15" x14ac:dyDescent="0.25">
      <c r="A20" t="s">
        <v>54</v>
      </c>
      <c r="B20" s="40">
        <v>45447</v>
      </c>
      <c r="C20" t="s">
        <v>82</v>
      </c>
      <c r="D20" t="s">
        <v>83</v>
      </c>
      <c r="E20" t="s">
        <v>75</v>
      </c>
      <c r="F20">
        <v>1</v>
      </c>
      <c r="G20">
        <v>15</v>
      </c>
      <c r="H20">
        <v>38.42</v>
      </c>
      <c r="I20">
        <v>-576.29999999999995</v>
      </c>
      <c r="J20">
        <v>-3.75</v>
      </c>
      <c r="K20">
        <v>-580.04999999999995</v>
      </c>
      <c r="L20">
        <v>580.04999999999995</v>
      </c>
      <c r="M20">
        <v>0</v>
      </c>
      <c r="N20" t="s">
        <v>56</v>
      </c>
      <c r="O20" s="44">
        <f>Table1[[#This Row],[FXRateToBase]]*Table1[[#This Row],[CostBasis]]</f>
        <v>580.04999999999995</v>
      </c>
    </row>
    <row r="21" spans="1:15" x14ac:dyDescent="0.25">
      <c r="A21" t="s">
        <v>54</v>
      </c>
      <c r="B21" s="40">
        <v>45449</v>
      </c>
      <c r="C21" t="s">
        <v>39</v>
      </c>
      <c r="D21" t="s">
        <v>40</v>
      </c>
      <c r="E21" t="s">
        <v>55</v>
      </c>
      <c r="F21">
        <v>0.91832000000000003</v>
      </c>
      <c r="G21">
        <v>2</v>
      </c>
      <c r="H21">
        <v>29.3</v>
      </c>
      <c r="I21">
        <v>-58.6</v>
      </c>
      <c r="J21">
        <v>-0.58599999999999997</v>
      </c>
      <c r="K21">
        <v>-59.186</v>
      </c>
      <c r="L21">
        <v>59.186</v>
      </c>
      <c r="M21">
        <v>0</v>
      </c>
      <c r="N21" t="s">
        <v>56</v>
      </c>
      <c r="O21" s="44">
        <f>Table1[[#This Row],[FXRateToBase]]*Table1[[#This Row],[CostBasis]]</f>
        <v>54.351687519999999</v>
      </c>
    </row>
    <row r="22" spans="1:15" x14ac:dyDescent="0.25">
      <c r="A22" t="s">
        <v>54</v>
      </c>
      <c r="B22" s="40">
        <v>45449</v>
      </c>
      <c r="C22" t="s">
        <v>39</v>
      </c>
      <c r="D22" t="s">
        <v>40</v>
      </c>
      <c r="E22" t="s">
        <v>55</v>
      </c>
      <c r="F22">
        <v>0.91832000000000003</v>
      </c>
      <c r="G22">
        <v>2</v>
      </c>
      <c r="H22">
        <v>29.3</v>
      </c>
      <c r="I22">
        <v>-58.6</v>
      </c>
      <c r="J22">
        <v>-0.41399999999999998</v>
      </c>
      <c r="K22">
        <v>-59.014000000000003</v>
      </c>
      <c r="L22">
        <v>59.014000000000003</v>
      </c>
      <c r="M22">
        <v>0</v>
      </c>
      <c r="N22" t="s">
        <v>56</v>
      </c>
      <c r="O22" s="44">
        <f>Table1[[#This Row],[FXRateToBase]]*Table1[[#This Row],[CostBasis]]</f>
        <v>54.193736480000005</v>
      </c>
    </row>
    <row r="23" spans="1:15" x14ac:dyDescent="0.25">
      <c r="A23" s="40" t="s">
        <v>54</v>
      </c>
      <c r="B23" s="40">
        <v>45450</v>
      </c>
      <c r="C23" t="s">
        <v>82</v>
      </c>
      <c r="D23" t="s">
        <v>83</v>
      </c>
      <c r="E23" t="s">
        <v>75</v>
      </c>
      <c r="F23">
        <v>1</v>
      </c>
      <c r="G23">
        <v>15</v>
      </c>
      <c r="H23">
        <v>38.409999999999997</v>
      </c>
      <c r="I23">
        <v>-576.15</v>
      </c>
      <c r="J23">
        <v>-3.75</v>
      </c>
      <c r="K23">
        <v>-579.9</v>
      </c>
      <c r="L23">
        <v>579.9</v>
      </c>
      <c r="M23">
        <v>0</v>
      </c>
      <c r="N23" t="s">
        <v>56</v>
      </c>
      <c r="O23" s="44">
        <f>Table1[[#This Row],[FXRateToBase]]*Table1[[#This Row],[CostBasis]]</f>
        <v>579.9</v>
      </c>
    </row>
    <row r="24" spans="1:15" x14ac:dyDescent="0.25">
      <c r="A24" t="s">
        <v>54</v>
      </c>
      <c r="B24" s="40">
        <v>45456</v>
      </c>
      <c r="C24" t="s">
        <v>84</v>
      </c>
      <c r="D24" t="s">
        <v>85</v>
      </c>
      <c r="E24" t="s">
        <v>55</v>
      </c>
      <c r="F24">
        <v>0.93128999999999995</v>
      </c>
      <c r="G24">
        <v>10</v>
      </c>
      <c r="H24">
        <v>11.099299999999999</v>
      </c>
      <c r="I24">
        <v>-110.99299999999999</v>
      </c>
      <c r="J24">
        <v>-1</v>
      </c>
      <c r="K24">
        <v>-111.99299999999999</v>
      </c>
      <c r="L24">
        <v>111.99299999999999</v>
      </c>
      <c r="M24">
        <v>0</v>
      </c>
      <c r="N24" t="s">
        <v>56</v>
      </c>
      <c r="O24" s="44">
        <f>Table1[[#This Row],[FXRateToBase]]*Table1[[#This Row],[CostBasis]]</f>
        <v>104.29796096999999</v>
      </c>
    </row>
    <row r="25" spans="1:15" x14ac:dyDescent="0.25">
      <c r="A25" s="40" t="s">
        <v>54</v>
      </c>
      <c r="B25" s="40">
        <v>45457</v>
      </c>
      <c r="C25" t="s">
        <v>87</v>
      </c>
      <c r="D25" t="s">
        <v>88</v>
      </c>
      <c r="E25" t="s">
        <v>75</v>
      </c>
      <c r="F25">
        <v>1</v>
      </c>
      <c r="G25">
        <v>8</v>
      </c>
      <c r="H25">
        <v>60.5</v>
      </c>
      <c r="I25">
        <v>-484</v>
      </c>
      <c r="J25">
        <v>-3</v>
      </c>
      <c r="K25">
        <v>-487</v>
      </c>
      <c r="L25">
        <v>487</v>
      </c>
      <c r="M25">
        <v>0</v>
      </c>
      <c r="N25" t="s">
        <v>56</v>
      </c>
      <c r="O25" s="44">
        <f>Table1[[#This Row],[FXRateToBase]]*Table1[[#This Row],[CostBasis]]</f>
        <v>487</v>
      </c>
    </row>
    <row r="26" spans="1:15" x14ac:dyDescent="0.25">
      <c r="A26" t="s">
        <v>54</v>
      </c>
      <c r="B26" s="40">
        <v>45468</v>
      </c>
      <c r="C26" t="s">
        <v>26</v>
      </c>
      <c r="D26" t="s">
        <v>27</v>
      </c>
      <c r="E26" t="s">
        <v>55</v>
      </c>
      <c r="F26">
        <v>0.93328999999999995</v>
      </c>
      <c r="G26">
        <v>-2</v>
      </c>
      <c r="H26">
        <v>224.39</v>
      </c>
      <c r="I26">
        <v>448.78</v>
      </c>
      <c r="J26">
        <v>-4</v>
      </c>
      <c r="K26">
        <v>444.78</v>
      </c>
      <c r="L26">
        <v>-450.26666699999998</v>
      </c>
      <c r="M26">
        <v>-5.4866669999999997</v>
      </c>
      <c r="N26" t="s">
        <v>89</v>
      </c>
      <c r="O26" s="44">
        <f>Table1[[#This Row],[FXRateToBase]]*Table1[[#This Row],[CostBasis]]</f>
        <v>-420.22937764442997</v>
      </c>
    </row>
    <row r="27" spans="1:15" x14ac:dyDescent="0.25">
      <c r="A27" t="s">
        <v>54</v>
      </c>
      <c r="B27" s="40">
        <v>45478</v>
      </c>
      <c r="C27" t="s">
        <v>33</v>
      </c>
      <c r="D27" t="s">
        <v>34</v>
      </c>
      <c r="E27" t="s">
        <v>55</v>
      </c>
      <c r="F27">
        <v>0.92266000000000004</v>
      </c>
      <c r="G27">
        <v>5</v>
      </c>
      <c r="H27">
        <v>25.22</v>
      </c>
      <c r="I27">
        <v>-126.1</v>
      </c>
      <c r="J27">
        <v>-1</v>
      </c>
      <c r="K27">
        <v>-127.1</v>
      </c>
      <c r="L27">
        <v>127.1</v>
      </c>
      <c r="M27">
        <v>0</v>
      </c>
      <c r="N27" t="s">
        <v>56</v>
      </c>
      <c r="O27" s="44">
        <f>Table1[[#This Row],[FXRateToBase]]*Table1[[#This Row],[CostBasis]]</f>
        <v>117.27008600000001</v>
      </c>
    </row>
    <row r="28" spans="1:15" x14ac:dyDescent="0.25">
      <c r="A28" t="s">
        <v>54</v>
      </c>
      <c r="B28" s="40">
        <v>45478</v>
      </c>
      <c r="C28" t="s">
        <v>35</v>
      </c>
      <c r="D28" t="s">
        <v>36</v>
      </c>
      <c r="E28" t="s">
        <v>55</v>
      </c>
      <c r="F28">
        <v>0.92266000000000004</v>
      </c>
      <c r="G28">
        <v>2</v>
      </c>
      <c r="H28">
        <v>26.02</v>
      </c>
      <c r="I28">
        <v>-52.04</v>
      </c>
      <c r="J28">
        <v>-0.52639999999999998</v>
      </c>
      <c r="K28">
        <v>-52.566400000000002</v>
      </c>
      <c r="L28">
        <v>52.566400000000002</v>
      </c>
      <c r="M28">
        <v>0</v>
      </c>
      <c r="N28" t="s">
        <v>56</v>
      </c>
      <c r="O28" s="44">
        <f>Table1[[#This Row],[FXRateToBase]]*Table1[[#This Row],[CostBasis]]</f>
        <v>48.500914624000004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Deniss Boltunovs</dc:creator>
  <cp:lastModifiedBy>Deniss Boltunovs</cp:lastModifiedBy>
  <dcterms:created xsi:type="dcterms:W3CDTF">2024-04-23T06:45:17Z</dcterms:created>
  <dcterms:modified xsi:type="dcterms:W3CDTF">2024-07-06T06:46:28Z</dcterms:modified>
</cp:coreProperties>
</file>