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95" windowWidth="15120" windowHeight="4950" tabRatio="990" firstSheet="21" activeTab="37"/>
  </bookViews>
  <sheets>
    <sheet name="Summary_Overall" sheetId="17" r:id="rId1"/>
    <sheet name="Excess_Workload" sheetId="1" r:id="rId2"/>
    <sheet name="IMC_Form" sheetId="41" r:id="rId3"/>
    <sheet name="PG_Supervision" sheetId="2" r:id="rId4"/>
    <sheet name="TP_IS_FT_Allowance" sheetId="3" r:id="rId5"/>
    <sheet name="Responsibility" sheetId="4" r:id="rId6"/>
    <sheet name="IMC_Form (2)" sheetId="42" r:id="rId7"/>
    <sheet name="Excess_Workload (2)" sheetId="19" r:id="rId8"/>
    <sheet name="PG_Supervision (2)" sheetId="20" r:id="rId9"/>
    <sheet name="TP_IS_FT_Allowance (2)" sheetId="21" r:id="rId10"/>
    <sheet name="Responsibility (2)" sheetId="22" r:id="rId11"/>
    <sheet name="IMC_Form (3)" sheetId="46" r:id="rId12"/>
    <sheet name="Excess_Workload (3)" sheetId="28" r:id="rId13"/>
    <sheet name="PG_Supervision (3)" sheetId="29" r:id="rId14"/>
    <sheet name="TP_IS_FT_Allowance (3)" sheetId="30" r:id="rId15"/>
    <sheet name="Responsibility (3)" sheetId="31" r:id="rId16"/>
    <sheet name="IMC_Form (4)" sheetId="47" r:id="rId17"/>
    <sheet name="Excess_Workload (4)" sheetId="32" r:id="rId18"/>
    <sheet name="PG_Supervision (4)" sheetId="33" r:id="rId19"/>
    <sheet name="TP_IS_FT_Allowance (4)" sheetId="34" r:id="rId20"/>
    <sheet name="Responsibility (4)" sheetId="35" r:id="rId21"/>
    <sheet name="IMC_Form (5)" sheetId="48" r:id="rId22"/>
    <sheet name="Excess_Workload (5)" sheetId="36" r:id="rId23"/>
    <sheet name="TP_IS_FT_Allowance (5)" sheetId="38" r:id="rId24"/>
    <sheet name="PG_Supervision (5)" sheetId="37" r:id="rId25"/>
    <sheet name="Responsibility (5)" sheetId="39" r:id="rId26"/>
    <sheet name="Statistics" sheetId="14" r:id="rId27"/>
    <sheet name="OthersDept" sheetId="40" r:id="rId28"/>
    <sheet name="CA_Prog_1" sheetId="6" r:id="rId29"/>
    <sheet name="CA_Prog_2" sheetId="10" state="hidden" r:id="rId30"/>
    <sheet name="CA_Prog_3" sheetId="11" state="hidden" r:id="rId31"/>
    <sheet name="CA_Prog_4" sheetId="23" state="hidden" r:id="rId32"/>
    <sheet name="CA_Prog_5" sheetId="24" state="hidden" r:id="rId33"/>
    <sheet name="CA_Prog_6" sheetId="25" state="hidden" r:id="rId34"/>
    <sheet name="CA_Prog_7" sheetId="26" state="hidden" r:id="rId35"/>
    <sheet name="CA_Prog_8" sheetId="27" state="hidden" r:id="rId36"/>
    <sheet name="Staff_List" sheetId="15" r:id="rId37"/>
    <sheet name="Courses_List" sheetId="18" r:id="rId38"/>
    <sheet name="Info_Lists" sheetId="13" r:id="rId39"/>
  </sheets>
  <definedNames>
    <definedName name="_xlnm._FilterDatabase" localSheetId="28" hidden="1">CA_Prog_1!$J$13:$K$13</definedName>
    <definedName name="_xlnm._FilterDatabase" localSheetId="31" hidden="1">CA_Prog_4!$I$13:$J$13</definedName>
    <definedName name="_xlnm._FilterDatabase" localSheetId="34" hidden="1">CA_Prog_7!$I$13:$J$13</definedName>
    <definedName name="_xlnm._FilterDatabase" localSheetId="3" hidden="1">PG_Supervision!$B$4:$I$4</definedName>
    <definedName name="_xlnm._FilterDatabase" localSheetId="8" hidden="1">'PG_Supervision (2)'!$B$4:$I$4</definedName>
    <definedName name="_xlnm._FilterDatabase" localSheetId="13" hidden="1">'PG_Supervision (3)'!$B$4:$I$4</definedName>
    <definedName name="_xlnm._FilterDatabase" localSheetId="18" hidden="1">'PG_Supervision (4)'!$B$4:$I$4</definedName>
    <definedName name="_xlnm._FilterDatabase" localSheetId="24" hidden="1">'PG_Supervision (5)'!$B$4:$I$4</definedName>
    <definedName name="_xlnm._FilterDatabase" localSheetId="5" hidden="1">Responsibility!$B$4:$G$4</definedName>
    <definedName name="_xlnm._FilterDatabase" localSheetId="10" hidden="1">'Responsibility (2)'!$B$4:$G$4</definedName>
    <definedName name="_xlnm._FilterDatabase" localSheetId="15" hidden="1">'Responsibility (3)'!$B$4:$G$4</definedName>
    <definedName name="_xlnm._FilterDatabase" localSheetId="20" hidden="1">'Responsibility (4)'!$B$4:$G$4</definedName>
    <definedName name="_xlnm._FilterDatabase" localSheetId="25" hidden="1">'Responsibility (5)'!$B$4:$G$4</definedName>
    <definedName name="_xlnm.Extract" localSheetId="5">Responsibility!$H$4:$I$4</definedName>
    <definedName name="_xlnm.Extract" localSheetId="10">'Responsibility (2)'!$H$4:$I$4</definedName>
    <definedName name="_xlnm.Extract" localSheetId="15">'Responsibility (3)'!$H$4:$I$4</definedName>
    <definedName name="_xlnm.Extract" localSheetId="20">'Responsibility (4)'!$H$4:$I$4</definedName>
    <definedName name="_xlnm.Extract" localSheetId="25">'Responsibility (5)'!$H$4:$I$4</definedName>
    <definedName name="Faculty" localSheetId="38">Info_Lists!$C$20:$O$21</definedName>
    <definedName name="Responsibility_Dept_Claims" localSheetId="38">Info_Lists!$G$2:$M$3</definedName>
  </definedNames>
  <calcPr calcId="144525"/>
</workbook>
</file>

<file path=xl/calcChain.xml><?xml version="1.0" encoding="utf-8"?>
<calcChain xmlns="http://schemas.openxmlformats.org/spreadsheetml/2006/main">
  <c r="D42" i="40" l="1"/>
  <c r="E42" i="40"/>
  <c r="F42" i="40"/>
  <c r="G42" i="40"/>
  <c r="D43" i="40"/>
  <c r="E43" i="40"/>
  <c r="F43" i="40"/>
  <c r="G43" i="40"/>
  <c r="D44" i="40"/>
  <c r="E44" i="40"/>
  <c r="F44" i="40"/>
  <c r="G44" i="40"/>
  <c r="D45" i="40"/>
  <c r="E45" i="40"/>
  <c r="F45" i="40"/>
  <c r="G45" i="40"/>
  <c r="D46" i="40"/>
  <c r="E46" i="40"/>
  <c r="F46" i="40"/>
  <c r="G46" i="40"/>
  <c r="D47" i="40"/>
  <c r="E47" i="40"/>
  <c r="F47" i="40"/>
  <c r="G47" i="40"/>
  <c r="D48" i="40"/>
  <c r="E48" i="40"/>
  <c r="F48" i="40"/>
  <c r="G48" i="40"/>
  <c r="D49" i="40"/>
  <c r="E49" i="40"/>
  <c r="F49" i="40"/>
  <c r="G49" i="40"/>
  <c r="D50" i="40"/>
  <c r="E50" i="40"/>
  <c r="F50" i="40"/>
  <c r="G50" i="40"/>
  <c r="D51" i="40"/>
  <c r="E51" i="40"/>
  <c r="F51" i="40"/>
  <c r="G51" i="40"/>
  <c r="D52" i="40"/>
  <c r="E52" i="40"/>
  <c r="F52" i="40"/>
  <c r="G52" i="40"/>
  <c r="D53" i="40"/>
  <c r="E53" i="40"/>
  <c r="F53" i="40"/>
  <c r="G53" i="40"/>
  <c r="D54" i="40"/>
  <c r="E54" i="40"/>
  <c r="F54" i="40"/>
  <c r="G54" i="40"/>
  <c r="D55" i="40"/>
  <c r="E55" i="40"/>
  <c r="F55" i="40"/>
  <c r="G55" i="40"/>
  <c r="D56" i="40"/>
  <c r="E56" i="40"/>
  <c r="F56" i="40"/>
  <c r="G56" i="40"/>
  <c r="D57" i="40"/>
  <c r="E57" i="40"/>
  <c r="F57" i="40"/>
  <c r="G57" i="40"/>
  <c r="D58" i="40"/>
  <c r="E58" i="40"/>
  <c r="F58" i="40"/>
  <c r="G58" i="40"/>
  <c r="D59" i="40"/>
  <c r="E59" i="40"/>
  <c r="F59" i="40"/>
  <c r="G59" i="40"/>
  <c r="D60" i="40"/>
  <c r="E60" i="40"/>
  <c r="F60" i="40"/>
  <c r="G60" i="40"/>
  <c r="D61" i="40"/>
  <c r="E61" i="40"/>
  <c r="F61" i="40"/>
  <c r="G61" i="40"/>
  <c r="D62" i="40"/>
  <c r="E62" i="40"/>
  <c r="F62" i="40"/>
  <c r="G62" i="40"/>
  <c r="D63" i="40"/>
  <c r="E63" i="40"/>
  <c r="F63" i="40"/>
  <c r="G63" i="40"/>
  <c r="D64" i="40"/>
  <c r="E64" i="40"/>
  <c r="F64" i="40"/>
  <c r="G64" i="40"/>
  <c r="D65" i="40"/>
  <c r="E65" i="40"/>
  <c r="F65" i="40"/>
  <c r="G65" i="40"/>
  <c r="D66" i="40"/>
  <c r="E66" i="40"/>
  <c r="F66" i="40"/>
  <c r="G66" i="40"/>
  <c r="D67" i="40"/>
  <c r="E67" i="40"/>
  <c r="F67" i="40"/>
  <c r="G67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42" i="40"/>
  <c r="E15" i="33"/>
  <c r="E15" i="29"/>
  <c r="E15" i="20"/>
  <c r="E15" i="2"/>
  <c r="J9" i="6" l="1"/>
  <c r="J10" i="6"/>
  <c r="J11" i="6"/>
  <c r="J12" i="6"/>
  <c r="J13" i="6"/>
  <c r="J8" i="6"/>
  <c r="J14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D7" i="48" l="1"/>
  <c r="D48" i="48"/>
  <c r="D49" i="48"/>
  <c r="D50" i="48"/>
  <c r="D51" i="48"/>
  <c r="D52" i="48"/>
  <c r="D53" i="48"/>
  <c r="D54" i="48"/>
  <c r="D55" i="48"/>
  <c r="D56" i="48"/>
  <c r="D57" i="48"/>
  <c r="D58" i="48"/>
  <c r="D47" i="48"/>
  <c r="D39" i="48"/>
  <c r="B39" i="48" s="1"/>
  <c r="D40" i="48"/>
  <c r="B40" i="48" s="1"/>
  <c r="D41" i="48"/>
  <c r="B41" i="48" s="1"/>
  <c r="D42" i="48"/>
  <c r="D38" i="48"/>
  <c r="B38" i="48" s="1"/>
  <c r="F20" i="48"/>
  <c r="F21" i="48"/>
  <c r="F22" i="48"/>
  <c r="F23" i="48"/>
  <c r="F24" i="48"/>
  <c r="F25" i="48"/>
  <c r="F26" i="48"/>
  <c r="F27" i="48"/>
  <c r="F28" i="48"/>
  <c r="F29" i="48"/>
  <c r="F30" i="48"/>
  <c r="F31" i="48"/>
  <c r="F32" i="48"/>
  <c r="F33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F19" i="48"/>
  <c r="D19" i="48"/>
  <c r="F13" i="48"/>
  <c r="F14" i="48"/>
  <c r="F15" i="48"/>
  <c r="F16" i="48"/>
  <c r="D13" i="48"/>
  <c r="D14" i="48"/>
  <c r="D15" i="48"/>
  <c r="D16" i="48"/>
  <c r="F12" i="48"/>
  <c r="D12" i="48"/>
  <c r="D4" i="48"/>
  <c r="B17" i="48" s="1"/>
  <c r="D3" i="48"/>
  <c r="D2" i="48"/>
  <c r="D44" i="48"/>
  <c r="D43" i="48"/>
  <c r="B42" i="48"/>
  <c r="D48" i="47"/>
  <c r="D49" i="47"/>
  <c r="D50" i="47"/>
  <c r="D51" i="47"/>
  <c r="D52" i="47"/>
  <c r="D53" i="47"/>
  <c r="D54" i="47"/>
  <c r="D55" i="47"/>
  <c r="D56" i="47"/>
  <c r="D57" i="47"/>
  <c r="D58" i="47"/>
  <c r="D47" i="47"/>
  <c r="D39" i="47"/>
  <c r="B39" i="47" s="1"/>
  <c r="D40" i="47"/>
  <c r="D41" i="47"/>
  <c r="B41" i="47" s="1"/>
  <c r="D42" i="47"/>
  <c r="D38" i="47"/>
  <c r="B38" i="47" s="1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F19" i="47"/>
  <c r="D19" i="47"/>
  <c r="F13" i="47"/>
  <c r="F14" i="47"/>
  <c r="F15" i="47"/>
  <c r="F16" i="47"/>
  <c r="D13" i="47"/>
  <c r="D14" i="47"/>
  <c r="D15" i="47"/>
  <c r="D16" i="47"/>
  <c r="F12" i="47"/>
  <c r="D12" i="47"/>
  <c r="D7" i="47"/>
  <c r="D4" i="47"/>
  <c r="B45" i="47" s="1"/>
  <c r="D3" i="47"/>
  <c r="D2" i="47"/>
  <c r="D44" i="47"/>
  <c r="D43" i="47"/>
  <c r="B42" i="47"/>
  <c r="B40" i="47"/>
  <c r="D48" i="46"/>
  <c r="D49" i="46"/>
  <c r="D50" i="46"/>
  <c r="D51" i="46"/>
  <c r="D52" i="46"/>
  <c r="D53" i="46"/>
  <c r="D54" i="46"/>
  <c r="D55" i="46"/>
  <c r="D56" i="46"/>
  <c r="D57" i="46"/>
  <c r="D58" i="46"/>
  <c r="D47" i="46"/>
  <c r="D39" i="46"/>
  <c r="B39" i="46" s="1"/>
  <c r="D40" i="46"/>
  <c r="D41" i="46"/>
  <c r="B41" i="46" s="1"/>
  <c r="D42" i="46"/>
  <c r="D38" i="46"/>
  <c r="B38" i="46" s="1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F19" i="46"/>
  <c r="D19" i="46"/>
  <c r="F13" i="46"/>
  <c r="F14" i="46"/>
  <c r="F15" i="46"/>
  <c r="F16" i="46"/>
  <c r="D13" i="46"/>
  <c r="D14" i="46"/>
  <c r="D15" i="46"/>
  <c r="D16" i="46"/>
  <c r="F12" i="46"/>
  <c r="D12" i="46"/>
  <c r="D7" i="46"/>
  <c r="D4" i="46"/>
  <c r="B17" i="46" s="1"/>
  <c r="D3" i="46"/>
  <c r="D2" i="46"/>
  <c r="D44" i="46"/>
  <c r="D43" i="46"/>
  <c r="B42" i="46"/>
  <c r="B40" i="46"/>
  <c r="D48" i="42"/>
  <c r="D49" i="42"/>
  <c r="D50" i="42"/>
  <c r="D51" i="42"/>
  <c r="D52" i="42"/>
  <c r="D53" i="42"/>
  <c r="D54" i="42"/>
  <c r="D55" i="42"/>
  <c r="D56" i="42"/>
  <c r="D57" i="42"/>
  <c r="D58" i="42"/>
  <c r="D47" i="42"/>
  <c r="D39" i="42"/>
  <c r="B39" i="42" s="1"/>
  <c r="D40" i="42"/>
  <c r="D41" i="42"/>
  <c r="D42" i="42"/>
  <c r="D38" i="42"/>
  <c r="B38" i="42" s="1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F19" i="42"/>
  <c r="D19" i="42"/>
  <c r="F12" i="42"/>
  <c r="D12" i="42"/>
  <c r="D7" i="42"/>
  <c r="D4" i="42"/>
  <c r="B17" i="42" s="1"/>
  <c r="D3" i="42"/>
  <c r="D2" i="42"/>
  <c r="D44" i="42"/>
  <c r="D43" i="42"/>
  <c r="B42" i="42"/>
  <c r="B41" i="42"/>
  <c r="B40" i="42"/>
  <c r="F16" i="42"/>
  <c r="D16" i="42"/>
  <c r="F15" i="42"/>
  <c r="D15" i="42"/>
  <c r="F14" i="42"/>
  <c r="D14" i="42"/>
  <c r="F13" i="42"/>
  <c r="D13" i="42"/>
  <c r="D42" i="41"/>
  <c r="B42" i="41" s="1"/>
  <c r="D43" i="41"/>
  <c r="D7" i="41"/>
  <c r="D4" i="41"/>
  <c r="D3" i="41"/>
  <c r="D2" i="41"/>
  <c r="D48" i="41"/>
  <c r="D49" i="41"/>
  <c r="D50" i="41"/>
  <c r="D51" i="41"/>
  <c r="D52" i="41"/>
  <c r="D53" i="41"/>
  <c r="D54" i="41"/>
  <c r="D55" i="41"/>
  <c r="D56" i="41"/>
  <c r="D57" i="41"/>
  <c r="D58" i="41"/>
  <c r="D47" i="41"/>
  <c r="D39" i="41"/>
  <c r="B39" i="41" s="1"/>
  <c r="D40" i="41"/>
  <c r="B40" i="41" s="1"/>
  <c r="D41" i="41"/>
  <c r="B41" i="41" s="1"/>
  <c r="D44" i="41"/>
  <c r="D38" i="41"/>
  <c r="B38" i="41" s="1"/>
  <c r="F20" i="41"/>
  <c r="D21" i="41"/>
  <c r="F21" i="41"/>
  <c r="D22" i="41"/>
  <c r="F22" i="41"/>
  <c r="D23" i="41"/>
  <c r="F23" i="41"/>
  <c r="D24" i="41"/>
  <c r="F24" i="41"/>
  <c r="D25" i="41"/>
  <c r="F25" i="41"/>
  <c r="D26" i="41"/>
  <c r="F26" i="41"/>
  <c r="D27" i="41"/>
  <c r="F27" i="41"/>
  <c r="D28" i="41"/>
  <c r="F28" i="41"/>
  <c r="D29" i="41"/>
  <c r="F29" i="41"/>
  <c r="D30" i="41"/>
  <c r="F30" i="41"/>
  <c r="D31" i="41"/>
  <c r="F31" i="41"/>
  <c r="D32" i="41"/>
  <c r="F32" i="41"/>
  <c r="D33" i="41"/>
  <c r="F33" i="41"/>
  <c r="F19" i="41"/>
  <c r="F13" i="41"/>
  <c r="F14" i="41"/>
  <c r="F15" i="41"/>
  <c r="F16" i="41"/>
  <c r="F12" i="41"/>
  <c r="D13" i="41"/>
  <c r="D14" i="41"/>
  <c r="D15" i="41"/>
  <c r="D16" i="41"/>
  <c r="D12" i="41"/>
  <c r="E12" i="39"/>
  <c r="E11" i="39"/>
  <c r="E10" i="39"/>
  <c r="E8" i="39"/>
  <c r="E12" i="35"/>
  <c r="E11" i="35"/>
  <c r="E10" i="35"/>
  <c r="E9" i="35"/>
  <c r="E8" i="35"/>
  <c r="E12" i="31"/>
  <c r="E11" i="31"/>
  <c r="E10" i="31"/>
  <c r="E9" i="31"/>
  <c r="E8" i="31"/>
  <c r="E12" i="22"/>
  <c r="E11" i="22"/>
  <c r="E10" i="22"/>
  <c r="E9" i="22"/>
  <c r="E8" i="22"/>
  <c r="E9" i="4"/>
  <c r="E10" i="4"/>
  <c r="E11" i="4"/>
  <c r="E12" i="4"/>
  <c r="E8" i="4"/>
  <c r="F31" i="38"/>
  <c r="F30" i="38"/>
  <c r="F29" i="38"/>
  <c r="F31" i="34"/>
  <c r="F30" i="34"/>
  <c r="F29" i="34"/>
  <c r="F31" i="30"/>
  <c r="F30" i="30"/>
  <c r="F29" i="30"/>
  <c r="F31" i="21"/>
  <c r="F30" i="21"/>
  <c r="F29" i="21"/>
  <c r="F31" i="3"/>
  <c r="F30" i="3"/>
  <c r="F29" i="3"/>
  <c r="B16" i="47"/>
  <c r="B16" i="46"/>
  <c r="B16" i="42"/>
  <c r="B16" i="41"/>
  <c r="B17" i="47" l="1"/>
  <c r="B10" i="47"/>
  <c r="B45" i="48"/>
  <c r="B10" i="48"/>
  <c r="B45" i="46"/>
  <c r="B10" i="46"/>
  <c r="B45" i="42"/>
  <c r="B10" i="42"/>
  <c r="B45" i="41"/>
  <c r="B17" i="41"/>
  <c r="B10" i="41"/>
  <c r="E13" i="4"/>
  <c r="B44" i="41" s="1"/>
  <c r="D31" i="36"/>
  <c r="D31" i="32"/>
  <c r="D31" i="28"/>
  <c r="D31" i="19"/>
  <c r="D31" i="1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42" i="40"/>
  <c r="A43" i="40"/>
  <c r="A44" i="40"/>
  <c r="A45" i="40"/>
  <c r="A46" i="40"/>
  <c r="A47" i="40"/>
  <c r="A48" i="40"/>
  <c r="A49" i="40"/>
  <c r="A50" i="40"/>
  <c r="A51" i="40"/>
  <c r="A52" i="40"/>
  <c r="A53" i="40"/>
  <c r="C46" i="14" l="1"/>
  <c r="D46" i="14"/>
  <c r="E46" i="14"/>
  <c r="F46" i="14"/>
  <c r="G46" i="14"/>
  <c r="C47" i="14"/>
  <c r="D47" i="14"/>
  <c r="E47" i="14"/>
  <c r="F47" i="14"/>
  <c r="G47" i="14"/>
  <c r="C48" i="14"/>
  <c r="D48" i="14"/>
  <c r="E48" i="14"/>
  <c r="F48" i="14"/>
  <c r="G48" i="14"/>
  <c r="C49" i="14"/>
  <c r="D49" i="14"/>
  <c r="E49" i="14"/>
  <c r="F49" i="14"/>
  <c r="G49" i="14"/>
  <c r="C50" i="14"/>
  <c r="D50" i="14"/>
  <c r="E50" i="14"/>
  <c r="F50" i="14"/>
  <c r="G50" i="14"/>
  <c r="C51" i="14"/>
  <c r="D51" i="14"/>
  <c r="E51" i="14"/>
  <c r="F51" i="14"/>
  <c r="G51" i="14"/>
  <c r="C52" i="14"/>
  <c r="D52" i="14"/>
  <c r="E52" i="14"/>
  <c r="F52" i="14"/>
  <c r="G52" i="14"/>
  <c r="C53" i="14"/>
  <c r="D53" i="14"/>
  <c r="E53" i="14"/>
  <c r="F53" i="14"/>
  <c r="G53" i="14"/>
  <c r="C54" i="14"/>
  <c r="D54" i="14"/>
  <c r="E54" i="14"/>
  <c r="F54" i="14"/>
  <c r="G54" i="14"/>
  <c r="C55" i="14"/>
  <c r="D55" i="14"/>
  <c r="E55" i="14"/>
  <c r="F55" i="14"/>
  <c r="G55" i="14"/>
  <c r="C56" i="14"/>
  <c r="D56" i="14"/>
  <c r="E56" i="14"/>
  <c r="F56" i="14"/>
  <c r="G56" i="14"/>
  <c r="C57" i="14"/>
  <c r="D57" i="14"/>
  <c r="E57" i="14"/>
  <c r="F57" i="14"/>
  <c r="G57" i="14"/>
  <c r="C58" i="14"/>
  <c r="D58" i="14"/>
  <c r="E58" i="14"/>
  <c r="F58" i="14"/>
  <c r="G58" i="14"/>
  <c r="C59" i="14"/>
  <c r="D59" i="14"/>
  <c r="E59" i="14"/>
  <c r="F59" i="14"/>
  <c r="G59" i="14"/>
  <c r="C60" i="14"/>
  <c r="D60" i="14"/>
  <c r="E60" i="14"/>
  <c r="F60" i="14"/>
  <c r="G60" i="14"/>
  <c r="C61" i="14"/>
  <c r="D61" i="14"/>
  <c r="E61" i="14"/>
  <c r="F61" i="14"/>
  <c r="G61" i="14"/>
  <c r="C62" i="14"/>
  <c r="D62" i="14"/>
  <c r="E62" i="14"/>
  <c r="F62" i="14"/>
  <c r="G62" i="14"/>
  <c r="C63" i="14"/>
  <c r="D63" i="14"/>
  <c r="E63" i="14"/>
  <c r="F63" i="14"/>
  <c r="G63" i="14"/>
  <c r="C64" i="14"/>
  <c r="D64" i="14"/>
  <c r="E64" i="14"/>
  <c r="F64" i="14"/>
  <c r="G64" i="14"/>
  <c r="C65" i="14"/>
  <c r="D65" i="14"/>
  <c r="E65" i="14"/>
  <c r="F65" i="14"/>
  <c r="G65" i="14"/>
  <c r="C66" i="14"/>
  <c r="D66" i="14"/>
  <c r="E66" i="14"/>
  <c r="F66" i="14"/>
  <c r="G66" i="14"/>
  <c r="C67" i="14"/>
  <c r="D67" i="14"/>
  <c r="E67" i="14"/>
  <c r="F67" i="14"/>
  <c r="G67" i="14"/>
  <c r="C68" i="14"/>
  <c r="D68" i="14"/>
  <c r="E68" i="14"/>
  <c r="F68" i="14"/>
  <c r="G68" i="14"/>
  <c r="C69" i="14"/>
  <c r="D69" i="14"/>
  <c r="E69" i="14"/>
  <c r="F69" i="14"/>
  <c r="G69" i="14"/>
  <c r="C70" i="14"/>
  <c r="D70" i="14"/>
  <c r="E70" i="14"/>
  <c r="F70" i="14"/>
  <c r="G70" i="14"/>
  <c r="C71" i="14"/>
  <c r="D71" i="14"/>
  <c r="E71" i="14"/>
  <c r="F71" i="14"/>
  <c r="G71" i="14"/>
  <c r="C72" i="14"/>
  <c r="D72" i="14"/>
  <c r="E72" i="14"/>
  <c r="F72" i="14"/>
  <c r="G72" i="14"/>
  <c r="C73" i="14"/>
  <c r="D73" i="14"/>
  <c r="E73" i="14"/>
  <c r="F73" i="14"/>
  <c r="G73" i="14"/>
  <c r="C74" i="14"/>
  <c r="D74" i="14"/>
  <c r="E74" i="14"/>
  <c r="F74" i="14"/>
  <c r="G74" i="14"/>
  <c r="D45" i="14"/>
  <c r="E45" i="14"/>
  <c r="F45" i="14"/>
  <c r="G45" i="14"/>
  <c r="C45" i="14"/>
  <c r="H73" i="14" l="1"/>
  <c r="H69" i="14"/>
  <c r="H65" i="14"/>
  <c r="H49" i="14"/>
  <c r="H59" i="14"/>
  <c r="H55" i="14"/>
  <c r="H47" i="14"/>
  <c r="H61" i="14"/>
  <c r="H57" i="14"/>
  <c r="H53" i="14"/>
  <c r="H51" i="14"/>
  <c r="H62" i="14"/>
  <c r="H60" i="14"/>
  <c r="H58" i="14"/>
  <c r="H56" i="14"/>
  <c r="H54" i="14"/>
  <c r="H52" i="14"/>
  <c r="H50" i="14"/>
  <c r="H48" i="14"/>
  <c r="H46" i="14"/>
  <c r="H63" i="14"/>
  <c r="H71" i="14"/>
  <c r="H67" i="14"/>
  <c r="H45" i="14"/>
  <c r="H74" i="14"/>
  <c r="H72" i="14"/>
  <c r="H70" i="14"/>
  <c r="H68" i="14"/>
  <c r="H66" i="14"/>
  <c r="H64" i="14"/>
  <c r="G16" i="17"/>
  <c r="E16" i="17"/>
  <c r="C16" i="17"/>
  <c r="F16" i="17"/>
  <c r="D16" i="17"/>
  <c r="H8" i="28"/>
  <c r="D8" i="1" l="1"/>
  <c r="F8" i="1"/>
  <c r="H8" i="1"/>
  <c r="C9" i="36" l="1"/>
  <c r="E47" i="48" s="1"/>
  <c r="C11" i="1"/>
  <c r="D11" i="1"/>
  <c r="G49" i="41" s="1"/>
  <c r="E11" i="1"/>
  <c r="F49" i="41" s="1"/>
  <c r="C12" i="1"/>
  <c r="D12" i="1"/>
  <c r="G50" i="41" s="1"/>
  <c r="E12" i="1"/>
  <c r="C13" i="1"/>
  <c r="E51" i="41" s="1"/>
  <c r="D13" i="1"/>
  <c r="G51" i="41" s="1"/>
  <c r="E13" i="1"/>
  <c r="C14" i="1"/>
  <c r="E52" i="41" s="1"/>
  <c r="D14" i="1"/>
  <c r="G52" i="41" s="1"/>
  <c r="E14" i="1"/>
  <c r="C15" i="1"/>
  <c r="D15" i="1"/>
  <c r="G53" i="41" s="1"/>
  <c r="E15" i="1"/>
  <c r="F53" i="41" s="1"/>
  <c r="C16" i="1"/>
  <c r="D16" i="1"/>
  <c r="G54" i="41" s="1"/>
  <c r="E16" i="1"/>
  <c r="C17" i="1"/>
  <c r="D17" i="1"/>
  <c r="G55" i="41" s="1"/>
  <c r="E17" i="1"/>
  <c r="C18" i="1"/>
  <c r="D18" i="1"/>
  <c r="G56" i="41" s="1"/>
  <c r="E18" i="1"/>
  <c r="C19" i="1"/>
  <c r="D19" i="1"/>
  <c r="G57" i="41" s="1"/>
  <c r="E19" i="1"/>
  <c r="C20" i="1"/>
  <c r="D20" i="1"/>
  <c r="G58" i="41" s="1"/>
  <c r="E20" i="1"/>
  <c r="C21" i="1"/>
  <c r="H21" i="1" s="1"/>
  <c r="D21" i="1"/>
  <c r="E21" i="1"/>
  <c r="C22" i="1"/>
  <c r="H22" i="1" s="1"/>
  <c r="D22" i="1"/>
  <c r="E22" i="1"/>
  <c r="F22" i="1" s="1"/>
  <c r="C23" i="1"/>
  <c r="H23" i="1" s="1"/>
  <c r="D23" i="1"/>
  <c r="E23" i="1"/>
  <c r="F23" i="1" s="1"/>
  <c r="C24" i="1"/>
  <c r="H24" i="1" s="1"/>
  <c r="D24" i="1"/>
  <c r="E24" i="1"/>
  <c r="F24" i="1" s="1"/>
  <c r="C25" i="1"/>
  <c r="H25" i="1" s="1"/>
  <c r="D25" i="1"/>
  <c r="E25" i="1"/>
  <c r="C26" i="1"/>
  <c r="H26" i="1" s="1"/>
  <c r="D26" i="1"/>
  <c r="E26" i="1"/>
  <c r="F26" i="1" s="1"/>
  <c r="C27" i="1"/>
  <c r="H27" i="1" s="1"/>
  <c r="D27" i="1"/>
  <c r="E27" i="1"/>
  <c r="F27" i="1" s="1"/>
  <c r="C28" i="1"/>
  <c r="H28" i="1" s="1"/>
  <c r="D28" i="1"/>
  <c r="E28" i="1"/>
  <c r="C10" i="1"/>
  <c r="D10" i="1"/>
  <c r="G48" i="41" s="1"/>
  <c r="E10" i="1"/>
  <c r="C10" i="36"/>
  <c r="D10" i="36"/>
  <c r="G48" i="48" s="1"/>
  <c r="E10" i="36"/>
  <c r="C11" i="36"/>
  <c r="D11" i="36"/>
  <c r="G49" i="48" s="1"/>
  <c r="E11" i="36"/>
  <c r="C12" i="36"/>
  <c r="D12" i="36"/>
  <c r="G50" i="48" s="1"/>
  <c r="E12" i="36"/>
  <c r="C13" i="36"/>
  <c r="D13" i="36"/>
  <c r="G51" i="48" s="1"/>
  <c r="E13" i="36"/>
  <c r="C14" i="36"/>
  <c r="D14" i="36"/>
  <c r="G52" i="48" s="1"/>
  <c r="E14" i="36"/>
  <c r="C15" i="36"/>
  <c r="D15" i="36"/>
  <c r="G53" i="48" s="1"/>
  <c r="E15" i="36"/>
  <c r="C16" i="36"/>
  <c r="D16" i="36"/>
  <c r="G54" i="48" s="1"/>
  <c r="E16" i="36"/>
  <c r="C17" i="36"/>
  <c r="D17" i="36"/>
  <c r="G55" i="48" s="1"/>
  <c r="E17" i="36"/>
  <c r="C18" i="36"/>
  <c r="D18" i="36"/>
  <c r="G56" i="48" s="1"/>
  <c r="E18" i="36"/>
  <c r="C19" i="36"/>
  <c r="D19" i="36"/>
  <c r="G57" i="48" s="1"/>
  <c r="E19" i="36"/>
  <c r="C20" i="36"/>
  <c r="D20" i="36"/>
  <c r="G58" i="48" s="1"/>
  <c r="E20" i="36"/>
  <c r="C21" i="36"/>
  <c r="H21" i="36" s="1"/>
  <c r="D21" i="36"/>
  <c r="E21" i="36"/>
  <c r="F21" i="36" s="1"/>
  <c r="C22" i="36"/>
  <c r="H22" i="36" s="1"/>
  <c r="D22" i="36"/>
  <c r="E22" i="36"/>
  <c r="F22" i="36" s="1"/>
  <c r="C23" i="36"/>
  <c r="H23" i="36" s="1"/>
  <c r="D23" i="36"/>
  <c r="E23" i="36"/>
  <c r="F23" i="36" s="1"/>
  <c r="C24" i="36"/>
  <c r="H24" i="36" s="1"/>
  <c r="D24" i="36"/>
  <c r="E24" i="36"/>
  <c r="F24" i="36" s="1"/>
  <c r="C25" i="36"/>
  <c r="H25" i="36" s="1"/>
  <c r="D25" i="36"/>
  <c r="E25" i="36"/>
  <c r="F25" i="36" s="1"/>
  <c r="C26" i="36"/>
  <c r="H26" i="36" s="1"/>
  <c r="D26" i="36"/>
  <c r="E26" i="36"/>
  <c r="F26" i="36" s="1"/>
  <c r="C27" i="36"/>
  <c r="H27" i="36" s="1"/>
  <c r="D27" i="36"/>
  <c r="E27" i="36"/>
  <c r="F27" i="36" s="1"/>
  <c r="C28" i="36"/>
  <c r="H28" i="36" s="1"/>
  <c r="D28" i="36"/>
  <c r="E28" i="36"/>
  <c r="F28" i="36" s="1"/>
  <c r="E9" i="36"/>
  <c r="D9" i="36"/>
  <c r="G47" i="48" s="1"/>
  <c r="C10" i="32"/>
  <c r="E48" i="47" s="1"/>
  <c r="D10" i="32"/>
  <c r="G48" i="47" s="1"/>
  <c r="E10" i="32"/>
  <c r="F48" i="47" s="1"/>
  <c r="C11" i="32"/>
  <c r="E49" i="47" s="1"/>
  <c r="D11" i="32"/>
  <c r="G49" i="47" s="1"/>
  <c r="E11" i="32"/>
  <c r="F49" i="47" s="1"/>
  <c r="C12" i="32"/>
  <c r="D12" i="32"/>
  <c r="G50" i="47" s="1"/>
  <c r="E12" i="32"/>
  <c r="C13" i="32"/>
  <c r="D13" i="32"/>
  <c r="G51" i="47" s="1"/>
  <c r="E13" i="32"/>
  <c r="C14" i="32"/>
  <c r="D14" i="32"/>
  <c r="G52" i="47" s="1"/>
  <c r="E14" i="32"/>
  <c r="C15" i="32"/>
  <c r="D15" i="32"/>
  <c r="G53" i="47" s="1"/>
  <c r="E15" i="32"/>
  <c r="C16" i="32"/>
  <c r="D16" i="32"/>
  <c r="G54" i="47" s="1"/>
  <c r="E16" i="32"/>
  <c r="C17" i="32"/>
  <c r="D17" i="32"/>
  <c r="G55" i="47" s="1"/>
  <c r="E17" i="32"/>
  <c r="C18" i="32"/>
  <c r="D18" i="32"/>
  <c r="G56" i="47" s="1"/>
  <c r="E18" i="32"/>
  <c r="C19" i="32"/>
  <c r="E57" i="47" s="1"/>
  <c r="D19" i="32"/>
  <c r="G57" i="47" s="1"/>
  <c r="E19" i="32"/>
  <c r="F57" i="47" s="1"/>
  <c r="C20" i="32"/>
  <c r="E58" i="47" s="1"/>
  <c r="D20" i="32"/>
  <c r="G58" i="47" s="1"/>
  <c r="E20" i="32"/>
  <c r="F58" i="47" s="1"/>
  <c r="C21" i="32"/>
  <c r="D21" i="32"/>
  <c r="E21" i="32"/>
  <c r="C22" i="32"/>
  <c r="D22" i="32"/>
  <c r="E22" i="32"/>
  <c r="C23" i="32"/>
  <c r="H23" i="32" s="1"/>
  <c r="D23" i="32"/>
  <c r="E23" i="32"/>
  <c r="F23" i="32" s="1"/>
  <c r="C24" i="32"/>
  <c r="H24" i="32" s="1"/>
  <c r="D24" i="32"/>
  <c r="E24" i="32"/>
  <c r="F24" i="32" s="1"/>
  <c r="C25" i="32"/>
  <c r="H25" i="32" s="1"/>
  <c r="D25" i="32"/>
  <c r="E25" i="32"/>
  <c r="F25" i="32" s="1"/>
  <c r="C26" i="32"/>
  <c r="H26" i="32" s="1"/>
  <c r="D26" i="32"/>
  <c r="E26" i="32"/>
  <c r="F26" i="32" s="1"/>
  <c r="C27" i="32"/>
  <c r="H27" i="32" s="1"/>
  <c r="D27" i="32"/>
  <c r="E27" i="32"/>
  <c r="F27" i="32" s="1"/>
  <c r="C28" i="32"/>
  <c r="H28" i="32" s="1"/>
  <c r="D28" i="32"/>
  <c r="E28" i="32"/>
  <c r="F28" i="32" s="1"/>
  <c r="E9" i="32"/>
  <c r="F47" i="47" s="1"/>
  <c r="D9" i="32"/>
  <c r="G47" i="47" s="1"/>
  <c r="C9" i="32"/>
  <c r="E47" i="47" s="1"/>
  <c r="C10" i="28"/>
  <c r="D10" i="28"/>
  <c r="G48" i="46" s="1"/>
  <c r="E10" i="28"/>
  <c r="C11" i="28"/>
  <c r="D11" i="28"/>
  <c r="G49" i="46" s="1"/>
  <c r="E11" i="28"/>
  <c r="C12" i="28"/>
  <c r="D12" i="28"/>
  <c r="G50" i="46" s="1"/>
  <c r="E12" i="28"/>
  <c r="C13" i="28"/>
  <c r="D13" i="28"/>
  <c r="G51" i="46" s="1"/>
  <c r="E13" i="28"/>
  <c r="C14" i="28"/>
  <c r="D14" i="28"/>
  <c r="G52" i="46" s="1"/>
  <c r="E14" i="28"/>
  <c r="C15" i="28"/>
  <c r="D15" i="28"/>
  <c r="G53" i="46" s="1"/>
  <c r="E15" i="28"/>
  <c r="C16" i="28"/>
  <c r="D16" i="28"/>
  <c r="G54" i="46" s="1"/>
  <c r="E16" i="28"/>
  <c r="C17" i="28"/>
  <c r="D17" i="28"/>
  <c r="G55" i="46" s="1"/>
  <c r="E17" i="28"/>
  <c r="C18" i="28"/>
  <c r="D18" i="28"/>
  <c r="G56" i="46" s="1"/>
  <c r="E18" i="28"/>
  <c r="C19" i="28"/>
  <c r="D19" i="28"/>
  <c r="G57" i="46" s="1"/>
  <c r="E19" i="28"/>
  <c r="C20" i="28"/>
  <c r="D20" i="28"/>
  <c r="G58" i="46" s="1"/>
  <c r="E20" i="28"/>
  <c r="C21" i="28"/>
  <c r="H21" i="28" s="1"/>
  <c r="D21" i="28"/>
  <c r="E21" i="28"/>
  <c r="F21" i="28" s="1"/>
  <c r="C22" i="28"/>
  <c r="H22" i="28" s="1"/>
  <c r="D22" i="28"/>
  <c r="E22" i="28"/>
  <c r="F22" i="28" s="1"/>
  <c r="C23" i="28"/>
  <c r="H23" i="28" s="1"/>
  <c r="D23" i="28"/>
  <c r="E23" i="28"/>
  <c r="F23" i="28" s="1"/>
  <c r="C24" i="28"/>
  <c r="H24" i="28" s="1"/>
  <c r="D24" i="28"/>
  <c r="E24" i="28"/>
  <c r="F24" i="28" s="1"/>
  <c r="C25" i="28"/>
  <c r="H25" i="28" s="1"/>
  <c r="D25" i="28"/>
  <c r="E25" i="28"/>
  <c r="F25" i="28" s="1"/>
  <c r="C26" i="28"/>
  <c r="H26" i="28" s="1"/>
  <c r="D26" i="28"/>
  <c r="E26" i="28"/>
  <c r="F26" i="28" s="1"/>
  <c r="C27" i="28"/>
  <c r="H27" i="28" s="1"/>
  <c r="D27" i="28"/>
  <c r="E27" i="28"/>
  <c r="F27" i="28" s="1"/>
  <c r="C28" i="28"/>
  <c r="H28" i="28" s="1"/>
  <c r="D28" i="28"/>
  <c r="E28" i="28"/>
  <c r="F28" i="28" s="1"/>
  <c r="E9" i="28"/>
  <c r="D9" i="28"/>
  <c r="G47" i="46" s="1"/>
  <c r="C9" i="28"/>
  <c r="C10" i="19"/>
  <c r="E48" i="42" s="1"/>
  <c r="D10" i="19"/>
  <c r="G48" i="42" s="1"/>
  <c r="E10" i="19"/>
  <c r="F48" i="42" s="1"/>
  <c r="C11" i="19"/>
  <c r="E49" i="42" s="1"/>
  <c r="D11" i="19"/>
  <c r="G49" i="42" s="1"/>
  <c r="E11" i="19"/>
  <c r="F49" i="42" s="1"/>
  <c r="C12" i="19"/>
  <c r="E50" i="42" s="1"/>
  <c r="D12" i="19"/>
  <c r="G50" i="42" s="1"/>
  <c r="E12" i="19"/>
  <c r="F50" i="42" s="1"/>
  <c r="C13" i="19"/>
  <c r="E51" i="42" s="1"/>
  <c r="D13" i="19"/>
  <c r="G51" i="42" s="1"/>
  <c r="E13" i="19"/>
  <c r="F51" i="42" s="1"/>
  <c r="C14" i="19"/>
  <c r="E52" i="42" s="1"/>
  <c r="D14" i="19"/>
  <c r="G52" i="42" s="1"/>
  <c r="E14" i="19"/>
  <c r="F52" i="42" s="1"/>
  <c r="C15" i="19"/>
  <c r="E53" i="42" s="1"/>
  <c r="D15" i="19"/>
  <c r="G53" i="42" s="1"/>
  <c r="E15" i="19"/>
  <c r="F53" i="42" s="1"/>
  <c r="C16" i="19"/>
  <c r="E54" i="42" s="1"/>
  <c r="D16" i="19"/>
  <c r="G54" i="42" s="1"/>
  <c r="E16" i="19"/>
  <c r="F54" i="42" s="1"/>
  <c r="C17" i="19"/>
  <c r="E55" i="42" s="1"/>
  <c r="D17" i="19"/>
  <c r="G55" i="42" s="1"/>
  <c r="E17" i="19"/>
  <c r="F55" i="42" s="1"/>
  <c r="C18" i="19"/>
  <c r="E56" i="42" s="1"/>
  <c r="D18" i="19"/>
  <c r="G56" i="42" s="1"/>
  <c r="E18" i="19"/>
  <c r="F56" i="42" s="1"/>
  <c r="C19" i="19"/>
  <c r="E57" i="42" s="1"/>
  <c r="D19" i="19"/>
  <c r="G57" i="42" s="1"/>
  <c r="E19" i="19"/>
  <c r="F57" i="42" s="1"/>
  <c r="C20" i="19"/>
  <c r="E58" i="42" s="1"/>
  <c r="D20" i="19"/>
  <c r="G58" i="42" s="1"/>
  <c r="E20" i="19"/>
  <c r="F58" i="42" s="1"/>
  <c r="C21" i="19"/>
  <c r="D21" i="19"/>
  <c r="E21" i="19"/>
  <c r="C22" i="19"/>
  <c r="D22" i="19"/>
  <c r="E22" i="19"/>
  <c r="C23" i="19"/>
  <c r="D23" i="19"/>
  <c r="E23" i="19"/>
  <c r="C24" i="19"/>
  <c r="D24" i="19"/>
  <c r="E24" i="19"/>
  <c r="C25" i="19"/>
  <c r="D25" i="19"/>
  <c r="E25" i="19"/>
  <c r="C26" i="19"/>
  <c r="D26" i="19"/>
  <c r="E26" i="19"/>
  <c r="C27" i="19"/>
  <c r="D27" i="19"/>
  <c r="E27" i="19"/>
  <c r="C28" i="19"/>
  <c r="D28" i="19"/>
  <c r="E28" i="19"/>
  <c r="E9" i="19"/>
  <c r="F47" i="42" s="1"/>
  <c r="D9" i="19"/>
  <c r="G47" i="42" s="1"/>
  <c r="C9" i="19"/>
  <c r="E47" i="42" s="1"/>
  <c r="E9" i="1"/>
  <c r="F47" i="41" s="1"/>
  <c r="D9" i="1"/>
  <c r="G47" i="41" s="1"/>
  <c r="C9" i="1"/>
  <c r="E47" i="41" s="1"/>
  <c r="C12" i="39"/>
  <c r="C11" i="39"/>
  <c r="C10" i="39"/>
  <c r="C9" i="39"/>
  <c r="E13" i="39"/>
  <c r="C8" i="39"/>
  <c r="F2" i="39"/>
  <c r="F32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G2" i="38"/>
  <c r="C14" i="37"/>
  <c r="C12" i="37"/>
  <c r="C11" i="37"/>
  <c r="C10" i="37"/>
  <c r="C9" i="37"/>
  <c r="G2" i="37"/>
  <c r="B46" i="36"/>
  <c r="E44" i="36"/>
  <c r="B44" i="36"/>
  <c r="B43" i="36"/>
  <c r="B42" i="36"/>
  <c r="B41" i="36"/>
  <c r="B39" i="36"/>
  <c r="B37" i="36"/>
  <c r="B35" i="36"/>
  <c r="B34" i="36"/>
  <c r="E32" i="36"/>
  <c r="E35" i="36" s="1"/>
  <c r="B32" i="36"/>
  <c r="E29" i="36"/>
  <c r="D29" i="36"/>
  <c r="H8" i="36"/>
  <c r="G8" i="36"/>
  <c r="F8" i="36"/>
  <c r="E8" i="36"/>
  <c r="D8" i="36"/>
  <c r="C8" i="36"/>
  <c r="B8" i="36"/>
  <c r="G2" i="36"/>
  <c r="D5" i="48" s="1"/>
  <c r="C12" i="35"/>
  <c r="C11" i="35"/>
  <c r="C10" i="35"/>
  <c r="C9" i="35"/>
  <c r="E13" i="35"/>
  <c r="C8" i="35"/>
  <c r="F2" i="35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G2" i="34"/>
  <c r="F27" i="33"/>
  <c r="C13" i="33"/>
  <c r="C12" i="33"/>
  <c r="C11" i="33"/>
  <c r="C10" i="33"/>
  <c r="C9" i="33"/>
  <c r="G2" i="33"/>
  <c r="B46" i="32"/>
  <c r="E44" i="32"/>
  <c r="B44" i="32"/>
  <c r="B43" i="32"/>
  <c r="B42" i="32"/>
  <c r="B41" i="32"/>
  <c r="B39" i="32"/>
  <c r="B37" i="32"/>
  <c r="B35" i="32"/>
  <c r="B34" i="32"/>
  <c r="E32" i="32"/>
  <c r="E35" i="32" s="1"/>
  <c r="B32" i="32"/>
  <c r="E29" i="32"/>
  <c r="D29" i="32"/>
  <c r="H8" i="32"/>
  <c r="G8" i="32"/>
  <c r="F8" i="32"/>
  <c r="E8" i="32"/>
  <c r="D8" i="32"/>
  <c r="C8" i="32"/>
  <c r="B8" i="32"/>
  <c r="G2" i="32"/>
  <c r="D5" i="47" s="1"/>
  <c r="C12" i="31"/>
  <c r="C11" i="31"/>
  <c r="C10" i="31"/>
  <c r="C9" i="31"/>
  <c r="E13" i="31"/>
  <c r="C8" i="31"/>
  <c r="F2" i="31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G2" i="30"/>
  <c r="F27" i="29"/>
  <c r="C13" i="29"/>
  <c r="C12" i="29"/>
  <c r="C11" i="29"/>
  <c r="C10" i="29"/>
  <c r="C9" i="29"/>
  <c r="G2" i="29"/>
  <c r="B46" i="28"/>
  <c r="E44" i="28"/>
  <c r="B44" i="28"/>
  <c r="B43" i="28"/>
  <c r="B42" i="28"/>
  <c r="B41" i="28"/>
  <c r="B39" i="28"/>
  <c r="B37" i="28"/>
  <c r="B35" i="28"/>
  <c r="B34" i="28"/>
  <c r="E32" i="28"/>
  <c r="E35" i="28" s="1"/>
  <c r="B32" i="28"/>
  <c r="E29" i="28"/>
  <c r="D29" i="28"/>
  <c r="G8" i="28"/>
  <c r="F8" i="28"/>
  <c r="E8" i="28"/>
  <c r="D8" i="28"/>
  <c r="C8" i="28"/>
  <c r="B8" i="28"/>
  <c r="G2" i="28"/>
  <c r="D5" i="46" s="1"/>
  <c r="C36" i="14"/>
  <c r="D36" i="14"/>
  <c r="E36" i="14"/>
  <c r="F36" i="14"/>
  <c r="G36" i="14"/>
  <c r="C37" i="14"/>
  <c r="D37" i="14"/>
  <c r="E37" i="14"/>
  <c r="F37" i="14"/>
  <c r="G37" i="14"/>
  <c r="C38" i="14"/>
  <c r="D38" i="14"/>
  <c r="E38" i="14"/>
  <c r="F38" i="14"/>
  <c r="G38" i="14"/>
  <c r="C39" i="14"/>
  <c r="D39" i="14"/>
  <c r="E39" i="14"/>
  <c r="F39" i="14"/>
  <c r="G39" i="14"/>
  <c r="C40" i="14"/>
  <c r="D40" i="14"/>
  <c r="E40" i="14"/>
  <c r="F40" i="14"/>
  <c r="G40" i="14"/>
  <c r="C41" i="14"/>
  <c r="D41" i="14"/>
  <c r="E41" i="14"/>
  <c r="F41" i="14"/>
  <c r="G41" i="14"/>
  <c r="H14" i="1" l="1"/>
  <c r="F15" i="1"/>
  <c r="G15" i="1" s="1"/>
  <c r="H13" i="1"/>
  <c r="E14" i="17"/>
  <c r="B44" i="46"/>
  <c r="G14" i="17"/>
  <c r="B44" i="48"/>
  <c r="H9" i="28"/>
  <c r="E47" i="46"/>
  <c r="F9" i="28"/>
  <c r="G9" i="28" s="1"/>
  <c r="F47" i="46"/>
  <c r="F19" i="28"/>
  <c r="G19" i="28" s="1"/>
  <c r="F57" i="46"/>
  <c r="H19" i="28"/>
  <c r="E57" i="46"/>
  <c r="F17" i="28"/>
  <c r="G17" i="28" s="1"/>
  <c r="F55" i="46"/>
  <c r="H17" i="28"/>
  <c r="E55" i="46"/>
  <c r="F15" i="28"/>
  <c r="G15" i="28" s="1"/>
  <c r="F53" i="46"/>
  <c r="H15" i="28"/>
  <c r="E53" i="46"/>
  <c r="F13" i="28"/>
  <c r="G13" i="28" s="1"/>
  <c r="F51" i="46"/>
  <c r="H13" i="28"/>
  <c r="E51" i="46"/>
  <c r="F11" i="28"/>
  <c r="G11" i="28" s="1"/>
  <c r="F49" i="46"/>
  <c r="H11" i="28"/>
  <c r="E49" i="46"/>
  <c r="F17" i="32"/>
  <c r="G17" i="32" s="1"/>
  <c r="F55" i="47"/>
  <c r="H17" i="32"/>
  <c r="E55" i="47"/>
  <c r="F15" i="32"/>
  <c r="G15" i="32" s="1"/>
  <c r="F53" i="47"/>
  <c r="H15" i="32"/>
  <c r="E53" i="47"/>
  <c r="F13" i="32"/>
  <c r="G13" i="32" s="1"/>
  <c r="F51" i="47"/>
  <c r="H13" i="32"/>
  <c r="E51" i="47"/>
  <c r="F20" i="36"/>
  <c r="G20" i="36" s="1"/>
  <c r="F58" i="48"/>
  <c r="H20" i="36"/>
  <c r="E58" i="48"/>
  <c r="F18" i="36"/>
  <c r="G18" i="36" s="1"/>
  <c r="F56" i="48"/>
  <c r="H18" i="36"/>
  <c r="E56" i="48"/>
  <c r="F16" i="36"/>
  <c r="G16" i="36" s="1"/>
  <c r="F54" i="48"/>
  <c r="H16" i="36"/>
  <c r="E54" i="48"/>
  <c r="F14" i="36"/>
  <c r="G14" i="36" s="1"/>
  <c r="F52" i="48"/>
  <c r="H14" i="36"/>
  <c r="E52" i="48"/>
  <c r="F12" i="36"/>
  <c r="G12" i="36" s="1"/>
  <c r="F50" i="48"/>
  <c r="H12" i="36"/>
  <c r="E50" i="48"/>
  <c r="F10" i="36"/>
  <c r="G10" i="36" s="1"/>
  <c r="F48" i="48"/>
  <c r="H10" i="36"/>
  <c r="E48" i="48"/>
  <c r="F20" i="1"/>
  <c r="G20" i="1" s="1"/>
  <c r="F58" i="41"/>
  <c r="H20" i="1"/>
  <c r="E58" i="41"/>
  <c r="F18" i="1"/>
  <c r="G18" i="1" s="1"/>
  <c r="F56" i="41"/>
  <c r="H18" i="1"/>
  <c r="E56" i="41"/>
  <c r="F16" i="1"/>
  <c r="G16" i="1" s="1"/>
  <c r="F54" i="41"/>
  <c r="H16" i="1"/>
  <c r="E54" i="41"/>
  <c r="F14" i="1"/>
  <c r="G14" i="1" s="1"/>
  <c r="F52" i="41"/>
  <c r="F12" i="1"/>
  <c r="G12" i="1" s="1"/>
  <c r="F50" i="41"/>
  <c r="H12" i="1"/>
  <c r="E50" i="41"/>
  <c r="F20" i="28"/>
  <c r="G20" i="28" s="1"/>
  <c r="F58" i="46"/>
  <c r="H20" i="28"/>
  <c r="E58" i="46"/>
  <c r="F18" i="28"/>
  <c r="G18" i="28" s="1"/>
  <c r="F56" i="46"/>
  <c r="H18" i="28"/>
  <c r="E56" i="46"/>
  <c r="F16" i="28"/>
  <c r="G16" i="28" s="1"/>
  <c r="F54" i="46"/>
  <c r="H16" i="28"/>
  <c r="E54" i="46"/>
  <c r="F14" i="28"/>
  <c r="G14" i="28" s="1"/>
  <c r="F52" i="46"/>
  <c r="H14" i="28"/>
  <c r="E52" i="46"/>
  <c r="F12" i="28"/>
  <c r="G12" i="28" s="1"/>
  <c r="F50" i="46"/>
  <c r="H12" i="28"/>
  <c r="E50" i="46"/>
  <c r="F10" i="28"/>
  <c r="G10" i="28" s="1"/>
  <c r="F48" i="46"/>
  <c r="H10" i="28"/>
  <c r="E48" i="46"/>
  <c r="F18" i="32"/>
  <c r="G18" i="32" s="1"/>
  <c r="F56" i="47"/>
  <c r="H18" i="32"/>
  <c r="E56" i="47"/>
  <c r="F16" i="32"/>
  <c r="G16" i="32" s="1"/>
  <c r="F54" i="47"/>
  <c r="H16" i="32"/>
  <c r="E54" i="47"/>
  <c r="F14" i="32"/>
  <c r="G14" i="32" s="1"/>
  <c r="F52" i="47"/>
  <c r="H14" i="32"/>
  <c r="E52" i="47"/>
  <c r="F12" i="32"/>
  <c r="G12" i="32" s="1"/>
  <c r="F50" i="47"/>
  <c r="H12" i="32"/>
  <c r="E50" i="47"/>
  <c r="F9" i="36"/>
  <c r="G9" i="36" s="1"/>
  <c r="F47" i="48"/>
  <c r="F19" i="36"/>
  <c r="G19" i="36" s="1"/>
  <c r="F57" i="48"/>
  <c r="H19" i="36"/>
  <c r="E57" i="48"/>
  <c r="F17" i="36"/>
  <c r="G17" i="36" s="1"/>
  <c r="F55" i="48"/>
  <c r="H17" i="36"/>
  <c r="E55" i="48"/>
  <c r="F15" i="36"/>
  <c r="G15" i="36" s="1"/>
  <c r="F53" i="48"/>
  <c r="H15" i="36"/>
  <c r="E53" i="48"/>
  <c r="F13" i="36"/>
  <c r="G13" i="36" s="1"/>
  <c r="F51" i="48"/>
  <c r="H13" i="36"/>
  <c r="E51" i="48"/>
  <c r="F11" i="36"/>
  <c r="G11" i="36" s="1"/>
  <c r="F49" i="48"/>
  <c r="H11" i="36"/>
  <c r="E49" i="48"/>
  <c r="F10" i="1"/>
  <c r="G10" i="1" s="1"/>
  <c r="F48" i="41"/>
  <c r="H10" i="1"/>
  <c r="E48" i="41"/>
  <c r="F19" i="1"/>
  <c r="G19" i="1" s="1"/>
  <c r="F57" i="41"/>
  <c r="H19" i="1"/>
  <c r="E57" i="41"/>
  <c r="F17" i="1"/>
  <c r="G17" i="1" s="1"/>
  <c r="F55" i="41"/>
  <c r="H17" i="1"/>
  <c r="E55" i="41"/>
  <c r="H15" i="1"/>
  <c r="E53" i="41"/>
  <c r="F13" i="1"/>
  <c r="G13" i="1" s="1"/>
  <c r="F51" i="41"/>
  <c r="H11" i="1"/>
  <c r="E49" i="41"/>
  <c r="G13" i="17"/>
  <c r="B24" i="48"/>
  <c r="F14" i="17"/>
  <c r="B44" i="47"/>
  <c r="F32" i="34"/>
  <c r="F44" i="34" s="1"/>
  <c r="F12" i="17"/>
  <c r="F22" i="33"/>
  <c r="F32" i="30"/>
  <c r="F39" i="30" s="1"/>
  <c r="F22" i="29"/>
  <c r="E12" i="17"/>
  <c r="C29" i="36"/>
  <c r="H9" i="36"/>
  <c r="G27" i="1"/>
  <c r="G24" i="1"/>
  <c r="G26" i="1"/>
  <c r="G23" i="1"/>
  <c r="G22" i="1"/>
  <c r="F28" i="1"/>
  <c r="G28" i="1" s="1"/>
  <c r="F25" i="1"/>
  <c r="G25" i="1" s="1"/>
  <c r="F21" i="1"/>
  <c r="G21" i="1" s="1"/>
  <c r="F11" i="1"/>
  <c r="G11" i="1" s="1"/>
  <c r="F44" i="38"/>
  <c r="F39" i="38"/>
  <c r="F23" i="39"/>
  <c r="F20" i="39"/>
  <c r="G21" i="36"/>
  <c r="G22" i="36"/>
  <c r="G23" i="36"/>
  <c r="G24" i="36"/>
  <c r="G25" i="36"/>
  <c r="G26" i="36"/>
  <c r="G27" i="36"/>
  <c r="G28" i="36"/>
  <c r="F23" i="35"/>
  <c r="F20" i="35"/>
  <c r="G23" i="32"/>
  <c r="G24" i="32"/>
  <c r="G25" i="32"/>
  <c r="G26" i="32"/>
  <c r="G27" i="32"/>
  <c r="G28" i="32"/>
  <c r="F23" i="31"/>
  <c r="F20" i="31"/>
  <c r="G22" i="28"/>
  <c r="G21" i="28"/>
  <c r="G23" i="28"/>
  <c r="G24" i="28"/>
  <c r="G25" i="28"/>
  <c r="G26" i="28"/>
  <c r="G27" i="28"/>
  <c r="G28" i="28"/>
  <c r="C29" i="28"/>
  <c r="C12" i="22"/>
  <c r="C11" i="22"/>
  <c r="C10" i="22"/>
  <c r="C9" i="22"/>
  <c r="C8" i="22"/>
  <c r="F2" i="22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G2" i="21"/>
  <c r="F22" i="20"/>
  <c r="C13" i="20"/>
  <c r="C12" i="20"/>
  <c r="C11" i="20"/>
  <c r="C10" i="20"/>
  <c r="C9" i="20"/>
  <c r="G2" i="20"/>
  <c r="B46" i="19"/>
  <c r="E44" i="19"/>
  <c r="B44" i="19"/>
  <c r="B43" i="19"/>
  <c r="B42" i="19"/>
  <c r="B41" i="19"/>
  <c r="B39" i="19"/>
  <c r="B37" i="19"/>
  <c r="B35" i="19"/>
  <c r="B34" i="19"/>
  <c r="E32" i="19"/>
  <c r="E35" i="19" s="1"/>
  <c r="B32" i="19"/>
  <c r="E29" i="19"/>
  <c r="D29" i="19"/>
  <c r="F28" i="19"/>
  <c r="G28" i="19" s="1"/>
  <c r="H28" i="19"/>
  <c r="F27" i="19"/>
  <c r="H27" i="19"/>
  <c r="F26" i="19"/>
  <c r="G26" i="19" s="1"/>
  <c r="H26" i="19"/>
  <c r="F25" i="19"/>
  <c r="H25" i="19"/>
  <c r="F24" i="19"/>
  <c r="G24" i="19" s="1"/>
  <c r="H24" i="19"/>
  <c r="F23" i="19"/>
  <c r="H23" i="19"/>
  <c r="F22" i="19"/>
  <c r="G22" i="19" s="1"/>
  <c r="H22" i="19"/>
  <c r="F21" i="19"/>
  <c r="H21" i="19"/>
  <c r="F20" i="19"/>
  <c r="G20" i="19" s="1"/>
  <c r="H20" i="19"/>
  <c r="F19" i="19"/>
  <c r="H19" i="19"/>
  <c r="F18" i="19"/>
  <c r="H18" i="19"/>
  <c r="F17" i="19"/>
  <c r="H17" i="19"/>
  <c r="F16" i="19"/>
  <c r="H16" i="19"/>
  <c r="F15" i="19"/>
  <c r="H15" i="19"/>
  <c r="F14" i="19"/>
  <c r="G14" i="19" s="1"/>
  <c r="H14" i="19"/>
  <c r="F13" i="19"/>
  <c r="H13" i="19"/>
  <c r="F12" i="19"/>
  <c r="H12" i="19"/>
  <c r="F11" i="19"/>
  <c r="H11" i="19"/>
  <c r="F10" i="19"/>
  <c r="H10" i="19"/>
  <c r="F9" i="19"/>
  <c r="H8" i="19"/>
  <c r="G8" i="19"/>
  <c r="F8" i="19"/>
  <c r="E8" i="19"/>
  <c r="D8" i="19"/>
  <c r="C8" i="19"/>
  <c r="B8" i="19"/>
  <c r="G2" i="19"/>
  <c r="D5" i="42" s="1"/>
  <c r="E13" i="17" l="1"/>
  <c r="B24" i="46"/>
  <c r="F13" i="17"/>
  <c r="B24" i="47"/>
  <c r="H29" i="28"/>
  <c r="E37" i="28" s="1"/>
  <c r="H29" i="36"/>
  <c r="E37" i="36" s="1"/>
  <c r="E13" i="22"/>
  <c r="F39" i="34"/>
  <c r="E39" i="28"/>
  <c r="E39" i="36"/>
  <c r="F44" i="30"/>
  <c r="F32" i="21"/>
  <c r="D12" i="17"/>
  <c r="G29" i="28"/>
  <c r="G29" i="36"/>
  <c r="E46" i="36" s="1"/>
  <c r="C29" i="19"/>
  <c r="G19" i="19"/>
  <c r="G21" i="19"/>
  <c r="G23" i="19"/>
  <c r="G25" i="19"/>
  <c r="G27" i="19"/>
  <c r="G9" i="19"/>
  <c r="G10" i="19"/>
  <c r="G11" i="19"/>
  <c r="G12" i="19"/>
  <c r="G13" i="19"/>
  <c r="G15" i="19"/>
  <c r="G16" i="19"/>
  <c r="G17" i="19"/>
  <c r="G18" i="19"/>
  <c r="F27" i="20"/>
  <c r="H9" i="19"/>
  <c r="H29" i="19" s="1"/>
  <c r="E37" i="19" s="1"/>
  <c r="O2" i="18"/>
  <c r="S2" i="18"/>
  <c r="K2" i="18"/>
  <c r="G2" i="18"/>
  <c r="C2" i="18"/>
  <c r="T2" i="18"/>
  <c r="P2" i="18"/>
  <c r="L2" i="18"/>
  <c r="H2" i="18"/>
  <c r="D2" i="18"/>
  <c r="G2" i="3"/>
  <c r="G2" i="2"/>
  <c r="F2" i="4"/>
  <c r="G2" i="1"/>
  <c r="D5" i="41" s="1"/>
  <c r="F2" i="17"/>
  <c r="D13" i="17" l="1"/>
  <c r="B24" i="42"/>
  <c r="F20" i="22"/>
  <c r="B44" i="42"/>
  <c r="E48" i="36"/>
  <c r="E50" i="36" s="1"/>
  <c r="F23" i="22"/>
  <c r="D14" i="17"/>
  <c r="F39" i="21"/>
  <c r="E39" i="19"/>
  <c r="E46" i="28"/>
  <c r="E48" i="28" s="1"/>
  <c r="E50" i="28" s="1"/>
  <c r="B49" i="46" s="1"/>
  <c r="F44" i="21"/>
  <c r="G29" i="19"/>
  <c r="E46" i="19" s="1"/>
  <c r="E29" i="1"/>
  <c r="E44" i="1" s="1"/>
  <c r="B46" i="1"/>
  <c r="B44" i="1"/>
  <c r="B43" i="1"/>
  <c r="B42" i="1"/>
  <c r="B41" i="1"/>
  <c r="B39" i="1"/>
  <c r="D29" i="1"/>
  <c r="B35" i="1"/>
  <c r="B34" i="1"/>
  <c r="E32" i="1"/>
  <c r="E35" i="1" s="1"/>
  <c r="B32" i="1"/>
  <c r="B37" i="1"/>
  <c r="G8" i="1"/>
  <c r="E8" i="1"/>
  <c r="C8" i="1"/>
  <c r="B8" i="1"/>
  <c r="G11" i="17" l="1"/>
  <c r="F57" i="36"/>
  <c r="F62" i="36"/>
  <c r="B49" i="48"/>
  <c r="E48" i="19"/>
  <c r="E50" i="19" s="1"/>
  <c r="E11" i="17"/>
  <c r="F62" i="28"/>
  <c r="F57" i="28"/>
  <c r="D5" i="14"/>
  <c r="D6" i="14" s="1"/>
  <c r="D7" i="14" s="1"/>
  <c r="D8" i="14" s="1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12" i="4"/>
  <c r="C32" i="14" l="1"/>
  <c r="G32" i="14"/>
  <c r="F33" i="14"/>
  <c r="E34" i="14"/>
  <c r="D35" i="14"/>
  <c r="C35" i="14"/>
  <c r="D32" i="14"/>
  <c r="C33" i="14"/>
  <c r="G33" i="14"/>
  <c r="F34" i="14"/>
  <c r="E35" i="14"/>
  <c r="E33" i="14"/>
  <c r="E32" i="14"/>
  <c r="D33" i="14"/>
  <c r="C34" i="14"/>
  <c r="G34" i="14"/>
  <c r="F35" i="14"/>
  <c r="D34" i="14"/>
  <c r="F32" i="14"/>
  <c r="G35" i="14"/>
  <c r="D11" i="17"/>
  <c r="B49" i="42"/>
  <c r="D12" i="14"/>
  <c r="F57" i="19"/>
  <c r="F62" i="19"/>
  <c r="D13" i="14"/>
  <c r="F13" i="14"/>
  <c r="C14" i="14"/>
  <c r="E14" i="14"/>
  <c r="G14" i="14"/>
  <c r="D15" i="14"/>
  <c r="F15" i="14"/>
  <c r="C16" i="14"/>
  <c r="E16" i="14"/>
  <c r="G16" i="14"/>
  <c r="D17" i="14"/>
  <c r="F17" i="14"/>
  <c r="C18" i="14"/>
  <c r="E18" i="14"/>
  <c r="G18" i="14"/>
  <c r="D19" i="14"/>
  <c r="F19" i="14"/>
  <c r="C20" i="14"/>
  <c r="E20" i="14"/>
  <c r="G20" i="14"/>
  <c r="D21" i="14"/>
  <c r="F21" i="14"/>
  <c r="C22" i="14"/>
  <c r="E22" i="14"/>
  <c r="G22" i="14"/>
  <c r="D23" i="14"/>
  <c r="F23" i="14"/>
  <c r="C24" i="14"/>
  <c r="E24" i="14"/>
  <c r="G24" i="14"/>
  <c r="D25" i="14"/>
  <c r="F25" i="14"/>
  <c r="C26" i="14"/>
  <c r="E26" i="14"/>
  <c r="G26" i="14"/>
  <c r="D27" i="14"/>
  <c r="F27" i="14"/>
  <c r="C28" i="14"/>
  <c r="E28" i="14"/>
  <c r="G28" i="14"/>
  <c r="D29" i="14"/>
  <c r="F29" i="14"/>
  <c r="C30" i="14"/>
  <c r="E30" i="14"/>
  <c r="G30" i="14"/>
  <c r="D31" i="14"/>
  <c r="F31" i="14"/>
  <c r="G12" i="14"/>
  <c r="E12" i="14"/>
  <c r="C13" i="14"/>
  <c r="E13" i="14"/>
  <c r="G13" i="14"/>
  <c r="D14" i="14"/>
  <c r="F14" i="14"/>
  <c r="C15" i="14"/>
  <c r="E15" i="14"/>
  <c r="G15" i="14"/>
  <c r="D16" i="14"/>
  <c r="F16" i="14"/>
  <c r="C17" i="14"/>
  <c r="E17" i="14"/>
  <c r="G17" i="14"/>
  <c r="D18" i="14"/>
  <c r="F18" i="14"/>
  <c r="C19" i="14"/>
  <c r="E19" i="14"/>
  <c r="G19" i="14"/>
  <c r="D20" i="14"/>
  <c r="F20" i="14"/>
  <c r="C21" i="14"/>
  <c r="E21" i="14"/>
  <c r="G21" i="14"/>
  <c r="D22" i="14"/>
  <c r="F22" i="14"/>
  <c r="C23" i="14"/>
  <c r="E23" i="14"/>
  <c r="G23" i="14"/>
  <c r="D24" i="14"/>
  <c r="F24" i="14"/>
  <c r="C25" i="14"/>
  <c r="E25" i="14"/>
  <c r="G25" i="14"/>
  <c r="D26" i="14"/>
  <c r="F26" i="14"/>
  <c r="C27" i="14"/>
  <c r="E27" i="14"/>
  <c r="G27" i="14"/>
  <c r="D28" i="14"/>
  <c r="F28" i="14"/>
  <c r="C29" i="14"/>
  <c r="E29" i="14"/>
  <c r="G29" i="14"/>
  <c r="D30" i="14"/>
  <c r="F30" i="14"/>
  <c r="C31" i="14"/>
  <c r="E31" i="14"/>
  <c r="G31" i="14"/>
  <c r="F12" i="14"/>
  <c r="F15" i="17" s="1"/>
  <c r="C12" i="14"/>
  <c r="H41" i="14"/>
  <c r="H40" i="14"/>
  <c r="H39" i="14"/>
  <c r="H38" i="14"/>
  <c r="H37" i="14"/>
  <c r="H36" i="14"/>
  <c r="H35" i="14" l="1"/>
  <c r="H32" i="14"/>
  <c r="H34" i="14"/>
  <c r="H33" i="14"/>
  <c r="G15" i="17"/>
  <c r="E15" i="17"/>
  <c r="E17" i="17" s="1"/>
  <c r="C11" i="4" l="1"/>
  <c r="C10" i="4"/>
  <c r="C9" i="4"/>
  <c r="C8" i="4"/>
  <c r="F20" i="4" l="1"/>
  <c r="C14" i="17"/>
  <c r="F23" i="4"/>
  <c r="C9" i="2"/>
  <c r="C13" i="2"/>
  <c r="C12" i="2"/>
  <c r="C11" i="2"/>
  <c r="C10" i="2"/>
  <c r="F32" i="3" l="1"/>
  <c r="F22" i="2"/>
  <c r="C12" i="17"/>
  <c r="F27" i="2"/>
  <c r="H9" i="1"/>
  <c r="F9" i="1"/>
  <c r="G9" i="1" s="1"/>
  <c r="C29" i="1"/>
  <c r="C13" i="17" l="1"/>
  <c r="B24" i="41"/>
  <c r="E39" i="1"/>
  <c r="F44" i="3"/>
  <c r="H29" i="1"/>
  <c r="E37" i="1" s="1"/>
  <c r="F39" i="3"/>
  <c r="G29" i="1"/>
  <c r="E46" i="1" s="1"/>
  <c r="E48" i="1" l="1"/>
  <c r="E50" i="1" s="1"/>
  <c r="C11" i="17" l="1"/>
  <c r="B49" i="41"/>
  <c r="F57" i="1"/>
  <c r="F62" i="1"/>
  <c r="D15" i="17"/>
  <c r="D17" i="17" s="1"/>
  <c r="C15" i="17"/>
  <c r="C17" i="17" l="1"/>
  <c r="H14" i="14"/>
  <c r="H19" i="14"/>
  <c r="H16" i="14"/>
  <c r="H25" i="14"/>
  <c r="H30" i="14"/>
  <c r="H13" i="14"/>
  <c r="H27" i="14"/>
  <c r="H18" i="14"/>
  <c r="H20" i="14"/>
  <c r="H28" i="14"/>
  <c r="H31" i="14"/>
  <c r="H17" i="14"/>
  <c r="H26" i="14"/>
  <c r="H22" i="14"/>
  <c r="H23" i="14"/>
  <c r="H29" i="14"/>
  <c r="H15" i="14"/>
  <c r="H24" i="14"/>
  <c r="H12" i="14"/>
  <c r="H21" i="14"/>
  <c r="F21" i="32"/>
  <c r="H21" i="32"/>
  <c r="F19" i="32"/>
  <c r="H19" i="32"/>
  <c r="F10" i="32"/>
  <c r="H10" i="32"/>
  <c r="F11" i="32"/>
  <c r="F9" i="32"/>
  <c r="F22" i="32"/>
  <c r="H22" i="32"/>
  <c r="F20" i="32"/>
  <c r="H20" i="32"/>
  <c r="H11" i="32"/>
  <c r="H9" i="32"/>
  <c r="G21" i="17" l="1"/>
  <c r="G25" i="17" s="1"/>
  <c r="H29" i="32"/>
  <c r="E37" i="32" s="1"/>
  <c r="G9" i="32"/>
  <c r="G21" i="32"/>
  <c r="C29" i="32"/>
  <c r="G22" i="32"/>
  <c r="G11" i="32"/>
  <c r="G19" i="32"/>
  <c r="G20" i="32"/>
  <c r="G10" i="32"/>
  <c r="E39" i="32" l="1"/>
  <c r="G29" i="32"/>
  <c r="E46" i="32" l="1"/>
  <c r="E48" i="32" s="1"/>
  <c r="E50" i="32" s="1"/>
  <c r="F57" i="32" l="1"/>
  <c r="B49" i="47"/>
  <c r="F62" i="32"/>
  <c r="F11" i="17"/>
  <c r="F17" i="17" l="1"/>
  <c r="E16" i="37"/>
  <c r="B16" i="48" s="1"/>
  <c r="F23" i="37" l="1"/>
  <c r="F28" i="37"/>
  <c r="G12" i="17"/>
  <c r="G17" i="17" s="1"/>
  <c r="G19" i="17" s="1"/>
  <c r="G27" i="17" s="1"/>
  <c r="F42" i="17" l="1"/>
  <c r="F37" i="17"/>
</calcChain>
</file>

<file path=xl/connections.xml><?xml version="1.0" encoding="utf-8"?>
<connections xmlns="http://schemas.openxmlformats.org/spreadsheetml/2006/main">
  <connection id="1" name="Faculty" type="6" refreshedVersion="4" background="1" saveData="1">
    <textPr codePage="850" sourceFile="C:\Users\Hisham\Documents\ASUU\Faculty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ponsibility_Dept Claims" type="6" refreshedVersion="4" background="1" saveData="1">
    <textPr codePage="850" sourceFile="C:\Users\Hisham\Documents\ASUU\Responsibility_Dept Claims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<sst xmlns="http://schemas.openxmlformats.org/spreadsheetml/2006/main" count="2172" uniqueCount="591">
  <si>
    <t>A.</t>
  </si>
  <si>
    <t>Staff Particulars</t>
  </si>
  <si>
    <t>Name:</t>
  </si>
  <si>
    <t>Staff No.:</t>
  </si>
  <si>
    <t>Faculty:</t>
  </si>
  <si>
    <t>Rank:</t>
  </si>
  <si>
    <t>Session:</t>
  </si>
  <si>
    <t>B.</t>
  </si>
  <si>
    <t>Workload Information</t>
  </si>
  <si>
    <t>C.</t>
  </si>
  <si>
    <t>D.</t>
  </si>
  <si>
    <t>E.</t>
  </si>
  <si>
    <t>F.</t>
  </si>
  <si>
    <t>G.</t>
  </si>
  <si>
    <t>H.</t>
  </si>
  <si>
    <t>EWLU (Excess Work Load Units):</t>
  </si>
  <si>
    <t>EWLA (Excess WorkLoad Allowance):</t>
  </si>
  <si>
    <t>Approved Students:Staff Ratio (R):</t>
  </si>
  <si>
    <t>I.</t>
  </si>
  <si>
    <t>I certify that the information given above is correct</t>
  </si>
  <si>
    <t>Signature of Applicant</t>
  </si>
  <si>
    <t>Date:</t>
  </si>
  <si>
    <t>J.</t>
  </si>
  <si>
    <t>Recommendation of Head of Department:</t>
  </si>
  <si>
    <t>I recommend/do not recommend payment of the claim of</t>
  </si>
  <si>
    <t>HOD Signature/Stamp</t>
  </si>
  <si>
    <t>K.</t>
  </si>
  <si>
    <t>Certification by the Committee on Excess Workload Verification:</t>
  </si>
  <si>
    <t xml:space="preserve">The Above Claim is checked and certified to be the sum of </t>
  </si>
  <si>
    <t>Signature:</t>
  </si>
  <si>
    <t>Student Information</t>
  </si>
  <si>
    <t>S/N</t>
  </si>
  <si>
    <t>Matric. No.</t>
  </si>
  <si>
    <t>Names (Surname First)</t>
  </si>
  <si>
    <t>PG Supervisor Allowance</t>
  </si>
  <si>
    <t>Department:</t>
  </si>
  <si>
    <t>Materials &amp; Metalurgical  Engineering</t>
  </si>
  <si>
    <t>Outfield Allowances</t>
  </si>
  <si>
    <t>Field Trip</t>
  </si>
  <si>
    <t>Industrial Supervision</t>
  </si>
  <si>
    <t>Teaching Practice</t>
  </si>
  <si>
    <t>Certification by applicant:</t>
  </si>
  <si>
    <t>Total</t>
  </si>
  <si>
    <t>Position:</t>
  </si>
  <si>
    <t>Responsibility</t>
  </si>
  <si>
    <t>Allowance</t>
  </si>
  <si>
    <t>Dean</t>
  </si>
  <si>
    <t>Director</t>
  </si>
  <si>
    <t>Aug. 2009 - July 2010</t>
  </si>
  <si>
    <t>Aug. 2010 - July 2011</t>
  </si>
  <si>
    <t>Aug. 2011 - July 2012</t>
  </si>
  <si>
    <t>Aug. 2012 - Aug. 2013</t>
  </si>
  <si>
    <t>COURSE ADVISER</t>
  </si>
  <si>
    <t>-</t>
  </si>
  <si>
    <t>Not Applicable</t>
  </si>
  <si>
    <t>P.G. Coordinator</t>
  </si>
  <si>
    <t>I.T. Coordinator</t>
  </si>
  <si>
    <t>Admissions Officer</t>
  </si>
  <si>
    <t>Project Coordinator</t>
  </si>
  <si>
    <t>Staff Adviser</t>
  </si>
  <si>
    <t>Department Particulars</t>
  </si>
  <si>
    <t>2009/2010</t>
  </si>
  <si>
    <t>Others:</t>
  </si>
  <si>
    <t>Course Advisers</t>
  </si>
  <si>
    <t>CMUL/Basic Medical Sciences</t>
  </si>
  <si>
    <t>AMOUNT PAYABLE</t>
  </si>
  <si>
    <t>&lt;= Enter the amount</t>
  </si>
  <si>
    <t>Levels</t>
  </si>
  <si>
    <t>Programme(s)</t>
  </si>
  <si>
    <t>Period under review</t>
  </si>
  <si>
    <t>Unit Amount per Course Adviser</t>
  </si>
  <si>
    <t>Staff</t>
  </si>
  <si>
    <t>Library</t>
  </si>
  <si>
    <t>Education</t>
  </si>
  <si>
    <t>Engineering</t>
  </si>
  <si>
    <t>Chemical Engineering</t>
  </si>
  <si>
    <t>Civil &amp; Environmental Engineering</t>
  </si>
  <si>
    <t>Electrical &amp; Electronics Engineering</t>
  </si>
  <si>
    <t>Systems Engineering</t>
  </si>
  <si>
    <t>Sciences</t>
  </si>
  <si>
    <t>Zoology</t>
  </si>
  <si>
    <t>Clinical Legal Coordinator</t>
  </si>
  <si>
    <t>Clinical Legal Fieldwork Coordinator</t>
  </si>
  <si>
    <t>Deputy Dean</t>
  </si>
  <si>
    <t>Deputy Provost</t>
  </si>
  <si>
    <t>Deputy Vice Chancellor</t>
  </si>
  <si>
    <t>Hall Warden</t>
  </si>
  <si>
    <t>Head of Department</t>
  </si>
  <si>
    <t>Provost</t>
  </si>
  <si>
    <t>Seminar Coordinator</t>
  </si>
  <si>
    <t>Servicom Officer</t>
  </si>
  <si>
    <t>Sub Dean</t>
  </si>
  <si>
    <t>University Librarian</t>
  </si>
  <si>
    <t>Academic Secretary</t>
  </si>
  <si>
    <t>Field Trip Coordinator</t>
  </si>
  <si>
    <t>Faculty/Directorate Responsibility</t>
  </si>
  <si>
    <t>Departmental Responsibility</t>
  </si>
  <si>
    <t>Department/Unit</t>
  </si>
  <si>
    <t>Faculty/Directorate</t>
  </si>
  <si>
    <t>Arts</t>
  </si>
  <si>
    <t>Business Administration</t>
  </si>
  <si>
    <t>CMUL/Clinical Sciences</t>
  </si>
  <si>
    <t>CMUL/Dental Sciences</t>
  </si>
  <si>
    <t>Environmental Sciences</t>
  </si>
  <si>
    <t>Law</t>
  </si>
  <si>
    <t>Social Sciences</t>
  </si>
  <si>
    <t>2010/2011</t>
  </si>
  <si>
    <t>2011/2012</t>
  </si>
  <si>
    <t>2012/2013</t>
  </si>
  <si>
    <t>Total No. of Students (FT):</t>
  </si>
  <si>
    <t>Total No. of Students (IS):</t>
  </si>
  <si>
    <t>Total No. of Students (TP):</t>
  </si>
  <si>
    <t>Staff Names</t>
  </si>
  <si>
    <t>Anatomy</t>
  </si>
  <si>
    <t>Biochemistry</t>
  </si>
  <si>
    <t>Physiology</t>
  </si>
  <si>
    <t>Laboratory</t>
  </si>
  <si>
    <t>Surgery</t>
  </si>
  <si>
    <t>African &amp; Asian Studies</t>
  </si>
  <si>
    <t>Creative Arts</t>
  </si>
  <si>
    <t>English</t>
  </si>
  <si>
    <t>European Languages</t>
  </si>
  <si>
    <t>History &amp; Strategic Studies</t>
  </si>
  <si>
    <t>Philosophy</t>
  </si>
  <si>
    <t>Anatomic &amp; Molecular Pathology</t>
  </si>
  <si>
    <t>Pharmacology, Therapeutics &amp; Toxicology</t>
  </si>
  <si>
    <t>Biomedical Engineering</t>
  </si>
  <si>
    <t>Banking &amp; Finance</t>
  </si>
  <si>
    <t>Industrial Relations &amp; Personnel Management</t>
  </si>
  <si>
    <t>Accounting</t>
  </si>
  <si>
    <t>Actuarial Science &amp; Insurance</t>
  </si>
  <si>
    <t>Child Dental Health</t>
  </si>
  <si>
    <t>Oral &amp; Maxillofacial Surgery</t>
  </si>
  <si>
    <t>Preventive Dentistry</t>
  </si>
  <si>
    <t>Restorative Dentistry</t>
  </si>
  <si>
    <t>Adult Education</t>
  </si>
  <si>
    <t>Arts &amp; Social Science Education</t>
  </si>
  <si>
    <t>Educational Administration</t>
  </si>
  <si>
    <t>Educational Foundation</t>
  </si>
  <si>
    <t>Human Kinetic &amp; Health Education</t>
  </si>
  <si>
    <t>Science &amp; Tech. Education</t>
  </si>
  <si>
    <t>Mechanical Engineering</t>
  </si>
  <si>
    <t>Metallurgy &amp; Materials Engineering</t>
  </si>
  <si>
    <t>Surveying &amp; Geoinformatics</t>
  </si>
  <si>
    <t>Architecture</t>
  </si>
  <si>
    <t>Building</t>
  </si>
  <si>
    <t>Estate Management</t>
  </si>
  <si>
    <t>Urban &amp; Regional Planning</t>
  </si>
  <si>
    <t>Comm. And Ind. Law</t>
  </si>
  <si>
    <t>Jurisp. And Int. Law</t>
  </si>
  <si>
    <t>Private And Property Law</t>
  </si>
  <si>
    <t>Public Law</t>
  </si>
  <si>
    <t>Clinical Pharmacy &amp; Biopharmacy</t>
  </si>
  <si>
    <t>Pharmacognosy</t>
  </si>
  <si>
    <t>Pharmaceutical Chemistry</t>
  </si>
  <si>
    <t>Pharmaceutics &amp; Pharmaceutical Technology</t>
  </si>
  <si>
    <t>Chemistry</t>
  </si>
  <si>
    <t>Computer Sciences</t>
  </si>
  <si>
    <t>Mathematics</t>
  </si>
  <si>
    <t>Physics</t>
  </si>
  <si>
    <t>Botany &amp; Micro.</t>
  </si>
  <si>
    <t>Cell Biology &amp; Genetics</t>
  </si>
  <si>
    <t>Geosciences</t>
  </si>
  <si>
    <t>Economics</t>
  </si>
  <si>
    <t>Geography &amp; Planning</t>
  </si>
  <si>
    <t>Mass Communication</t>
  </si>
  <si>
    <t>Political Science</t>
  </si>
  <si>
    <t>Psychology</t>
  </si>
  <si>
    <t>Sociology</t>
  </si>
  <si>
    <t>Programme/Sub-Unit</t>
  </si>
  <si>
    <t>Computer Engineering</t>
  </si>
  <si>
    <t>Petroluem and Gas Engineering</t>
  </si>
  <si>
    <t>Programme:</t>
  </si>
  <si>
    <t>Faculty/Directorate:</t>
  </si>
  <si>
    <t>Recommendation of Head of Faculty/Directorate:</t>
  </si>
  <si>
    <t>Summary</t>
  </si>
  <si>
    <t>Excess Workload</t>
  </si>
  <si>
    <t>Amount (=N=)</t>
  </si>
  <si>
    <t>Postgraduate Supervision</t>
  </si>
  <si>
    <t>Teach Practice/Industrial Supervision/Field Trip</t>
  </si>
  <si>
    <t>TP/IS/FT Allowance:</t>
  </si>
  <si>
    <t>Faculty/Directorate Responsibility Allowance:</t>
  </si>
  <si>
    <t>French</t>
  </si>
  <si>
    <t>Linguistics/Yoruba</t>
  </si>
  <si>
    <t>Linguistics/Igbo</t>
  </si>
  <si>
    <t>Theatre Arts</t>
  </si>
  <si>
    <t>Fine Arts</t>
  </si>
  <si>
    <t>Music</t>
  </si>
  <si>
    <t>Staff Number</t>
  </si>
  <si>
    <t>Course Code</t>
  </si>
  <si>
    <t>Course Weight</t>
  </si>
  <si>
    <t>PCB Laboratory</t>
  </si>
  <si>
    <t xml:space="preserve">Unit Operation </t>
  </si>
  <si>
    <t>Remote Sensing and Photogrammetry</t>
  </si>
  <si>
    <t>Carpentry Workshop</t>
  </si>
  <si>
    <t>Communications  Laboratory</t>
  </si>
  <si>
    <t>Computer  Laboratory</t>
  </si>
  <si>
    <t>Control  Laboratory</t>
  </si>
  <si>
    <t>Electronics  Laboratory</t>
  </si>
  <si>
    <t>Fluid Mechanics  Laboratory</t>
  </si>
  <si>
    <t>Foundry  Laboratory</t>
  </si>
  <si>
    <t>Geoinformatic  Laboratory</t>
  </si>
  <si>
    <t>Geomodelling  Laboratory</t>
  </si>
  <si>
    <t>High voltage  Laboratory</t>
  </si>
  <si>
    <t>Hydrographic  Laboratory</t>
  </si>
  <si>
    <t>Hydrology  Laboratory</t>
  </si>
  <si>
    <t>Instrumentation  Laboratory</t>
  </si>
  <si>
    <t>LG  Laboratory</t>
  </si>
  <si>
    <t>Machines  Laboratory</t>
  </si>
  <si>
    <t>Materials Testing  Laboratory</t>
  </si>
  <si>
    <t>Metrology  Laboratory</t>
  </si>
  <si>
    <t>Microwave &amp; Antenna  Laboratory</t>
  </si>
  <si>
    <t>Petroleum Engineering  Laboratory</t>
  </si>
  <si>
    <t>Petroleum Engineering Production  Laboratory</t>
  </si>
  <si>
    <t>Petroleum Research  Laboratory</t>
  </si>
  <si>
    <t>PLC  Laboratory</t>
  </si>
  <si>
    <t>Soil  Laboratory</t>
  </si>
  <si>
    <t>Strength of Materials  Laboratory</t>
  </si>
  <si>
    <t>Stress Analysis  Laboratory</t>
  </si>
  <si>
    <t>Biochemical Engineering Laboratory</t>
  </si>
  <si>
    <t>Chemical Reaction Engineering  Laboratory</t>
  </si>
  <si>
    <t>Laboratory/Workshop/Studio Information</t>
  </si>
  <si>
    <t xml:space="preserve">Membrane and respiratory Physiology research laboratory </t>
  </si>
  <si>
    <t>General Physiology Laboratory</t>
  </si>
  <si>
    <t>Cardiovascular – Renal research laboratory</t>
  </si>
  <si>
    <t>Endocrine and Metabolic Disorders laboratory</t>
  </si>
  <si>
    <t>General Biochemistry Laboratory</t>
  </si>
  <si>
    <t>Molecular Endocrinology Research Laboratory</t>
  </si>
  <si>
    <t xml:space="preserve">Ethnopharmacology Research Laboratory </t>
  </si>
  <si>
    <t>General Pharmacology Laboratory</t>
  </si>
  <si>
    <t>Toxicology Research Laboratory</t>
  </si>
  <si>
    <t>Chemotherapy research Laboratory</t>
  </si>
  <si>
    <t xml:space="preserve">Neuro – Anatomy  Laboratory </t>
  </si>
  <si>
    <t>Gross Anatomy general Laboratory</t>
  </si>
  <si>
    <t>Histology and Embryology  laboratory</t>
  </si>
  <si>
    <t xml:space="preserve">Phytogenetic research laboratory </t>
  </si>
  <si>
    <t>General Morbid Anatomy laboratory</t>
  </si>
  <si>
    <t>Human pappiloma Virus research laboratory</t>
  </si>
  <si>
    <t xml:space="preserve">APIN / HIV Research Laboratory </t>
  </si>
  <si>
    <t>General Medical Microbiology laboratory</t>
  </si>
  <si>
    <t>Malarial Research Laboratory</t>
  </si>
  <si>
    <t>Virology Research Laboratory</t>
  </si>
  <si>
    <t>Environmental Botany and Palynology</t>
  </si>
  <si>
    <t>Industrial Chemistry</t>
  </si>
  <si>
    <t>Geology</t>
  </si>
  <si>
    <t>Geophysics</t>
  </si>
  <si>
    <t>Fisheries</t>
  </si>
  <si>
    <t>Metallography Laboratory</t>
  </si>
  <si>
    <t>Heat Treatment Laboratory</t>
  </si>
  <si>
    <t>Mechanical Testing Laboratory</t>
  </si>
  <si>
    <t>Foundary Workshop/Laboratory</t>
  </si>
  <si>
    <t>Spectrometry Laboratory</t>
  </si>
  <si>
    <t>Microscopy Laboratory</t>
  </si>
  <si>
    <t>CNC Laboratory</t>
  </si>
  <si>
    <t>Industrial Engineering Laboratory</t>
  </si>
  <si>
    <t>Welding Workshop</t>
  </si>
  <si>
    <t>Machining Workshop</t>
  </si>
  <si>
    <t>Hydraulics Laboratory</t>
  </si>
  <si>
    <t>Fitting Workshop</t>
  </si>
  <si>
    <t>Control and Instrumentation Laboratory</t>
  </si>
  <si>
    <t>Computation and Simulation Laboratory</t>
  </si>
  <si>
    <t>Robotics Laboratory</t>
  </si>
  <si>
    <t>Automation Section</t>
  </si>
  <si>
    <t>Faculty of Education Library</t>
  </si>
  <si>
    <t>Museum Section</t>
  </si>
  <si>
    <t>Circulation &amp; Inter-Library Loan Section</t>
  </si>
  <si>
    <t>Reference Section</t>
  </si>
  <si>
    <t>Law Library Section</t>
  </si>
  <si>
    <t>Reserved Book Room Section</t>
  </si>
  <si>
    <t>Other Faculty Libraries</t>
  </si>
  <si>
    <t>Cataloguing Section</t>
  </si>
  <si>
    <t>Acquisitions Section</t>
  </si>
  <si>
    <t>Serials Section</t>
  </si>
  <si>
    <t>Reader's Services</t>
  </si>
  <si>
    <t>Technical Services</t>
  </si>
  <si>
    <t>Research &amp; Bibliography</t>
  </si>
  <si>
    <t>Medical Microbiology &amp; Parasitology</t>
  </si>
  <si>
    <t>Oral Pathology</t>
  </si>
  <si>
    <t>Anaesthesia</t>
  </si>
  <si>
    <t>Medicine</t>
  </si>
  <si>
    <t>Obstestries &amp; Gynaecology</t>
  </si>
  <si>
    <t>Physiotherapy</t>
  </si>
  <si>
    <t>Clinical Pathology</t>
  </si>
  <si>
    <t>Haematology &amp; Blood Transfusion</t>
  </si>
  <si>
    <t>Community Health &amp; Primary Core</t>
  </si>
  <si>
    <t>Paediatries</t>
  </si>
  <si>
    <t>Nursing</t>
  </si>
  <si>
    <t>Radiation-Bilogy, Radiology &amp; Radiotherapy</t>
  </si>
  <si>
    <t>Opthamology</t>
  </si>
  <si>
    <t>Medical Laboratory Science</t>
  </si>
  <si>
    <t>Social Work</t>
  </si>
  <si>
    <t>Community Immersion Coordinator</t>
  </si>
  <si>
    <t>Bacteriology Laboratory</t>
  </si>
  <si>
    <t>Mycology Laboratory</t>
  </si>
  <si>
    <t>Anaerobic Laboratory</t>
  </si>
  <si>
    <t>EEG Laboratory</t>
  </si>
  <si>
    <t>Academic Lab. Supervisor/Coordinator</t>
  </si>
  <si>
    <t>Marketing</t>
  </si>
  <si>
    <t>Management</t>
  </si>
  <si>
    <t>Operations Research/Production and Operations Management</t>
  </si>
  <si>
    <t>Organizational Behaviour</t>
  </si>
  <si>
    <t>Examination Officer</t>
  </si>
  <si>
    <t>Academic Laboratory Coordinator</t>
  </si>
  <si>
    <t>Deputy P.G. Coordinator</t>
  </si>
  <si>
    <t>Language Laboratory</t>
  </si>
  <si>
    <t>Technical Workshop</t>
  </si>
  <si>
    <t>High Performance Laboreatory</t>
  </si>
  <si>
    <t>Biology Laboratory</t>
  </si>
  <si>
    <t>Physics Laboratory</t>
  </si>
  <si>
    <t>Chemistry Laboratory</t>
  </si>
  <si>
    <t>Integrated Science Laboratory</t>
  </si>
  <si>
    <t>Games &amp; Sports Clinic</t>
  </si>
  <si>
    <t>Business Education Laboratory</t>
  </si>
  <si>
    <t>2008/2009</t>
  </si>
  <si>
    <t>Aug. 2008 - July 2009</t>
  </si>
  <si>
    <t>Session</t>
  </si>
  <si>
    <t>Gross Earned Allowance:</t>
  </si>
  <si>
    <t>Amount Per Course Adviser</t>
  </si>
  <si>
    <t>Electric Nose Laboratory</t>
  </si>
  <si>
    <t>Hazard Allowance</t>
  </si>
  <si>
    <t>Honoraria PG/Internal Examiner</t>
  </si>
  <si>
    <t>Honoraria Moderation</t>
  </si>
  <si>
    <t>M.Sc. Fellowship/MRF</t>
  </si>
  <si>
    <t>PhD Fellowship/SMRF</t>
  </si>
  <si>
    <t>Assessment Prof/Reader</t>
  </si>
  <si>
    <t>Programme Coordinator</t>
  </si>
  <si>
    <t>Level Coordinator (CMUL)</t>
  </si>
  <si>
    <t>Sub-unit Head (Library)</t>
  </si>
  <si>
    <t>Teaching Practice Coordinator</t>
  </si>
  <si>
    <t>Unit Head (Library)</t>
  </si>
  <si>
    <t>Pure Physics</t>
  </si>
  <si>
    <t>Applied Physics (Electronics)</t>
  </si>
  <si>
    <t>Sociology/Social Work  Laboratory</t>
  </si>
  <si>
    <t>Economics Laboratory</t>
  </si>
  <si>
    <t>Geography Laboratory</t>
  </si>
  <si>
    <t>Audio/Visual Laboratory</t>
  </si>
  <si>
    <t>Studio</t>
  </si>
  <si>
    <t>Theatre</t>
  </si>
  <si>
    <t>Psychology Laboratory</t>
  </si>
  <si>
    <t>Power Systems Laboratory</t>
  </si>
  <si>
    <t>Lab./Wkshp/Studio</t>
  </si>
  <si>
    <t>Other Departmental Responsibilities</t>
  </si>
  <si>
    <t>Departmental Responsibilities</t>
  </si>
  <si>
    <t>Faculty/Directorate Responsibilities</t>
  </si>
  <si>
    <t>Earned Allowance Paid:</t>
  </si>
  <si>
    <t>Balance Gross Earned Allowance:</t>
  </si>
  <si>
    <t>Balance Earned Allowance 2008-2011:</t>
  </si>
  <si>
    <t>Level</t>
  </si>
  <si>
    <t>UNIVERSITY:</t>
  </si>
  <si>
    <t>DEPARTMENT:</t>
  </si>
  <si>
    <t>NAME:</t>
  </si>
  <si>
    <t>RANK:</t>
  </si>
  <si>
    <t>STAFF EMPLOYMENT NUMBER:</t>
  </si>
  <si>
    <t>DATE OF APPOINTMENT</t>
  </si>
  <si>
    <t>ACADEMIC SESSION</t>
  </si>
  <si>
    <t>Students Supervised</t>
  </si>
  <si>
    <t>Name</t>
  </si>
  <si>
    <t>Registration No.</t>
  </si>
  <si>
    <t>Title of Thesis</t>
  </si>
  <si>
    <r>
      <t xml:space="preserve">Students Supervised </t>
    </r>
    <r>
      <rPr>
        <sz val="8"/>
        <color theme="1"/>
        <rFont val="Calibri"/>
        <family val="2"/>
        <scheme val="minor"/>
      </rPr>
      <t>(Use additional paper where necessary)</t>
    </r>
  </si>
  <si>
    <t>School/Industry/Organization</t>
  </si>
  <si>
    <t>Call Duty/Clinical Duty/Clinic Hazard</t>
  </si>
  <si>
    <r>
      <t xml:space="preserve">To be completed by Head of Department where call duty was done                                  </t>
    </r>
    <r>
      <rPr>
        <sz val="8"/>
        <color theme="1"/>
        <rFont val="Calibri"/>
        <family val="2"/>
        <scheme val="minor"/>
      </rPr>
      <t>(Photocopy of call duty Register should be provided)</t>
    </r>
  </si>
  <si>
    <t>A Photocopy of appointment letter should be attached</t>
  </si>
  <si>
    <t>Position</t>
  </si>
  <si>
    <t>Period of Appointment</t>
  </si>
  <si>
    <t>Responsibility          Allowance (Per Annum)</t>
  </si>
  <si>
    <t>Attach the excess workload computation record</t>
  </si>
  <si>
    <t>Credit Hours</t>
  </si>
  <si>
    <t>Number of Lecturers</t>
  </si>
  <si>
    <t>Number of Students Registered</t>
  </si>
  <si>
    <t>Sr.      No.</t>
  </si>
  <si>
    <t>ATTESTATION:-</t>
  </si>
  <si>
    <t>UNIVERSITY OF LAGOS</t>
  </si>
  <si>
    <t>Photocopy Herewith Attached</t>
  </si>
  <si>
    <t>Earned Allowance 2008-2010:</t>
  </si>
  <si>
    <t>Pharmacy</t>
  </si>
  <si>
    <t>Physics Education</t>
  </si>
  <si>
    <t>Chemistry Education</t>
  </si>
  <si>
    <t>Biology Education</t>
  </si>
  <si>
    <t>Integrated Science Education</t>
  </si>
  <si>
    <t>Mathematics Education</t>
  </si>
  <si>
    <t>Home Economics Education</t>
  </si>
  <si>
    <t>Technology Education</t>
  </si>
  <si>
    <t>Pharmaceutical Chemistry Laboratory</t>
  </si>
  <si>
    <t>Pharmacognosy Laboratory</t>
  </si>
  <si>
    <t>Clinical Pharmacy Laboratory</t>
  </si>
  <si>
    <t>Physical Pharmacy Laboratory</t>
  </si>
  <si>
    <t>Course Coordinator</t>
  </si>
  <si>
    <t>Environmental sciences</t>
  </si>
  <si>
    <t>Prof. T.G. Nubi</t>
  </si>
  <si>
    <t>Dr. (Mrs) M.M. Omirin</t>
  </si>
  <si>
    <t>Mr. S.Y. Adisa</t>
  </si>
  <si>
    <t>Dr. A.C. Otegbulu</t>
  </si>
  <si>
    <t>Dr.  G.K. Babawale</t>
  </si>
  <si>
    <t>Dr. (Mrs) H.A. Koleoso</t>
  </si>
  <si>
    <t>Mr. A.A. Adegbenjo</t>
  </si>
  <si>
    <t>Dr. C.O. Odudu</t>
  </si>
  <si>
    <t>Mr. C.E. Udechukwu</t>
  </si>
  <si>
    <t>Mr. F.I. Iseh</t>
  </si>
  <si>
    <t>Mr. J.B. Babade</t>
  </si>
  <si>
    <t>Ms F.A. Gamu</t>
  </si>
  <si>
    <t>Mr. A.S. Afolayan</t>
  </si>
  <si>
    <t>Mr. C.O. Osaghae</t>
  </si>
  <si>
    <t>Miss Y. Adewunmi</t>
  </si>
  <si>
    <t>Mr. J.U. Osagie</t>
  </si>
  <si>
    <t>Mr. M.I. Anyakora</t>
  </si>
  <si>
    <t>Miss Y.O. Afe</t>
  </si>
  <si>
    <t>Mr. O.B.A. Idowu</t>
  </si>
  <si>
    <t>Miss F. Famuyiwa</t>
  </si>
  <si>
    <t>Dr. O.L. Umeh</t>
  </si>
  <si>
    <t>Mrs. B. Oyalowo</t>
  </si>
  <si>
    <t>Miss E.O. Thontteh</t>
  </si>
  <si>
    <t>A4748</t>
  </si>
  <si>
    <t>A3104</t>
  </si>
  <si>
    <t>A4986</t>
  </si>
  <si>
    <t>A7581</t>
  </si>
  <si>
    <t>A7584</t>
  </si>
  <si>
    <t>A7598</t>
  </si>
  <si>
    <t>A4991</t>
  </si>
  <si>
    <t>A7798</t>
  </si>
  <si>
    <t>A7797</t>
  </si>
  <si>
    <t>A7813</t>
  </si>
  <si>
    <t>A7346</t>
  </si>
  <si>
    <t>A7641</t>
  </si>
  <si>
    <t>A10820</t>
  </si>
  <si>
    <t>A11820</t>
  </si>
  <si>
    <t>A11338</t>
  </si>
  <si>
    <t>A11534</t>
  </si>
  <si>
    <t>A11499</t>
  </si>
  <si>
    <t>A11498</t>
  </si>
  <si>
    <t>A11532</t>
  </si>
  <si>
    <t>A11501</t>
  </si>
  <si>
    <t>A20207</t>
  </si>
  <si>
    <t>A20354</t>
  </si>
  <si>
    <t>Mr. A.A. Alabi</t>
  </si>
  <si>
    <t>A20268</t>
  </si>
  <si>
    <t>A20503</t>
  </si>
  <si>
    <t>ESM102</t>
  </si>
  <si>
    <t>ESM132</t>
  </si>
  <si>
    <t>ESM212</t>
  </si>
  <si>
    <t>ESM232</t>
  </si>
  <si>
    <t>ESM242</t>
  </si>
  <si>
    <t>ESM222</t>
  </si>
  <si>
    <t>ESM312</t>
  </si>
  <si>
    <t>ESM332</t>
  </si>
  <si>
    <t>ESM352</t>
  </si>
  <si>
    <t>ESM342</t>
  </si>
  <si>
    <t>ESM512</t>
  </si>
  <si>
    <t>ESM522</t>
  </si>
  <si>
    <t>ESM502</t>
  </si>
  <si>
    <t>ESM532</t>
  </si>
  <si>
    <t>ESM592</t>
  </si>
  <si>
    <t>ESM552</t>
  </si>
  <si>
    <t>ESM542</t>
  </si>
  <si>
    <t>ESM101</t>
  </si>
  <si>
    <t>ESM151</t>
  </si>
  <si>
    <t>ESM131</t>
  </si>
  <si>
    <t>ESM211</t>
  </si>
  <si>
    <t>ESM231</t>
  </si>
  <si>
    <t>ESM241</t>
  </si>
  <si>
    <t>ESM221</t>
  </si>
  <si>
    <t>ESM311</t>
  </si>
  <si>
    <t>ESM331</t>
  </si>
  <si>
    <t>ESM351</t>
  </si>
  <si>
    <t>ESM341</t>
  </si>
  <si>
    <t>ESM361</t>
  </si>
  <si>
    <t>ESM411</t>
  </si>
  <si>
    <t>ESM401</t>
  </si>
  <si>
    <t>ESM461</t>
  </si>
  <si>
    <t>ESM471</t>
  </si>
  <si>
    <t>ESM481</t>
  </si>
  <si>
    <t>ESM421</t>
  </si>
  <si>
    <t>ESM511</t>
  </si>
  <si>
    <t>ESM521</t>
  </si>
  <si>
    <t>ESM501</t>
  </si>
  <si>
    <t>ESM531</t>
  </si>
  <si>
    <t>ESM591</t>
  </si>
  <si>
    <t>ESM551</t>
  </si>
  <si>
    <t>ESM541</t>
  </si>
  <si>
    <t>FES101</t>
  </si>
  <si>
    <t>ESM111</t>
  </si>
  <si>
    <t>ESM121</t>
  </si>
  <si>
    <t>ESM112</t>
  </si>
  <si>
    <t>ESM122</t>
  </si>
  <si>
    <t>ESM142</t>
  </si>
  <si>
    <t>ESM152</t>
  </si>
  <si>
    <t>Senior Lecturer</t>
  </si>
  <si>
    <t>Lecturer I</t>
  </si>
  <si>
    <t>1st July 1999</t>
  </si>
  <si>
    <t>1st July, 1999</t>
  </si>
  <si>
    <t>129053004</t>
  </si>
  <si>
    <t>039052050</t>
  </si>
  <si>
    <t>Okapaleke Francis. O</t>
  </si>
  <si>
    <t>050502059</t>
  </si>
  <si>
    <t>Oyewunmi Gbenga</t>
  </si>
  <si>
    <t>129053014</t>
  </si>
  <si>
    <t>Ukpong Seun</t>
  </si>
  <si>
    <t>050502031</t>
  </si>
  <si>
    <t>Olubukole Matti</t>
  </si>
  <si>
    <t>Akinroye Temitope</t>
  </si>
  <si>
    <t>119053014</t>
  </si>
  <si>
    <t>Louisa Nwobodo</t>
  </si>
  <si>
    <t>119053039</t>
  </si>
  <si>
    <t>Nworah Joseph</t>
  </si>
  <si>
    <t>119053003</t>
  </si>
  <si>
    <t>Ogbonna Isreal</t>
  </si>
  <si>
    <t>010502057</t>
  </si>
  <si>
    <t>Ogungbola Olumuywa</t>
  </si>
  <si>
    <t>010502054</t>
  </si>
  <si>
    <t>Odekoya Abayomi</t>
  </si>
  <si>
    <t>109053011</t>
  </si>
  <si>
    <t>Ukpong uduak Effiong</t>
  </si>
  <si>
    <t>050502017</t>
  </si>
  <si>
    <t>Ariwayo Oluwasegun</t>
  </si>
  <si>
    <t>109053020</t>
  </si>
  <si>
    <t>Kuo oluwaseun Abraham</t>
  </si>
  <si>
    <t>079053007</t>
  </si>
  <si>
    <t>Shittu Oyewale</t>
  </si>
  <si>
    <t>069054005</t>
  </si>
  <si>
    <t>Olukolayo michael</t>
  </si>
  <si>
    <t>990502020</t>
  </si>
  <si>
    <t>Alabi Afees</t>
  </si>
  <si>
    <t>059053007</t>
  </si>
  <si>
    <t>Ogungbemi Abel</t>
  </si>
  <si>
    <t>Lecturer II</t>
  </si>
  <si>
    <t>030512083</t>
  </si>
  <si>
    <t>Aderogba Abiola</t>
  </si>
  <si>
    <t>880502006</t>
  </si>
  <si>
    <t>020502077</t>
  </si>
  <si>
    <t>Orelaja Abolanle</t>
  </si>
  <si>
    <t>Alimi Rasheed</t>
  </si>
  <si>
    <t>940502014</t>
  </si>
  <si>
    <t>Akinunjoye Akinola</t>
  </si>
  <si>
    <t>099053037</t>
  </si>
  <si>
    <t>Uche Augustin</t>
  </si>
  <si>
    <t>070502046</t>
  </si>
  <si>
    <t>OKECHUKWU DAVID DERRA</t>
  </si>
  <si>
    <t>060502040</t>
  </si>
  <si>
    <t>OGEWELE ALLEN</t>
  </si>
  <si>
    <t>070502033</t>
  </si>
  <si>
    <t>MOTUNRAYO</t>
  </si>
  <si>
    <t>080502030</t>
  </si>
  <si>
    <t>AWANA RICHARD</t>
  </si>
  <si>
    <t>070502034</t>
  </si>
  <si>
    <t>ADEGBOYEGA</t>
  </si>
  <si>
    <t>A.C OTEGBULU &amp; PARTNERS</t>
  </si>
  <si>
    <t>THE LAGOS PROPERTY EXCHANGE LIMITED</t>
  </si>
  <si>
    <t>ORA EGBUNIKE AND ASSOCIATES</t>
  </si>
  <si>
    <t>OMUOJINE &amp; ASSOCIATES</t>
  </si>
  <si>
    <t>MICHAEL BABALOLA</t>
  </si>
  <si>
    <t>070502004</t>
  </si>
  <si>
    <t>ADEDOKUN TOLULOYE</t>
  </si>
  <si>
    <t>080502005</t>
  </si>
  <si>
    <t>ADEDOSU DESMOND</t>
  </si>
  <si>
    <t>090502044</t>
  </si>
  <si>
    <t>MORAN IFENEFUNA</t>
  </si>
  <si>
    <t>090502023</t>
  </si>
  <si>
    <t>AYARA ORIYOMI</t>
  </si>
  <si>
    <t>080502047</t>
  </si>
  <si>
    <t>NWREOCHA TOBECHUWU</t>
  </si>
  <si>
    <t>KAYODE OMOARUTHE &amp; CO</t>
  </si>
  <si>
    <t>ORA EGBUNIRE &amp; ASSOCIATES</t>
  </si>
  <si>
    <t>WALE OPEJIN &amp;CO</t>
  </si>
  <si>
    <t>100502048</t>
  </si>
  <si>
    <t>MUSTAPHA KEHINDE</t>
  </si>
  <si>
    <t>090502045</t>
  </si>
  <si>
    <t>MURAINA OLUWASEUN</t>
  </si>
  <si>
    <t>090502061</t>
  </si>
  <si>
    <t>OLOWU ANUOLUWAPO</t>
  </si>
  <si>
    <t>100502035</t>
  </si>
  <si>
    <t>FALOLA DARE</t>
  </si>
  <si>
    <t>ADENIJI ADELE ASSOCIATES</t>
  </si>
  <si>
    <t>ORA EGBUNIKE AND ASSOCIATE</t>
  </si>
  <si>
    <t>YEMI OLUGBILE &amp; CO</t>
  </si>
  <si>
    <t>030502017</t>
  </si>
  <si>
    <t>DURODOLA MOTUNTRAYO</t>
  </si>
  <si>
    <t>030502020</t>
  </si>
  <si>
    <t>FASEMOJO TEMITOPE</t>
  </si>
  <si>
    <t>030502024</t>
  </si>
  <si>
    <t>JOLAOYE AMOS</t>
  </si>
  <si>
    <t>030502035</t>
  </si>
  <si>
    <t>OJEWALE SARAH</t>
  </si>
  <si>
    <t>ETUDO &amp; CO</t>
  </si>
  <si>
    <t>ISMAIL &amp; PARTNERS</t>
  </si>
  <si>
    <t>KNIGHT FRANK</t>
  </si>
  <si>
    <t>ADEDOKUN TOLUTOPE</t>
  </si>
  <si>
    <t>MORAH IKEMEFUNA</t>
  </si>
  <si>
    <t xml:space="preserve">KAYODE-OMOARUKHE &amp; CO </t>
  </si>
  <si>
    <t>ORA EGBUNIKE &amp; ASSOCIATES</t>
  </si>
  <si>
    <t>WALE OPEJIN &amp;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</si>
</sst>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NGN]\ #,##0.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1">
    <xf numFmtId="0" fontId="0" fillId="0" borderId="0" xfId="0"/>
    <xf numFmtId="0" fontId="2" fillId="0" borderId="1" xfId="0" applyFont="1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49" fontId="2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 vertical="top" wrapText="1"/>
      <protection locked="0"/>
    </xf>
    <xf numFmtId="0" fontId="2" fillId="0" borderId="0" xfId="0" applyNumberFormat="1" applyFont="1" applyAlignment="1" applyProtection="1">
      <alignment horizontal="center" wrapText="1"/>
      <protection locked="0"/>
    </xf>
    <xf numFmtId="0" fontId="2" fillId="3" borderId="1" xfId="0" applyFont="1" applyFill="1" applyBorder="1" applyProtection="1">
      <protection locked="0"/>
    </xf>
    <xf numFmtId="0" fontId="2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2" fillId="3" borderId="0" xfId="0" applyFont="1" applyFill="1" applyProtection="1">
      <protection locked="0"/>
    </xf>
    <xf numFmtId="164" fontId="3" fillId="0" borderId="0" xfId="0" applyNumberFormat="1" applyFont="1" applyProtection="1">
      <protection locked="0"/>
    </xf>
    <xf numFmtId="0" fontId="4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 wrapText="1"/>
    </xf>
    <xf numFmtId="0" fontId="3" fillId="2" borderId="1" xfId="0" applyFont="1" applyFill="1" applyBorder="1" applyProtection="1"/>
    <xf numFmtId="0" fontId="2" fillId="2" borderId="0" xfId="0" applyNumberFormat="1" applyFont="1" applyFill="1" applyAlignment="1" applyProtection="1"/>
    <xf numFmtId="0" fontId="0" fillId="0" borderId="0" xfId="0" applyProtection="1"/>
    <xf numFmtId="0" fontId="2" fillId="0" borderId="0" xfId="0" applyFont="1" applyProtection="1"/>
    <xf numFmtId="0" fontId="3" fillId="5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right"/>
    </xf>
    <xf numFmtId="0" fontId="2" fillId="5" borderId="0" xfId="0" applyFont="1" applyFill="1" applyProtection="1"/>
    <xf numFmtId="164" fontId="3" fillId="2" borderId="0" xfId="0" applyNumberFormat="1" applyFont="1" applyFill="1" applyProtection="1"/>
    <xf numFmtId="0" fontId="4" fillId="0" borderId="0" xfId="0" applyFont="1" applyProtection="1">
      <protection locked="0"/>
    </xf>
    <xf numFmtId="0" fontId="2" fillId="0" borderId="0" xfId="0" applyFont="1" applyAlignment="1" applyProtection="1">
      <alignment horizontal="center" wrapText="1"/>
      <protection locked="0"/>
    </xf>
    <xf numFmtId="49" fontId="2" fillId="3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vertical="center" textRotation="90"/>
      <protection locked="0"/>
    </xf>
    <xf numFmtId="0" fontId="2" fillId="2" borderId="1" xfId="0" applyFont="1" applyFill="1" applyBorder="1" applyAlignment="1" applyProtection="1">
      <alignment vertical="center"/>
    </xf>
    <xf numFmtId="49" fontId="3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wrapText="1"/>
    </xf>
    <xf numFmtId="0" fontId="0" fillId="4" borderId="0" xfId="0" applyFill="1" applyProtection="1">
      <protection locked="0"/>
    </xf>
    <xf numFmtId="0" fontId="2" fillId="4" borderId="0" xfId="0" applyFont="1" applyFill="1" applyProtection="1">
      <protection locked="0"/>
    </xf>
    <xf numFmtId="4" fontId="3" fillId="2" borderId="0" xfId="0" applyNumberFormat="1" applyFont="1" applyFill="1" applyProtection="1"/>
    <xf numFmtId="0" fontId="2" fillId="2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protection locked="0"/>
    </xf>
    <xf numFmtId="0" fontId="4" fillId="0" borderId="0" xfId="0" applyFont="1"/>
    <xf numFmtId="4" fontId="0" fillId="0" borderId="0" xfId="0" applyNumberFormat="1"/>
    <xf numFmtId="0" fontId="0" fillId="0" borderId="0" xfId="0" applyFont="1"/>
    <xf numFmtId="0" fontId="3" fillId="0" borderId="0" xfId="0" applyFont="1" applyFill="1" applyAlignment="1" applyProtection="1">
      <alignment horizontal="right"/>
    </xf>
    <xf numFmtId="0" fontId="2" fillId="0" borderId="0" xfId="0" applyFont="1" applyAlignment="1" applyProtection="1">
      <protection locked="0"/>
    </xf>
    <xf numFmtId="0" fontId="0" fillId="0" borderId="0" xfId="0" applyNumberFormat="1" applyFill="1" applyProtection="1">
      <protection locked="0"/>
    </xf>
    <xf numFmtId="0" fontId="0" fillId="0" borderId="0" xfId="0" applyFill="1" applyAlignment="1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/>
    <xf numFmtId="0" fontId="0" fillId="0" borderId="0" xfId="0" applyFont="1" applyBorder="1"/>
    <xf numFmtId="0" fontId="0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17" fontId="0" fillId="0" borderId="0" xfId="0" applyNumberFormat="1"/>
    <xf numFmtId="4" fontId="0" fillId="0" borderId="0" xfId="0" applyNumberFormat="1" applyFont="1"/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Border="1"/>
    <xf numFmtId="0" fontId="0" fillId="0" borderId="0" xfId="0" applyFont="1" applyFill="1" applyAlignment="1" applyProtection="1">
      <protection locked="0"/>
    </xf>
    <xf numFmtId="0" fontId="2" fillId="3" borderId="0" xfId="0" applyFont="1" applyFill="1" applyBorder="1" applyProtection="1"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" fontId="2" fillId="2" borderId="1" xfId="0" applyNumberFormat="1" applyFont="1" applyFill="1" applyBorder="1" applyAlignment="1" applyProtection="1"/>
    <xf numFmtId="0" fontId="0" fillId="2" borderId="0" xfId="0" applyFill="1" applyAlignment="1" applyProtection="1">
      <alignment wrapText="1"/>
    </xf>
    <xf numFmtId="0" fontId="0" fillId="2" borderId="0" xfId="0" applyFill="1" applyProtection="1"/>
    <xf numFmtId="4" fontId="0" fillId="2" borderId="0" xfId="0" applyNumberFormat="1" applyFill="1" applyProtection="1"/>
    <xf numFmtId="0" fontId="0" fillId="3" borderId="1" xfId="0" applyFill="1" applyBorder="1" applyProtection="1">
      <protection locked="0"/>
    </xf>
    <xf numFmtId="0" fontId="0" fillId="3" borderId="1" xfId="0" applyFont="1" applyFill="1" applyBorder="1" applyAlignment="1" applyProtection="1">
      <protection locked="0"/>
    </xf>
    <xf numFmtId="0" fontId="4" fillId="0" borderId="0" xfId="0" applyFont="1" applyFill="1" applyProtection="1"/>
    <xf numFmtId="0" fontId="3" fillId="2" borderId="0" xfId="0" applyNumberFormat="1" applyFont="1" applyFill="1" applyAlignment="1" applyProtection="1">
      <alignment horizontal="right"/>
    </xf>
    <xf numFmtId="0" fontId="2" fillId="0" borderId="0" xfId="0" applyFont="1" applyFill="1" applyAlignment="1" applyProtection="1">
      <protection locked="0"/>
    </xf>
    <xf numFmtId="164" fontId="3" fillId="2" borderId="1" xfId="0" applyNumberFormat="1" applyFont="1" applyFill="1" applyBorder="1" applyAlignment="1" applyProtection="1"/>
    <xf numFmtId="0" fontId="3" fillId="2" borderId="0" xfId="0" applyFont="1" applyFill="1" applyProtection="1"/>
    <xf numFmtId="0" fontId="2" fillId="0" borderId="0" xfId="0" applyNumberFormat="1" applyFont="1" applyAlignment="1" applyProtection="1">
      <protection locked="0"/>
    </xf>
    <xf numFmtId="0" fontId="2" fillId="0" borderId="0" xfId="0" applyNumberFormat="1" applyFont="1" applyFill="1" applyProtection="1">
      <protection locked="0"/>
    </xf>
    <xf numFmtId="0" fontId="2" fillId="0" borderId="0" xfId="0" applyFont="1"/>
    <xf numFmtId="0" fontId="0" fillId="0" borderId="0" xfId="0" applyFill="1" applyAlignment="1" applyProtection="1">
      <protection locked="0"/>
    </xf>
    <xf numFmtId="49" fontId="0" fillId="3" borderId="0" xfId="0" quotePrefix="1" applyNumberFormat="1" applyFont="1" applyFill="1" applyAlignment="1" applyProtection="1">
      <protection locked="0"/>
    </xf>
    <xf numFmtId="49" fontId="2" fillId="3" borderId="1" xfId="0" applyNumberFormat="1" applyFont="1" applyFill="1" applyBorder="1" applyProtection="1">
      <protection locked="0"/>
    </xf>
    <xf numFmtId="2" fontId="2" fillId="2" borderId="1" xfId="0" applyNumberFormat="1" applyFont="1" applyFill="1" applyBorder="1" applyProtection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>
      <alignment vertical="center"/>
    </xf>
    <xf numFmtId="0" fontId="2" fillId="0" borderId="0" xfId="0" applyFont="1" applyAlignment="1" applyProtection="1">
      <protection locked="0"/>
    </xf>
    <xf numFmtId="0" fontId="0" fillId="3" borderId="0" xfId="0" applyFill="1" applyAlignment="1" applyProtection="1">
      <protection locked="0"/>
    </xf>
    <xf numFmtId="0" fontId="2" fillId="2" borderId="0" xfId="0" applyFont="1" applyFill="1" applyAlignment="1" applyProtection="1"/>
    <xf numFmtId="0" fontId="0" fillId="0" borderId="0" xfId="0" applyFill="1" applyAlignment="1" applyProtection="1">
      <protection locked="0"/>
    </xf>
    <xf numFmtId="0" fontId="0" fillId="0" borderId="0" xfId="0" applyFill="1" applyBorder="1"/>
    <xf numFmtId="2" fontId="3" fillId="2" borderId="1" xfId="0" applyNumberFormat="1" applyFont="1" applyFill="1" applyBorder="1" applyProtection="1"/>
    <xf numFmtId="0" fontId="5" fillId="0" borderId="0" xfId="0" applyFont="1" applyFill="1" applyAlignment="1"/>
    <xf numFmtId="0" fontId="0" fillId="6" borderId="0" xfId="0" applyFill="1" applyBorder="1"/>
    <xf numFmtId="0" fontId="5" fillId="6" borderId="0" xfId="0" applyFont="1" applyFill="1" applyAlignment="1"/>
    <xf numFmtId="0" fontId="0" fillId="6" borderId="0" xfId="0" applyFont="1" applyFill="1" applyBorder="1"/>
    <xf numFmtId="0" fontId="5" fillId="7" borderId="0" xfId="0" applyFont="1" applyFill="1" applyAlignment="1"/>
    <xf numFmtId="0" fontId="0" fillId="0" borderId="0" xfId="0" applyFill="1" applyAlignment="1" applyProtection="1">
      <protection locked="0"/>
    </xf>
    <xf numFmtId="2" fontId="3" fillId="2" borderId="0" xfId="0" applyNumberFormat="1" applyFont="1" applyFill="1" applyAlignment="1" applyProtection="1">
      <alignment horizontal="right"/>
    </xf>
    <xf numFmtId="2" fontId="3" fillId="5" borderId="0" xfId="0" applyNumberFormat="1" applyFont="1" applyFill="1" applyAlignment="1" applyProtection="1">
      <alignment horizontal="right"/>
    </xf>
    <xf numFmtId="0" fontId="2" fillId="4" borderId="0" xfId="0" applyFont="1" applyFill="1" applyAlignment="1" applyProtection="1">
      <protection locked="0"/>
    </xf>
    <xf numFmtId="0" fontId="2" fillId="3" borderId="0" xfId="0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0" fillId="3" borderId="0" xfId="0" applyFill="1" applyAlignment="1" applyProtection="1">
      <protection locked="0"/>
    </xf>
    <xf numFmtId="0" fontId="2" fillId="2" borderId="0" xfId="0" applyFont="1" applyFill="1" applyAlignment="1" applyProtection="1"/>
    <xf numFmtId="0" fontId="0" fillId="0" borderId="0" xfId="0" applyFill="1" applyAlignment="1" applyProtection="1">
      <protection locked="0"/>
    </xf>
    <xf numFmtId="49" fontId="0" fillId="0" borderId="0" xfId="0" quotePrefix="1" applyNumberFormat="1" applyFont="1" applyFill="1" applyAlignment="1" applyProtection="1">
      <protection locked="0"/>
    </xf>
    <xf numFmtId="49" fontId="0" fillId="3" borderId="1" xfId="0" applyNumberFormat="1" applyFill="1" applyBorder="1" applyProtection="1">
      <protection locked="0"/>
    </xf>
    <xf numFmtId="49" fontId="3" fillId="2" borderId="1" xfId="0" applyNumberFormat="1" applyFont="1" applyFill="1" applyBorder="1" applyAlignment="1" applyProtection="1">
      <alignment wrapText="1"/>
    </xf>
    <xf numFmtId="0" fontId="4" fillId="0" borderId="1" xfId="0" applyFont="1" applyBorder="1" applyProtection="1"/>
    <xf numFmtId="0" fontId="0" fillId="0" borderId="1" xfId="0" applyBorder="1" applyProtection="1"/>
    <xf numFmtId="0" fontId="0" fillId="2" borderId="1" xfId="0" applyFont="1" applyFill="1" applyBorder="1" applyAlignment="1" applyProtection="1">
      <alignment horizontal="center"/>
    </xf>
    <xf numFmtId="0" fontId="0" fillId="2" borderId="1" xfId="0" applyFill="1" applyBorder="1" applyProtection="1"/>
    <xf numFmtId="0" fontId="0" fillId="2" borderId="1" xfId="0" applyFont="1" applyFill="1" applyBorder="1" applyAlignment="1" applyProtection="1"/>
    <xf numFmtId="0" fontId="4" fillId="0" borderId="0" xfId="0" applyFont="1" applyFill="1" applyProtection="1">
      <protection locked="0"/>
    </xf>
    <xf numFmtId="0" fontId="4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0" xfId="0" applyFill="1" applyProtection="1"/>
    <xf numFmtId="0" fontId="4" fillId="0" borderId="1" xfId="0" applyFont="1" applyFill="1" applyBorder="1" applyProtection="1"/>
    <xf numFmtId="0" fontId="4" fillId="2" borderId="1" xfId="0" applyFont="1" applyFill="1" applyBorder="1" applyProtection="1"/>
    <xf numFmtId="0" fontId="4" fillId="0" borderId="0" xfId="0" applyFont="1" applyProtection="1"/>
    <xf numFmtId="0" fontId="4" fillId="0" borderId="4" xfId="0" applyFont="1" applyBorder="1" applyProtection="1"/>
    <xf numFmtId="164" fontId="3" fillId="0" borderId="0" xfId="0" applyNumberFormat="1" applyFont="1" applyFill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4" borderId="0" xfId="0" applyFont="1" applyFill="1" applyProtection="1"/>
    <xf numFmtId="0" fontId="0" fillId="4" borderId="6" xfId="0" applyFill="1" applyBorder="1" applyAlignment="1" applyProtection="1"/>
    <xf numFmtId="0" fontId="0" fillId="2" borderId="6" xfId="0" applyFill="1" applyBorder="1" applyAlignment="1" applyProtection="1"/>
    <xf numFmtId="0" fontId="4" fillId="2" borderId="4" xfId="0" applyFont="1" applyFill="1" applyBorder="1" applyProtection="1"/>
    <xf numFmtId="0" fontId="0" fillId="0" borderId="0" xfId="0" applyFill="1" applyProtection="1"/>
    <xf numFmtId="0" fontId="4" fillId="2" borderId="1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  <protection locked="0"/>
    </xf>
    <xf numFmtId="4" fontId="0" fillId="0" borderId="0" xfId="0" applyNumberFormat="1" applyProtection="1">
      <protection locked="0"/>
    </xf>
    <xf numFmtId="0" fontId="0" fillId="3" borderId="0" xfId="0" applyFill="1" applyProtection="1">
      <protection locked="0"/>
    </xf>
    <xf numFmtId="4" fontId="0" fillId="3" borderId="0" xfId="0" applyNumberFormat="1" applyFill="1" applyBorder="1" applyAlignment="1" applyProtection="1">
      <protection locked="0"/>
    </xf>
    <xf numFmtId="0" fontId="0" fillId="3" borderId="3" xfId="0" applyFont="1" applyFill="1" applyBorder="1" applyAlignment="1" applyProtection="1">
      <protection locked="0"/>
    </xf>
    <xf numFmtId="0" fontId="0" fillId="4" borderId="0" xfId="0" applyFont="1" applyFill="1" applyAlignment="1" applyProtection="1"/>
    <xf numFmtId="0" fontId="0" fillId="2" borderId="0" xfId="0" applyFont="1" applyFill="1" applyProtection="1"/>
    <xf numFmtId="0" fontId="4" fillId="2" borderId="3" xfId="0" applyFont="1" applyFill="1" applyBorder="1" applyAlignment="1" applyProtection="1"/>
    <xf numFmtId="4" fontId="0" fillId="2" borderId="1" xfId="0" applyNumberFormat="1" applyFill="1" applyBorder="1" applyAlignment="1" applyProtection="1">
      <alignment horizontal="center"/>
    </xf>
    <xf numFmtId="4" fontId="0" fillId="2" borderId="1" xfId="0" applyNumberFormat="1" applyFont="1" applyFill="1" applyBorder="1" applyProtection="1"/>
    <xf numFmtId="0" fontId="2" fillId="0" borderId="0" xfId="0" applyNumberFormat="1" applyFont="1" applyFill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5" borderId="0" xfId="0" applyFont="1" applyFill="1" applyAlignment="1" applyProtection="1">
      <alignment horizontal="right"/>
      <protection locked="0"/>
    </xf>
    <xf numFmtId="0" fontId="2" fillId="5" borderId="0" xfId="0" applyFont="1" applyFill="1" applyProtection="1">
      <protection locked="0"/>
    </xf>
    <xf numFmtId="49" fontId="2" fillId="0" borderId="0" xfId="0" applyNumberFormat="1" applyFont="1" applyProtection="1"/>
    <xf numFmtId="0" fontId="2" fillId="0" borderId="1" xfId="0" applyFont="1" applyBorder="1" applyProtection="1"/>
    <xf numFmtId="0" fontId="3" fillId="0" borderId="0" xfId="0" applyFont="1" applyFill="1" applyProtection="1">
      <protection locked="0"/>
    </xf>
    <xf numFmtId="0" fontId="3" fillId="0" borderId="0" xfId="0" applyFont="1" applyAlignment="1" applyProtection="1">
      <protection locked="0"/>
    </xf>
    <xf numFmtId="164" fontId="3" fillId="3" borderId="0" xfId="0" applyNumberFormat="1" applyFont="1" applyFill="1" applyProtection="1">
      <protection locked="0"/>
    </xf>
    <xf numFmtId="17" fontId="4" fillId="2" borderId="1" xfId="0" applyNumberFormat="1" applyFont="1" applyFill="1" applyBorder="1" applyAlignment="1" applyProtection="1">
      <alignment horizontal="center"/>
    </xf>
    <xf numFmtId="4" fontId="2" fillId="2" borderId="1" xfId="0" applyNumberFormat="1" applyFont="1" applyFill="1" applyBorder="1" applyProtection="1"/>
    <xf numFmtId="0" fontId="2" fillId="2" borderId="1" xfId="0" applyFont="1" applyFill="1" applyBorder="1" applyAlignment="1" applyProtection="1">
      <alignment wrapText="1"/>
    </xf>
    <xf numFmtId="164" fontId="3" fillId="2" borderId="1" xfId="0" applyNumberFormat="1" applyFont="1" applyFill="1" applyBorder="1" applyProtection="1"/>
    <xf numFmtId="0" fontId="3" fillId="2" borderId="0" xfId="0" applyNumberFormat="1" applyFont="1" applyFill="1" applyAlignment="1" applyProtection="1">
      <alignment horizontal="center"/>
    </xf>
    <xf numFmtId="0" fontId="2" fillId="0" borderId="0" xfId="0" applyFont="1" applyAlignment="1" applyProtection="1"/>
    <xf numFmtId="0" fontId="2" fillId="4" borderId="0" xfId="0" applyFont="1" applyFill="1" applyProtection="1"/>
    <xf numFmtId="0" fontId="2" fillId="4" borderId="0" xfId="0" applyFont="1" applyFill="1" applyAlignment="1" applyProtection="1"/>
    <xf numFmtId="0" fontId="3" fillId="0" borderId="0" xfId="0" applyFont="1" applyProtection="1"/>
    <xf numFmtId="0" fontId="6" fillId="0" borderId="0" xfId="0" applyFo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0" fontId="3" fillId="0" borderId="1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7" xfId="0" applyBorder="1" applyProtection="1">
      <protection locked="0"/>
    </xf>
    <xf numFmtId="0" fontId="4" fillId="0" borderId="1" xfId="0" applyFon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2" xfId="0" applyBorder="1" applyAlignment="1" applyProtection="1">
      <alignment wrapText="1"/>
      <protection locked="0"/>
    </xf>
    <xf numFmtId="0" fontId="0" fillId="0" borderId="11" xfId="0" applyBorder="1" applyProtection="1">
      <protection locked="0"/>
    </xf>
    <xf numFmtId="49" fontId="0" fillId="2" borderId="0" xfId="0" applyNumberFormat="1" applyFill="1" applyProtection="1"/>
    <xf numFmtId="0" fontId="0" fillId="0" borderId="9" xfId="0" applyBorder="1" applyAlignment="1" applyProtection="1">
      <alignment vertical="top" wrapText="1"/>
    </xf>
    <xf numFmtId="0" fontId="0" fillId="0" borderId="9" xfId="0" applyBorder="1" applyProtection="1"/>
    <xf numFmtId="0" fontId="0" fillId="0" borderId="0" xfId="0" applyBorder="1" applyAlignment="1" applyProtection="1">
      <alignment vertical="top" wrapText="1"/>
    </xf>
    <xf numFmtId="0" fontId="0" fillId="2" borderId="1" xfId="0" applyNumberFormat="1" applyFill="1" applyBorder="1" applyAlignment="1" applyProtection="1">
      <alignment horizontal="right"/>
    </xf>
    <xf numFmtId="164" fontId="3" fillId="2" borderId="14" xfId="0" applyNumberFormat="1" applyFont="1" applyFill="1" applyBorder="1" applyAlignment="1" applyProtection="1">
      <alignment vertical="top" wrapText="1"/>
    </xf>
    <xf numFmtId="0" fontId="0" fillId="0" borderId="2" xfId="0" applyBorder="1" applyAlignment="1" applyProtection="1">
      <alignment vertical="top" wrapText="1"/>
    </xf>
    <xf numFmtId="0" fontId="0" fillId="0" borderId="0" xfId="0" applyBorder="1" applyProtection="1"/>
    <xf numFmtId="0" fontId="0" fillId="2" borderId="1" xfId="0" applyFill="1" applyBorder="1" applyAlignment="1" applyProtection="1">
      <alignment horizontal="right"/>
    </xf>
    <xf numFmtId="0" fontId="0" fillId="0" borderId="15" xfId="0" applyBorder="1" applyAlignment="1" applyProtection="1">
      <alignment vertical="top" wrapText="1"/>
    </xf>
    <xf numFmtId="164" fontId="3" fillId="2" borderId="15" xfId="0" applyNumberFormat="1" applyFont="1" applyFill="1" applyBorder="1" applyAlignment="1" applyProtection="1">
      <alignment vertical="top" wrapText="1"/>
    </xf>
    <xf numFmtId="0" fontId="0" fillId="0" borderId="14" xfId="0" applyBorder="1" applyAlignment="1" applyProtection="1">
      <alignment vertical="top" wrapText="1"/>
    </xf>
    <xf numFmtId="0" fontId="0" fillId="2" borderId="3" xfId="0" applyFill="1" applyBorder="1" applyAlignment="1" applyProtection="1">
      <alignment horizontal="right"/>
    </xf>
    <xf numFmtId="0" fontId="0" fillId="0" borderId="12" xfId="0" applyBorder="1" applyAlignment="1" applyProtection="1">
      <alignment vertical="top" wrapText="1"/>
    </xf>
    <xf numFmtId="0" fontId="0" fillId="0" borderId="10" xfId="0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164" fontId="4" fillId="2" borderId="14" xfId="0" applyNumberFormat="1" applyFont="1" applyFill="1" applyBorder="1" applyAlignment="1" applyProtection="1">
      <alignment vertical="top" wrapText="1"/>
    </xf>
    <xf numFmtId="0" fontId="0" fillId="0" borderId="11" xfId="0" applyBorder="1" applyAlignment="1" applyProtection="1">
      <alignment vertical="top" wrapText="1"/>
    </xf>
    <xf numFmtId="0" fontId="4" fillId="0" borderId="1" xfId="0" applyFont="1" applyBorder="1" applyAlignment="1" applyProtection="1">
      <alignment wrapText="1"/>
    </xf>
    <xf numFmtId="0" fontId="0" fillId="2" borderId="1" xfId="0" applyNumberFormat="1" applyFill="1" applyBorder="1" applyProtection="1"/>
    <xf numFmtId="164" fontId="4" fillId="2" borderId="15" xfId="0" applyNumberFormat="1" applyFont="1" applyFill="1" applyBorder="1" applyAlignment="1" applyProtection="1">
      <alignment vertical="top" wrapText="1"/>
    </xf>
    <xf numFmtId="0" fontId="0" fillId="0" borderId="1" xfId="0" applyFill="1" applyBorder="1" applyProtection="1">
      <protection locked="0"/>
    </xf>
    <xf numFmtId="0" fontId="0" fillId="4" borderId="1" xfId="0" applyFill="1" applyBorder="1" applyAlignment="1" applyProtection="1">
      <alignment vertical="top" wrapText="1"/>
    </xf>
    <xf numFmtId="0" fontId="0" fillId="0" borderId="7" xfId="0" applyBorder="1" applyProtection="1"/>
    <xf numFmtId="0" fontId="0" fillId="0" borderId="13" xfId="0" applyBorder="1" applyProtection="1"/>
    <xf numFmtId="0" fontId="0" fillId="0" borderId="8" xfId="0" applyBorder="1" applyProtection="1"/>
    <xf numFmtId="0" fontId="0" fillId="4" borderId="1" xfId="0" applyFill="1" applyBorder="1" applyAlignment="1" applyProtection="1">
      <alignment wrapText="1"/>
    </xf>
    <xf numFmtId="0" fontId="0" fillId="0" borderId="12" xfId="0" applyBorder="1" applyAlignment="1" applyProtection="1">
      <alignment wrapText="1"/>
    </xf>
    <xf numFmtId="0" fontId="0" fillId="4" borderId="12" xfId="0" applyFill="1" applyBorder="1" applyAlignment="1" applyProtection="1">
      <alignment wrapText="1"/>
    </xf>
    <xf numFmtId="0" fontId="0" fillId="0" borderId="0" xfId="0" applyFill="1" applyAlignment="1" applyProtection="1">
      <protection locked="0"/>
    </xf>
    <xf numFmtId="4" fontId="10" fillId="0" borderId="0" xfId="0" applyNumberFormat="1" applyFont="1" applyFill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1" fillId="3" borderId="1" xfId="0" applyFont="1" applyFill="1" applyBorder="1" applyAlignment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0" xfId="0" applyFill="1" applyAlignment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protection locked="0"/>
    </xf>
    <xf numFmtId="0" fontId="2" fillId="4" borderId="2" xfId="0" applyFont="1" applyFill="1" applyBorder="1" applyAlignment="1" applyProtection="1"/>
    <xf numFmtId="0" fontId="2" fillId="4" borderId="0" xfId="0" applyFont="1" applyFill="1" applyAlignment="1" applyProtection="1"/>
    <xf numFmtId="0" fontId="0" fillId="3" borderId="0" xfId="0" applyFont="1" applyFill="1" applyAlignment="1" applyProtection="1">
      <protection locked="0"/>
    </xf>
    <xf numFmtId="0" fontId="2" fillId="3" borderId="0" xfId="0" applyFont="1" applyFill="1" applyAlignment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0" xfId="0" applyFont="1" applyAlignment="1" applyProtection="1">
      <protection locked="0"/>
    </xf>
    <xf numFmtId="0" fontId="3" fillId="4" borderId="0" xfId="0" applyFont="1" applyFill="1" applyAlignment="1" applyProtection="1"/>
    <xf numFmtId="0" fontId="2" fillId="2" borderId="5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protection locked="0"/>
    </xf>
    <xf numFmtId="0" fontId="0" fillId="3" borderId="0" xfId="0" applyFill="1" applyAlignment="1" applyProtection="1">
      <protection locked="0"/>
    </xf>
    <xf numFmtId="0" fontId="0" fillId="4" borderId="0" xfId="0" applyFont="1" applyFill="1" applyAlignment="1" applyProtection="1"/>
    <xf numFmtId="0" fontId="0" fillId="2" borderId="5" xfId="0" applyFill="1" applyBorder="1" applyAlignment="1" applyProtection="1"/>
    <xf numFmtId="0" fontId="0" fillId="2" borderId="6" xfId="0" applyFill="1" applyBorder="1" applyAlignment="1" applyProtection="1"/>
    <xf numFmtId="0" fontId="0" fillId="0" borderId="1" xfId="0" applyBorder="1" applyAlignment="1" applyProtection="1">
      <protection locked="0"/>
    </xf>
    <xf numFmtId="0" fontId="0" fillId="4" borderId="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9" fillId="3" borderId="2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protection locked="0"/>
    </xf>
    <xf numFmtId="0" fontId="4" fillId="0" borderId="5" xfId="0" applyFont="1" applyBorder="1" applyAlignment="1" applyProtection="1"/>
    <xf numFmtId="0" fontId="4" fillId="0" borderId="6" xfId="0" applyFont="1" applyBorder="1" applyAlignment="1" applyProtection="1"/>
    <xf numFmtId="0" fontId="4" fillId="0" borderId="4" xfId="0" applyFont="1" applyBorder="1" applyAlignment="1" applyProtection="1"/>
    <xf numFmtId="0" fontId="0" fillId="2" borderId="5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4" fillId="0" borderId="5" xfId="0" applyFont="1" applyBorder="1" applyAlignment="1" applyProtection="1">
      <alignment wrapText="1"/>
    </xf>
    <xf numFmtId="0" fontId="4" fillId="0" borderId="4" xfId="0" applyFont="1" applyBorder="1" applyAlignment="1" applyProtection="1">
      <alignment wrapText="1"/>
    </xf>
    <xf numFmtId="0" fontId="0" fillId="2" borderId="1" xfId="0" applyNumberFormat="1" applyFill="1" applyBorder="1" applyAlignment="1" applyProtection="1">
      <alignment horizontal="center"/>
    </xf>
    <xf numFmtId="0" fontId="6" fillId="2" borderId="0" xfId="0" applyFont="1" applyFill="1" applyAlignment="1" applyProtection="1"/>
    <xf numFmtId="0" fontId="0" fillId="2" borderId="0" xfId="0" applyFill="1" applyAlignment="1" applyProtection="1"/>
    <xf numFmtId="0" fontId="0" fillId="2" borderId="5" xfId="0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left"/>
    </xf>
    <xf numFmtId="0" fontId="0" fillId="2" borderId="12" xfId="0" applyFill="1" applyBorder="1" applyAlignment="1" applyProtection="1"/>
    <xf numFmtId="0" fontId="0" fillId="2" borderId="9" xfId="0" applyFill="1" applyBorder="1" applyAlignment="1" applyProtection="1"/>
    <xf numFmtId="0" fontId="0" fillId="3" borderId="3" xfId="0" applyFill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2" borderId="0" xfId="0" applyFont="1" applyFill="1" applyAlignment="1" applyProtection="1"/>
    <xf numFmtId="0" fontId="2" fillId="2" borderId="0" xfId="0" applyFont="1" applyFill="1" applyBorder="1" applyAlignment="1" applyProtection="1">
      <alignment vertical="center"/>
    </xf>
    <xf numFmtId="0" fontId="0" fillId="0" borderId="0" xfId="0" applyFill="1" applyAlignment="1" applyProtection="1">
      <protection locked="0"/>
    </xf>
    <xf numFmtId="0" fontId="2" fillId="0" borderId="2" xfId="0" applyFont="1" applyBorder="1" applyAlignment="1" applyProtection="1"/>
    <xf numFmtId="0" fontId="2" fillId="0" borderId="2" xfId="0" applyFont="1" applyBorder="1" applyAlignment="1" applyProtection="1">
      <protection locked="0"/>
    </xf>
    <xf numFmtId="0" fontId="0" fillId="0" borderId="9" xfId="0" applyBorder="1" applyAlignment="1" applyProtection="1">
      <alignment wrapText="1"/>
    </xf>
    <xf numFmtId="0" fontId="9" fillId="0" borderId="2" xfId="0" applyFont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protection locked="0"/>
    </xf>
    <xf numFmtId="0" fontId="0" fillId="4" borderId="9" xfId="0" applyFill="1" applyBorder="1" applyAlignment="1" applyProtection="1">
      <alignment wrapText="1"/>
    </xf>
    <xf numFmtId="0" fontId="2" fillId="4" borderId="0" xfId="0" applyFont="1" applyFill="1" applyAlignment="1" applyProtection="1">
      <protection locked="0"/>
    </xf>
    <xf numFmtId="0" fontId="2" fillId="0" borderId="0" xfId="0" applyFont="1" applyAlignment="1" applyProtection="1"/>
    <xf numFmtId="0" fontId="0" fillId="4" borderId="2" xfId="0" applyFont="1" applyFill="1" applyBorder="1" applyAlignment="1" applyProtection="1"/>
    <xf numFmtId="0" fontId="0" fillId="4" borderId="2" xfId="0" applyFill="1" applyBorder="1" applyAlignment="1" applyProtection="1"/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00"/>
      <color rgb="FF00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63</xdr:row>
      <xdr:rowOff>171450</xdr:rowOff>
    </xdr:from>
    <xdr:to>
      <xdr:col>7</xdr:col>
      <xdr:colOff>1076325</xdr:colOff>
      <xdr:row>78</xdr:row>
      <xdr:rowOff>57150</xdr:rowOff>
    </xdr:to>
    <xdr:sp macro="" textlink="">
      <xdr:nvSpPr>
        <xdr:cNvPr id="2" name="TextBox 1"/>
        <xdr:cNvSpPr txBox="1"/>
      </xdr:nvSpPr>
      <xdr:spPr>
        <a:xfrm>
          <a:off x="123825" y="12954000"/>
          <a:ext cx="788670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I ...........................................................................................  testify that the information</a:t>
          </a:r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given in this form is absolutely correct.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CLAIMANT SIGNATURE ...............................................  DATE ........................................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BE COMPLETED BY CLAIMANT'S HEAD OF DEPARTMENT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 ...........................................................................................  the</a:t>
          </a: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Head of Department of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....................................................................................confirmed that the information given by claimant is correct.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SIGNATURE ..................................................................  DATE .............................................</a:t>
          </a:r>
          <a:endParaRPr lang="en-GB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63</xdr:row>
      <xdr:rowOff>171450</xdr:rowOff>
    </xdr:from>
    <xdr:to>
      <xdr:col>7</xdr:col>
      <xdr:colOff>1076325</xdr:colOff>
      <xdr:row>78</xdr:row>
      <xdr:rowOff>57150</xdr:rowOff>
    </xdr:to>
    <xdr:sp macro="" textlink="">
      <xdr:nvSpPr>
        <xdr:cNvPr id="2" name="TextBox 1"/>
        <xdr:cNvSpPr txBox="1"/>
      </xdr:nvSpPr>
      <xdr:spPr>
        <a:xfrm>
          <a:off x="123825" y="13344525"/>
          <a:ext cx="7896225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I ...........................................................................................  testify that the information</a:t>
          </a:r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given in this form is absolutely correct.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CLAIMANT SIGNATURE ...............................................  DATE ........................................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BE COMPLETED BY CLAIMANT'S HEAD OF DEPARTMENT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 ...........................................................................................  the</a:t>
          </a: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Head of Department of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....................................................................................confirmed that the information given by claimant is correct.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SIGNATURE ..................................................................  DATE .............................................</a:t>
          </a:r>
          <a:endParaRPr lang="en-GB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63</xdr:row>
      <xdr:rowOff>171450</xdr:rowOff>
    </xdr:from>
    <xdr:to>
      <xdr:col>7</xdr:col>
      <xdr:colOff>1076325</xdr:colOff>
      <xdr:row>78</xdr:row>
      <xdr:rowOff>57150</xdr:rowOff>
    </xdr:to>
    <xdr:sp macro="" textlink="">
      <xdr:nvSpPr>
        <xdr:cNvPr id="2" name="TextBox 1"/>
        <xdr:cNvSpPr txBox="1"/>
      </xdr:nvSpPr>
      <xdr:spPr>
        <a:xfrm>
          <a:off x="123825" y="13344525"/>
          <a:ext cx="7896225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I ...........................................................................................  testify that the information</a:t>
          </a:r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given in this form is absolutely correct.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CLAIMANT SIGNATURE ...............................................  DATE ........................................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BE COMPLETED BY CLAIMANT'S HEAD OF DEPARTMENT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 ...........................................................................................  the</a:t>
          </a: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Head of Department of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....................................................................................confirmed that the information given by claimant is correct.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SIGNATURE ..................................................................  DATE .............................................</a:t>
          </a:r>
          <a:endParaRPr lang="en-GB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63</xdr:row>
      <xdr:rowOff>171450</xdr:rowOff>
    </xdr:from>
    <xdr:to>
      <xdr:col>7</xdr:col>
      <xdr:colOff>1076325</xdr:colOff>
      <xdr:row>78</xdr:row>
      <xdr:rowOff>57150</xdr:rowOff>
    </xdr:to>
    <xdr:sp macro="" textlink="">
      <xdr:nvSpPr>
        <xdr:cNvPr id="2" name="TextBox 1"/>
        <xdr:cNvSpPr txBox="1"/>
      </xdr:nvSpPr>
      <xdr:spPr>
        <a:xfrm>
          <a:off x="123825" y="13344525"/>
          <a:ext cx="7896225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I ...........................................................................................  testify that the information</a:t>
          </a:r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given in this form is absolutely correct.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CLAIMANT SIGNATURE ...............................................  DATE ........................................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BE COMPLETED BY CLAIMANT'S HEAD OF DEPARTMENT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 ...........................................................................................  the</a:t>
          </a: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Head of Department of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....................................................................................confirmed that the information given by claimant is correct.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SIGNATURE ..................................................................  DATE .............................................</a:t>
          </a:r>
          <a:endParaRPr lang="en-GB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63</xdr:row>
      <xdr:rowOff>171450</xdr:rowOff>
    </xdr:from>
    <xdr:to>
      <xdr:col>7</xdr:col>
      <xdr:colOff>1076325</xdr:colOff>
      <xdr:row>78</xdr:row>
      <xdr:rowOff>57150</xdr:rowOff>
    </xdr:to>
    <xdr:sp macro="" textlink="">
      <xdr:nvSpPr>
        <xdr:cNvPr id="2" name="TextBox 1"/>
        <xdr:cNvSpPr txBox="1"/>
      </xdr:nvSpPr>
      <xdr:spPr>
        <a:xfrm>
          <a:off x="123825" y="13344525"/>
          <a:ext cx="7896225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I ...........................................................................................  testify that the information</a:t>
          </a:r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given in this form is absolutely correct.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CLAIMANT SIGNATURE ...............................................  DATE ........................................</a:t>
          </a: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BE COMPLETED BY CLAIMANT'S HEAD OF DEPARTMENT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 ...........................................................................................  the</a:t>
          </a: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Head of Department of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....................................................................................confirmed that the information given by claimant is correct.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SIGNATURE ..................................................................  DATE .............................................</a:t>
          </a:r>
          <a:endParaRPr lang="en-GB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Facult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ponsibility_Dept Claim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S45"/>
  <sheetViews>
    <sheetView workbookViewId="0">
      <selection activeCell="E4" sqref="E4"/>
    </sheetView>
  </sheetViews>
  <sheetFormatPr defaultRowHeight="15" x14ac:dyDescent="0.25"/>
  <cols>
    <col min="1" max="1" width="2.85546875" bestFit="1" customWidth="1"/>
    <col min="2" max="2" width="25" customWidth="1"/>
    <col min="3" max="3" width="26.28515625" bestFit="1" customWidth="1"/>
    <col min="4" max="4" width="26.85546875" bestFit="1" customWidth="1"/>
    <col min="5" max="5" width="18.42578125" bestFit="1" customWidth="1"/>
    <col min="6" max="6" width="19.5703125" bestFit="1" customWidth="1"/>
    <col min="7" max="7" width="19.28515625" bestFit="1" customWidth="1"/>
    <col min="8" max="9" width="9.85546875" bestFit="1" customWidth="1"/>
    <col min="10" max="10" width="16.85546875" customWidth="1"/>
  </cols>
  <sheetData>
    <row r="1" spans="1:19" s="2" customFormat="1" ht="15.75" x14ac:dyDescent="0.25">
      <c r="A1" s="22" t="s">
        <v>0</v>
      </c>
      <c r="B1" s="212" t="s">
        <v>1</v>
      </c>
      <c r="C1" s="212"/>
      <c r="D1" s="7"/>
      <c r="E1" s="7"/>
      <c r="F1" s="7"/>
      <c r="G1" s="8"/>
      <c r="H1" s="7"/>
      <c r="I1" s="12"/>
      <c r="J1" s="7"/>
      <c r="K1" s="7"/>
      <c r="L1" s="7"/>
      <c r="M1" s="7"/>
      <c r="N1" s="7"/>
      <c r="O1" s="7"/>
      <c r="P1" s="7"/>
      <c r="Q1" s="7"/>
      <c r="R1" s="7"/>
    </row>
    <row r="2" spans="1:19" s="2" customFormat="1" ht="15.75" x14ac:dyDescent="0.25">
      <c r="A2" s="22"/>
      <c r="B2" s="71" t="s">
        <v>2</v>
      </c>
      <c r="C2" s="214" t="s">
        <v>393</v>
      </c>
      <c r="D2" s="214"/>
      <c r="E2" s="71" t="s">
        <v>3</v>
      </c>
      <c r="F2" s="100" t="str">
        <f>IF(LOOKUP($C$2,Staff_List!$A$4:$A$53,Staff_List!$B$4:$B$53)="","",LOOKUP($C$2,Staff_List!$A$4:$A$53,Staff_List!$B$4:$B$53))</f>
        <v>A7581</v>
      </c>
      <c r="J2" s="69"/>
      <c r="K2" s="72"/>
      <c r="L2" s="72"/>
      <c r="M2" s="43"/>
      <c r="N2" s="43"/>
      <c r="O2" s="7"/>
      <c r="P2" s="7"/>
      <c r="Q2" s="7"/>
      <c r="R2" s="7"/>
    </row>
    <row r="3" spans="1:19" s="2" customFormat="1" ht="15.75" x14ac:dyDescent="0.25">
      <c r="A3" s="7"/>
      <c r="B3" s="7"/>
      <c r="C3" s="7"/>
      <c r="D3" s="7"/>
      <c r="E3" s="7"/>
      <c r="F3" s="8"/>
      <c r="G3" s="7"/>
      <c r="H3" s="7"/>
      <c r="I3" s="73"/>
      <c r="J3" s="73"/>
      <c r="K3" s="7"/>
      <c r="L3" s="7"/>
      <c r="M3" s="7"/>
      <c r="N3" s="7"/>
      <c r="O3" s="7"/>
      <c r="P3" s="7"/>
      <c r="Q3" s="7"/>
      <c r="R3" s="7"/>
    </row>
    <row r="4" spans="1:19" s="2" customFormat="1" ht="15.75" x14ac:dyDescent="0.25">
      <c r="A4" s="7"/>
      <c r="B4" s="71" t="s">
        <v>35</v>
      </c>
      <c r="C4" s="214" t="s">
        <v>146</v>
      </c>
      <c r="D4" s="214"/>
      <c r="E4" s="71" t="s">
        <v>4</v>
      </c>
      <c r="F4" s="213" t="s">
        <v>103</v>
      </c>
      <c r="G4" s="213"/>
      <c r="H4" s="56"/>
      <c r="I4" s="69"/>
      <c r="J4" s="69"/>
      <c r="K4" s="72"/>
      <c r="L4" s="43"/>
      <c r="M4" s="43"/>
      <c r="N4" s="7"/>
      <c r="O4" s="7"/>
      <c r="P4" s="7"/>
      <c r="Q4" s="7"/>
      <c r="R4" s="7"/>
    </row>
    <row r="5" spans="1:19" ht="15.75" x14ac:dyDescent="0.25">
      <c r="A5" s="7"/>
      <c r="B5" s="71" t="s">
        <v>172</v>
      </c>
      <c r="C5" s="214" t="s">
        <v>146</v>
      </c>
      <c r="D5" s="214"/>
      <c r="E5" s="69"/>
      <c r="F5" s="143"/>
      <c r="G5" s="69"/>
      <c r="H5" s="7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9" s="2" customFormat="1" ht="15.75" x14ac:dyDescent="0.25">
      <c r="A6" s="7"/>
      <c r="B6" s="7"/>
      <c r="C6" s="7"/>
      <c r="D6" s="7"/>
      <c r="E6" s="7"/>
      <c r="F6" s="7"/>
      <c r="G6" s="7"/>
      <c r="H6" s="7"/>
      <c r="I6" s="8"/>
      <c r="J6" s="7"/>
      <c r="K6" s="73"/>
      <c r="L6" s="7"/>
      <c r="M6" s="7"/>
      <c r="N6" s="7"/>
      <c r="O6" s="7"/>
      <c r="P6" s="7"/>
      <c r="Q6" s="7"/>
      <c r="R6" s="7"/>
      <c r="S6" s="7"/>
    </row>
    <row r="7" spans="1:19" s="2" customFormat="1" ht="15.75" x14ac:dyDescent="0.25">
      <c r="A7" s="22" t="s">
        <v>7</v>
      </c>
      <c r="B7" s="211" t="s">
        <v>175</v>
      </c>
      <c r="C7" s="211"/>
      <c r="D7" s="7"/>
      <c r="E7" s="7"/>
      <c r="F7" s="7"/>
      <c r="G7" s="7"/>
      <c r="H7" s="7"/>
      <c r="I7" s="8"/>
      <c r="J7" s="7"/>
      <c r="K7" s="12"/>
      <c r="L7" s="7"/>
      <c r="M7" s="7"/>
      <c r="N7" s="7"/>
      <c r="O7" s="7"/>
      <c r="P7" s="7"/>
      <c r="Q7" s="7"/>
      <c r="R7" s="7"/>
      <c r="S7" s="7"/>
    </row>
    <row r="8" spans="1:19" s="2" customFormat="1" ht="15.75" x14ac:dyDescent="0.25">
      <c r="A8" s="7"/>
      <c r="B8" s="71" t="s">
        <v>5</v>
      </c>
      <c r="C8" s="97" t="s">
        <v>488</v>
      </c>
      <c r="D8" s="97" t="s">
        <v>488</v>
      </c>
      <c r="E8" s="97" t="s">
        <v>488</v>
      </c>
      <c r="F8" s="97" t="s">
        <v>488</v>
      </c>
      <c r="G8" s="97" t="s">
        <v>487</v>
      </c>
      <c r="H8" s="7"/>
      <c r="I8" s="8"/>
      <c r="J8" s="7"/>
      <c r="K8" s="12"/>
      <c r="L8" s="7"/>
      <c r="M8" s="7"/>
      <c r="N8" s="7"/>
      <c r="O8" s="7"/>
      <c r="P8" s="7"/>
      <c r="Q8" s="7"/>
      <c r="R8" s="7"/>
      <c r="S8" s="7"/>
    </row>
    <row r="9" spans="1:19" s="2" customFormat="1" ht="15.75" x14ac:dyDescent="0.25">
      <c r="A9" s="7"/>
      <c r="B9" s="221" t="s">
        <v>45</v>
      </c>
      <c r="C9" s="146" t="s">
        <v>313</v>
      </c>
      <c r="D9" s="125" t="s">
        <v>61</v>
      </c>
      <c r="E9" s="125" t="s">
        <v>106</v>
      </c>
      <c r="F9" s="125" t="s">
        <v>107</v>
      </c>
      <c r="G9" s="125" t="s">
        <v>108</v>
      </c>
      <c r="H9" s="7"/>
      <c r="I9" s="8"/>
      <c r="J9" s="7"/>
      <c r="K9" s="12"/>
      <c r="L9" s="7"/>
      <c r="M9" s="7"/>
      <c r="N9" s="7"/>
      <c r="O9" s="7"/>
      <c r="P9" s="7"/>
      <c r="Q9" s="7"/>
      <c r="R9" s="7"/>
      <c r="S9" s="7"/>
    </row>
    <row r="10" spans="1:19" ht="15.75" x14ac:dyDescent="0.25">
      <c r="A10" s="7"/>
      <c r="B10" s="222"/>
      <c r="C10" s="218" t="s">
        <v>177</v>
      </c>
      <c r="D10" s="219"/>
      <c r="E10" s="219"/>
      <c r="F10" s="219"/>
      <c r="G10" s="220"/>
      <c r="H10" s="7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 ht="15.75" x14ac:dyDescent="0.25">
      <c r="A11" s="7"/>
      <c r="B11" s="17" t="s">
        <v>176</v>
      </c>
      <c r="C11" s="147">
        <f>Excess_Workload!$E$50</f>
        <v>312500</v>
      </c>
      <c r="D11" s="147">
        <f>'Excess_Workload (2)'!$E$50</f>
        <v>334166.66666666669</v>
      </c>
      <c r="E11" s="147">
        <f>'Excess_Workload (3)'!$E$50</f>
        <v>421625</v>
      </c>
      <c r="F11" s="147">
        <f>'Excess_Workload (4)'!$E$50</f>
        <v>464704.54545454547</v>
      </c>
      <c r="G11" s="147">
        <f>'Excess_Workload (5)'!$E$50</f>
        <v>170250</v>
      </c>
      <c r="H11" s="7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</row>
    <row r="12" spans="1:19" ht="15.75" x14ac:dyDescent="0.25">
      <c r="A12" s="7"/>
      <c r="B12" s="17" t="s">
        <v>178</v>
      </c>
      <c r="C12" s="147">
        <f>PG_Supervision!$E$15</f>
        <v>30000</v>
      </c>
      <c r="D12" s="147">
        <f>'PG_Supervision (2)'!$E$15</f>
        <v>75000</v>
      </c>
      <c r="E12" s="147">
        <f>'PG_Supervision (3)'!$E$15</f>
        <v>60000</v>
      </c>
      <c r="F12" s="147">
        <f>'PG_Supervision (4)'!$E$15</f>
        <v>100000</v>
      </c>
      <c r="G12" s="147">
        <f>'PG_Supervision (5)'!$E$16</f>
        <v>100000</v>
      </c>
      <c r="H12" s="7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</row>
    <row r="13" spans="1:19" ht="31.5" customHeight="1" x14ac:dyDescent="0.25">
      <c r="A13" s="7"/>
      <c r="B13" s="148" t="s">
        <v>179</v>
      </c>
      <c r="C13" s="147">
        <f>TP_IS_FT_Allowance!$F$32</f>
        <v>30000</v>
      </c>
      <c r="D13" s="147">
        <f>'TP_IS_FT_Allowance (2)'!$F$32</f>
        <v>60000</v>
      </c>
      <c r="E13" s="147">
        <f>'TP_IS_FT_Allowance (3)'!$F$32</f>
        <v>80000</v>
      </c>
      <c r="F13" s="147">
        <f>'TP_IS_FT_Allowance (4)'!$F$32</f>
        <v>80000</v>
      </c>
      <c r="G13" s="147">
        <f>'TP_IS_FT_Allowance (5)'!$F$32</f>
        <v>80000</v>
      </c>
      <c r="H13" s="7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</row>
    <row r="14" spans="1:19" ht="31.5" x14ac:dyDescent="0.25">
      <c r="A14" s="7"/>
      <c r="B14" s="148" t="s">
        <v>343</v>
      </c>
      <c r="C14" s="147">
        <f>Responsibility!$E$13</f>
        <v>0</v>
      </c>
      <c r="D14" s="147">
        <f>'Responsibility (2)'!$E$13</f>
        <v>0</v>
      </c>
      <c r="E14" s="147">
        <f>'Responsibility (3)'!$E$13</f>
        <v>0</v>
      </c>
      <c r="F14" s="147">
        <f>'Responsibility (4)'!$E$13</f>
        <v>250000</v>
      </c>
      <c r="G14" s="147">
        <f>'Responsibility (5)'!$E$13</f>
        <v>250000</v>
      </c>
      <c r="H14" s="7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ht="31.5" x14ac:dyDescent="0.25">
      <c r="A15" s="7"/>
      <c r="B15" s="148" t="s">
        <v>342</v>
      </c>
      <c r="C15" s="147">
        <f>IF(VLOOKUP($C$2,Statistics!$B$12:$G$41,2,FALSE)="",0,VLOOKUP($C$2,Statistics!$B$12:$G$41,2,FALSE))</f>
        <v>0</v>
      </c>
      <c r="D15" s="147">
        <f>IF(VLOOKUP($C$2,Statistics!$B$12:$G$41,3,FALSE)="",0,VLOOKUP($C$2,Statistics!$B$12:$G$41,3,FALSE))</f>
        <v>0</v>
      </c>
      <c r="E15" s="147">
        <f>IF(VLOOKUP($C$2,Statistics!$B$12:$G$41,4,FALSE)="",0,VLOOKUP($C$2,Statistics!$B$12:$G$41,4,FALSE))</f>
        <v>0</v>
      </c>
      <c r="F15" s="147">
        <f>IF(VLOOKUP($C$2,Statistics!$B$12:$G$41,5,FALSE)="",0,VLOOKUP($C$2,Statistics!$B$12:$G$41,5,FALSE))</f>
        <v>0</v>
      </c>
      <c r="G15" s="147">
        <f>IF(VLOOKUP($C$2,Statistics!$B$12:$G$41,6,FALSE)="",0,VLOOKUP($C$2,Statistics!$B$12:$G$41,6,FALSE))</f>
        <v>0</v>
      </c>
      <c r="H15" s="7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ht="31.5" x14ac:dyDescent="0.25">
      <c r="A16" s="7"/>
      <c r="B16" s="148" t="s">
        <v>341</v>
      </c>
      <c r="C16" s="147">
        <f>IF(VLOOKUP($C$2,Statistics!$B$45:$G$74,2,FALSE)="",0,VLOOKUP($C$2,Statistics!$B$45:$G$74,2,FALSE))</f>
        <v>0</v>
      </c>
      <c r="D16" s="147">
        <f>IF(VLOOKUP($C$2,Statistics!$B$45:$G$74,3,FALSE)="",0,VLOOKUP($C$2,Statistics!$B$45:$G$74,3,FALSE))</f>
        <v>0</v>
      </c>
      <c r="E16" s="147">
        <f>IF(VLOOKUP($C$2,Statistics!$B$45:$G$74,4,FALSE)="",0,VLOOKUP($C$2,Statistics!$B$45:$G$74,4,FALSE))</f>
        <v>0</v>
      </c>
      <c r="F16" s="147">
        <f>IF(VLOOKUP($C$2,Statistics!$B$45:$G$74,5,FALSE)="",0,VLOOKUP($C$2,Statistics!$B$45:$G$74,5,FALSE))</f>
        <v>0</v>
      </c>
      <c r="G16" s="147">
        <f>IF(VLOOKUP($C$2,Statistics!$B$45:$G$74,6,FALSE)="",0,VLOOKUP($C$2,Statistics!$B$45:$G$74,6,FALSE))</f>
        <v>0</v>
      </c>
      <c r="H16" s="7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</row>
    <row r="17" spans="1:19" ht="15.75" x14ac:dyDescent="0.25">
      <c r="A17" s="7"/>
      <c r="B17" s="17" t="s">
        <v>42</v>
      </c>
      <c r="C17" s="149">
        <f>SUM(C11:C16)</f>
        <v>372500</v>
      </c>
      <c r="D17" s="149">
        <f>SUM(D11:D16)</f>
        <v>469166.66666666669</v>
      </c>
      <c r="E17" s="149">
        <f>SUM(E11:E16)</f>
        <v>561625</v>
      </c>
      <c r="F17" s="149">
        <f>SUM(F11:F16)</f>
        <v>894704.54545454541</v>
      </c>
      <c r="G17" s="149">
        <f>SUM(G11:G16)</f>
        <v>600250</v>
      </c>
      <c r="H17" s="7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</row>
    <row r="18" spans="1:19" ht="15.75" x14ac:dyDescent="0.25">
      <c r="A18" s="7"/>
      <c r="B18" s="7"/>
      <c r="C18" s="7"/>
      <c r="D18" s="7"/>
      <c r="E18" s="7"/>
      <c r="F18" s="7"/>
      <c r="G18" s="7"/>
      <c r="H18" s="7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</row>
    <row r="19" spans="1:19" ht="15.75" x14ac:dyDescent="0.25">
      <c r="A19" s="7"/>
      <c r="B19" s="217" t="s">
        <v>316</v>
      </c>
      <c r="C19" s="217"/>
      <c r="D19" s="7"/>
      <c r="E19" s="7"/>
      <c r="F19" s="7"/>
      <c r="G19" s="26">
        <f>SUM(C17:G17)</f>
        <v>2898246.2121212119</v>
      </c>
      <c r="H19" s="7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</row>
    <row r="20" spans="1:19" ht="15.75" x14ac:dyDescent="0.25">
      <c r="A20" s="7"/>
      <c r="B20" s="144"/>
      <c r="C20" s="98"/>
      <c r="D20" s="7"/>
      <c r="E20" s="7"/>
      <c r="F20" s="7"/>
      <c r="G20" s="118"/>
      <c r="H20" s="7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</row>
    <row r="21" spans="1:19" ht="15.75" x14ac:dyDescent="0.25">
      <c r="A21" s="7"/>
      <c r="B21" s="217" t="s">
        <v>375</v>
      </c>
      <c r="C21" s="217"/>
      <c r="D21" s="7"/>
      <c r="E21" s="7"/>
      <c r="F21" s="7"/>
      <c r="G21" s="26">
        <f>SUM(C17:D17)</f>
        <v>841666.66666666674</v>
      </c>
      <c r="H21" s="7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</row>
    <row r="22" spans="1:19" ht="15.75" x14ac:dyDescent="0.25">
      <c r="A22" s="7"/>
      <c r="B22" s="144"/>
      <c r="C22" s="98"/>
      <c r="D22" s="7"/>
      <c r="E22" s="7"/>
      <c r="F22" s="7"/>
      <c r="G22" s="118"/>
      <c r="H22" s="7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</row>
    <row r="23" spans="1:19" ht="15.75" x14ac:dyDescent="0.25">
      <c r="A23" s="7"/>
      <c r="B23" s="217" t="s">
        <v>344</v>
      </c>
      <c r="C23" s="217"/>
      <c r="D23" s="7"/>
      <c r="E23" s="7"/>
      <c r="F23" s="7"/>
      <c r="G23" s="145">
        <v>321000</v>
      </c>
      <c r="H23" s="7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</row>
    <row r="24" spans="1:19" ht="15.75" x14ac:dyDescent="0.25">
      <c r="A24" s="7"/>
      <c r="B24" s="13"/>
      <c r="C24" s="7"/>
      <c r="D24" s="7"/>
      <c r="E24" s="7"/>
      <c r="F24" s="7"/>
      <c r="G24" s="118"/>
      <c r="H24" s="7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</row>
    <row r="25" spans="1:19" ht="15.75" x14ac:dyDescent="0.25">
      <c r="A25" s="7"/>
      <c r="B25" s="217" t="s">
        <v>346</v>
      </c>
      <c r="C25" s="217"/>
      <c r="D25" s="7"/>
      <c r="E25" s="7"/>
      <c r="F25" s="7"/>
      <c r="G25" s="26">
        <f>G21-G23</f>
        <v>520666.66666666674</v>
      </c>
      <c r="H25" s="7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</row>
    <row r="26" spans="1:19" ht="15.75" x14ac:dyDescent="0.25">
      <c r="A26" s="7"/>
      <c r="B26" s="13"/>
      <c r="C26" s="7"/>
      <c r="D26" s="7"/>
      <c r="E26" s="7"/>
      <c r="F26" s="7"/>
      <c r="G26" s="118"/>
      <c r="H26" s="7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</row>
    <row r="27" spans="1:19" ht="15.75" x14ac:dyDescent="0.25">
      <c r="A27" s="7"/>
      <c r="B27" s="217" t="s">
        <v>345</v>
      </c>
      <c r="C27" s="217"/>
      <c r="D27" s="7"/>
      <c r="E27" s="7"/>
      <c r="F27" s="7"/>
      <c r="G27" s="26">
        <f>G19-G23</f>
        <v>2577246.2121212119</v>
      </c>
      <c r="H27" s="7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</row>
    <row r="28" spans="1:19" ht="15.75" x14ac:dyDescent="0.25">
      <c r="A28" s="7"/>
      <c r="B28" s="13"/>
      <c r="C28" s="7"/>
      <c r="D28" s="7"/>
      <c r="E28" s="7"/>
      <c r="F28" s="7"/>
      <c r="G28" s="118"/>
      <c r="H28" s="7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</row>
    <row r="29" spans="1:19" ht="15.75" x14ac:dyDescent="0.25">
      <c r="A29" s="7"/>
      <c r="B29" s="13"/>
      <c r="C29" s="7"/>
      <c r="D29" s="7"/>
      <c r="E29" s="7"/>
      <c r="F29" s="7"/>
      <c r="G29" s="118"/>
      <c r="H29" s="7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</row>
    <row r="30" spans="1:19" ht="15.75" x14ac:dyDescent="0.25">
      <c r="A30" s="7"/>
      <c r="B30" s="13"/>
      <c r="C30" s="7"/>
      <c r="D30" s="7"/>
      <c r="E30" s="7"/>
      <c r="F30" s="7"/>
      <c r="G30" s="118"/>
      <c r="H30" s="7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</row>
    <row r="31" spans="1:19" ht="15.75" x14ac:dyDescent="0.25">
      <c r="A31" s="7"/>
      <c r="B31" s="7"/>
      <c r="C31" s="7"/>
      <c r="D31" s="7"/>
      <c r="E31" s="7"/>
      <c r="F31" s="7"/>
      <c r="G31" s="7"/>
      <c r="H31" s="7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</row>
    <row r="32" spans="1:19" s="2" customFormat="1" ht="15.75" x14ac:dyDescent="0.25">
      <c r="A32" s="7" t="s">
        <v>9</v>
      </c>
      <c r="B32" s="212" t="s">
        <v>41</v>
      </c>
      <c r="C32" s="212"/>
      <c r="D32" s="212" t="s">
        <v>19</v>
      </c>
      <c r="E32" s="212"/>
      <c r="F32" s="212"/>
      <c r="G32" s="212"/>
      <c r="H32" s="7"/>
      <c r="I32" s="8"/>
      <c r="J32" s="7"/>
      <c r="K32" s="4"/>
    </row>
    <row r="33" spans="1:11" s="2" customFormat="1" ht="15.75" x14ac:dyDescent="0.25">
      <c r="A33" s="7"/>
      <c r="B33" s="98"/>
      <c r="C33" s="98"/>
      <c r="D33" s="98"/>
      <c r="E33" s="98"/>
      <c r="F33" s="98"/>
      <c r="G33" s="98"/>
      <c r="H33" s="7"/>
      <c r="I33" s="8"/>
      <c r="J33" s="7"/>
      <c r="K33" s="4"/>
    </row>
    <row r="34" spans="1:11" s="2" customFormat="1" ht="15.75" x14ac:dyDescent="0.25">
      <c r="A34" s="7"/>
      <c r="B34" s="216" t="s">
        <v>20</v>
      </c>
      <c r="C34" s="216"/>
      <c r="D34" s="214"/>
      <c r="E34" s="214"/>
      <c r="F34" s="7" t="s">
        <v>21</v>
      </c>
      <c r="G34" s="215"/>
      <c r="H34" s="215"/>
      <c r="I34" s="8"/>
      <c r="J34" s="7"/>
      <c r="K34" s="4"/>
    </row>
    <row r="35" spans="1:11" s="2" customFormat="1" ht="15.75" x14ac:dyDescent="0.25">
      <c r="A35" s="7"/>
      <c r="B35" s="7"/>
      <c r="C35" s="7"/>
      <c r="D35" s="7"/>
      <c r="E35" s="7"/>
      <c r="F35" s="7"/>
      <c r="G35" s="7"/>
      <c r="H35" s="7"/>
      <c r="I35" s="8"/>
      <c r="J35" s="7"/>
      <c r="K35" s="4"/>
    </row>
    <row r="36" spans="1:11" s="2" customFormat="1" ht="15.75" x14ac:dyDescent="0.25">
      <c r="A36" s="7" t="s">
        <v>10</v>
      </c>
      <c r="B36" s="212" t="s">
        <v>23</v>
      </c>
      <c r="C36" s="212"/>
      <c r="D36" s="212"/>
      <c r="E36" s="7"/>
      <c r="F36" s="7"/>
      <c r="G36" s="7"/>
      <c r="H36" s="7"/>
      <c r="I36" s="8"/>
      <c r="J36" s="7"/>
      <c r="K36" s="4"/>
    </row>
    <row r="37" spans="1:11" s="2" customFormat="1" ht="15.75" x14ac:dyDescent="0.25">
      <c r="A37" s="7"/>
      <c r="B37" s="216" t="s">
        <v>24</v>
      </c>
      <c r="C37" s="216"/>
      <c r="D37" s="216"/>
      <c r="E37" s="216"/>
      <c r="F37" s="26">
        <f>$G$27</f>
        <v>2577246.2121212119</v>
      </c>
      <c r="G37" s="7"/>
      <c r="H37" s="7"/>
      <c r="I37" s="8"/>
      <c r="J37" s="7"/>
      <c r="K37" s="4"/>
    </row>
    <row r="38" spans="1:11" s="2" customFormat="1" ht="15.75" x14ac:dyDescent="0.25">
      <c r="A38" s="7"/>
      <c r="B38" s="98"/>
      <c r="C38" s="98"/>
      <c r="D38" s="98"/>
      <c r="E38" s="98"/>
      <c r="F38" s="15"/>
      <c r="G38" s="7"/>
      <c r="H38" s="7"/>
      <c r="I38" s="8"/>
      <c r="J38" s="7"/>
      <c r="K38" s="4"/>
    </row>
    <row r="39" spans="1:11" s="2" customFormat="1" ht="15.75" x14ac:dyDescent="0.25">
      <c r="A39" s="7"/>
      <c r="B39" s="7" t="s">
        <v>25</v>
      </c>
      <c r="C39" s="7"/>
      <c r="D39" s="214"/>
      <c r="E39" s="214"/>
      <c r="F39" s="7" t="s">
        <v>21</v>
      </c>
      <c r="G39" s="214"/>
      <c r="H39" s="214"/>
      <c r="I39" s="8"/>
      <c r="J39" s="7"/>
      <c r="K39" s="4"/>
    </row>
    <row r="40" spans="1:11" s="2" customFormat="1" ht="15.75" x14ac:dyDescent="0.25">
      <c r="A40" s="7"/>
      <c r="B40" s="7"/>
      <c r="C40" s="7"/>
      <c r="D40" s="7"/>
      <c r="E40" s="7"/>
      <c r="F40" s="7"/>
      <c r="G40" s="7"/>
      <c r="H40" s="7"/>
      <c r="I40" s="8"/>
      <c r="J40" s="7"/>
      <c r="K40" s="4"/>
    </row>
    <row r="41" spans="1:11" s="2" customFormat="1" ht="15.75" x14ac:dyDescent="0.25">
      <c r="A41" s="7" t="s">
        <v>11</v>
      </c>
      <c r="B41" s="212" t="s">
        <v>27</v>
      </c>
      <c r="C41" s="212"/>
      <c r="D41" s="212"/>
      <c r="E41" s="212"/>
      <c r="F41" s="7"/>
      <c r="G41" s="7"/>
      <c r="H41" s="7"/>
      <c r="I41" s="8"/>
      <c r="J41" s="7"/>
      <c r="K41" s="4"/>
    </row>
    <row r="42" spans="1:11" s="2" customFormat="1" ht="15.75" x14ac:dyDescent="0.25">
      <c r="A42" s="7"/>
      <c r="B42" s="216" t="s">
        <v>28</v>
      </c>
      <c r="C42" s="216"/>
      <c r="D42" s="216"/>
      <c r="E42" s="216"/>
      <c r="F42" s="26">
        <f>$G$27</f>
        <v>2577246.2121212119</v>
      </c>
      <c r="G42" s="7"/>
      <c r="H42" s="7"/>
      <c r="I42" s="8"/>
      <c r="J42" s="7"/>
      <c r="K42" s="4"/>
    </row>
    <row r="43" spans="1:11" s="2" customFormat="1" ht="15.75" x14ac:dyDescent="0.25">
      <c r="A43" s="7"/>
      <c r="B43" s="7"/>
      <c r="C43" s="7"/>
      <c r="D43" s="7"/>
      <c r="E43" s="7"/>
      <c r="F43" s="7"/>
      <c r="G43" s="7"/>
      <c r="H43" s="7"/>
      <c r="I43" s="8"/>
      <c r="J43" s="7"/>
      <c r="K43" s="4"/>
    </row>
    <row r="44" spans="1:11" s="2" customFormat="1" ht="15.75" x14ac:dyDescent="0.25">
      <c r="A44" s="7"/>
      <c r="B44" s="7" t="s">
        <v>29</v>
      </c>
      <c r="C44" s="215"/>
      <c r="D44" s="215"/>
      <c r="E44" s="7"/>
      <c r="F44" s="7" t="s">
        <v>21</v>
      </c>
      <c r="G44" s="214"/>
      <c r="H44" s="214"/>
      <c r="I44" s="8"/>
      <c r="J44" s="7"/>
      <c r="K44" s="4"/>
    </row>
    <row r="45" spans="1:11" s="2" customFormat="1" ht="15.75" x14ac:dyDescent="0.25">
      <c r="A45" s="7"/>
      <c r="B45" s="7"/>
      <c r="C45" s="7"/>
      <c r="D45" s="7"/>
      <c r="E45" s="7"/>
      <c r="F45" s="7"/>
      <c r="G45" s="7"/>
      <c r="H45" s="7"/>
      <c r="I45" s="8"/>
      <c r="J45" s="7"/>
      <c r="K45" s="4"/>
    </row>
  </sheetData>
  <sheetProtection password="E9BA" sheet="1" objects="1" scenarios="1" formatCells="0" formatColumns="0" formatRows="0" insertRows="0" deleteRows="0"/>
  <mergeCells count="26">
    <mergeCell ref="B19:C19"/>
    <mergeCell ref="B23:C23"/>
    <mergeCell ref="B25:C25"/>
    <mergeCell ref="B27:C27"/>
    <mergeCell ref="C10:G10"/>
    <mergeCell ref="B9:B10"/>
    <mergeCell ref="B21:C21"/>
    <mergeCell ref="C44:D44"/>
    <mergeCell ref="G44:H44"/>
    <mergeCell ref="B32:C32"/>
    <mergeCell ref="D32:G32"/>
    <mergeCell ref="B34:C34"/>
    <mergeCell ref="D34:E34"/>
    <mergeCell ref="G34:H34"/>
    <mergeCell ref="B36:D36"/>
    <mergeCell ref="B37:E37"/>
    <mergeCell ref="D39:E39"/>
    <mergeCell ref="G39:H39"/>
    <mergeCell ref="B41:E41"/>
    <mergeCell ref="B42:E42"/>
    <mergeCell ref="B7:C7"/>
    <mergeCell ref="B1:C1"/>
    <mergeCell ref="F4:G4"/>
    <mergeCell ref="C2:D2"/>
    <mergeCell ref="C4:D4"/>
    <mergeCell ref="C5:D5"/>
  </mergeCells>
  <dataValidations count="4">
    <dataValidation type="list" showInputMessage="1" showErrorMessage="1" sqref="C8:G8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I4"/>
    <dataValidation type="list" allowBlank="1" showInputMessage="1" showErrorMessage="1" sqref="G5">
      <formula1>"2009/2010,2010/2011,2011/2012"</formula1>
    </dataValidation>
    <dataValidation type="list" allowBlank="1" showInputMessage="1" showErrorMessage="1" sqref="E5">
      <formula1>$B$2:$B$14</formula1>
    </dataValidation>
  </dataValidations>
  <pageMargins left="0.31496062992125984" right="0.11811023622047245" top="0.74803149606299213" bottom="0.74803149606299213" header="0.31496062992125984" footer="0.31496062992125984"/>
  <pageSetup paperSize="9" scale="92" orientation="landscape" blackAndWhite="1" r:id="rId1"/>
  <headerFooter>
    <oddHeader>&amp;CUNIVERSITY OF LAGOS
SUMMARY OF ACADEMIC EARNED ALLOWANCES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Staff_List!$A$2:$A$53</xm:f>
          </x14:formula1>
          <xm:sqref>C2</xm:sqref>
        </x14:dataValidation>
        <x14:dataValidation type="list" showInputMessage="1" showErrorMessage="1">
          <x14:formula1>
            <xm:f>Info_Lists!$D$2:$D$83</xm:f>
          </x14:formula1>
          <xm:sqref>C4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F4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</sheetPr>
  <dimension ref="A1:K46"/>
  <sheetViews>
    <sheetView workbookViewId="0">
      <selection activeCell="F12" sqref="F12"/>
    </sheetView>
  </sheetViews>
  <sheetFormatPr defaultRowHeight="15" x14ac:dyDescent="0.25"/>
  <cols>
    <col min="1" max="1" width="2.85546875" bestFit="1" customWidth="1"/>
    <col min="2" max="2" width="19.5703125" bestFit="1" customWidth="1"/>
    <col min="3" max="3" width="5.7109375" customWidth="1"/>
    <col min="4" max="4" width="11.28515625" bestFit="1" customWidth="1"/>
    <col min="5" max="5" width="32.42578125" customWidth="1"/>
    <col min="6" max="6" width="21.140625" customWidth="1"/>
    <col min="8" max="8" width="8.42578125" customWidth="1"/>
    <col min="10" max="10" width="9.85546875" bestFit="1" customWidth="1"/>
    <col min="11" max="11" width="17.28515625" customWidth="1"/>
  </cols>
  <sheetData>
    <row r="1" spans="1:11" x14ac:dyDescent="0.25">
      <c r="A1" s="2" t="s">
        <v>0</v>
      </c>
      <c r="B1" s="113" t="s">
        <v>1</v>
      </c>
      <c r="C1" s="2"/>
      <c r="D1" s="2"/>
      <c r="E1" s="2"/>
      <c r="F1" s="2"/>
      <c r="G1" s="2"/>
      <c r="H1" s="3"/>
      <c r="I1" s="2"/>
      <c r="J1" s="4"/>
      <c r="K1" s="2"/>
    </row>
    <row r="2" spans="1:11" ht="15.75" x14ac:dyDescent="0.25">
      <c r="A2" s="2"/>
      <c r="B2" s="16" t="s">
        <v>2</v>
      </c>
      <c r="C2" s="214" t="s">
        <v>393</v>
      </c>
      <c r="D2" s="214"/>
      <c r="E2" s="214"/>
      <c r="F2" s="16" t="s">
        <v>3</v>
      </c>
      <c r="G2" s="255" t="str">
        <f>IF(LOOKUP($C$2,Staff_List!$A$4:$A$53,Staff_List!$B$4:$B$53)="","",LOOKUP($C$2,Staff_List!$A$4:$A$53,Staff_List!$B$4:$B$53))</f>
        <v>A7581</v>
      </c>
      <c r="H2" s="255"/>
      <c r="I2" s="16" t="s">
        <v>4</v>
      </c>
      <c r="J2" s="224" t="s">
        <v>103</v>
      </c>
      <c r="K2" s="224"/>
    </row>
    <row r="3" spans="1:11" x14ac:dyDescent="0.25">
      <c r="A3" s="2"/>
      <c r="B3" s="21"/>
      <c r="C3" s="2"/>
      <c r="D3" s="2"/>
      <c r="E3" s="2"/>
      <c r="F3" s="2"/>
      <c r="G3" s="3"/>
      <c r="H3" s="2"/>
      <c r="I3" s="2"/>
      <c r="J3" s="2"/>
      <c r="K3" s="44"/>
    </row>
    <row r="4" spans="1:11" x14ac:dyDescent="0.25">
      <c r="A4" s="2"/>
      <c r="B4" s="16" t="s">
        <v>35</v>
      </c>
      <c r="C4" s="224" t="s">
        <v>146</v>
      </c>
      <c r="D4" s="224"/>
      <c r="E4" s="224"/>
      <c r="F4" s="16" t="s">
        <v>5</v>
      </c>
      <c r="G4" s="224" t="s">
        <v>488</v>
      </c>
      <c r="H4" s="224"/>
      <c r="I4" s="16" t="s">
        <v>6</v>
      </c>
      <c r="J4" s="76" t="s">
        <v>61</v>
      </c>
      <c r="K4" s="101"/>
    </row>
    <row r="5" spans="1:1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  <c r="K5" s="46"/>
    </row>
    <row r="6" spans="1:11" x14ac:dyDescent="0.25">
      <c r="A6" s="2"/>
      <c r="B6" s="116"/>
      <c r="C6" s="2"/>
      <c r="D6" s="2"/>
      <c r="E6" s="2"/>
      <c r="F6" s="2"/>
      <c r="G6" s="2"/>
      <c r="H6" s="2"/>
      <c r="I6" s="3"/>
      <c r="J6" s="2"/>
      <c r="K6" s="4"/>
    </row>
    <row r="7" spans="1:11" ht="15.75" x14ac:dyDescent="0.25">
      <c r="A7" s="7" t="s">
        <v>7</v>
      </c>
      <c r="B7" s="152" t="s">
        <v>30</v>
      </c>
      <c r="C7" s="7"/>
      <c r="D7" s="7"/>
      <c r="E7" s="7"/>
      <c r="F7" s="7"/>
      <c r="G7" s="7"/>
      <c r="H7" s="7"/>
      <c r="I7" s="8"/>
      <c r="J7" s="7"/>
      <c r="K7" s="4"/>
    </row>
    <row r="8" spans="1:11" ht="27.75" customHeight="1" x14ac:dyDescent="0.25">
      <c r="A8" s="2"/>
      <c r="B8" s="2"/>
      <c r="C8" s="19" t="s">
        <v>31</v>
      </c>
      <c r="D8" s="32" t="s">
        <v>32</v>
      </c>
      <c r="E8" s="33" t="s">
        <v>33</v>
      </c>
      <c r="F8" s="37" t="s">
        <v>37</v>
      </c>
      <c r="G8" s="28"/>
      <c r="H8" s="28"/>
      <c r="I8" s="28"/>
      <c r="J8" s="9"/>
      <c r="K8" s="10"/>
    </row>
    <row r="9" spans="1:11" ht="15.75" x14ac:dyDescent="0.25">
      <c r="A9" s="2"/>
      <c r="B9" s="2"/>
      <c r="C9" s="31">
        <f>IF(ISTEXT($D9),1,"")</f>
        <v>1</v>
      </c>
      <c r="D9" s="202" t="s">
        <v>551</v>
      </c>
      <c r="E9" s="270" t="s">
        <v>586</v>
      </c>
      <c r="F9" s="11" t="s">
        <v>39</v>
      </c>
      <c r="G9" s="7"/>
      <c r="H9" s="7"/>
      <c r="I9" s="7"/>
      <c r="J9" s="8"/>
      <c r="K9" s="12"/>
    </row>
    <row r="10" spans="1:11" ht="15.75" x14ac:dyDescent="0.25">
      <c r="A10" s="2"/>
      <c r="B10" s="2"/>
      <c r="C10" s="31">
        <f>IF(ISTEXT($D10),2,"")</f>
        <v>2</v>
      </c>
      <c r="D10" s="202" t="s">
        <v>553</v>
      </c>
      <c r="E10" s="203" t="s">
        <v>554</v>
      </c>
      <c r="F10" s="11" t="s">
        <v>39</v>
      </c>
      <c r="G10" s="7"/>
      <c r="H10" s="7"/>
      <c r="I10" s="7"/>
      <c r="J10" s="8"/>
      <c r="K10" s="12"/>
    </row>
    <row r="11" spans="1:11" ht="15.75" x14ac:dyDescent="0.25">
      <c r="A11" s="2"/>
      <c r="B11" s="2"/>
      <c r="C11" s="31">
        <f>IF(ISTEXT($D11),3,"")</f>
        <v>3</v>
      </c>
      <c r="D11" s="202" t="s">
        <v>555</v>
      </c>
      <c r="E11" s="203" t="s">
        <v>587</v>
      </c>
      <c r="F11" s="11" t="s">
        <v>39</v>
      </c>
      <c r="G11" s="7"/>
      <c r="H11" s="7"/>
      <c r="I11" s="7"/>
      <c r="J11" s="8"/>
      <c r="K11" s="12"/>
    </row>
    <row r="12" spans="1:11" ht="15.75" x14ac:dyDescent="0.25">
      <c r="A12" s="2"/>
      <c r="B12" s="2"/>
      <c r="C12" s="31">
        <f>IF(ISTEXT($D12),4,"")</f>
        <v>4</v>
      </c>
      <c r="D12" s="202" t="s">
        <v>557</v>
      </c>
      <c r="E12" s="203" t="s">
        <v>558</v>
      </c>
      <c r="F12" s="11" t="s">
        <v>39</v>
      </c>
      <c r="G12" s="7"/>
      <c r="H12" s="7"/>
      <c r="I12" s="7"/>
      <c r="J12" s="8"/>
      <c r="K12" s="12"/>
    </row>
    <row r="13" spans="1:11" ht="15.75" x14ac:dyDescent="0.25">
      <c r="A13" s="2"/>
      <c r="B13" s="2"/>
      <c r="C13" s="31" t="str">
        <f>IF(ISTEXT($D13),5,"")</f>
        <v/>
      </c>
      <c r="D13" s="29"/>
      <c r="E13" s="11"/>
      <c r="F13" s="11"/>
      <c r="G13" s="7"/>
      <c r="H13" s="7"/>
      <c r="I13" s="7"/>
      <c r="J13" s="8"/>
      <c r="K13" s="12"/>
    </row>
    <row r="14" spans="1:11" ht="15.75" x14ac:dyDescent="0.25">
      <c r="A14" s="2"/>
      <c r="B14" s="2"/>
      <c r="C14" s="31" t="str">
        <f>IF(ISTEXT($D14),6,"")</f>
        <v/>
      </c>
      <c r="D14" s="29"/>
      <c r="E14" s="11"/>
      <c r="F14" s="11"/>
      <c r="G14" s="7"/>
      <c r="H14" s="7"/>
      <c r="I14" s="7"/>
      <c r="J14" s="8"/>
      <c r="K14" s="12"/>
    </row>
    <row r="15" spans="1:11" ht="15.75" x14ac:dyDescent="0.25">
      <c r="A15" s="2"/>
      <c r="B15" s="2"/>
      <c r="C15" s="31" t="str">
        <f>IF(ISTEXT($D15),7,"")</f>
        <v/>
      </c>
      <c r="D15" s="29"/>
      <c r="E15" s="11"/>
      <c r="F15" s="11"/>
      <c r="G15" s="7"/>
      <c r="H15" s="7"/>
      <c r="I15" s="7"/>
      <c r="J15" s="8"/>
      <c r="K15" s="12"/>
    </row>
    <row r="16" spans="1:11" ht="15.75" x14ac:dyDescent="0.25">
      <c r="A16" s="2"/>
      <c r="B16" s="2"/>
      <c r="C16" s="31" t="str">
        <f>IF(ISTEXT($D16),8,"")</f>
        <v/>
      </c>
      <c r="D16" s="29"/>
      <c r="E16" s="11"/>
      <c r="F16" s="11"/>
      <c r="G16" s="7"/>
      <c r="H16" s="7"/>
      <c r="I16" s="7"/>
      <c r="J16" s="8"/>
      <c r="K16" s="12"/>
    </row>
    <row r="17" spans="1:11" ht="15.75" x14ac:dyDescent="0.25">
      <c r="A17" s="2"/>
      <c r="B17" s="2"/>
      <c r="C17" s="31" t="str">
        <f>IF(ISTEXT($D17),9,"")</f>
        <v/>
      </c>
      <c r="D17" s="29"/>
      <c r="E17" s="11"/>
      <c r="F17" s="11"/>
      <c r="G17" s="7"/>
      <c r="H17" s="7"/>
      <c r="I17" s="7"/>
      <c r="J17" s="8"/>
      <c r="K17" s="12"/>
    </row>
    <row r="18" spans="1:11" ht="15.75" x14ac:dyDescent="0.25">
      <c r="A18" s="2"/>
      <c r="B18" s="2"/>
      <c r="C18" s="31" t="str">
        <f>IF(ISTEXT($D18),10,"")</f>
        <v/>
      </c>
      <c r="D18" s="29"/>
      <c r="E18" s="11"/>
      <c r="F18" s="11"/>
      <c r="G18" s="7"/>
      <c r="H18" s="7"/>
      <c r="I18" s="7"/>
      <c r="J18" s="8"/>
      <c r="K18" s="12"/>
    </row>
    <row r="19" spans="1:11" ht="15.75" x14ac:dyDescent="0.25">
      <c r="A19" s="2"/>
      <c r="B19" s="2"/>
      <c r="C19" s="31" t="str">
        <f>IF(ISTEXT($D19),11,"")</f>
        <v/>
      </c>
      <c r="D19" s="29"/>
      <c r="E19" s="11"/>
      <c r="F19" s="11"/>
      <c r="G19" s="7"/>
      <c r="H19" s="7"/>
      <c r="I19" s="7"/>
      <c r="J19" s="8"/>
      <c r="K19" s="12"/>
    </row>
    <row r="20" spans="1:11" ht="15.75" x14ac:dyDescent="0.25">
      <c r="A20" s="2"/>
      <c r="B20" s="2"/>
      <c r="C20" s="31" t="str">
        <f>IF(ISTEXT($D20),12,"")</f>
        <v/>
      </c>
      <c r="D20" s="29"/>
      <c r="E20" s="11"/>
      <c r="F20" s="11"/>
      <c r="G20" s="7"/>
      <c r="H20" s="7"/>
      <c r="I20" s="7"/>
      <c r="J20" s="8"/>
      <c r="K20" s="12"/>
    </row>
    <row r="21" spans="1:11" ht="15.75" x14ac:dyDescent="0.25">
      <c r="A21" s="2"/>
      <c r="B21" s="2"/>
      <c r="C21" s="31" t="str">
        <f>IF(ISTEXT($D21),13,"")</f>
        <v/>
      </c>
      <c r="D21" s="29"/>
      <c r="E21" s="11"/>
      <c r="F21" s="11"/>
      <c r="G21" s="7"/>
      <c r="H21" s="7"/>
      <c r="I21" s="7"/>
      <c r="J21" s="8"/>
      <c r="K21" s="12"/>
    </row>
    <row r="22" spans="1:11" ht="15.75" x14ac:dyDescent="0.25">
      <c r="A22" s="2"/>
      <c r="B22" s="2"/>
      <c r="C22" s="31" t="str">
        <f>IF(ISTEXT($D22),14,"")</f>
        <v/>
      </c>
      <c r="D22" s="29"/>
      <c r="E22" s="11"/>
      <c r="F22" s="11"/>
      <c r="G22" s="7"/>
      <c r="H22" s="7"/>
      <c r="I22" s="7"/>
      <c r="J22" s="8"/>
      <c r="K22" s="12"/>
    </row>
    <row r="23" spans="1:11" ht="15.75" x14ac:dyDescent="0.25">
      <c r="A23" s="2"/>
      <c r="B23" s="2"/>
      <c r="C23" s="31" t="str">
        <f>IF(ISTEXT($D23),15,"")</f>
        <v/>
      </c>
      <c r="D23" s="29"/>
      <c r="E23" s="11"/>
      <c r="F23" s="11"/>
      <c r="G23" s="7"/>
      <c r="H23" s="7"/>
      <c r="I23" s="7"/>
      <c r="J23" s="8"/>
      <c r="K23" s="12"/>
    </row>
    <row r="24" spans="1:11" ht="15.75" x14ac:dyDescent="0.25">
      <c r="A24" s="2"/>
      <c r="B24" s="2"/>
      <c r="C24" s="60"/>
      <c r="D24" s="58"/>
      <c r="E24" s="59"/>
      <c r="F24" s="59"/>
      <c r="G24" s="7"/>
      <c r="H24" s="7"/>
      <c r="I24" s="7"/>
      <c r="J24" s="8"/>
      <c r="K24" s="12"/>
    </row>
    <row r="25" spans="1:11" ht="15.75" x14ac:dyDescent="0.25">
      <c r="A25" s="2"/>
      <c r="B25" s="2"/>
      <c r="C25" s="256" t="s">
        <v>109</v>
      </c>
      <c r="D25" s="256"/>
      <c r="E25" s="256"/>
      <c r="F25" s="57"/>
      <c r="G25" s="7"/>
      <c r="H25" s="7"/>
      <c r="I25" s="7"/>
      <c r="J25" s="8"/>
      <c r="K25" s="12"/>
    </row>
    <row r="26" spans="1:11" ht="15.75" x14ac:dyDescent="0.25">
      <c r="A26" s="2"/>
      <c r="B26" s="2"/>
      <c r="C26" s="256" t="s">
        <v>110</v>
      </c>
      <c r="D26" s="256"/>
      <c r="E26" s="256"/>
      <c r="F26" s="57"/>
      <c r="G26" s="7"/>
      <c r="H26" s="7"/>
      <c r="I26" s="7"/>
      <c r="J26" s="8"/>
      <c r="K26" s="12"/>
    </row>
    <row r="27" spans="1:11" ht="15.75" x14ac:dyDescent="0.25">
      <c r="A27" s="2"/>
      <c r="B27" s="2"/>
      <c r="C27" s="256" t="s">
        <v>111</v>
      </c>
      <c r="D27" s="256"/>
      <c r="E27" s="256"/>
      <c r="F27" s="57"/>
      <c r="G27" s="7"/>
      <c r="H27" s="7"/>
      <c r="I27" s="7"/>
      <c r="J27" s="8"/>
      <c r="K27" s="12"/>
    </row>
    <row r="28" spans="1:11" ht="15.75" x14ac:dyDescent="0.25">
      <c r="A28" s="2"/>
      <c r="B28" s="30"/>
      <c r="C28" s="7"/>
      <c r="D28" s="7"/>
      <c r="E28" s="7"/>
      <c r="F28" s="7"/>
      <c r="G28" s="7"/>
      <c r="H28" s="7"/>
      <c r="I28" s="7"/>
      <c r="J28" s="8"/>
      <c r="K28" s="12"/>
    </row>
    <row r="29" spans="1:11" ht="15.75" x14ac:dyDescent="0.25">
      <c r="A29" s="2"/>
      <c r="B29" s="2"/>
      <c r="C29" s="212" t="s">
        <v>38</v>
      </c>
      <c r="D29" s="212"/>
      <c r="E29" s="212"/>
      <c r="F29" s="36">
        <f>IF($J$4="2008/2009",(IF(OR(LEFT($G$4,1)="P",LEFT($G$4,1)="R"),IF(COUNTIF($F$9:$F$23,"Field Trip")&gt;0,1,0)*100000,IF(LEFT($G$4,1)="S",IF(COUNTIF($F$9:$F$23,"Field Trip")&gt;0,1,0)*80000,IF(OR(LEFT($G$4,1)="L",LEFT($G$4,1)="L",LEFT($G$4,1)="A"),IF(COUNTIF($F$9:$F$23,"Field Trip")&gt;0,1,0)*60000,"#ERROR"))))/2,IF(OR(LEFT($G$4,1)="P",LEFT($G$4,1)="R"),IF(COUNTIF($F$9:$F$23,"Field Trip")&gt;0,1,0)*100000,IF(LEFT($G$4,1)="S",IF(COUNTIF($F$9:$F$23,"Field Trip")&gt;0,1,0)*80000,IF(OR(LEFT($G$4,1)="L",LEFT($G$4,1)="L",LEFT($G$4,1)="A"),IF(COUNTIF($F$9:$F$23,"Field Trip")&gt;0,1,0)*60000,"#ERROR"))))</f>
        <v>0</v>
      </c>
      <c r="G29" s="7"/>
      <c r="H29" s="7"/>
      <c r="I29" s="7"/>
      <c r="J29" s="8"/>
      <c r="K29" s="2"/>
    </row>
    <row r="30" spans="1:11" ht="15.75" x14ac:dyDescent="0.25">
      <c r="A30" s="2"/>
      <c r="B30" s="2"/>
      <c r="C30" s="212" t="s">
        <v>39</v>
      </c>
      <c r="D30" s="212"/>
      <c r="E30" s="212"/>
      <c r="F30" s="36">
        <f>IF($J$4="2008/2009",(IF(OR(LEFT($G$4,1)="P",LEFT($G$4,1)="R"),IF(COUNTIF($F$9:$F$23,"Industrial Supervision")&gt;0,1,0)*100000,IF(LEFT($G$4,1)="S",IF(COUNTIF($F$9:$F$23,"Industrial Supervision")&gt;0,1,0)*80000,IF(OR(LEFT($G$4,1)="L",LEFT($G$4,1)="L",LEFT($G$4,1)="A"),IF(COUNTIF($F$9:$F$23,"Industrial Supervision")&gt;0,1,0)*60000,"#ERROR"))))/2,IF(OR(LEFT($G$4,1)="P",LEFT($G$4,1)="R"),IF(COUNTIF($F$9:$F$23,"Industrial Supervision")&gt;0,1,0)*100000,IF(LEFT($G$4,1)="S",IF(COUNTIF($F$9:$F$23,"Industrial Supervision")&gt;0,1,0)*80000,IF(OR(LEFT($G$4,1)="L",LEFT($G$4,1)="L",LEFT($G$4,1)="A"),IF(COUNTIF($F$9:$F$23,"Industrial Supervision")&gt;0,1,0)*60000,"#ERROR"))))</f>
        <v>60000</v>
      </c>
      <c r="G30" s="7"/>
      <c r="H30" s="7"/>
      <c r="I30" s="7"/>
      <c r="J30" s="8"/>
      <c r="K30" s="2"/>
    </row>
    <row r="31" spans="1:11" ht="15.75" x14ac:dyDescent="0.25">
      <c r="A31" s="2"/>
      <c r="B31" s="2"/>
      <c r="C31" s="212" t="s">
        <v>40</v>
      </c>
      <c r="D31" s="212"/>
      <c r="E31" s="212"/>
      <c r="F31" s="36">
        <f>IF($J$4="2008/2009",(IF(OR(LEFT($G$4,1)="P",LEFT($G$4,1)="R"),IF(COUNTIF($F$9:$F$23,"Teaching Practice")&gt;0,1,0)*100000,IF(LEFT($G$4,1)="S",IF(COUNTIF($F$9:$F$23,"Teaching Practice")&gt;0,1,0)*80000,IF(OR(LEFT($G$4,1)="L",LEFT($G$4,1)="L",LEFT($G$4,1)="A"),IF(COUNTIF($F$9:$F$23,"Teaching Practice")&gt;0,1,0)*60000,"#ERROR"))))/2,IF(OR(LEFT($G$4,1)="P",LEFT($G$4,1)="R"),IF(COUNTIF($F$9:$F$23,"Teaching Practice")&gt;0,1,0)*100000,IF(LEFT($G$4,1)="S",IF(COUNTIF($F$9:$F$23,"Teaching Practice")&gt;0,1,0)*80000,IF(OR(LEFT($G$4,1)="L",LEFT($G$4,1)="L",LEFT($G$4,1)="A"),IF(COUNTIF($F$9:$F$23,"Teaching Practice")&gt;0,1,0)*60000,"#ERROR"))))</f>
        <v>0</v>
      </c>
      <c r="G31" s="7"/>
      <c r="H31" s="7"/>
      <c r="I31" s="7"/>
      <c r="J31" s="8"/>
      <c r="K31" s="2"/>
    </row>
    <row r="32" spans="1:11" ht="15.75" x14ac:dyDescent="0.25">
      <c r="A32" s="2" t="s">
        <v>9</v>
      </c>
      <c r="B32" s="212" t="s">
        <v>180</v>
      </c>
      <c r="C32" s="212"/>
      <c r="D32" s="96"/>
      <c r="E32" s="69"/>
      <c r="F32" s="26">
        <f>SUM(F29:F31)</f>
        <v>60000</v>
      </c>
      <c r="G32" s="7"/>
      <c r="H32" s="7"/>
      <c r="I32" s="7"/>
      <c r="J32" s="8"/>
      <c r="K32" s="2"/>
    </row>
    <row r="33" spans="1:11" ht="15.75" x14ac:dyDescent="0.25">
      <c r="A33" s="2"/>
      <c r="B33" s="30"/>
      <c r="C33" s="7"/>
      <c r="D33" s="7"/>
      <c r="E33" s="7"/>
      <c r="F33" s="7"/>
      <c r="G33" s="7"/>
      <c r="H33" s="7"/>
      <c r="I33" s="7"/>
      <c r="J33" s="8"/>
      <c r="K33" s="2"/>
    </row>
    <row r="34" spans="1:11" ht="15.75" x14ac:dyDescent="0.25">
      <c r="A34" s="7" t="s">
        <v>10</v>
      </c>
      <c r="B34" s="212" t="s">
        <v>41</v>
      </c>
      <c r="C34" s="212"/>
      <c r="D34" s="212"/>
      <c r="E34" s="216" t="s">
        <v>19</v>
      </c>
      <c r="F34" s="216"/>
      <c r="G34" s="98"/>
      <c r="H34" s="7"/>
      <c r="I34" s="7"/>
      <c r="J34" s="8"/>
      <c r="K34" s="2"/>
    </row>
    <row r="35" spans="1:11" ht="15.75" x14ac:dyDescent="0.25">
      <c r="A35" s="7"/>
      <c r="B35" s="98"/>
      <c r="C35" s="98"/>
      <c r="D35" s="98"/>
      <c r="E35" s="98"/>
      <c r="F35" s="98"/>
      <c r="G35" s="98"/>
      <c r="H35" s="7"/>
      <c r="I35" s="2"/>
      <c r="J35" s="2"/>
      <c r="K35" s="2"/>
    </row>
    <row r="36" spans="1:11" ht="15.75" x14ac:dyDescent="0.25">
      <c r="A36" s="7"/>
      <c r="B36" s="216" t="s">
        <v>20</v>
      </c>
      <c r="C36" s="216"/>
      <c r="D36" s="216"/>
      <c r="E36" s="98"/>
      <c r="F36" s="7" t="s">
        <v>21</v>
      </c>
      <c r="G36" s="254"/>
      <c r="H36" s="254"/>
      <c r="I36" s="2"/>
      <c r="J36" s="2"/>
      <c r="K36" s="2"/>
    </row>
    <row r="37" spans="1:11" ht="15.75" x14ac:dyDescent="0.25">
      <c r="A37" s="7"/>
      <c r="B37" s="7"/>
      <c r="C37" s="7"/>
      <c r="D37" s="7"/>
      <c r="E37" s="7"/>
      <c r="F37" s="7"/>
      <c r="G37" s="7"/>
      <c r="H37" s="7"/>
      <c r="I37" s="2"/>
      <c r="J37" s="2"/>
      <c r="K37" s="2"/>
    </row>
    <row r="38" spans="1:11" ht="15.75" x14ac:dyDescent="0.25">
      <c r="A38" s="7" t="s">
        <v>11</v>
      </c>
      <c r="B38" s="212" t="s">
        <v>23</v>
      </c>
      <c r="C38" s="212"/>
      <c r="D38" s="212"/>
      <c r="E38" s="212"/>
      <c r="F38" s="7"/>
      <c r="G38" s="7"/>
      <c r="H38" s="7"/>
      <c r="I38" s="2"/>
      <c r="J38" s="2"/>
      <c r="K38" s="2"/>
    </row>
    <row r="39" spans="1:11" ht="15.75" x14ac:dyDescent="0.25">
      <c r="A39" s="7"/>
      <c r="B39" s="216" t="s">
        <v>24</v>
      </c>
      <c r="C39" s="216"/>
      <c r="D39" s="216"/>
      <c r="E39" s="216"/>
      <c r="F39" s="26">
        <f>$F$32</f>
        <v>60000</v>
      </c>
      <c r="G39" s="7"/>
      <c r="H39" s="7"/>
      <c r="I39" s="2"/>
      <c r="J39" s="2"/>
      <c r="K39" s="2"/>
    </row>
    <row r="40" spans="1:11" ht="15.75" x14ac:dyDescent="0.25">
      <c r="A40" s="7"/>
      <c r="B40" s="98"/>
      <c r="C40" s="98"/>
      <c r="D40" s="98"/>
      <c r="E40" s="98"/>
      <c r="F40" s="15"/>
      <c r="G40" s="7"/>
      <c r="H40" s="7"/>
      <c r="I40" s="2"/>
      <c r="J40" s="2"/>
      <c r="K40" s="2"/>
    </row>
    <row r="41" spans="1:11" ht="15.75" x14ac:dyDescent="0.25">
      <c r="A41" s="7"/>
      <c r="B41" s="216" t="s">
        <v>25</v>
      </c>
      <c r="C41" s="216"/>
      <c r="D41" s="216"/>
      <c r="E41" s="216"/>
      <c r="F41" s="7" t="s">
        <v>21</v>
      </c>
      <c r="G41" s="216"/>
      <c r="H41" s="216"/>
      <c r="I41" s="2"/>
      <c r="J41" s="2"/>
      <c r="K41" s="2"/>
    </row>
    <row r="42" spans="1:11" ht="15.75" x14ac:dyDescent="0.25">
      <c r="A42" s="7"/>
      <c r="B42" s="7"/>
      <c r="C42" s="7"/>
      <c r="D42" s="7"/>
      <c r="E42" s="7"/>
      <c r="F42" s="7"/>
      <c r="G42" s="7"/>
      <c r="H42" s="7"/>
      <c r="I42" s="2"/>
      <c r="J42" s="2"/>
      <c r="K42" s="2"/>
    </row>
    <row r="43" spans="1:11" ht="15.75" x14ac:dyDescent="0.25">
      <c r="A43" s="7" t="s">
        <v>12</v>
      </c>
      <c r="B43" s="212" t="s">
        <v>27</v>
      </c>
      <c r="C43" s="212"/>
      <c r="D43" s="212"/>
      <c r="E43" s="212"/>
      <c r="F43" s="7"/>
      <c r="G43" s="7"/>
      <c r="H43" s="7"/>
      <c r="I43" s="2"/>
      <c r="J43" s="2"/>
      <c r="K43" s="2"/>
    </row>
    <row r="44" spans="1:11" ht="15.75" x14ac:dyDescent="0.25">
      <c r="A44" s="7"/>
      <c r="B44" s="216" t="s">
        <v>28</v>
      </c>
      <c r="C44" s="216"/>
      <c r="D44" s="216"/>
      <c r="E44" s="216"/>
      <c r="F44" s="26">
        <f>$F$32</f>
        <v>60000</v>
      </c>
      <c r="G44" s="7"/>
      <c r="H44" s="7"/>
      <c r="I44" s="2"/>
      <c r="J44" s="2"/>
      <c r="K44" s="2"/>
    </row>
    <row r="45" spans="1:11" ht="15.75" x14ac:dyDescent="0.25">
      <c r="A45" s="7"/>
      <c r="B45" s="7"/>
      <c r="C45" s="7"/>
      <c r="D45" s="7"/>
      <c r="E45" s="7"/>
      <c r="F45" s="7"/>
      <c r="G45" s="7"/>
      <c r="H45" s="7"/>
      <c r="I45" s="2"/>
      <c r="J45" s="2"/>
      <c r="K45" s="2"/>
    </row>
    <row r="46" spans="1:11" ht="15.75" x14ac:dyDescent="0.25">
      <c r="A46" s="7"/>
      <c r="B46" s="7" t="s">
        <v>29</v>
      </c>
      <c r="C46" s="216"/>
      <c r="D46" s="216"/>
      <c r="E46" s="216"/>
      <c r="F46" s="7" t="s">
        <v>21</v>
      </c>
      <c r="G46" s="216"/>
      <c r="H46" s="216"/>
      <c r="I46" s="2"/>
      <c r="J46" s="2"/>
      <c r="K46" s="2"/>
    </row>
  </sheetData>
  <sheetProtection password="E9BA" sheet="1" objects="1" scenarios="1" formatCells="0" formatColumns="0" formatRows="0" insertRows="0" deleteColumns="0" deleteRows="0"/>
  <mergeCells count="26">
    <mergeCell ref="C5:E5"/>
    <mergeCell ref="C2:E2"/>
    <mergeCell ref="G2:H2"/>
    <mergeCell ref="J2:K2"/>
    <mergeCell ref="C4:E4"/>
    <mergeCell ref="G4:H4"/>
    <mergeCell ref="C31:E31"/>
    <mergeCell ref="B32:C32"/>
    <mergeCell ref="B34:D34"/>
    <mergeCell ref="E34:F34"/>
    <mergeCell ref="B36:D36"/>
    <mergeCell ref="C25:E25"/>
    <mergeCell ref="C26:E26"/>
    <mergeCell ref="C27:E27"/>
    <mergeCell ref="C29:E29"/>
    <mergeCell ref="C30:E30"/>
    <mergeCell ref="G36:H36"/>
    <mergeCell ref="C46:E46"/>
    <mergeCell ref="G46:H46"/>
    <mergeCell ref="B39:E39"/>
    <mergeCell ref="B41:C41"/>
    <mergeCell ref="D41:E41"/>
    <mergeCell ref="G41:H41"/>
    <mergeCell ref="B43:E43"/>
    <mergeCell ref="B44:E44"/>
    <mergeCell ref="B38:E38"/>
  </mergeCells>
  <dataValidations count="4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F25:F27"/>
    <dataValidation type="list" showInputMessage="1" showErrorMessage="1" sqref="F9:F24">
      <formula1>"Field Trip,Industrial Supervision,Teaching Practice"</formula1>
    </dataValidation>
    <dataValidation type="list" allowBlank="1" showInputMessage="1" showErrorMessage="1" sqref="F5">
      <formula1>$B$2:$B$13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verticalDpi="0" r:id="rId1"/>
  <headerFooter>
    <oddHeader>&amp;C&amp;16UNIVERSITY OF LAGOS&amp;11
&amp;14Field Trip, Industrial Supervision and Teaching Practice&amp;11
&amp;14Claim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Info_Lists!$B$2:$B$7</xm:f>
          </x14:formula1>
          <xm:sqref>J4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J2:K2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F0"/>
  </sheetPr>
  <dimension ref="A1:J25"/>
  <sheetViews>
    <sheetView workbookViewId="0">
      <selection activeCell="C2" sqref="C2:D2"/>
    </sheetView>
  </sheetViews>
  <sheetFormatPr defaultRowHeight="15" x14ac:dyDescent="0.25"/>
  <cols>
    <col min="1" max="1" width="2.85546875" bestFit="1" customWidth="1"/>
    <col min="2" max="2" width="19.5703125" bestFit="1" customWidth="1"/>
    <col min="3" max="3" width="4.7109375" bestFit="1" customWidth="1"/>
    <col min="4" max="4" width="36.5703125" customWidth="1"/>
    <col min="5" max="5" width="21.42578125" customWidth="1"/>
    <col min="6" max="6" width="19.140625" customWidth="1"/>
    <col min="8" max="8" width="9.85546875" bestFit="1" customWidth="1"/>
    <col min="9" max="9" width="11.5703125" bestFit="1" customWidth="1"/>
    <col min="10" max="10" width="10.85546875" customWidth="1"/>
  </cols>
  <sheetData>
    <row r="1" spans="1:10" x14ac:dyDescent="0.25">
      <c r="A1" s="2" t="s">
        <v>0</v>
      </c>
      <c r="B1" s="113" t="s">
        <v>1</v>
      </c>
      <c r="C1" s="2"/>
      <c r="D1" s="2"/>
      <c r="E1" s="2"/>
      <c r="F1" s="2"/>
      <c r="G1" s="3"/>
      <c r="H1" s="2"/>
      <c r="I1" s="4"/>
      <c r="J1" s="2"/>
    </row>
    <row r="2" spans="1:10" ht="15.75" x14ac:dyDescent="0.25">
      <c r="A2" s="2"/>
      <c r="B2" s="16" t="s">
        <v>2</v>
      </c>
      <c r="C2" s="224" t="s">
        <v>393</v>
      </c>
      <c r="D2" s="224"/>
      <c r="E2" s="16" t="s">
        <v>3</v>
      </c>
      <c r="F2" s="100" t="str">
        <f>IF(LOOKUP($C$2,Staff_List!$A$4:$A$53,Staff_List!$B$4:$B$53)="","",LOOKUP($C$2,Staff_List!$A$4:$A$53,Staff_List!$B$4:$B$53))</f>
        <v>A7581</v>
      </c>
      <c r="G2" s="110"/>
      <c r="H2" s="257"/>
      <c r="I2" s="257"/>
    </row>
    <row r="3" spans="1:10" x14ac:dyDescent="0.25">
      <c r="A3" s="2"/>
      <c r="B3" s="21"/>
      <c r="C3" s="2"/>
      <c r="D3" s="2"/>
      <c r="E3" s="2"/>
      <c r="F3" s="3"/>
      <c r="G3" s="2"/>
      <c r="H3" s="2"/>
      <c r="I3" s="44"/>
    </row>
    <row r="4" spans="1:10" x14ac:dyDescent="0.25">
      <c r="A4" s="2"/>
      <c r="B4" s="16" t="s">
        <v>173</v>
      </c>
      <c r="C4" s="224" t="s">
        <v>103</v>
      </c>
      <c r="D4" s="224"/>
      <c r="E4" s="16" t="s">
        <v>5</v>
      </c>
      <c r="F4" s="99" t="s">
        <v>488</v>
      </c>
      <c r="G4" s="16" t="s">
        <v>6</v>
      </c>
      <c r="H4" s="76" t="s">
        <v>61</v>
      </c>
      <c r="I4" s="101"/>
    </row>
    <row r="5" spans="1:10" x14ac:dyDescent="0.25">
      <c r="A5" s="2"/>
      <c r="B5" s="116"/>
      <c r="C5" s="2"/>
      <c r="D5" s="2"/>
      <c r="E5" s="2"/>
      <c r="F5" s="2"/>
      <c r="G5" s="2"/>
      <c r="H5" s="3"/>
      <c r="I5" s="2"/>
      <c r="J5" s="46"/>
    </row>
    <row r="6" spans="1:10" ht="15.75" x14ac:dyDescent="0.25">
      <c r="A6" s="7" t="s">
        <v>7</v>
      </c>
      <c r="B6" s="152" t="s">
        <v>43</v>
      </c>
      <c r="C6" s="259"/>
      <c r="D6" s="259"/>
      <c r="E6" s="7"/>
      <c r="F6" s="7"/>
      <c r="G6" s="7"/>
      <c r="H6" s="8"/>
      <c r="I6" s="2"/>
      <c r="J6" s="2"/>
    </row>
    <row r="7" spans="1:10" ht="15.75" x14ac:dyDescent="0.25">
      <c r="A7" s="2"/>
      <c r="B7" s="2"/>
      <c r="C7" s="19" t="s">
        <v>31</v>
      </c>
      <c r="D7" s="33" t="s">
        <v>44</v>
      </c>
      <c r="E7" s="18" t="s">
        <v>45</v>
      </c>
      <c r="F7" s="28"/>
      <c r="G7" s="28"/>
      <c r="H7" s="28"/>
      <c r="I7" s="2"/>
      <c r="J7" s="2"/>
    </row>
    <row r="8" spans="1:10" ht="15.75" x14ac:dyDescent="0.25">
      <c r="A8" s="2"/>
      <c r="B8" s="2"/>
      <c r="C8" s="31" t="str">
        <f>IF(ISTEXT($D8),1,"")</f>
        <v/>
      </c>
      <c r="D8" s="38"/>
      <c r="E8" s="61" t="str">
        <f>IF($D8="","",IF($H$4="2008/2009",IF(OR($D8="Deputy Vice Chancellor",$D8="Librarian"),750000,IF(OR($D8="Provost",$D8="Dean",$D8="Director"),500000,IF(OR($D8="Deputy Provost",$D8="Deputy Dean"),350000,IF(OR($D8="Head of Department",$D8="Sub Dean"),250000,150000))))/2,IF(OR($D8="Deputy Vice Chancellor",$D8="Librarian"),750000,IF(OR($D8="Provost",$D8="Dean",$D8="Director"),500000,IF(OR($D8="Deputy Provost",$D8="Deputy Dean"),350000,IF(OR($D8="Head of Department",$D8="Sub Dean"),250000,150000))))))</f>
        <v/>
      </c>
      <c r="F8" s="7"/>
      <c r="G8" s="7"/>
      <c r="H8" s="7"/>
      <c r="I8" s="2"/>
      <c r="J8" s="2"/>
    </row>
    <row r="9" spans="1:10" ht="15.75" x14ac:dyDescent="0.25">
      <c r="A9" s="2"/>
      <c r="B9" s="2"/>
      <c r="C9" s="31" t="str">
        <f>IF(ISTEXT($D9),2,"")</f>
        <v/>
      </c>
      <c r="D9" s="38"/>
      <c r="E9" s="61" t="str">
        <f>IF($D9="","",IF($H$4="2008/2009",IF(OR($D9="Deputy Vice Chancellor",$D9="Librarian"),750000,IF(OR($D9="Provost",$D9="Dean",$D9="Director"),500000,IF(OR($D9="Deputy Provost",$D9="Deputy Dean"),350000,IF(OR($D9="Head of Department",$D9="Sub Dean"),250000,150000))))/2,IF(OR($D9="Deputy Vice Chancellor",$D9="Librarian"),750000,IF(OR($D9="Provost",$D9="Dean",$D9="Director"),500000,IF(OR($D9="Deputy Provost",$D9="Deputy Dean"),350000,IF(OR($D9="Head of Department",$D9="Sub Dean"),250000,150000))))))</f>
        <v/>
      </c>
      <c r="F9" s="7"/>
      <c r="G9" s="7"/>
      <c r="H9" s="7"/>
      <c r="I9" s="2"/>
      <c r="J9" s="2"/>
    </row>
    <row r="10" spans="1:10" ht="15.75" x14ac:dyDescent="0.25">
      <c r="A10" s="2"/>
      <c r="B10" s="2"/>
      <c r="C10" s="31" t="str">
        <f>IF(ISTEXT($D10),3,"")</f>
        <v/>
      </c>
      <c r="D10" s="38"/>
      <c r="E10" s="61" t="str">
        <f>IF($D10="","",IF($H$4="2008/2009",IF(OR($D10="Deputy Vice Chancellor",$D10="Librarian"),750000,IF(OR($D10="Provost",$D10="Dean",$D10="Director"),500000,IF(OR($D10="Deputy Provost",$D10="Deputy Dean"),350000,IF(OR($D10="Head of Department",$D10="Sub Dean"),250000,150000))))/2,IF(OR($D10="Deputy Vice Chancellor",$D10="Librarian"),750000,IF(OR($D10="Provost",$D10="Dean",$D10="Director"),500000,IF(OR($D10="Deputy Provost",$D10="Deputy Dean"),350000,IF(OR($D10="Head of Department",$D10="Sub Dean"),250000,150000))))))</f>
        <v/>
      </c>
      <c r="F10" s="7"/>
      <c r="G10" s="7"/>
      <c r="H10" s="7"/>
      <c r="I10" s="2"/>
      <c r="J10" s="2"/>
    </row>
    <row r="11" spans="1:10" ht="15.75" x14ac:dyDescent="0.25">
      <c r="A11" s="2"/>
      <c r="B11" s="2"/>
      <c r="C11" s="31" t="str">
        <f>IF(ISTEXT($D11),4,"")</f>
        <v/>
      </c>
      <c r="D11" s="38"/>
      <c r="E11" s="61" t="str">
        <f>IF($D11="","",IF($H$4="2008/2009",IF(OR($D11="Deputy Vice Chancellor",$D11="Librarian"),750000,IF(OR($D11="Provost",$D11="Dean",$D11="Director"),500000,IF(OR($D11="Deputy Provost",$D11="Deputy Dean"),350000,IF(OR($D11="Head of Department",$D11="Sub Dean"),250000,150000))))/2,IF(OR($D11="Deputy Vice Chancellor",$D11="Librarian"),750000,IF(OR($D11="Provost",$D11="Dean",$D11="Director"),500000,IF(OR($D11="Deputy Provost",$D11="Deputy Dean"),350000,IF(OR($D11="Head of Department",$D11="Sub Dean"),250000,150000))))))</f>
        <v/>
      </c>
      <c r="F11" s="7"/>
      <c r="G11" s="7"/>
      <c r="H11" s="7"/>
      <c r="I11" s="2"/>
      <c r="J11" s="2"/>
    </row>
    <row r="12" spans="1:10" ht="15.75" x14ac:dyDescent="0.25">
      <c r="A12" s="2"/>
      <c r="B12" s="2"/>
      <c r="C12" s="31" t="str">
        <f>IF(ISTEXT($D12),5,"")</f>
        <v/>
      </c>
      <c r="D12" s="38"/>
      <c r="E12" s="61" t="str">
        <f>IF($D12="","",IF($H$4="2008/2009",IF(OR($D12="Deputy Vice Chancellor",$D12="Librarian"),750000,IF(OR($D12="Provost",$D12="Dean",$D12="Director"),500000,IF(OR($D12="Deputy Provost",$D12="Deputy Dean"),350000,IF(OR($D12="Head of Department",$D12="Sub Dean"),250000,150000))))/2,IF(OR($D12="Deputy Vice Chancellor",$D12="Librarian"),750000,IF(OR($D12="Provost",$D12="Dean",$D12="Director"),500000,IF(OR($D12="Deputy Provost",$D12="Deputy Dean"),350000,IF(OR($D12="Head of Department",$D12="Sub Dean"),250000,150000))))))</f>
        <v/>
      </c>
      <c r="F12" s="7"/>
      <c r="G12" s="7"/>
      <c r="H12" s="7"/>
      <c r="I12" s="2"/>
      <c r="J12" s="2"/>
    </row>
    <row r="13" spans="1:10" ht="15.75" x14ac:dyDescent="0.25">
      <c r="A13" s="2" t="s">
        <v>9</v>
      </c>
      <c r="B13" s="212" t="s">
        <v>181</v>
      </c>
      <c r="C13" s="212"/>
      <c r="D13" s="212"/>
      <c r="E13" s="70">
        <f>SUM(E8:E11)</f>
        <v>0</v>
      </c>
      <c r="F13" s="2"/>
      <c r="G13" s="2"/>
      <c r="H13" s="2"/>
      <c r="I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0" ht="15.75" x14ac:dyDescent="0.25">
      <c r="A15" s="7" t="s">
        <v>10</v>
      </c>
      <c r="B15" s="212" t="s">
        <v>41</v>
      </c>
      <c r="C15" s="212"/>
      <c r="D15" s="212"/>
      <c r="E15" s="216" t="s">
        <v>19</v>
      </c>
      <c r="F15" s="216"/>
      <c r="G15" s="216"/>
      <c r="H15" s="2"/>
      <c r="I15" s="2"/>
    </row>
    <row r="16" spans="1:10" ht="15.75" x14ac:dyDescent="0.25">
      <c r="A16" s="7"/>
      <c r="B16" s="98"/>
      <c r="C16" s="98"/>
      <c r="D16" s="98"/>
      <c r="E16" s="98"/>
      <c r="F16" s="98"/>
      <c r="G16" s="2"/>
      <c r="H16" s="2"/>
      <c r="I16" s="2"/>
    </row>
    <row r="17" spans="1:10" ht="15.75" x14ac:dyDescent="0.25">
      <c r="A17" s="7"/>
      <c r="B17" s="216" t="s">
        <v>20</v>
      </c>
      <c r="C17" s="216"/>
      <c r="D17" s="216"/>
      <c r="E17" s="98"/>
      <c r="F17" s="7" t="s">
        <v>21</v>
      </c>
      <c r="G17" s="2"/>
      <c r="H17" s="2"/>
      <c r="I17" s="2"/>
    </row>
    <row r="18" spans="1:10" ht="15.75" x14ac:dyDescent="0.25">
      <c r="A18" s="7"/>
      <c r="B18" s="7"/>
      <c r="C18" s="7"/>
      <c r="D18" s="7"/>
      <c r="E18" s="7"/>
      <c r="F18" s="7"/>
      <c r="G18" s="7"/>
      <c r="H18" s="7"/>
      <c r="I18" s="2"/>
      <c r="J18" s="2"/>
    </row>
    <row r="19" spans="1:10" ht="15.75" x14ac:dyDescent="0.25">
      <c r="A19" s="7" t="s">
        <v>11</v>
      </c>
      <c r="B19" s="212" t="s">
        <v>174</v>
      </c>
      <c r="C19" s="212"/>
      <c r="D19" s="212"/>
      <c r="E19" s="212"/>
      <c r="F19" s="7"/>
      <c r="G19" s="7"/>
      <c r="H19" s="7"/>
      <c r="I19" s="2"/>
      <c r="J19" s="2"/>
    </row>
    <row r="20" spans="1:10" ht="15.75" x14ac:dyDescent="0.25">
      <c r="A20" s="7"/>
      <c r="B20" s="216" t="s">
        <v>24</v>
      </c>
      <c r="C20" s="216"/>
      <c r="D20" s="216"/>
      <c r="E20" s="216"/>
      <c r="F20" s="26" t="str">
        <f>IF($E13=0,"",$E13)</f>
        <v/>
      </c>
      <c r="G20" s="7"/>
      <c r="H20" s="7"/>
      <c r="I20" s="2"/>
      <c r="J20" s="2"/>
    </row>
    <row r="21" spans="1:10" ht="15.75" x14ac:dyDescent="0.25">
      <c r="A21" s="7"/>
      <c r="B21" s="7"/>
      <c r="C21" s="7"/>
      <c r="D21" s="7"/>
      <c r="E21" s="7"/>
      <c r="F21" s="7"/>
      <c r="G21" s="2"/>
      <c r="H21" s="2"/>
      <c r="I21" s="2"/>
    </row>
    <row r="22" spans="1:10" ht="15.75" x14ac:dyDescent="0.25">
      <c r="A22" s="7" t="s">
        <v>12</v>
      </c>
      <c r="B22" s="212" t="s">
        <v>27</v>
      </c>
      <c r="C22" s="212"/>
      <c r="D22" s="212"/>
      <c r="E22" s="212"/>
      <c r="F22" s="7"/>
      <c r="G22" s="2"/>
      <c r="H22" s="2"/>
      <c r="I22" s="2"/>
    </row>
    <row r="23" spans="1:10" ht="15.75" x14ac:dyDescent="0.25">
      <c r="A23" s="7"/>
      <c r="B23" s="216" t="s">
        <v>28</v>
      </c>
      <c r="C23" s="216"/>
      <c r="D23" s="216"/>
      <c r="E23" s="216"/>
      <c r="F23" s="26" t="str">
        <f>IF($E13=0,"",$E13)</f>
        <v/>
      </c>
      <c r="G23" s="2"/>
      <c r="H23" s="2"/>
      <c r="I23" s="2"/>
    </row>
    <row r="24" spans="1:10" ht="15.75" x14ac:dyDescent="0.25">
      <c r="A24" s="7"/>
      <c r="B24" s="7"/>
      <c r="C24" s="7"/>
      <c r="D24" s="7"/>
      <c r="E24" s="7"/>
      <c r="F24" s="7"/>
      <c r="G24" s="2"/>
      <c r="H24" s="2"/>
      <c r="I24" s="2"/>
    </row>
    <row r="25" spans="1:10" ht="15.75" x14ac:dyDescent="0.25">
      <c r="A25" s="7"/>
      <c r="B25" s="7" t="s">
        <v>29</v>
      </c>
      <c r="C25" s="216"/>
      <c r="D25" s="216"/>
      <c r="E25" s="216"/>
      <c r="F25" s="7" t="s">
        <v>21</v>
      </c>
      <c r="G25" s="2"/>
      <c r="H25" s="2"/>
      <c r="I25" s="2"/>
    </row>
  </sheetData>
  <sheetProtection formatCells="0" formatColumns="0" formatRows="0" insertRows="0" deleteColumns="0" deleteRows="0"/>
  <mergeCells count="13">
    <mergeCell ref="C25:E25"/>
    <mergeCell ref="C2:D2"/>
    <mergeCell ref="H2:I2"/>
    <mergeCell ref="C4:D4"/>
    <mergeCell ref="C6:D6"/>
    <mergeCell ref="B13:D13"/>
    <mergeCell ref="B15:D15"/>
    <mergeCell ref="E15:G15"/>
    <mergeCell ref="B17:D17"/>
    <mergeCell ref="B19:E19"/>
    <mergeCell ref="B20:E20"/>
    <mergeCell ref="B22:E22"/>
    <mergeCell ref="B23:E23"/>
  </mergeCells>
  <dataValidations count="3">
    <dataValidation type="list" showInputMessage="1" showErrorMessage="1" sqref="F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I4"/>
    <dataValidation type="list" allowBlank="1" showInputMessage="1" showErrorMessage="1" sqref="C4:D4">
      <formula1>$C$2:$C$13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verticalDpi="0" r:id="rId1"/>
  <headerFooter>
    <oddHeader>&amp;C&amp;"-,Bold"&amp;16UNIVERSITY OF LAGOS&amp;14
Faculty/Directorate Responsibility Allowance 
Claim Form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Staff_List!$A$2:$A$53</xm:f>
          </x14:formula1>
          <xm:sqref>C2:D2</xm:sqref>
        </x14:dataValidation>
        <x14:dataValidation type="list" allowBlank="1" showInputMessage="1" showErrorMessage="1">
          <x14:formula1>
            <xm:f>Info_Lists!$B$2:$B$7</xm:f>
          </x14:formula1>
          <xm:sqref>H4</xm:sqref>
        </x14:dataValidation>
        <x14:dataValidation type="list" allowBlank="1" showInputMessage="1" showErrorMessage="1">
          <x14:formula1>
            <xm:f>Info_Lists!$F$2:$F$20</xm:f>
          </x14:formula1>
          <xm:sqref>D8:D12</xm:sqref>
        </x14:dataValidation>
        <x14:dataValidation type="list" allowBlank="1" showInputMessage="1" showErrorMessage="1">
          <x14:formula1>
            <xm:f>Info_Lists!$C$2:$C$14</xm:f>
          </x14:formula1>
          <xm:sqref>H2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I81"/>
  <sheetViews>
    <sheetView workbookViewId="0">
      <selection activeCell="G23" sqref="G23:H23"/>
    </sheetView>
  </sheetViews>
  <sheetFormatPr defaultRowHeight="15" x14ac:dyDescent="0.25"/>
  <cols>
    <col min="1" max="1" width="7.85546875" customWidth="1"/>
    <col min="2" max="2" width="25.7109375" customWidth="1"/>
    <col min="3" max="3" width="1.7109375" customWidth="1"/>
    <col min="4" max="4" width="15.7109375" customWidth="1"/>
    <col min="5" max="5" width="15.85546875" customWidth="1"/>
    <col min="6" max="6" width="15.42578125" bestFit="1" customWidth="1"/>
    <col min="7" max="8" width="21.85546875" customWidth="1"/>
    <col min="9" max="9" width="1.7109375" customWidth="1"/>
  </cols>
  <sheetData>
    <row r="1" spans="1:9" ht="15.75" x14ac:dyDescent="0.25">
      <c r="A1" s="155" t="s">
        <v>348</v>
      </c>
      <c r="B1" s="2"/>
      <c r="C1" s="2"/>
      <c r="D1" s="245" t="s">
        <v>373</v>
      </c>
      <c r="E1" s="245"/>
      <c r="F1" s="21"/>
      <c r="G1" s="2"/>
      <c r="H1" s="2"/>
      <c r="I1" s="2"/>
    </row>
    <row r="2" spans="1:9" ht="15.75" x14ac:dyDescent="0.25">
      <c r="A2" s="155" t="s">
        <v>349</v>
      </c>
      <c r="B2" s="2"/>
      <c r="C2" s="2"/>
      <c r="D2" s="246" t="str">
        <f>'Excess_Workload (3)'!$C$4</f>
        <v>Estate Management</v>
      </c>
      <c r="E2" s="246"/>
      <c r="F2" s="246"/>
      <c r="G2" s="2"/>
      <c r="H2" s="2"/>
      <c r="I2" s="2"/>
    </row>
    <row r="3" spans="1:9" ht="15.75" x14ac:dyDescent="0.25">
      <c r="A3" s="155" t="s">
        <v>350</v>
      </c>
      <c r="B3" s="2"/>
      <c r="C3" s="2"/>
      <c r="D3" s="246" t="str">
        <f>'Excess_Workload (3)'!$C$2</f>
        <v>Dr. A.C. Otegbulu</v>
      </c>
      <c r="E3" s="246"/>
      <c r="F3" s="63"/>
      <c r="G3" s="2"/>
      <c r="H3" s="2"/>
      <c r="I3" s="2"/>
    </row>
    <row r="4" spans="1:9" ht="15.75" x14ac:dyDescent="0.25">
      <c r="A4" s="155" t="s">
        <v>351</v>
      </c>
      <c r="B4" s="2"/>
      <c r="C4" s="2"/>
      <c r="D4" s="246" t="str">
        <f>'Excess_Workload (3)'!$G$4</f>
        <v>Senior Lecturer</v>
      </c>
      <c r="E4" s="246"/>
      <c r="F4" s="63"/>
      <c r="G4" s="2"/>
      <c r="H4" s="2"/>
      <c r="I4" s="2"/>
    </row>
    <row r="5" spans="1:9" ht="15.75" x14ac:dyDescent="0.25">
      <c r="A5" s="155" t="s">
        <v>352</v>
      </c>
      <c r="B5" s="2"/>
      <c r="C5" s="2"/>
      <c r="D5" s="63" t="str">
        <f>'Excess_Workload (3)'!$G$2</f>
        <v>A7581</v>
      </c>
      <c r="E5" s="21"/>
      <c r="F5" s="21"/>
      <c r="G5" s="2"/>
      <c r="H5" s="2"/>
      <c r="I5" s="2"/>
    </row>
    <row r="6" spans="1:9" ht="15.75" x14ac:dyDescent="0.25">
      <c r="A6" s="155" t="s">
        <v>353</v>
      </c>
      <c r="B6" s="2"/>
      <c r="C6" s="2"/>
      <c r="D6" s="224" t="s">
        <v>489</v>
      </c>
      <c r="E6" s="224"/>
      <c r="F6" s="2"/>
      <c r="G6" s="2"/>
      <c r="H6" s="2"/>
      <c r="I6" s="2"/>
    </row>
    <row r="7" spans="1:9" ht="15.75" x14ac:dyDescent="0.25">
      <c r="A7" s="155" t="s">
        <v>354</v>
      </c>
      <c r="B7" s="2"/>
      <c r="C7" s="2"/>
      <c r="D7" s="170" t="str">
        <f>'Excess_Workload (3)'!$I$4</f>
        <v>2010/2011</v>
      </c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31.5" x14ac:dyDescent="0.25">
      <c r="A9" s="156" t="s">
        <v>371</v>
      </c>
      <c r="B9" s="157" t="s">
        <v>45</v>
      </c>
      <c r="C9" s="158"/>
      <c r="D9" s="159"/>
      <c r="E9" s="159"/>
      <c r="F9" s="159"/>
      <c r="G9" s="159"/>
      <c r="H9" s="159"/>
      <c r="I9" s="160"/>
    </row>
    <row r="10" spans="1:9" ht="15" customHeight="1" x14ac:dyDescent="0.25">
      <c r="A10" s="228"/>
      <c r="B10" s="229" t="str">
        <f>"Postgraduate        Supervision              Allowance                              ("&amp;"NGN "&amp;IF(OR(LEFT($D$4,1)="P",LEFT($D$4,1)="R"),"25,000.00",IF(LEFT($D$4,1)="S","20,000.00",IF(AND(LEFT($D$4,1)="L",OR(RIGHT($D$4,2)=" I",RIGHT($D$4,2)="II")),"15,000.00","ERROR")))&amp;" Per Student, Per Annum) A maximum of 5 Students"</f>
        <v>Postgraduate        Supervision              Allowance                              (NGN 20,000.00 Per Student, Per Annum) A maximum of 5 Students</v>
      </c>
      <c r="C10" s="171"/>
      <c r="D10" s="172" t="s">
        <v>355</v>
      </c>
      <c r="E10" s="172"/>
      <c r="F10" s="172"/>
      <c r="G10" s="161"/>
      <c r="H10" s="161"/>
      <c r="I10" s="162"/>
    </row>
    <row r="11" spans="1:9" ht="15" customHeight="1" x14ac:dyDescent="0.25">
      <c r="A11" s="228"/>
      <c r="B11" s="230"/>
      <c r="C11" s="173"/>
      <c r="D11" s="233" t="s">
        <v>356</v>
      </c>
      <c r="E11" s="234"/>
      <c r="F11" s="105" t="s">
        <v>357</v>
      </c>
      <c r="G11" s="252" t="s">
        <v>358</v>
      </c>
      <c r="H11" s="252"/>
      <c r="I11" s="164"/>
    </row>
    <row r="12" spans="1:9" ht="15" customHeight="1" x14ac:dyDescent="0.25">
      <c r="A12" s="228"/>
      <c r="B12" s="230"/>
      <c r="C12" s="173"/>
      <c r="D12" s="247" t="str">
        <f>IF('PG_Supervision (3)'!E9="","",'PG_Supervision (3)'!E9)</f>
        <v>Ukpong uduak Effiong</v>
      </c>
      <c r="E12" s="248"/>
      <c r="F12" s="174" t="str">
        <f>IF('PG_Supervision (3)'!D9="","",'PG_Supervision (3)'!D9)</f>
        <v>109053011</v>
      </c>
      <c r="G12" s="232"/>
      <c r="H12" s="232"/>
      <c r="I12" s="164"/>
    </row>
    <row r="13" spans="1:9" ht="15" customHeight="1" x14ac:dyDescent="0.25">
      <c r="A13" s="228"/>
      <c r="B13" s="230"/>
      <c r="C13" s="173"/>
      <c r="D13" s="247" t="str">
        <f>IF('PG_Supervision (3)'!E10="","",'PG_Supervision (3)'!E10)</f>
        <v>Ariwayo Oluwasegun</v>
      </c>
      <c r="E13" s="248"/>
      <c r="F13" s="174" t="str">
        <f>IF('PG_Supervision (3)'!D10="","",'PG_Supervision (3)'!D10)</f>
        <v>050502017</v>
      </c>
      <c r="G13" s="232"/>
      <c r="H13" s="232"/>
      <c r="I13" s="164"/>
    </row>
    <row r="14" spans="1:9" ht="15" customHeight="1" x14ac:dyDescent="0.25">
      <c r="A14" s="228"/>
      <c r="B14" s="230"/>
      <c r="C14" s="173"/>
      <c r="D14" s="247" t="str">
        <f>IF('PG_Supervision (3)'!E11="","",'PG_Supervision (3)'!E11)</f>
        <v>Kuo oluwaseun Abraham</v>
      </c>
      <c r="E14" s="248"/>
      <c r="F14" s="174" t="str">
        <f>IF('PG_Supervision (3)'!D11="","",'PG_Supervision (3)'!D11)</f>
        <v>109053020</v>
      </c>
      <c r="G14" s="232"/>
      <c r="H14" s="232"/>
      <c r="I14" s="164"/>
    </row>
    <row r="15" spans="1:9" ht="15" customHeight="1" x14ac:dyDescent="0.25">
      <c r="A15" s="228"/>
      <c r="B15" s="230"/>
      <c r="C15" s="173"/>
      <c r="D15" s="247" t="str">
        <f>IF('PG_Supervision (3)'!E12="","",'PG_Supervision (3)'!E12)</f>
        <v/>
      </c>
      <c r="E15" s="248"/>
      <c r="F15" s="174" t="str">
        <f>IF('PG_Supervision (3)'!D12="","",'PG_Supervision (3)'!D12)</f>
        <v/>
      </c>
      <c r="G15" s="232"/>
      <c r="H15" s="232"/>
      <c r="I15" s="164"/>
    </row>
    <row r="16" spans="1:9" ht="15" customHeight="1" x14ac:dyDescent="0.25">
      <c r="A16" s="228"/>
      <c r="B16" s="175">
        <f>'PG_Supervision (3)'!$E$15</f>
        <v>60000</v>
      </c>
      <c r="C16" s="176"/>
      <c r="D16" s="247" t="str">
        <f>IF('PG_Supervision (3)'!E13="","",'PG_Supervision (3)'!E13)</f>
        <v/>
      </c>
      <c r="E16" s="248"/>
      <c r="F16" s="174" t="str">
        <f>IF('PG_Supervision (3)'!D13="","",'PG_Supervision (3)'!D13)</f>
        <v/>
      </c>
      <c r="G16" s="232"/>
      <c r="H16" s="232"/>
      <c r="I16" s="165"/>
    </row>
    <row r="17" spans="1:9" ht="15" customHeight="1" x14ac:dyDescent="0.25">
      <c r="A17" s="228"/>
      <c r="B17" s="229" t="str">
        <f>"Teaching    Practice/Industrial Supervision/ Field Trip Allowances           (NGN "&amp;IF(OR(LEFT($D$4,1)="P",LEFT($D$4,1)="R"),"100,000.00",IF(LEFT($D$4,1)="S","80,000.00",IF(OR(LEFT($D$4,1)="L",LEFT($D$4,1)="L",LEFT($D$4,1)="A"),"60,000.00","#ERROR")))&amp;" Per Annum)"</f>
        <v>Teaching    Practice/Industrial Supervision/ Field Trip Allowances           (NGN 80,000.00 Per Annum)</v>
      </c>
      <c r="C17" s="173"/>
      <c r="D17" s="177" t="s">
        <v>359</v>
      </c>
      <c r="E17" s="177"/>
      <c r="F17" s="177"/>
      <c r="G17" s="166"/>
      <c r="H17" s="166"/>
      <c r="I17" s="164"/>
    </row>
    <row r="18" spans="1:9" x14ac:dyDescent="0.25">
      <c r="A18" s="228"/>
      <c r="B18" s="230"/>
      <c r="C18" s="173"/>
      <c r="D18" s="233" t="s">
        <v>356</v>
      </c>
      <c r="E18" s="234"/>
      <c r="F18" s="105" t="s">
        <v>357</v>
      </c>
      <c r="G18" s="252" t="s">
        <v>360</v>
      </c>
      <c r="H18" s="252"/>
      <c r="I18" s="164"/>
    </row>
    <row r="19" spans="1:9" x14ac:dyDescent="0.25">
      <c r="A19" s="228"/>
      <c r="B19" s="230"/>
      <c r="C19" s="173"/>
      <c r="D19" s="226" t="str">
        <f>IF('TP_IS_FT_Allowance (3)'!E9="","",'TP_IS_FT_Allowance (3)'!E9)</f>
        <v>OKECHUKWU DAVID DERRA</v>
      </c>
      <c r="E19" s="227"/>
      <c r="F19" s="178" t="str">
        <f>IF('TP_IS_FT_Allowance (3)'!D9="","",'TP_IS_FT_Allowance (3)'!D9)</f>
        <v>070502046</v>
      </c>
      <c r="G19" s="232" t="s">
        <v>546</v>
      </c>
      <c r="H19" s="232"/>
      <c r="I19" s="164"/>
    </row>
    <row r="20" spans="1:9" x14ac:dyDescent="0.25">
      <c r="A20" s="228"/>
      <c r="B20" s="230"/>
      <c r="C20" s="173"/>
      <c r="D20" s="226" t="str">
        <f>IF('TP_IS_FT_Allowance (3)'!E10="","",'TP_IS_FT_Allowance (3)'!E10)</f>
        <v>OGEWELE ALLEN</v>
      </c>
      <c r="E20" s="227"/>
      <c r="F20" s="178" t="str">
        <f>IF('TP_IS_FT_Allowance (3)'!D10="","",'TP_IS_FT_Allowance (3)'!D10)</f>
        <v>060502040</v>
      </c>
      <c r="G20" s="232" t="s">
        <v>547</v>
      </c>
      <c r="H20" s="232"/>
      <c r="I20" s="164"/>
    </row>
    <row r="21" spans="1:9" x14ac:dyDescent="0.25">
      <c r="A21" s="228"/>
      <c r="B21" s="230"/>
      <c r="C21" s="173"/>
      <c r="D21" s="226" t="str">
        <f>IF('TP_IS_FT_Allowance (3)'!E11="","",'TP_IS_FT_Allowance (3)'!E11)</f>
        <v>MOTUNRAYO</v>
      </c>
      <c r="E21" s="227"/>
      <c r="F21" s="178" t="str">
        <f>IF('TP_IS_FT_Allowance (3)'!D11="","",'TP_IS_FT_Allowance (3)'!D11)</f>
        <v>070502033</v>
      </c>
      <c r="G21" s="232" t="s">
        <v>548</v>
      </c>
      <c r="H21" s="232"/>
      <c r="I21" s="164"/>
    </row>
    <row r="22" spans="1:9" x14ac:dyDescent="0.25">
      <c r="A22" s="228"/>
      <c r="B22" s="230"/>
      <c r="C22" s="173"/>
      <c r="D22" s="226" t="str">
        <f>IF('TP_IS_FT_Allowance (3)'!E12="","",'TP_IS_FT_Allowance (3)'!E12)</f>
        <v>AWANA RICHARD</v>
      </c>
      <c r="E22" s="227"/>
      <c r="F22" s="178" t="str">
        <f>IF('TP_IS_FT_Allowance (3)'!D12="","",'TP_IS_FT_Allowance (3)'!D12)</f>
        <v>080502030</v>
      </c>
      <c r="G22" s="232" t="s">
        <v>549</v>
      </c>
      <c r="H22" s="232"/>
      <c r="I22" s="164"/>
    </row>
    <row r="23" spans="1:9" x14ac:dyDescent="0.25">
      <c r="A23" s="228"/>
      <c r="B23" s="179"/>
      <c r="C23" s="173"/>
      <c r="D23" s="226" t="str">
        <f>IF('TP_IS_FT_Allowance (3)'!E13="","",'TP_IS_FT_Allowance (3)'!E13)</f>
        <v>ADEGBOYEGA</v>
      </c>
      <c r="E23" s="227"/>
      <c r="F23" s="178" t="str">
        <f>IF('TP_IS_FT_Allowance (3)'!D13="","",'TP_IS_FT_Allowance (3)'!D13)</f>
        <v>070502034</v>
      </c>
      <c r="G23" s="232" t="s">
        <v>550</v>
      </c>
      <c r="H23" s="232"/>
      <c r="I23" s="164"/>
    </row>
    <row r="24" spans="1:9" ht="15.75" x14ac:dyDescent="0.25">
      <c r="A24" s="228"/>
      <c r="B24" s="180">
        <f>'TP_IS_FT_Allowance (3)'!$F$32</f>
        <v>80000</v>
      </c>
      <c r="C24" s="173"/>
      <c r="D24" s="226" t="str">
        <f>IF('TP_IS_FT_Allowance (3)'!E14="","",'TP_IS_FT_Allowance (3)'!E14)</f>
        <v/>
      </c>
      <c r="E24" s="227"/>
      <c r="F24" s="178" t="str">
        <f>IF('TP_IS_FT_Allowance (3)'!D14="","",'TP_IS_FT_Allowance (3)'!D14)</f>
        <v/>
      </c>
      <c r="G24" s="232"/>
      <c r="H24" s="232"/>
      <c r="I24" s="164"/>
    </row>
    <row r="25" spans="1:9" x14ac:dyDescent="0.25">
      <c r="A25" s="228"/>
      <c r="B25" s="179"/>
      <c r="C25" s="173"/>
      <c r="D25" s="226" t="str">
        <f>IF('TP_IS_FT_Allowance (3)'!E15="","",'TP_IS_FT_Allowance (3)'!E15)</f>
        <v/>
      </c>
      <c r="E25" s="227"/>
      <c r="F25" s="178" t="str">
        <f>IF('TP_IS_FT_Allowance (3)'!D15="","",'TP_IS_FT_Allowance (3)'!D15)</f>
        <v/>
      </c>
      <c r="G25" s="232"/>
      <c r="H25" s="232"/>
      <c r="I25" s="164"/>
    </row>
    <row r="26" spans="1:9" x14ac:dyDescent="0.25">
      <c r="A26" s="228"/>
      <c r="B26" s="179"/>
      <c r="C26" s="173"/>
      <c r="D26" s="226" t="str">
        <f>IF('TP_IS_FT_Allowance (3)'!E16="","",'TP_IS_FT_Allowance (3)'!E16)</f>
        <v/>
      </c>
      <c r="E26" s="227"/>
      <c r="F26" s="178" t="str">
        <f>IF('TP_IS_FT_Allowance (3)'!D16="","",'TP_IS_FT_Allowance (3)'!D16)</f>
        <v/>
      </c>
      <c r="G26" s="232"/>
      <c r="H26" s="232"/>
      <c r="I26" s="164"/>
    </row>
    <row r="27" spans="1:9" x14ac:dyDescent="0.25">
      <c r="A27" s="228"/>
      <c r="B27" s="179"/>
      <c r="C27" s="173"/>
      <c r="D27" s="226" t="str">
        <f>IF('TP_IS_FT_Allowance (3)'!E17="","",'TP_IS_FT_Allowance (3)'!E17)</f>
        <v/>
      </c>
      <c r="E27" s="227"/>
      <c r="F27" s="178" t="str">
        <f>IF('TP_IS_FT_Allowance (3)'!D17="","",'TP_IS_FT_Allowance (3)'!D17)</f>
        <v/>
      </c>
      <c r="G27" s="232"/>
      <c r="H27" s="232"/>
      <c r="I27" s="164"/>
    </row>
    <row r="28" spans="1:9" x14ac:dyDescent="0.25">
      <c r="A28" s="228"/>
      <c r="B28" s="179"/>
      <c r="C28" s="173"/>
      <c r="D28" s="226" t="str">
        <f>IF('TP_IS_FT_Allowance (3)'!E18="","",'TP_IS_FT_Allowance (3)'!E18)</f>
        <v/>
      </c>
      <c r="E28" s="227"/>
      <c r="F28" s="178" t="str">
        <f>IF('TP_IS_FT_Allowance (3)'!D18="","",'TP_IS_FT_Allowance (3)'!D18)</f>
        <v/>
      </c>
      <c r="G28" s="232"/>
      <c r="H28" s="232"/>
      <c r="I28" s="164"/>
    </row>
    <row r="29" spans="1:9" x14ac:dyDescent="0.25">
      <c r="A29" s="228"/>
      <c r="B29" s="179"/>
      <c r="C29" s="173"/>
      <c r="D29" s="226" t="str">
        <f>IF('TP_IS_FT_Allowance (3)'!E19="","",'TP_IS_FT_Allowance (3)'!E19)</f>
        <v/>
      </c>
      <c r="E29" s="227"/>
      <c r="F29" s="178" t="str">
        <f>IF('TP_IS_FT_Allowance (3)'!D19="","",'TP_IS_FT_Allowance (3)'!D19)</f>
        <v/>
      </c>
      <c r="G29" s="232"/>
      <c r="H29" s="232"/>
      <c r="I29" s="164"/>
    </row>
    <row r="30" spans="1:9" x14ac:dyDescent="0.25">
      <c r="A30" s="228"/>
      <c r="B30" s="179"/>
      <c r="C30" s="173"/>
      <c r="D30" s="226" t="str">
        <f>IF('TP_IS_FT_Allowance (3)'!E20="","",'TP_IS_FT_Allowance (3)'!E20)</f>
        <v/>
      </c>
      <c r="E30" s="227"/>
      <c r="F30" s="178" t="str">
        <f>IF('TP_IS_FT_Allowance (3)'!D20="","",'TP_IS_FT_Allowance (3)'!D20)</f>
        <v/>
      </c>
      <c r="G30" s="232"/>
      <c r="H30" s="232"/>
      <c r="I30" s="164"/>
    </row>
    <row r="31" spans="1:9" x14ac:dyDescent="0.25">
      <c r="A31" s="228"/>
      <c r="B31" s="179"/>
      <c r="C31" s="173"/>
      <c r="D31" s="226" t="str">
        <f>IF('TP_IS_FT_Allowance (3)'!E21="","",'TP_IS_FT_Allowance (3)'!E21)</f>
        <v/>
      </c>
      <c r="E31" s="227"/>
      <c r="F31" s="178" t="str">
        <f>IF('TP_IS_FT_Allowance (3)'!D21="","",'TP_IS_FT_Allowance (3)'!D21)</f>
        <v/>
      </c>
      <c r="G31" s="232"/>
      <c r="H31" s="232"/>
      <c r="I31" s="164"/>
    </row>
    <row r="32" spans="1:9" x14ac:dyDescent="0.25">
      <c r="A32" s="228"/>
      <c r="B32" s="179"/>
      <c r="C32" s="173"/>
      <c r="D32" s="226" t="str">
        <f>IF('TP_IS_FT_Allowance (3)'!E22="","",'TP_IS_FT_Allowance (3)'!E22)</f>
        <v/>
      </c>
      <c r="E32" s="227"/>
      <c r="F32" s="178" t="str">
        <f>IF('TP_IS_FT_Allowance (3)'!D22="","",'TP_IS_FT_Allowance (3)'!D22)</f>
        <v/>
      </c>
      <c r="G32" s="232"/>
      <c r="H32" s="232"/>
      <c r="I32" s="164"/>
    </row>
    <row r="33" spans="1:9" x14ac:dyDescent="0.25">
      <c r="A33" s="228"/>
      <c r="B33" s="181"/>
      <c r="C33" s="173"/>
      <c r="D33" s="226" t="str">
        <f>IF('TP_IS_FT_Allowance (3)'!E23="","",'TP_IS_FT_Allowance (3)'!E23)</f>
        <v/>
      </c>
      <c r="E33" s="227"/>
      <c r="F33" s="178" t="str">
        <f>IF('TP_IS_FT_Allowance (3)'!D23="","",'TP_IS_FT_Allowance (3)'!D23)</f>
        <v/>
      </c>
      <c r="G33" s="251"/>
      <c r="H33" s="251"/>
      <c r="I33" s="164"/>
    </row>
    <row r="34" spans="1:9" ht="30" x14ac:dyDescent="0.25">
      <c r="A34" s="228"/>
      <c r="B34" s="196" t="s">
        <v>361</v>
      </c>
      <c r="C34" s="197"/>
      <c r="D34" s="260" t="s">
        <v>362</v>
      </c>
      <c r="E34" s="260"/>
      <c r="F34" s="260"/>
      <c r="G34" s="260"/>
      <c r="H34" s="161"/>
      <c r="I34" s="162"/>
    </row>
    <row r="35" spans="1:9" ht="54.75" customHeight="1" x14ac:dyDescent="0.25">
      <c r="A35" s="228"/>
      <c r="B35" s="65"/>
      <c r="C35" s="169"/>
      <c r="D35" s="261" t="s">
        <v>374</v>
      </c>
      <c r="E35" s="261"/>
      <c r="F35" s="261"/>
      <c r="G35" s="261"/>
      <c r="H35" s="261"/>
      <c r="I35" s="165"/>
    </row>
    <row r="36" spans="1:9" ht="15" customHeight="1" x14ac:dyDescent="0.25">
      <c r="A36" s="228"/>
      <c r="B36" s="229" t="s">
        <v>366</v>
      </c>
      <c r="C36" s="183"/>
      <c r="D36" s="172" t="s">
        <v>363</v>
      </c>
      <c r="E36" s="172"/>
      <c r="F36" s="172"/>
      <c r="G36" s="172"/>
      <c r="H36" s="161"/>
      <c r="I36" s="162"/>
    </row>
    <row r="37" spans="1:9" x14ac:dyDescent="0.25">
      <c r="A37" s="228"/>
      <c r="B37" s="230"/>
      <c r="C37" s="184"/>
      <c r="D37" s="233" t="s">
        <v>364</v>
      </c>
      <c r="E37" s="234"/>
      <c r="F37" s="234"/>
      <c r="G37" s="235"/>
      <c r="H37" s="163" t="s">
        <v>365</v>
      </c>
      <c r="I37" s="164"/>
    </row>
    <row r="38" spans="1:9" x14ac:dyDescent="0.25">
      <c r="A38" s="228"/>
      <c r="B38" s="192" t="str">
        <f>IF($D38="","","NGN "&amp;IF(OR($D38="Deputy Vice Chancellor",$D38="Librarian"),"750,000.00",IF(OR($D38="Provost",$D38="Dean",$D38="Director"),"500,000.00",IF(OR($D38="Deputy Provost",$D38="Deputy Dean"),"350,000.00",IF(OR($D38="Head of Department",$D38="Sub Dean"),"250,000.00","150,000.00"))))&amp;" Per Annum")</f>
        <v/>
      </c>
      <c r="C38" s="184"/>
      <c r="D38" s="236" t="str">
        <f>IF('Responsibility (3)'!D8="","",'Responsibility (3)'!D8)</f>
        <v/>
      </c>
      <c r="E38" s="237"/>
      <c r="F38" s="237"/>
      <c r="G38" s="238"/>
      <c r="H38" s="65"/>
      <c r="I38" s="164"/>
    </row>
    <row r="39" spans="1:9" x14ac:dyDescent="0.25">
      <c r="A39" s="228"/>
      <c r="B39" s="192" t="str">
        <f>IF($D39="","","NGN "&amp;IF(OR($D39="Deputy Vice Chancellor",$D39="Librarian"),"750,000.00",IF(OR($D39="Provost",$D39="Dean",$D39="Director"),"500,000.00",IF(OR($D39="Deputy Provost",$D39="Deputy Dean"),"350,000.00",IF(OR($D39="Head of Department",$D39="Sub Dean"),"250,000.00","150,000.00"))))&amp;" Per Annum")</f>
        <v/>
      </c>
      <c r="C39" s="184"/>
      <c r="D39" s="236" t="str">
        <f>IF('Responsibility (3)'!D9="","",'Responsibility (3)'!D9)</f>
        <v/>
      </c>
      <c r="E39" s="237"/>
      <c r="F39" s="237"/>
      <c r="G39" s="238"/>
      <c r="H39" s="65"/>
      <c r="I39" s="164"/>
    </row>
    <row r="40" spans="1:9" x14ac:dyDescent="0.25">
      <c r="A40" s="228"/>
      <c r="B40" s="192" t="str">
        <f>IF($D40="","","NGN "&amp;IF(OR($D40="Deputy Vice Chancellor",$D40="Librarian"),"750,000.00",IF(OR($D40="Provost",$D40="Dean",$D40="Director"),"500,000.00",IF(OR($D40="Deputy Provost",$D40="Deputy Dean"),"350,000.00",IF(OR($D40="Head of Department",$D40="Sub Dean"),"250,000.00","150,000.00"))))&amp;" Per Annum")</f>
        <v/>
      </c>
      <c r="C40" s="184"/>
      <c r="D40" s="236" t="str">
        <f>IF('Responsibility (3)'!D10="","",'Responsibility (3)'!D10)</f>
        <v/>
      </c>
      <c r="E40" s="237"/>
      <c r="F40" s="237"/>
      <c r="G40" s="238"/>
      <c r="H40" s="65"/>
      <c r="I40" s="164"/>
    </row>
    <row r="41" spans="1:9" x14ac:dyDescent="0.25">
      <c r="A41" s="228"/>
      <c r="B41" s="192" t="str">
        <f>IF($D41="","","NGN "&amp;IF(OR($D41="Deputy Vice Chancellor",$D41="Librarian"),"750,000.00",IF(OR($D41="Provost",$D41="Dean",$D41="Director"),"500,000.00",IF(OR($D41="Deputy Provost",$D41="Deputy Dean"),"350,000.00",IF(OR($D41="Head of Department",$D41="Sub Dean"),"250,000.00","150,000.00"))))&amp;" Per Annum")</f>
        <v/>
      </c>
      <c r="C41" s="184"/>
      <c r="D41" s="236" t="str">
        <f>IF('Responsibility (3)'!D11="","",'Responsibility (3)'!D11)</f>
        <v/>
      </c>
      <c r="E41" s="237"/>
      <c r="F41" s="237"/>
      <c r="G41" s="238"/>
      <c r="H41" s="65"/>
      <c r="I41" s="164"/>
    </row>
    <row r="42" spans="1:9" x14ac:dyDescent="0.25">
      <c r="A42" s="228"/>
      <c r="B42" s="192" t="str">
        <f>IF($D42="","","NGN "&amp;IF(OR($D42="Deputy Vice Chancellor",$D42="Librarian"),"750,000.00",IF(OR($D42="Provost",$D42="Dean",$D42="Director"),"500,000.00",IF(OR($D42="Deputy Provost",$D42="Deputy Dean"),"350,000.00",IF(OR($D42="Head of Department",$D42="Sub Dean"),"250,000.00","150,000.00"))))&amp;" Per Annum")</f>
        <v/>
      </c>
      <c r="C42" s="184"/>
      <c r="D42" s="236" t="str">
        <f>IF('Responsibility (3)'!D12="","",'Responsibility (3)'!D12)</f>
        <v/>
      </c>
      <c r="E42" s="237"/>
      <c r="F42" s="237"/>
      <c r="G42" s="238"/>
      <c r="H42" s="65"/>
      <c r="I42" s="164"/>
    </row>
    <row r="43" spans="1:9" x14ac:dyDescent="0.25">
      <c r="A43" s="228"/>
      <c r="B43" s="179"/>
      <c r="C43" s="184"/>
      <c r="D43" s="239" t="str">
        <f>IF(Responsibility!D11="","",Responsibility!D11)</f>
        <v/>
      </c>
      <c r="E43" s="240"/>
      <c r="F43" s="240"/>
      <c r="G43" s="241"/>
      <c r="H43" s="191"/>
      <c r="I43" s="164"/>
    </row>
    <row r="44" spans="1:9" x14ac:dyDescent="0.25">
      <c r="A44" s="228"/>
      <c r="B44" s="186">
        <f>'Responsibility (3)'!$E$13</f>
        <v>0</v>
      </c>
      <c r="C44" s="187"/>
      <c r="D44" s="239" t="str">
        <f>IF(Responsibility!D12="","",Responsibility!D12)</f>
        <v/>
      </c>
      <c r="E44" s="240"/>
      <c r="F44" s="240"/>
      <c r="G44" s="241"/>
      <c r="H44" s="191"/>
      <c r="I44" s="165"/>
    </row>
    <row r="45" spans="1:9" ht="15" customHeight="1" x14ac:dyDescent="0.25">
      <c r="A45" s="228"/>
      <c r="B45" s="229" t="str">
        <f>"Excess    Workload Allowance (NGN "&amp;IF(OR(LEFT($D$4,1)="U",LEFT($D$4,1)="P",LEFT($D$4,1)="R",LEFT($D$4,1)="S"),"3,500.00","2,000.00")&amp;" Per Hour)"</f>
        <v>Excess    Workload Allowance (NGN 3,500.00 Per Hour)</v>
      </c>
      <c r="C45" s="183"/>
      <c r="D45" s="172" t="s">
        <v>367</v>
      </c>
      <c r="E45" s="172"/>
      <c r="F45" s="172"/>
      <c r="G45" s="172"/>
      <c r="H45" s="172"/>
      <c r="I45" s="193"/>
    </row>
    <row r="46" spans="1:9" ht="30" x14ac:dyDescent="0.25">
      <c r="A46" s="228"/>
      <c r="B46" s="230"/>
      <c r="C46" s="184"/>
      <c r="D46" s="105" t="s">
        <v>189</v>
      </c>
      <c r="E46" s="105" t="s">
        <v>368</v>
      </c>
      <c r="F46" s="188" t="s">
        <v>369</v>
      </c>
      <c r="G46" s="242" t="s">
        <v>370</v>
      </c>
      <c r="H46" s="243"/>
      <c r="I46" s="194"/>
    </row>
    <row r="47" spans="1:9" x14ac:dyDescent="0.25">
      <c r="A47" s="228"/>
      <c r="B47" s="179"/>
      <c r="C47" s="184"/>
      <c r="D47" s="189" t="str">
        <f>IF('Excess_Workload (3)'!B9="","",'Excess_Workload (3)'!B9)</f>
        <v>ESM411</v>
      </c>
      <c r="E47" s="189">
        <f>IF('Excess_Workload (3)'!C9="","",'Excess_Workload (3)'!C9)</f>
        <v>3</v>
      </c>
      <c r="F47" s="189">
        <f>IF('Excess_Workload (3)'!E9="","",'Excess_Workload (3)'!E9)</f>
        <v>1</v>
      </c>
      <c r="G47" s="244">
        <f>IF('Excess_Workload (3)'!D9="","",'Excess_Workload (3)'!D9)</f>
        <v>132</v>
      </c>
      <c r="H47" s="244"/>
      <c r="I47" s="194"/>
    </row>
    <row r="48" spans="1:9" x14ac:dyDescent="0.25">
      <c r="A48" s="228"/>
      <c r="B48" s="179"/>
      <c r="C48" s="184"/>
      <c r="D48" s="189" t="str">
        <f>IF('Excess_Workload (3)'!B10="","",'Excess_Workload (3)'!B10)</f>
        <v>ESM591</v>
      </c>
      <c r="E48" s="189">
        <f>IF('Excess_Workload (3)'!C10="","",'Excess_Workload (3)'!C10)</f>
        <v>2</v>
      </c>
      <c r="F48" s="189">
        <f>IF('Excess_Workload (3)'!E10="","",'Excess_Workload (3)'!E10)</f>
        <v>2</v>
      </c>
      <c r="G48" s="244">
        <f>IF('Excess_Workload (3)'!D10="","",'Excess_Workload (3)'!D10)</f>
        <v>96</v>
      </c>
      <c r="H48" s="244"/>
      <c r="I48" s="194"/>
    </row>
    <row r="49" spans="1:9" x14ac:dyDescent="0.25">
      <c r="A49" s="228"/>
      <c r="B49" s="190">
        <f>'Excess_Workload (3)'!$E$50</f>
        <v>421625</v>
      </c>
      <c r="C49" s="184"/>
      <c r="D49" s="189" t="str">
        <f>IF('Excess_Workload (3)'!B11="","",'Excess_Workload (3)'!B11)</f>
        <v>ESM531</v>
      </c>
      <c r="E49" s="189">
        <f>IF('Excess_Workload (3)'!C11="","",'Excess_Workload (3)'!C11)</f>
        <v>2</v>
      </c>
      <c r="F49" s="189">
        <f>IF('Excess_Workload (3)'!E11="","",'Excess_Workload (3)'!E11)</f>
        <v>1</v>
      </c>
      <c r="G49" s="244">
        <f>IF('Excess_Workload (3)'!D11="","",'Excess_Workload (3)'!D11)</f>
        <v>98</v>
      </c>
      <c r="H49" s="244"/>
      <c r="I49" s="194"/>
    </row>
    <row r="50" spans="1:9" x14ac:dyDescent="0.25">
      <c r="A50" s="228"/>
      <c r="B50" s="179"/>
      <c r="C50" s="184"/>
      <c r="D50" s="189" t="str">
        <f>IF('Excess_Workload (3)'!B12="","",'Excess_Workload (3)'!B12)</f>
        <v/>
      </c>
      <c r="E50" s="189" t="str">
        <f>IF('Excess_Workload (3)'!C12="","",'Excess_Workload (3)'!C12)</f>
        <v/>
      </c>
      <c r="F50" s="189" t="str">
        <f>IF('Excess_Workload (3)'!E12="","",'Excess_Workload (3)'!E12)</f>
        <v/>
      </c>
      <c r="G50" s="244" t="str">
        <f>IF('Excess_Workload (3)'!D12="","",'Excess_Workload (3)'!D12)</f>
        <v/>
      </c>
      <c r="H50" s="244"/>
      <c r="I50" s="194"/>
    </row>
    <row r="51" spans="1:9" x14ac:dyDescent="0.25">
      <c r="A51" s="228"/>
      <c r="B51" s="179"/>
      <c r="C51" s="184"/>
      <c r="D51" s="189" t="str">
        <f>IF('Excess_Workload (3)'!B13="","",'Excess_Workload (3)'!B13)</f>
        <v/>
      </c>
      <c r="E51" s="189" t="str">
        <f>IF('Excess_Workload (3)'!C13="","",'Excess_Workload (3)'!C13)</f>
        <v/>
      </c>
      <c r="F51" s="189" t="str">
        <f>IF('Excess_Workload (3)'!E13="","",'Excess_Workload (3)'!E13)</f>
        <v/>
      </c>
      <c r="G51" s="244" t="str">
        <f>IF('Excess_Workload (3)'!D13="","",'Excess_Workload (3)'!D13)</f>
        <v/>
      </c>
      <c r="H51" s="244"/>
      <c r="I51" s="194"/>
    </row>
    <row r="52" spans="1:9" x14ac:dyDescent="0.25">
      <c r="A52" s="228"/>
      <c r="B52" s="179"/>
      <c r="C52" s="184"/>
      <c r="D52" s="189" t="str">
        <f>IF('Excess_Workload (3)'!B14="","",'Excess_Workload (3)'!B14)</f>
        <v/>
      </c>
      <c r="E52" s="189" t="str">
        <f>IF('Excess_Workload (3)'!C14="","",'Excess_Workload (3)'!C14)</f>
        <v/>
      </c>
      <c r="F52" s="189" t="str">
        <f>IF('Excess_Workload (3)'!E14="","",'Excess_Workload (3)'!E14)</f>
        <v/>
      </c>
      <c r="G52" s="244" t="str">
        <f>IF('Excess_Workload (3)'!D14="","",'Excess_Workload (3)'!D14)</f>
        <v/>
      </c>
      <c r="H52" s="244"/>
      <c r="I52" s="194"/>
    </row>
    <row r="53" spans="1:9" x14ac:dyDescent="0.25">
      <c r="A53" s="228"/>
      <c r="B53" s="179"/>
      <c r="C53" s="184"/>
      <c r="D53" s="189" t="str">
        <f>IF('Excess_Workload (3)'!B15="","",'Excess_Workload (3)'!B15)</f>
        <v/>
      </c>
      <c r="E53" s="189" t="str">
        <f>IF('Excess_Workload (3)'!C15="","",'Excess_Workload (3)'!C15)</f>
        <v/>
      </c>
      <c r="F53" s="189" t="str">
        <f>IF('Excess_Workload (3)'!E15="","",'Excess_Workload (3)'!E15)</f>
        <v/>
      </c>
      <c r="G53" s="244" t="str">
        <f>IF('Excess_Workload (3)'!D15="","",'Excess_Workload (3)'!D15)</f>
        <v/>
      </c>
      <c r="H53" s="244"/>
      <c r="I53" s="194"/>
    </row>
    <row r="54" spans="1:9" x14ac:dyDescent="0.25">
      <c r="A54" s="228"/>
      <c r="B54" s="179"/>
      <c r="C54" s="184"/>
      <c r="D54" s="189" t="str">
        <f>IF('Excess_Workload (3)'!B16="","",'Excess_Workload (3)'!B16)</f>
        <v/>
      </c>
      <c r="E54" s="189" t="str">
        <f>IF('Excess_Workload (3)'!C16="","",'Excess_Workload (3)'!C16)</f>
        <v/>
      </c>
      <c r="F54" s="189" t="str">
        <f>IF('Excess_Workload (3)'!E16="","",'Excess_Workload (3)'!E16)</f>
        <v/>
      </c>
      <c r="G54" s="244" t="str">
        <f>IF('Excess_Workload (3)'!D16="","",'Excess_Workload (3)'!D16)</f>
        <v/>
      </c>
      <c r="H54" s="244"/>
      <c r="I54" s="194"/>
    </row>
    <row r="55" spans="1:9" x14ac:dyDescent="0.25">
      <c r="A55" s="228"/>
      <c r="B55" s="179"/>
      <c r="C55" s="184"/>
      <c r="D55" s="189" t="str">
        <f>IF('Excess_Workload (3)'!B17="","",'Excess_Workload (3)'!B17)</f>
        <v/>
      </c>
      <c r="E55" s="189" t="str">
        <f>IF('Excess_Workload (3)'!C17="","",'Excess_Workload (3)'!C17)</f>
        <v/>
      </c>
      <c r="F55" s="189" t="str">
        <f>IF('Excess_Workload (3)'!E17="","",'Excess_Workload (3)'!E17)</f>
        <v/>
      </c>
      <c r="G55" s="244" t="str">
        <f>IF('Excess_Workload (3)'!D17="","",'Excess_Workload (3)'!D17)</f>
        <v/>
      </c>
      <c r="H55" s="244"/>
      <c r="I55" s="194"/>
    </row>
    <row r="56" spans="1:9" x14ac:dyDescent="0.25">
      <c r="A56" s="228"/>
      <c r="B56" s="179"/>
      <c r="C56" s="184"/>
      <c r="D56" s="189" t="str">
        <f>IF('Excess_Workload (3)'!B18="","",'Excess_Workload (3)'!B18)</f>
        <v/>
      </c>
      <c r="E56" s="189" t="str">
        <f>IF('Excess_Workload (3)'!C18="","",'Excess_Workload (3)'!C18)</f>
        <v/>
      </c>
      <c r="F56" s="189" t="str">
        <f>IF('Excess_Workload (3)'!E18="","",'Excess_Workload (3)'!E18)</f>
        <v/>
      </c>
      <c r="G56" s="244" t="str">
        <f>IF('Excess_Workload (3)'!D18="","",'Excess_Workload (3)'!D18)</f>
        <v/>
      </c>
      <c r="H56" s="244"/>
      <c r="I56" s="194"/>
    </row>
    <row r="57" spans="1:9" x14ac:dyDescent="0.25">
      <c r="A57" s="228"/>
      <c r="B57" s="179"/>
      <c r="C57" s="184"/>
      <c r="D57" s="189" t="str">
        <f>IF('Excess_Workload (3)'!B19="","",'Excess_Workload (3)'!B19)</f>
        <v/>
      </c>
      <c r="E57" s="189" t="str">
        <f>IF('Excess_Workload (3)'!C19="","",'Excess_Workload (3)'!C19)</f>
        <v/>
      </c>
      <c r="F57" s="189" t="str">
        <f>IF('Excess_Workload (3)'!E19="","",'Excess_Workload (3)'!E19)</f>
        <v/>
      </c>
      <c r="G57" s="244" t="str">
        <f>IF('Excess_Workload (3)'!D19="","",'Excess_Workload (3)'!D19)</f>
        <v/>
      </c>
      <c r="H57" s="244"/>
      <c r="I57" s="194"/>
    </row>
    <row r="58" spans="1:9" x14ac:dyDescent="0.25">
      <c r="A58" s="228"/>
      <c r="B58" s="181"/>
      <c r="C58" s="187"/>
      <c r="D58" s="189" t="str">
        <f>IF('Excess_Workload (3)'!B20="","",'Excess_Workload (3)'!B20)</f>
        <v/>
      </c>
      <c r="E58" s="189" t="str">
        <f>IF('Excess_Workload (3)'!C20="","",'Excess_Workload (3)'!C20)</f>
        <v/>
      </c>
      <c r="F58" s="189" t="str">
        <f>IF('Excess_Workload (3)'!E20="","",'Excess_Workload (3)'!E20)</f>
        <v/>
      </c>
      <c r="G58" s="244" t="str">
        <f>IF('Excess_Workload (3)'!D20="","",'Excess_Workload (3)'!D20)</f>
        <v/>
      </c>
      <c r="H58" s="244"/>
      <c r="I58" s="195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 t="s">
        <v>372</v>
      </c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</sheetData>
  <sheetProtection password="E9BA" sheet="1" scenarios="1" formatCells="0" formatColumns="0" formatRows="0" insertRows="0" deleteRows="0"/>
  <mergeCells count="81">
    <mergeCell ref="A45:A58"/>
    <mergeCell ref="B45:B46"/>
    <mergeCell ref="G46:H46"/>
    <mergeCell ref="G47:H47"/>
    <mergeCell ref="G48:H48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54:H54"/>
    <mergeCell ref="D33:E33"/>
    <mergeCell ref="G33:H33"/>
    <mergeCell ref="A34:A35"/>
    <mergeCell ref="D34:G34"/>
    <mergeCell ref="D35:H35"/>
    <mergeCell ref="A17:A33"/>
    <mergeCell ref="B17:B22"/>
    <mergeCell ref="D30:E30"/>
    <mergeCell ref="G30:H30"/>
    <mergeCell ref="D31:E31"/>
    <mergeCell ref="G31:H31"/>
    <mergeCell ref="D32:E32"/>
    <mergeCell ref="G32:H32"/>
    <mergeCell ref="D27:E27"/>
    <mergeCell ref="G27:H27"/>
    <mergeCell ref="D28:E28"/>
    <mergeCell ref="A36:A44"/>
    <mergeCell ref="B36:B37"/>
    <mergeCell ref="D37:G37"/>
    <mergeCell ref="D38:G38"/>
    <mergeCell ref="D39:G39"/>
    <mergeCell ref="D40:G40"/>
    <mergeCell ref="D41:G41"/>
    <mergeCell ref="D42:G42"/>
    <mergeCell ref="D43:G43"/>
    <mergeCell ref="D44:G44"/>
    <mergeCell ref="G28:H28"/>
    <mergeCell ref="D29:E29"/>
    <mergeCell ref="G29:H29"/>
    <mergeCell ref="D24:E24"/>
    <mergeCell ref="G24:H24"/>
    <mergeCell ref="D25:E25"/>
    <mergeCell ref="G25:H25"/>
    <mergeCell ref="D26:E26"/>
    <mergeCell ref="G26:H26"/>
    <mergeCell ref="D23:E23"/>
    <mergeCell ref="G23:H23"/>
    <mergeCell ref="G15:H15"/>
    <mergeCell ref="D16:E16"/>
    <mergeCell ref="G16:H16"/>
    <mergeCell ref="D18:E18"/>
    <mergeCell ref="G18:H18"/>
    <mergeCell ref="D19:E19"/>
    <mergeCell ref="G19:H19"/>
    <mergeCell ref="D20:E20"/>
    <mergeCell ref="G20:H20"/>
    <mergeCell ref="D21:E21"/>
    <mergeCell ref="G21:H21"/>
    <mergeCell ref="D22:E22"/>
    <mergeCell ref="G22:H22"/>
    <mergeCell ref="G14:H14"/>
    <mergeCell ref="D1:E1"/>
    <mergeCell ref="D2:F2"/>
    <mergeCell ref="D3:E3"/>
    <mergeCell ref="D4:E4"/>
    <mergeCell ref="D6:E6"/>
    <mergeCell ref="G11:H11"/>
    <mergeCell ref="D12:E12"/>
    <mergeCell ref="G12:H12"/>
    <mergeCell ref="D13:E13"/>
    <mergeCell ref="G13:H13"/>
    <mergeCell ref="A10:A16"/>
    <mergeCell ref="B10:B15"/>
    <mergeCell ref="D11:E11"/>
    <mergeCell ref="D15:E15"/>
    <mergeCell ref="D14:E14"/>
  </mergeCells>
  <dataValidations count="1">
    <dataValidation type="list" allowBlank="1" showInputMessage="1" showErrorMessage="1" sqref="D35:H35">
      <formula1>"Not Applicable,Photocopy Herewith Attached"</formula1>
    </dataValidation>
  </dataValidations>
  <pageMargins left="0.70866141732283472" right="0.70866141732283472" top="1.5354330708661419" bottom="0.74803149606299213" header="0.31496062992125984" footer="0.31496062992125984"/>
  <pageSetup paperSize="9" orientation="landscape" verticalDpi="0" r:id="rId1"/>
  <headerFooter>
    <oddHeader>&amp;C&amp;"Times New Roman,Regular"&amp;22IMPLEMENTATION MONITORING COMMITTEE
EARNED ALLOWANCES FORM&amp;"-,Regular"&amp;11
&amp;"Times New Roman,Bold"&amp;12(To be completed by Academic Staff Only)</oddHeader>
    <oddFooter>&amp;C&amp;P of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0066"/>
  </sheetPr>
  <dimension ref="A1:O116"/>
  <sheetViews>
    <sheetView zoomScale="115" zoomScaleNormal="115" workbookViewId="0">
      <selection activeCell="G4" sqref="G4"/>
    </sheetView>
  </sheetViews>
  <sheetFormatPr defaultRowHeight="15" x14ac:dyDescent="0.25"/>
  <cols>
    <col min="1" max="1" width="3" style="2" bestFit="1" customWidth="1"/>
    <col min="2" max="2" width="13" style="2" customWidth="1"/>
    <col min="3" max="3" width="21.7109375" style="2" customWidth="1"/>
    <col min="4" max="4" width="7.7109375" style="2" bestFit="1" customWidth="1"/>
    <col min="5" max="5" width="18.42578125" style="2" customWidth="1"/>
    <col min="6" max="6" width="18.42578125" style="2" bestFit="1" customWidth="1"/>
    <col min="7" max="7" width="16.85546875" style="2" bestFit="1" customWidth="1"/>
    <col min="8" max="8" width="10.5703125" style="2" customWidth="1"/>
    <col min="9" max="9" width="11" style="3" bestFit="1" customWidth="1"/>
    <col min="10" max="10" width="9.85546875" style="2" customWidth="1"/>
    <col min="11" max="11" width="10" style="4" customWidth="1"/>
    <col min="12" max="16384" width="9.140625" style="2"/>
  </cols>
  <sheetData>
    <row r="1" spans="1:15" x14ac:dyDescent="0.25">
      <c r="A1" s="2" t="s">
        <v>0</v>
      </c>
      <c r="B1" s="225" t="s">
        <v>1</v>
      </c>
      <c r="C1" s="225"/>
      <c r="H1" s="3"/>
      <c r="I1" s="2"/>
      <c r="J1" s="4"/>
      <c r="K1" s="2"/>
    </row>
    <row r="2" spans="1:15" ht="15.75" x14ac:dyDescent="0.25">
      <c r="B2" s="16" t="s">
        <v>2</v>
      </c>
      <c r="C2" s="214" t="s">
        <v>393</v>
      </c>
      <c r="D2" s="214"/>
      <c r="E2" s="214"/>
      <c r="F2" s="16" t="s">
        <v>3</v>
      </c>
      <c r="G2" s="100" t="str">
        <f>IF(LOOKUP($C$2,Staff_List!$A$4:$A$53,Staff_List!$B$4:$B$53)="","",LOOKUP($C$2,Staff_List!$A$4:$A$53,Staff_List!$B$4:$B$53))</f>
        <v>A7581</v>
      </c>
      <c r="H2" s="16" t="s">
        <v>4</v>
      </c>
      <c r="I2" s="224" t="s">
        <v>103</v>
      </c>
      <c r="J2" s="224"/>
      <c r="K2" s="85"/>
      <c r="L2" s="5"/>
      <c r="M2" s="5"/>
      <c r="N2" s="6"/>
      <c r="O2" s="6"/>
    </row>
    <row r="3" spans="1:15" x14ac:dyDescent="0.25">
      <c r="G3" s="3"/>
      <c r="I3" s="2"/>
      <c r="J3" s="44"/>
      <c r="K3" s="44"/>
    </row>
    <row r="4" spans="1:15" x14ac:dyDescent="0.25">
      <c r="B4" s="16" t="s">
        <v>35</v>
      </c>
      <c r="C4" s="224" t="s">
        <v>146</v>
      </c>
      <c r="D4" s="224"/>
      <c r="E4" s="224"/>
      <c r="F4" s="16" t="s">
        <v>5</v>
      </c>
      <c r="G4" s="99" t="s">
        <v>487</v>
      </c>
      <c r="H4" s="16" t="s">
        <v>6</v>
      </c>
      <c r="I4" s="76" t="s">
        <v>106</v>
      </c>
      <c r="J4" s="101"/>
      <c r="K4" s="85"/>
      <c r="L4" s="5"/>
      <c r="M4" s="6"/>
      <c r="N4" s="6"/>
    </row>
    <row r="5" spans="1:15" customFormat="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</row>
    <row r="6" spans="1:15" x14ac:dyDescent="0.25">
      <c r="K6" s="44"/>
    </row>
    <row r="7" spans="1:15" ht="15.75" x14ac:dyDescent="0.25">
      <c r="A7" s="7" t="s">
        <v>7</v>
      </c>
      <c r="B7" s="262" t="s">
        <v>8</v>
      </c>
      <c r="C7" s="262"/>
      <c r="D7" s="7"/>
      <c r="E7" s="7"/>
      <c r="F7" s="7"/>
      <c r="G7" s="7"/>
      <c r="H7" s="7"/>
      <c r="I7" s="8"/>
      <c r="J7" s="7"/>
    </row>
    <row r="8" spans="1:15" ht="50.25" customHeight="1" x14ac:dyDescent="0.25">
      <c r="B8" s="18" t="str">
        <f>IF($I$2="Library","","Course Code")</f>
        <v>Course Code</v>
      </c>
      <c r="C8" s="18" t="str">
        <f>IF($I$2="Library","Credit Unit (hrs)        (a)","Credit weight     (a)")</f>
        <v>Credit weight     (a)</v>
      </c>
      <c r="D8" s="18" t="str">
        <f>IF($I$2="Library","Students Enrolment  (b)","Students Enrolment (b)")</f>
        <v>Students Enrolment (b)</v>
      </c>
      <c r="E8" s="18" t="str">
        <f>IF($I$2="Library","No. of Librarians Available               (n)","No. of Lecturer     (n)")</f>
        <v>No. of Lecturer     (n)</v>
      </c>
      <c r="F8" s="18" t="str">
        <f>IF($I$2="Library","Librarians Required     (r)","Ratio of Teaching (r) ")</f>
        <v xml:space="preserve">Ratio of Teaching (r) </v>
      </c>
      <c r="G8" s="18" t="str">
        <f>IF($I$2="Library","Librarians Load      M = r - n","Students Load          M = b x r")</f>
        <v>Students Load          M = b x r</v>
      </c>
      <c r="H8" s="18" t="str">
        <f>IF($I$2="Library","Excess Workload Units","Credits Load           H = a x L")</f>
        <v>Credits Load           H = a x L</v>
      </c>
      <c r="I8" s="9"/>
      <c r="J8" s="10"/>
      <c r="K8" s="2"/>
    </row>
    <row r="9" spans="1:15" ht="15.75" customHeight="1" x14ac:dyDescent="0.25">
      <c r="B9" s="208" t="s">
        <v>467</v>
      </c>
      <c r="C9" s="17">
        <f>IF($B9="","",IF($I$4="2008/2009",VLOOKUP($B9,Courses_List!$A$3:$T$102,2,FALSE),IF($I$4="2009/2010",VLOOKUP($B9,Courses_List!$E$3:$F$102,2,FALSE),IF($I$4="2010/2011",VLOOKUP($B9,Courses_List!$I$3:$J$102,2,FALSE),IF($I$4="2011/2012",VLOOKUP($B9,Courses_List!$M$3:$N$102,2,FALSE),IF($I$4="2012/2013",VLOOKUP($B9,Courses_List!$Q$3:$R$102,2,FALSE),"INVALID"))))))</f>
        <v>3</v>
      </c>
      <c r="D9" s="17">
        <f>IF($B9="","",IF($I$4="2008/2009",VLOOKUP($B9,Courses_List!$A$3:$C$102,3,FALSE),IF($I$4="2009/2010",VLOOKUP($B9,Courses_List!$E$3:$G$102,3,FALSE),IF($I$4="2010/2011",VLOOKUP($B9,Courses_List!$I$3:$K$102,3,FALSE),IF($I$4="2011/2012",VLOOKUP($B9,Courses_List!$M$3:$O$102,3,FALSE),IF($I$4="2012/2013",VLOOKUP($B9,Courses_List!$Q$3:$S$102,3,FALSE),"INVALID"))))))</f>
        <v>132</v>
      </c>
      <c r="E9" s="17">
        <f>IF($B9="","",IF($I$4="2008/2009",VLOOKUP($B9,Courses_List!$A$3:$D$102,4,FALSE),IF($I$4="2009/2010",VLOOKUP($B9,Courses_List!$E$3:$H$102,4,FALSE),IF($I$4="2010/2011",VLOOKUP($B9,Courses_List!$I$3:$L$102,4,FALSE),IF($I$4="2011/2012",VLOOKUP($B9,Courses_List!$M$3:$P$102,4,FALSE),IF($I$4="2012/2013",VLOOKUP($B9,Courses_List!$Q$3:$T$102,4,FALSE),"INVALID"))))))</f>
        <v>1</v>
      </c>
      <c r="F9" s="78">
        <f>IF($E9="","",1/$E9)</f>
        <v>1</v>
      </c>
      <c r="G9" s="17">
        <f>IF(OR($D9="",$E9="",$F9=""),"",$D9*$F9)</f>
        <v>132</v>
      </c>
      <c r="H9" s="17">
        <f>IF(OR($B9="",$C9=""),"",MID($B9,4,1)*$C9)</f>
        <v>12</v>
      </c>
      <c r="I9" s="8"/>
      <c r="J9" s="12"/>
      <c r="K9" s="2"/>
    </row>
    <row r="10" spans="1:15" ht="15.75" x14ac:dyDescent="0.25">
      <c r="B10" s="208" t="s">
        <v>477</v>
      </c>
      <c r="C10" s="17">
        <f>IF($B10="","",IF($I$4="2008/2009",VLOOKUP($B10,Courses_List!$A$3:$T$102,2,FALSE),IF($I$4="2009/2010",VLOOKUP($B10,Courses_List!$E$3:$F$102,2,FALSE),IF($I$4="2010/2011",VLOOKUP($B10,Courses_List!$I$3:$J$102,2,FALSE),IF($I$4="2011/2012",VLOOKUP($B10,Courses_List!$M$3:$N$102,2,FALSE),IF($I$4="2012/2013",VLOOKUP($B10,Courses_List!$Q$3:$R$102,2,FALSE),"INVALID"))))))</f>
        <v>2</v>
      </c>
      <c r="D10" s="17">
        <f>IF($B10="","",IF($I$4="2008/2009",VLOOKUP($B10,Courses_List!$A$3:$C$102,3,FALSE),IF($I$4="2009/2010",VLOOKUP($B10,Courses_List!$E$3:$G$102,3,FALSE),IF($I$4="2010/2011",VLOOKUP($B10,Courses_List!$I$3:$K$102,3,FALSE),IF($I$4="2011/2012",VLOOKUP($B10,Courses_List!$M$3:$O$102,3,FALSE),IF($I$4="2012/2013",VLOOKUP($B10,Courses_List!$Q$3:$S$102,3,FALSE),"INVALID"))))))</f>
        <v>96</v>
      </c>
      <c r="E10" s="17">
        <f>IF($B10="","",IF($I$4="2008/2009",VLOOKUP($B10,Courses_List!$A$3:$D$102,4,FALSE),IF($I$4="2009/2010",VLOOKUP($B10,Courses_List!$E$3:$H$102,4,FALSE),IF($I$4="2010/2011",VLOOKUP($B10,Courses_List!$I$3:$L$102,4,FALSE),IF($I$4="2011/2012",VLOOKUP($B10,Courses_List!$M$3:$P$102,4,FALSE),IF($I$4="2012/2013",VLOOKUP($B10,Courses_List!$Q$3:$T$102,4,FALSE),"INVALID"))))))</f>
        <v>2</v>
      </c>
      <c r="F10" s="78">
        <f>IF($E10="","",1/$E10)</f>
        <v>0.5</v>
      </c>
      <c r="G10" s="17">
        <f t="shared" ref="G10:G28" si="0">IF(OR($D10="",$E10="",$F10=""),"",$D10*$F10)</f>
        <v>48</v>
      </c>
      <c r="H10" s="17">
        <f t="shared" ref="H10:H28" si="1">IF(OR($B10="",$C10=""),"",MID($B10,4,1)*$C10)</f>
        <v>10</v>
      </c>
      <c r="I10" s="8"/>
      <c r="J10" s="12"/>
      <c r="K10" s="2"/>
    </row>
    <row r="11" spans="1:15" ht="15.75" x14ac:dyDescent="0.25">
      <c r="B11" s="208" t="s">
        <v>476</v>
      </c>
      <c r="C11" s="17">
        <f>IF($B11="","",IF($I$4="2008/2009",VLOOKUP($B11,Courses_List!$A$3:$T$102,2,FALSE),IF($I$4="2009/2010",VLOOKUP($B11,Courses_List!$E$3:$F$102,2,FALSE),IF($I$4="2010/2011",VLOOKUP($B11,Courses_List!$I$3:$J$102,2,FALSE),IF($I$4="2011/2012",VLOOKUP($B11,Courses_List!$M$3:$N$102,2,FALSE),IF($I$4="2012/2013",VLOOKUP($B11,Courses_List!$Q$3:$R$102,2,FALSE),"INVALID"))))))</f>
        <v>2</v>
      </c>
      <c r="D11" s="17">
        <f>IF($B11="","",IF($I$4="2008/2009",VLOOKUP($B11,Courses_List!$A$3:$C$102,3,FALSE),IF($I$4="2009/2010",VLOOKUP($B11,Courses_List!$E$3:$G$102,3,FALSE),IF($I$4="2010/2011",VLOOKUP($B11,Courses_List!$I$3:$K$102,3,FALSE),IF($I$4="2011/2012",VLOOKUP($B11,Courses_List!$M$3:$O$102,3,FALSE),IF($I$4="2012/2013",VLOOKUP($B11,Courses_List!$Q$3:$S$102,3,FALSE),"INVALID"))))))</f>
        <v>98</v>
      </c>
      <c r="E11" s="17">
        <f>IF($B11="","",IF($I$4="2008/2009",VLOOKUP($B11,Courses_List!$A$3:$D$102,4,FALSE),IF($I$4="2009/2010",VLOOKUP($B11,Courses_List!$E$3:$H$102,4,FALSE),IF($I$4="2010/2011",VLOOKUP($B11,Courses_List!$I$3:$L$102,4,FALSE),IF($I$4="2011/2012",VLOOKUP($B11,Courses_List!$M$3:$P$102,4,FALSE),IF($I$4="2012/2013",VLOOKUP($B11,Courses_List!$Q$3:$T$102,4,FALSE),"INVALID"))))))</f>
        <v>1</v>
      </c>
      <c r="F11" s="78">
        <f>IF($E11="","",1/$E11)</f>
        <v>1</v>
      </c>
      <c r="G11" s="17">
        <f t="shared" si="0"/>
        <v>98</v>
      </c>
      <c r="H11" s="17">
        <f t="shared" si="1"/>
        <v>10</v>
      </c>
      <c r="I11" s="8"/>
      <c r="J11" s="12"/>
      <c r="K11" s="2"/>
    </row>
    <row r="12" spans="1:15" ht="15.75" x14ac:dyDescent="0.25">
      <c r="B12" s="208"/>
      <c r="C12" s="17" t="str">
        <f>IF($B12="","",IF($I$4="2008/2009",VLOOKUP($B12,Courses_List!$A$3:$T$102,2,FALSE),IF($I$4="2009/2010",VLOOKUP($B12,Courses_List!$E$3:$F$102,2,FALSE),IF($I$4="2010/2011",VLOOKUP($B12,Courses_List!$I$3:$J$102,2,FALSE),IF($I$4="2011/2012",VLOOKUP($B12,Courses_List!$M$3:$N$102,2,FALSE),IF($I$4="2012/2013",VLOOKUP($B12,Courses_List!$Q$3:$R$102,2,FALSE),"INVALID"))))))</f>
        <v/>
      </c>
      <c r="D12" s="17" t="str">
        <f>IF($B12="","",IF($I$4="2008/2009",VLOOKUP($B12,Courses_List!$A$3:$C$102,3,FALSE),IF($I$4="2009/2010",VLOOKUP($B12,Courses_List!$E$3:$G$102,3,FALSE),IF($I$4="2010/2011",VLOOKUP($B12,Courses_List!$I$3:$K$102,3,FALSE),IF($I$4="2011/2012",VLOOKUP($B12,Courses_List!$M$3:$O$102,3,FALSE),IF($I$4="2012/2013",VLOOKUP($B12,Courses_List!$Q$3:$S$102,3,FALSE),"INVALID"))))))</f>
        <v/>
      </c>
      <c r="E12" s="17" t="str">
        <f>IF($B12="","",IF($I$4="2008/2009",VLOOKUP($B12,Courses_List!$A$3:$D$102,4,FALSE),IF($I$4="2009/2010",VLOOKUP($B12,Courses_List!$E$3:$H$102,4,FALSE),IF($I$4="2010/2011",VLOOKUP($B12,Courses_List!$I$3:$L$102,4,FALSE),IF($I$4="2011/2012",VLOOKUP($B12,Courses_List!$M$3:$P$102,4,FALSE),IF($I$4="2012/2013",VLOOKUP($B12,Courses_List!$Q$3:$T$102,4,FALSE),"INVALID"))))))</f>
        <v/>
      </c>
      <c r="F12" s="78" t="str">
        <f>IF($E12="","",1/$E12)</f>
        <v/>
      </c>
      <c r="G12" s="17" t="str">
        <f t="shared" si="0"/>
        <v/>
      </c>
      <c r="H12" s="17" t="str">
        <f t="shared" si="1"/>
        <v/>
      </c>
      <c r="I12" s="8"/>
      <c r="J12" s="12"/>
      <c r="K12" s="2"/>
    </row>
    <row r="13" spans="1:15" ht="15.75" x14ac:dyDescent="0.25">
      <c r="B13" s="208"/>
      <c r="C13" s="17" t="str">
        <f>IF($B13="","",IF($I$4="2008/2009",VLOOKUP($B13,Courses_List!$A$3:$T$102,2,FALSE),IF($I$4="2009/2010",VLOOKUP($B13,Courses_List!$E$3:$F$102,2,FALSE),IF($I$4="2010/2011",VLOOKUP($B13,Courses_List!$I$3:$J$102,2,FALSE),IF($I$4="2011/2012",VLOOKUP($B13,Courses_List!$M$3:$N$102,2,FALSE),IF($I$4="2012/2013",VLOOKUP($B13,Courses_List!$Q$3:$R$102,2,FALSE),"INVALID"))))))</f>
        <v/>
      </c>
      <c r="D13" s="17" t="str">
        <f>IF($B13="","",IF($I$4="2008/2009",VLOOKUP($B13,Courses_List!$A$3:$C$102,3,FALSE),IF($I$4="2009/2010",VLOOKUP($B13,Courses_List!$E$3:$G$102,3,FALSE),IF($I$4="2010/2011",VLOOKUP($B13,Courses_List!$I$3:$K$102,3,FALSE),IF($I$4="2011/2012",VLOOKUP($B13,Courses_List!$M$3:$O$102,3,FALSE),IF($I$4="2012/2013",VLOOKUP($B13,Courses_List!$Q$3:$S$102,3,FALSE),"INVALID"))))))</f>
        <v/>
      </c>
      <c r="E13" s="17" t="str">
        <f>IF($B13="","",IF($I$4="2008/2009",VLOOKUP($B13,Courses_List!$A$3:$D$102,4,FALSE),IF($I$4="2009/2010",VLOOKUP($B13,Courses_List!$E$3:$H$102,4,FALSE),IF($I$4="2010/2011",VLOOKUP($B13,Courses_List!$I$3:$L$102,4,FALSE),IF($I$4="2011/2012",VLOOKUP($B13,Courses_List!$M$3:$P$102,4,FALSE),IF($I$4="2012/2013",VLOOKUP($B13,Courses_List!$Q$3:$T$102,4,FALSE),"INVALID"))))))</f>
        <v/>
      </c>
      <c r="F13" s="78" t="str">
        <f>IF($E13="","",1/$E13)</f>
        <v/>
      </c>
      <c r="G13" s="17" t="str">
        <f t="shared" si="0"/>
        <v/>
      </c>
      <c r="H13" s="17" t="str">
        <f t="shared" si="1"/>
        <v/>
      </c>
      <c r="I13" s="8"/>
      <c r="J13" s="12"/>
      <c r="K13" s="2"/>
    </row>
    <row r="14" spans="1:15" ht="15.75" x14ac:dyDescent="0.25">
      <c r="B14" s="77"/>
      <c r="C14" s="17" t="str">
        <f>IF($B14="","",IF($I$4="2008/2009",VLOOKUP($B14,Courses_List!$A$3:$T$102,2,FALSE),IF($I$4="2009/2010",VLOOKUP($B14,Courses_List!$E$3:$F$102,2,FALSE),IF($I$4="2010/2011",VLOOKUP($B14,Courses_List!$I$3:$J$102,2,FALSE),IF($I$4="2011/2012",VLOOKUP($B14,Courses_List!$M$3:$N$102,2,FALSE),IF($I$4="2012/2013",VLOOKUP($B14,Courses_List!$Q$3:$R$102,2,FALSE),"INVALID"))))))</f>
        <v/>
      </c>
      <c r="D14" s="17" t="str">
        <f>IF($B14="","",IF($I$4="2008/2009",VLOOKUP($B14,Courses_List!$A$3:$C$102,3,FALSE),IF($I$4="2009/2010",VLOOKUP($B14,Courses_List!$E$3:$G$102,3,FALSE),IF($I$4="2010/2011",VLOOKUP($B14,Courses_List!$I$3:$K$102,3,FALSE),IF($I$4="2011/2012",VLOOKUP($B14,Courses_List!$M$3:$O$102,3,FALSE),IF($I$4="2012/2013",VLOOKUP($B14,Courses_List!$Q$3:$S$102,3,FALSE),"INVALID"))))))</f>
        <v/>
      </c>
      <c r="E14" s="17" t="str">
        <f>IF($B14="","",IF($I$4="2008/2009",VLOOKUP($B14,Courses_List!$A$3:$D$102,4,FALSE),IF($I$4="2009/2010",VLOOKUP($B14,Courses_List!$E$3:$H$102,4,FALSE),IF($I$4="2010/2011",VLOOKUP($B14,Courses_List!$I$3:$L$102,4,FALSE),IF($I$4="2011/2012",VLOOKUP($B14,Courses_List!$M$3:$P$102,4,FALSE),IF($I$4="2012/2013",VLOOKUP($B14,Courses_List!$Q$3:$T$102,4,FALSE),"INVALID"))))))</f>
        <v/>
      </c>
      <c r="F14" s="78" t="str">
        <f>IF($I$2="Library",IF(OR($C14="",$D14="",$E14=""),"",ROUND($D14/400,0)),IF($E14="","",1/$E14))</f>
        <v/>
      </c>
      <c r="G14" s="17" t="str">
        <f>IF($F14="","",IF($I$2="Library",$F14-$E14,IF(OR($D14="",$E14="",$F14=""),"",$D14*$F14)))</f>
        <v/>
      </c>
      <c r="H14" s="17" t="str">
        <f>IF($I$2="Library",IF(OR($C14="",$D14="",$E14=""),"",$C14*$E14*400*1.3/400),IF(OR($B14="",$C14=""),"",MID($B14,4,1)*$C14))</f>
        <v/>
      </c>
      <c r="I14" s="8"/>
      <c r="J14" s="12"/>
      <c r="K14" s="2"/>
    </row>
    <row r="15" spans="1:15" ht="15.75" x14ac:dyDescent="0.25">
      <c r="B15" s="77"/>
      <c r="C15" s="17" t="str">
        <f>IF($B15="","",IF($I$4="2008/2009",VLOOKUP($B15,Courses_List!$A$3:$T$102,2,FALSE),IF($I$4="2009/2010",VLOOKUP($B15,Courses_List!$E$3:$F$102,2,FALSE),IF($I$4="2010/2011",VLOOKUP($B15,Courses_List!$I$3:$J$102,2,FALSE),IF($I$4="2011/2012",VLOOKUP($B15,Courses_List!$M$3:$N$102,2,FALSE),IF($I$4="2012/2013",VLOOKUP($B15,Courses_List!$Q$3:$R$102,2,FALSE),"INVALID"))))))</f>
        <v/>
      </c>
      <c r="D15" s="17" t="str">
        <f>IF($B15="","",IF($I$4="2008/2009",VLOOKUP($B15,Courses_List!$A$3:$C$102,3,FALSE),IF($I$4="2009/2010",VLOOKUP($B15,Courses_List!$E$3:$G$102,3,FALSE),IF($I$4="2010/2011",VLOOKUP($B15,Courses_List!$I$3:$K$102,3,FALSE),IF($I$4="2011/2012",VLOOKUP($B15,Courses_List!$M$3:$O$102,3,FALSE),IF($I$4="2012/2013",VLOOKUP($B15,Courses_List!$Q$3:$S$102,3,FALSE),"INVALID"))))))</f>
        <v/>
      </c>
      <c r="E15" s="17" t="str">
        <f>IF($B15="","",IF($I$4="2008/2009",VLOOKUP($B15,Courses_List!$A$3:$D$102,4,FALSE),IF($I$4="2009/2010",VLOOKUP($B15,Courses_List!$E$3:$H$102,4,FALSE),IF($I$4="2010/2011",VLOOKUP($B15,Courses_List!$I$3:$L$102,4,FALSE),IF($I$4="2011/2012",VLOOKUP($B15,Courses_List!$M$3:$P$102,4,FALSE),IF($I$4="2012/2013",VLOOKUP($B15,Courses_List!$Q$3:$T$102,4,FALSE),"INVALID"))))))</f>
        <v/>
      </c>
      <c r="F15" s="78" t="str">
        <f t="shared" ref="F15:F28" si="2">IF($E15="","",1/$E15)</f>
        <v/>
      </c>
      <c r="G15" s="17" t="str">
        <f t="shared" si="0"/>
        <v/>
      </c>
      <c r="H15" s="17" t="str">
        <f t="shared" si="1"/>
        <v/>
      </c>
      <c r="I15" s="8"/>
      <c r="J15" s="12"/>
      <c r="K15" s="2"/>
    </row>
    <row r="16" spans="1:15" ht="15.75" x14ac:dyDescent="0.25">
      <c r="B16" s="77"/>
      <c r="C16" s="17" t="str">
        <f>IF($B16="","",IF($I$4="2008/2009",VLOOKUP($B16,Courses_List!$A$3:$T$102,2,FALSE),IF($I$4="2009/2010",VLOOKUP($B16,Courses_List!$E$3:$F$102,2,FALSE),IF($I$4="2010/2011",VLOOKUP($B16,Courses_List!$I$3:$J$102,2,FALSE),IF($I$4="2011/2012",VLOOKUP($B16,Courses_List!$M$3:$N$102,2,FALSE),IF($I$4="2012/2013",VLOOKUP($B16,Courses_List!$Q$3:$R$102,2,FALSE),"INVALID"))))))</f>
        <v/>
      </c>
      <c r="D16" s="17" t="str">
        <f>IF($B16="","",IF($I$4="2008/2009",VLOOKUP($B16,Courses_List!$A$3:$C$102,3,FALSE),IF($I$4="2009/2010",VLOOKUP($B16,Courses_List!$E$3:$G$102,3,FALSE),IF($I$4="2010/2011",VLOOKUP($B16,Courses_List!$I$3:$K$102,3,FALSE),IF($I$4="2011/2012",VLOOKUP($B16,Courses_List!$M$3:$O$102,3,FALSE),IF($I$4="2012/2013",VLOOKUP($B16,Courses_List!$Q$3:$S$102,3,FALSE),"INVALID"))))))</f>
        <v/>
      </c>
      <c r="E16" s="17" t="str">
        <f>IF($B16="","",IF($I$4="2008/2009",VLOOKUP($B16,Courses_List!$A$3:$D$102,4,FALSE),IF($I$4="2009/2010",VLOOKUP($B16,Courses_List!$E$3:$H$102,4,FALSE),IF($I$4="2010/2011",VLOOKUP($B16,Courses_List!$I$3:$L$102,4,FALSE),IF($I$4="2011/2012",VLOOKUP($B16,Courses_List!$M$3:$P$102,4,FALSE),IF($I$4="2012/2013",VLOOKUP($B16,Courses_List!$Q$3:$T$102,4,FALSE),"INVALID"))))))</f>
        <v/>
      </c>
      <c r="F16" s="78" t="str">
        <f t="shared" si="2"/>
        <v/>
      </c>
      <c r="G16" s="17" t="str">
        <f t="shared" si="0"/>
        <v/>
      </c>
      <c r="H16" s="17" t="str">
        <f t="shared" si="1"/>
        <v/>
      </c>
      <c r="I16" s="8"/>
      <c r="J16" s="12"/>
      <c r="K16" s="2"/>
    </row>
    <row r="17" spans="2:11" ht="15.75" x14ac:dyDescent="0.25">
      <c r="B17" s="77"/>
      <c r="C17" s="17" t="str">
        <f>IF($B17="","",IF($I$4="2008/2009",VLOOKUP($B17,Courses_List!$A$3:$T$102,2,FALSE),IF($I$4="2009/2010",VLOOKUP($B17,Courses_List!$E$3:$F$102,2,FALSE),IF($I$4="2010/2011",VLOOKUP($B17,Courses_List!$I$3:$J$102,2,FALSE),IF($I$4="2011/2012",VLOOKUP($B17,Courses_List!$M$3:$N$102,2,FALSE),IF($I$4="2012/2013",VLOOKUP($B17,Courses_List!$Q$3:$R$102,2,FALSE),"INVALID"))))))</f>
        <v/>
      </c>
      <c r="D17" s="17" t="str">
        <f>IF($B17="","",IF($I$4="2008/2009",VLOOKUP($B17,Courses_List!$A$3:$C$102,3,FALSE),IF($I$4="2009/2010",VLOOKUP($B17,Courses_List!$E$3:$G$102,3,FALSE),IF($I$4="2010/2011",VLOOKUP($B17,Courses_List!$I$3:$K$102,3,FALSE),IF($I$4="2011/2012",VLOOKUP($B17,Courses_List!$M$3:$O$102,3,FALSE),IF($I$4="2012/2013",VLOOKUP($B17,Courses_List!$Q$3:$S$102,3,FALSE),"INVALID"))))))</f>
        <v/>
      </c>
      <c r="E17" s="17" t="str">
        <f>IF($B17="","",IF($I$4="2008/2009",VLOOKUP($B17,Courses_List!$A$3:$D$102,4,FALSE),IF($I$4="2009/2010",VLOOKUP($B17,Courses_List!$E$3:$H$102,4,FALSE),IF($I$4="2010/2011",VLOOKUP($B17,Courses_List!$I$3:$L$102,4,FALSE),IF($I$4="2011/2012",VLOOKUP($B17,Courses_List!$M$3:$P$102,4,FALSE),IF($I$4="2012/2013",VLOOKUP($B17,Courses_List!$Q$3:$T$102,4,FALSE),"INVALID"))))))</f>
        <v/>
      </c>
      <c r="F17" s="78" t="str">
        <f t="shared" si="2"/>
        <v/>
      </c>
      <c r="G17" s="17" t="str">
        <f t="shared" si="0"/>
        <v/>
      </c>
      <c r="H17" s="17" t="str">
        <f t="shared" si="1"/>
        <v/>
      </c>
      <c r="I17" s="8"/>
      <c r="J17" s="12"/>
      <c r="K17" s="2"/>
    </row>
    <row r="18" spans="2:11" ht="15.75" x14ac:dyDescent="0.25">
      <c r="B18" s="77"/>
      <c r="C18" s="17" t="str">
        <f>IF($B18="","",IF($I$4="2008/2009",VLOOKUP($B18,Courses_List!$A$3:$T$102,2,FALSE),IF($I$4="2009/2010",VLOOKUP($B18,Courses_List!$E$3:$F$102,2,FALSE),IF($I$4="2010/2011",VLOOKUP($B18,Courses_List!$I$3:$J$102,2,FALSE),IF($I$4="2011/2012",VLOOKUP($B18,Courses_List!$M$3:$N$102,2,FALSE),IF($I$4="2012/2013",VLOOKUP($B18,Courses_List!$Q$3:$R$102,2,FALSE),"INVALID"))))))</f>
        <v/>
      </c>
      <c r="D18" s="17" t="str">
        <f>IF($B18="","",IF($I$4="2008/2009",VLOOKUP($B18,Courses_List!$A$3:$C$102,3,FALSE),IF($I$4="2009/2010",VLOOKUP($B18,Courses_List!$E$3:$G$102,3,FALSE),IF($I$4="2010/2011",VLOOKUP($B18,Courses_List!$I$3:$K$102,3,FALSE),IF($I$4="2011/2012",VLOOKUP($B18,Courses_List!$M$3:$O$102,3,FALSE),IF($I$4="2012/2013",VLOOKUP($B18,Courses_List!$Q$3:$S$102,3,FALSE),"INVALID"))))))</f>
        <v/>
      </c>
      <c r="E18" s="17" t="str">
        <f>IF($B18="","",IF($I$4="2008/2009",VLOOKUP($B18,Courses_List!$A$3:$D$102,4,FALSE),IF($I$4="2009/2010",VLOOKUP($B18,Courses_List!$E$3:$H$102,4,FALSE),IF($I$4="2010/2011",VLOOKUP($B18,Courses_List!$I$3:$L$102,4,FALSE),IF($I$4="2011/2012",VLOOKUP($B18,Courses_List!$M$3:$P$102,4,FALSE),IF($I$4="2012/2013",VLOOKUP($B18,Courses_List!$Q$3:$T$102,4,FALSE),"INVALID"))))))</f>
        <v/>
      </c>
      <c r="F18" s="78" t="str">
        <f t="shared" si="2"/>
        <v/>
      </c>
      <c r="G18" s="17" t="str">
        <f t="shared" si="0"/>
        <v/>
      </c>
      <c r="H18" s="17" t="str">
        <f t="shared" si="1"/>
        <v/>
      </c>
      <c r="I18" s="8"/>
      <c r="J18" s="12"/>
      <c r="K18" s="2"/>
    </row>
    <row r="19" spans="2:11" ht="15.75" customHeight="1" x14ac:dyDescent="0.25">
      <c r="B19" s="77"/>
      <c r="C19" s="17" t="str">
        <f>IF($B19="","",IF($I$4="2008/2009",VLOOKUP($B19,Courses_List!$A$3:$T$102,2,FALSE),IF($I$4="2009/2010",VLOOKUP($B19,Courses_List!$E$3:$F$102,2,FALSE),IF($I$4="2010/2011",VLOOKUP($B19,Courses_List!$I$3:$J$102,2,FALSE),IF($I$4="2011/2012",VLOOKUP($B19,Courses_List!$M$3:$N$102,2,FALSE),IF($I$4="2012/2013",VLOOKUP($B19,Courses_List!$Q$3:$R$102,2,FALSE),"INVALID"))))))</f>
        <v/>
      </c>
      <c r="D19" s="17" t="str">
        <f>IF($B19="","",IF($I$4="2008/2009",VLOOKUP($B19,Courses_List!$A$3:$C$102,3,FALSE),IF($I$4="2009/2010",VLOOKUP($B19,Courses_List!$E$3:$G$102,3,FALSE),IF($I$4="2010/2011",VLOOKUP($B19,Courses_List!$I$3:$K$102,3,FALSE),IF($I$4="2011/2012",VLOOKUP($B19,Courses_List!$M$3:$O$102,3,FALSE),IF($I$4="2012/2013",VLOOKUP($B19,Courses_List!$Q$3:$S$102,3,FALSE),"INVALID"))))))</f>
        <v/>
      </c>
      <c r="E19" s="17" t="str">
        <f>IF($B19="","",IF($I$4="2008/2009",VLOOKUP($B19,Courses_List!$A$3:$D$102,4,FALSE),IF($I$4="2009/2010",VLOOKUP($B19,Courses_List!$E$3:$H$102,4,FALSE),IF($I$4="2010/2011",VLOOKUP($B19,Courses_List!$I$3:$L$102,4,FALSE),IF($I$4="2011/2012",VLOOKUP($B19,Courses_List!$M$3:$P$102,4,FALSE),IF($I$4="2012/2013",VLOOKUP($B19,Courses_List!$Q$3:$T$102,4,FALSE),"INVALID"))))))</f>
        <v/>
      </c>
      <c r="F19" s="78" t="str">
        <f t="shared" si="2"/>
        <v/>
      </c>
      <c r="G19" s="17" t="str">
        <f t="shared" si="0"/>
        <v/>
      </c>
      <c r="H19" s="17" t="str">
        <f t="shared" si="1"/>
        <v/>
      </c>
      <c r="I19" s="8"/>
      <c r="J19" s="12"/>
      <c r="K19" s="2"/>
    </row>
    <row r="20" spans="2:11" ht="15.75" x14ac:dyDescent="0.25">
      <c r="B20" s="77"/>
      <c r="C20" s="17" t="str">
        <f>IF($B20="","",IF($I$4="2008/2009",VLOOKUP($B20,Courses_List!$A$3:$T$102,2,FALSE),IF($I$4="2009/2010",VLOOKUP($B20,Courses_List!$E$3:$F$102,2,FALSE),IF($I$4="2010/2011",VLOOKUP($B20,Courses_List!$I$3:$J$102,2,FALSE),IF($I$4="2011/2012",VLOOKUP($B20,Courses_List!$M$3:$N$102,2,FALSE),IF($I$4="2012/2013",VLOOKUP($B20,Courses_List!$Q$3:$R$102,2,FALSE),"INVALID"))))))</f>
        <v/>
      </c>
      <c r="D20" s="17" t="str">
        <f>IF($B20="","",IF($I$4="2008/2009",VLOOKUP($B20,Courses_List!$A$3:$C$102,3,FALSE),IF($I$4="2009/2010",VLOOKUP($B20,Courses_List!$E$3:$G$102,3,FALSE),IF($I$4="2010/2011",VLOOKUP($B20,Courses_List!$I$3:$K$102,3,FALSE),IF($I$4="2011/2012",VLOOKUP($B20,Courses_List!$M$3:$O$102,3,FALSE),IF($I$4="2012/2013",VLOOKUP($B20,Courses_List!$Q$3:$S$102,3,FALSE),"INVALID"))))))</f>
        <v/>
      </c>
      <c r="E20" s="17" t="str">
        <f>IF($B20="","",IF($I$4="2008/2009",VLOOKUP($B20,Courses_List!$A$3:$D$102,4,FALSE),IF($I$4="2009/2010",VLOOKUP($B20,Courses_List!$E$3:$H$102,4,FALSE),IF($I$4="2010/2011",VLOOKUP($B20,Courses_List!$I$3:$L$102,4,FALSE),IF($I$4="2011/2012",VLOOKUP($B20,Courses_List!$M$3:$P$102,4,FALSE),IF($I$4="2012/2013",VLOOKUP($B20,Courses_List!$Q$3:$T$102,4,FALSE),"INVALID"))))))</f>
        <v/>
      </c>
      <c r="F20" s="78" t="str">
        <f t="shared" si="2"/>
        <v/>
      </c>
      <c r="G20" s="17" t="str">
        <f t="shared" si="0"/>
        <v/>
      </c>
      <c r="H20" s="17" t="str">
        <f t="shared" si="1"/>
        <v/>
      </c>
      <c r="I20" s="8"/>
      <c r="J20" s="12"/>
      <c r="K20" s="2"/>
    </row>
    <row r="21" spans="2:11" ht="15.75" x14ac:dyDescent="0.25">
      <c r="B21" s="77"/>
      <c r="C21" s="17" t="str">
        <f>IF($B21="","",IF($I$4="2008/2009",VLOOKUP($B21,Courses_List!$A$3:$T$102,2,FALSE),IF($I$4="2009/2010",VLOOKUP($B21,Courses_List!$E$3:$F$102,2,FALSE),IF($I$4="2010/2011",VLOOKUP($B21,Courses_List!$I$3:$J$102,2,FALSE),IF($I$4="2011/2012",VLOOKUP($B21,Courses_List!$M$3:$N$102,2,FALSE),IF($I$4="2012/2013",VLOOKUP($B21,Courses_List!$Q$3:$R$102,2,FALSE),"INVALID"))))))</f>
        <v/>
      </c>
      <c r="D21" s="17" t="str">
        <f>IF($B21="","",IF($I$4="2008/2009",VLOOKUP($B21,Courses_List!$A$3:$C$102,3,FALSE),IF($I$4="2009/2010",VLOOKUP($B21,Courses_List!$E$3:$G$102,3,FALSE),IF($I$4="2010/2011",VLOOKUP($B21,Courses_List!$I$3:$K$102,3,FALSE),IF($I$4="2011/2012",VLOOKUP($B21,Courses_List!$M$3:$O$102,3,FALSE),IF($I$4="2012/2013",VLOOKUP($B21,Courses_List!$Q$3:$S$102,3,FALSE),"INVALID"))))))</f>
        <v/>
      </c>
      <c r="E21" s="17" t="str">
        <f>IF($B21="","",IF($I$4="2008/2009",VLOOKUP($B21,Courses_List!$A$3:$D$102,4,FALSE),IF($I$4="2009/2010",VLOOKUP($B21,Courses_List!$E$3:$H$102,4,FALSE),IF($I$4="2010/2011",VLOOKUP($B21,Courses_List!$I$3:$L$102,4,FALSE),IF($I$4="2011/2012",VLOOKUP($B21,Courses_List!$M$3:$P$102,4,FALSE),IF($I$4="2012/2013",VLOOKUP($B21,Courses_List!$Q$3:$T$102,4,FALSE),"INVALID"))))))</f>
        <v/>
      </c>
      <c r="F21" s="78" t="str">
        <f t="shared" si="2"/>
        <v/>
      </c>
      <c r="G21" s="17" t="str">
        <f t="shared" si="0"/>
        <v/>
      </c>
      <c r="H21" s="17" t="str">
        <f t="shared" si="1"/>
        <v/>
      </c>
      <c r="I21" s="8"/>
      <c r="J21" s="12"/>
      <c r="K21" s="2"/>
    </row>
    <row r="22" spans="2:11" ht="15.75" x14ac:dyDescent="0.25">
      <c r="B22" s="77"/>
      <c r="C22" s="17" t="str">
        <f>IF($B22="","",IF($I$4="2008/2009",VLOOKUP($B22,Courses_List!$A$3:$T$102,2,FALSE),IF($I$4="2009/2010",VLOOKUP($B22,Courses_List!$E$3:$F$102,2,FALSE),IF($I$4="2010/2011",VLOOKUP($B22,Courses_List!$I$3:$J$102,2,FALSE),IF($I$4="2011/2012",VLOOKUP($B22,Courses_List!$M$3:$N$102,2,FALSE),IF($I$4="2012/2013",VLOOKUP($B22,Courses_List!$Q$3:$R$102,2,FALSE),"INVALID"))))))</f>
        <v/>
      </c>
      <c r="D22" s="17" t="str">
        <f>IF($B22="","",IF($I$4="2008/2009",VLOOKUP($B22,Courses_List!$A$3:$C$102,3,FALSE),IF($I$4="2009/2010",VLOOKUP($B22,Courses_List!$E$3:$G$102,3,FALSE),IF($I$4="2010/2011",VLOOKUP($B22,Courses_List!$I$3:$K$102,3,FALSE),IF($I$4="2011/2012",VLOOKUP($B22,Courses_List!$M$3:$O$102,3,FALSE),IF($I$4="2012/2013",VLOOKUP($B22,Courses_List!$Q$3:$S$102,3,FALSE),"INVALID"))))))</f>
        <v/>
      </c>
      <c r="E22" s="17" t="str">
        <f>IF($B22="","",IF($I$4="2008/2009",VLOOKUP($B22,Courses_List!$A$3:$D$102,4,FALSE),IF($I$4="2009/2010",VLOOKUP($B22,Courses_List!$E$3:$H$102,4,FALSE),IF($I$4="2010/2011",VLOOKUP($B22,Courses_List!$I$3:$L$102,4,FALSE),IF($I$4="2011/2012",VLOOKUP($B22,Courses_List!$M$3:$P$102,4,FALSE),IF($I$4="2012/2013",VLOOKUP($B22,Courses_List!$Q$3:$T$102,4,FALSE),"INVALID"))))))</f>
        <v/>
      </c>
      <c r="F22" s="78" t="str">
        <f t="shared" si="2"/>
        <v/>
      </c>
      <c r="G22" s="17" t="str">
        <f t="shared" si="0"/>
        <v/>
      </c>
      <c r="H22" s="17" t="str">
        <f t="shared" si="1"/>
        <v/>
      </c>
      <c r="I22" s="8"/>
      <c r="J22" s="12"/>
      <c r="K22" s="2"/>
    </row>
    <row r="23" spans="2:11" ht="15.75" x14ac:dyDescent="0.25">
      <c r="B23" s="77"/>
      <c r="C23" s="17" t="str">
        <f>IF($B23="","",IF($I$4="2008/2009",VLOOKUP($B23,Courses_List!$A$3:$T$102,2,FALSE),IF($I$4="2009/2010",VLOOKUP($B23,Courses_List!$E$3:$F$102,2,FALSE),IF($I$4="2010/2011",VLOOKUP($B23,Courses_List!$I$3:$J$102,2,FALSE),IF($I$4="2011/2012",VLOOKUP($B23,Courses_List!$M$3:$N$102,2,FALSE),IF($I$4="2012/2013",VLOOKUP($B23,Courses_List!$Q$3:$R$102,2,FALSE),"INVALID"))))))</f>
        <v/>
      </c>
      <c r="D23" s="17" t="str">
        <f>IF($B23="","",IF($I$4="2008/2009",VLOOKUP($B23,Courses_List!$A$3:$C$102,3,FALSE),IF($I$4="2009/2010",VLOOKUP($B23,Courses_List!$E$3:$G$102,3,FALSE),IF($I$4="2010/2011",VLOOKUP($B23,Courses_List!$I$3:$K$102,3,FALSE),IF($I$4="2011/2012",VLOOKUP($B23,Courses_List!$M$3:$O$102,3,FALSE),IF($I$4="2012/2013",VLOOKUP($B23,Courses_List!$Q$3:$S$102,3,FALSE),"INVALID"))))))</f>
        <v/>
      </c>
      <c r="E23" s="17" t="str">
        <f>IF($B23="","",IF($I$4="2008/2009",VLOOKUP($B23,Courses_List!$A$3:$D$102,4,FALSE),IF($I$4="2009/2010",VLOOKUP($B23,Courses_List!$E$3:$H$102,4,FALSE),IF($I$4="2010/2011",VLOOKUP($B23,Courses_List!$I$3:$L$102,4,FALSE),IF($I$4="2011/2012",VLOOKUP($B23,Courses_List!$M$3:$P$102,4,FALSE),IF($I$4="2012/2013",VLOOKUP($B23,Courses_List!$Q$3:$T$102,4,FALSE),"INVALID"))))))</f>
        <v/>
      </c>
      <c r="F23" s="78" t="str">
        <f t="shared" si="2"/>
        <v/>
      </c>
      <c r="G23" s="17" t="str">
        <f t="shared" si="0"/>
        <v/>
      </c>
      <c r="H23" s="17" t="str">
        <f t="shared" si="1"/>
        <v/>
      </c>
      <c r="I23" s="8"/>
      <c r="J23" s="12"/>
      <c r="K23" s="2"/>
    </row>
    <row r="24" spans="2:11" ht="15.75" x14ac:dyDescent="0.25">
      <c r="B24" s="77"/>
      <c r="C24" s="17" t="str">
        <f>IF($B24="","",IF($I$4="2008/2009",VLOOKUP($B24,Courses_List!$A$3:$T$102,2,FALSE),IF($I$4="2009/2010",VLOOKUP($B24,Courses_List!$E$3:$F$102,2,FALSE),IF($I$4="2010/2011",VLOOKUP($B24,Courses_List!$I$3:$J$102,2,FALSE),IF($I$4="2011/2012",VLOOKUP($B24,Courses_List!$M$3:$N$102,2,FALSE),IF($I$4="2012/2013",VLOOKUP($B24,Courses_List!$Q$3:$R$102,2,FALSE),"INVALID"))))))</f>
        <v/>
      </c>
      <c r="D24" s="17" t="str">
        <f>IF($B24="","",IF($I$4="2008/2009",VLOOKUP($B24,Courses_List!$A$3:$C$102,3,FALSE),IF($I$4="2009/2010",VLOOKUP($B24,Courses_List!$E$3:$G$102,3,FALSE),IF($I$4="2010/2011",VLOOKUP($B24,Courses_List!$I$3:$K$102,3,FALSE),IF($I$4="2011/2012",VLOOKUP($B24,Courses_List!$M$3:$O$102,3,FALSE),IF($I$4="2012/2013",VLOOKUP($B24,Courses_List!$Q$3:$S$102,3,FALSE),"INVALID"))))))</f>
        <v/>
      </c>
      <c r="E24" s="17" t="str">
        <f>IF($B24="","",IF($I$4="2008/2009",VLOOKUP($B24,Courses_List!$A$3:$D$102,4,FALSE),IF($I$4="2009/2010",VLOOKUP($B24,Courses_List!$E$3:$H$102,4,FALSE),IF($I$4="2010/2011",VLOOKUP($B24,Courses_List!$I$3:$L$102,4,FALSE),IF($I$4="2011/2012",VLOOKUP($B24,Courses_List!$M$3:$P$102,4,FALSE),IF($I$4="2012/2013",VLOOKUP($B24,Courses_List!$Q$3:$T$102,4,FALSE),"INVALID"))))))</f>
        <v/>
      </c>
      <c r="F24" s="78" t="str">
        <f t="shared" si="2"/>
        <v/>
      </c>
      <c r="G24" s="17" t="str">
        <f t="shared" si="0"/>
        <v/>
      </c>
      <c r="H24" s="17" t="str">
        <f t="shared" si="1"/>
        <v/>
      </c>
      <c r="I24" s="8"/>
      <c r="J24" s="12"/>
      <c r="K24" s="2"/>
    </row>
    <row r="25" spans="2:11" ht="15.75" x14ac:dyDescent="0.25">
      <c r="B25" s="77"/>
      <c r="C25" s="17" t="str">
        <f>IF($B25="","",IF($I$4="2008/2009",VLOOKUP($B25,Courses_List!$A$3:$T$102,2,FALSE),IF($I$4="2009/2010",VLOOKUP($B25,Courses_List!$E$3:$F$102,2,FALSE),IF($I$4="2010/2011",VLOOKUP($B25,Courses_List!$I$3:$J$102,2,FALSE),IF($I$4="2011/2012",VLOOKUP($B25,Courses_List!$M$3:$N$102,2,FALSE),IF($I$4="2012/2013",VLOOKUP($B25,Courses_List!$Q$3:$R$102,2,FALSE),"INVALID"))))))</f>
        <v/>
      </c>
      <c r="D25" s="17" t="str">
        <f>IF($B25="","",IF($I$4="2008/2009",VLOOKUP($B25,Courses_List!$A$3:$C$102,3,FALSE),IF($I$4="2009/2010",VLOOKUP($B25,Courses_List!$E$3:$G$102,3,FALSE),IF($I$4="2010/2011",VLOOKUP($B25,Courses_List!$I$3:$K$102,3,FALSE),IF($I$4="2011/2012",VLOOKUP($B25,Courses_List!$M$3:$O$102,3,FALSE),IF($I$4="2012/2013",VLOOKUP($B25,Courses_List!$Q$3:$S$102,3,FALSE),"INVALID"))))))</f>
        <v/>
      </c>
      <c r="E25" s="17" t="str">
        <f>IF($B25="","",IF($I$4="2008/2009",VLOOKUP($B25,Courses_List!$A$3:$D$102,4,FALSE),IF($I$4="2009/2010",VLOOKUP($B25,Courses_List!$E$3:$H$102,4,FALSE),IF($I$4="2010/2011",VLOOKUP($B25,Courses_List!$I$3:$L$102,4,FALSE),IF($I$4="2011/2012",VLOOKUP($B25,Courses_List!$M$3:$P$102,4,FALSE),IF($I$4="2012/2013",VLOOKUP($B25,Courses_List!$Q$3:$T$102,4,FALSE),"INVALID"))))))</f>
        <v/>
      </c>
      <c r="F25" s="78" t="str">
        <f t="shared" si="2"/>
        <v/>
      </c>
      <c r="G25" s="17" t="str">
        <f t="shared" si="0"/>
        <v/>
      </c>
      <c r="H25" s="17" t="str">
        <f t="shared" si="1"/>
        <v/>
      </c>
      <c r="I25" s="8"/>
      <c r="J25" s="12"/>
      <c r="K25" s="2"/>
    </row>
    <row r="26" spans="2:11" ht="15.75" x14ac:dyDescent="0.25">
      <c r="B26" s="77"/>
      <c r="C26" s="17" t="str">
        <f>IF($B26="","",IF($I$4="2008/2009",VLOOKUP($B26,Courses_List!$A$3:$T$102,2,FALSE),IF($I$4="2009/2010",VLOOKUP($B26,Courses_List!$E$3:$F$102,2,FALSE),IF($I$4="2010/2011",VLOOKUP($B26,Courses_List!$I$3:$J$102,2,FALSE),IF($I$4="2011/2012",VLOOKUP($B26,Courses_List!$M$3:$N$102,2,FALSE),IF($I$4="2012/2013",VLOOKUP($B26,Courses_List!$Q$3:$R$102,2,FALSE),"INVALID"))))))</f>
        <v/>
      </c>
      <c r="D26" s="17" t="str">
        <f>IF($B26="","",IF($I$4="2008/2009",VLOOKUP($B26,Courses_List!$A$3:$C$102,3,FALSE),IF($I$4="2009/2010",VLOOKUP($B26,Courses_List!$E$3:$G$102,3,FALSE),IF($I$4="2010/2011",VLOOKUP($B26,Courses_List!$I$3:$K$102,3,FALSE),IF($I$4="2011/2012",VLOOKUP($B26,Courses_List!$M$3:$O$102,3,FALSE),IF($I$4="2012/2013",VLOOKUP($B26,Courses_List!$Q$3:$S$102,3,FALSE),"INVALID"))))))</f>
        <v/>
      </c>
      <c r="E26" s="17" t="str">
        <f>IF($B26="","",IF($I$4="2008/2009",VLOOKUP($B26,Courses_List!$A$3:$D$102,4,FALSE),IF($I$4="2009/2010",VLOOKUP($B26,Courses_List!$E$3:$H$102,4,FALSE),IF($I$4="2010/2011",VLOOKUP($B26,Courses_List!$I$3:$L$102,4,FALSE),IF($I$4="2011/2012",VLOOKUP($B26,Courses_List!$M$3:$P$102,4,FALSE),IF($I$4="2012/2013",VLOOKUP($B26,Courses_List!$Q$3:$T$102,4,FALSE),"INVALID"))))))</f>
        <v/>
      </c>
      <c r="F26" s="78" t="str">
        <f t="shared" si="2"/>
        <v/>
      </c>
      <c r="G26" s="17" t="str">
        <f t="shared" si="0"/>
        <v/>
      </c>
      <c r="H26" s="17" t="str">
        <f t="shared" si="1"/>
        <v/>
      </c>
      <c r="I26" s="8"/>
      <c r="J26" s="12"/>
      <c r="K26" s="2"/>
    </row>
    <row r="27" spans="2:11" ht="15.75" x14ac:dyDescent="0.25">
      <c r="B27" s="77"/>
      <c r="C27" s="17" t="str">
        <f>IF($B27="","",IF($I$4="2008/2009",VLOOKUP($B27,Courses_List!$A$3:$T$102,2,FALSE),IF($I$4="2009/2010",VLOOKUP($B27,Courses_List!$E$3:$F$102,2,FALSE),IF($I$4="2010/2011",VLOOKUP($B27,Courses_List!$I$3:$J$102,2,FALSE),IF($I$4="2011/2012",VLOOKUP($B27,Courses_List!$M$3:$N$102,2,FALSE),IF($I$4="2012/2013",VLOOKUP($B27,Courses_List!$Q$3:$R$102,2,FALSE),"INVALID"))))))</f>
        <v/>
      </c>
      <c r="D27" s="17" t="str">
        <f>IF($B27="","",IF($I$4="2008/2009",VLOOKUP($B27,Courses_List!$A$3:$C$102,3,FALSE),IF($I$4="2009/2010",VLOOKUP($B27,Courses_List!$E$3:$G$102,3,FALSE),IF($I$4="2010/2011",VLOOKUP($B27,Courses_List!$I$3:$K$102,3,FALSE),IF($I$4="2011/2012",VLOOKUP($B27,Courses_List!$M$3:$O$102,3,FALSE),IF($I$4="2012/2013",VLOOKUP($B27,Courses_List!$Q$3:$S$102,3,FALSE),"INVALID"))))))</f>
        <v/>
      </c>
      <c r="E27" s="17" t="str">
        <f>IF($B27="","",IF($I$4="2008/2009",VLOOKUP($B27,Courses_List!$A$3:$D$102,4,FALSE),IF($I$4="2009/2010",VLOOKUP($B27,Courses_List!$E$3:$H$102,4,FALSE),IF($I$4="2010/2011",VLOOKUP($B27,Courses_List!$I$3:$L$102,4,FALSE),IF($I$4="2011/2012",VLOOKUP($B27,Courses_List!$M$3:$P$102,4,FALSE),IF($I$4="2012/2013",VLOOKUP($B27,Courses_List!$Q$3:$T$102,4,FALSE),"INVALID"))))))</f>
        <v/>
      </c>
      <c r="F27" s="78" t="str">
        <f t="shared" si="2"/>
        <v/>
      </c>
      <c r="G27" s="17" t="str">
        <f t="shared" si="0"/>
        <v/>
      </c>
      <c r="H27" s="17" t="str">
        <f t="shared" si="1"/>
        <v/>
      </c>
      <c r="I27" s="8"/>
      <c r="J27" s="12"/>
      <c r="K27" s="2"/>
    </row>
    <row r="28" spans="2:11" ht="15.75" x14ac:dyDescent="0.25">
      <c r="B28" s="77"/>
      <c r="C28" s="17" t="str">
        <f>IF($B28="","",IF($I$4="2008/2009",VLOOKUP($B28,Courses_List!$A$3:$T$102,2,FALSE),IF($I$4="2009/2010",VLOOKUP($B28,Courses_List!$E$3:$F$102,2,FALSE),IF($I$4="2010/2011",VLOOKUP($B28,Courses_List!$I$3:$J$102,2,FALSE),IF($I$4="2011/2012",VLOOKUP($B28,Courses_List!$M$3:$N$102,2,FALSE),IF($I$4="2012/2013",VLOOKUP($B28,Courses_List!$Q$3:$R$102,2,FALSE),"INVALID"))))))</f>
        <v/>
      </c>
      <c r="D28" s="17" t="str">
        <f>IF($B28="","",IF($I$4="2008/2009",VLOOKUP($B28,Courses_List!$A$3:$C$102,3,FALSE),IF($I$4="2009/2010",VLOOKUP($B28,Courses_List!$E$3:$G$102,3,FALSE),IF($I$4="2010/2011",VLOOKUP($B28,Courses_List!$I$3:$K$102,3,FALSE),IF($I$4="2011/2012",VLOOKUP($B28,Courses_List!$M$3:$O$102,3,FALSE),IF($I$4="2012/2013",VLOOKUP($B28,Courses_List!$Q$3:$S$102,3,FALSE),"INVALID"))))))</f>
        <v/>
      </c>
      <c r="E28" s="17" t="str">
        <f>IF($B28="","",IF($I$4="2008/2009",VLOOKUP($B28,Courses_List!$A$3:$D$102,4,FALSE),IF($I$4="2009/2010",VLOOKUP($B28,Courses_List!$E$3:$H$102,4,FALSE),IF($I$4="2010/2011",VLOOKUP($B28,Courses_List!$I$3:$L$102,4,FALSE),IF($I$4="2011/2012",VLOOKUP($B28,Courses_List!$M$3:$P$102,4,FALSE),IF($I$4="2012/2013",VLOOKUP($B28,Courses_List!$Q$3:$T$102,4,FALSE),"INVALID"))))))</f>
        <v/>
      </c>
      <c r="F28" s="78" t="str">
        <f t="shared" si="2"/>
        <v/>
      </c>
      <c r="G28" s="17" t="str">
        <f t="shared" si="0"/>
        <v/>
      </c>
      <c r="H28" s="17" t="str">
        <f t="shared" si="1"/>
        <v/>
      </c>
      <c r="I28" s="8"/>
      <c r="J28" s="12"/>
      <c r="K28" s="2"/>
    </row>
    <row r="29" spans="2:11" ht="15.75" x14ac:dyDescent="0.25">
      <c r="B29" s="1"/>
      <c r="C29" s="19">
        <f>SUM(C9:C28)</f>
        <v>7</v>
      </c>
      <c r="D29" s="142" t="str">
        <f>IF($I$2="Library",SUM(D9:D28),"")</f>
        <v/>
      </c>
      <c r="E29" s="142" t="str">
        <f>IF($I$2="Library",SUM(E9:E28),"")</f>
        <v/>
      </c>
      <c r="F29" s="142"/>
      <c r="G29" s="19">
        <f>SUM(G9:G28)</f>
        <v>278</v>
      </c>
      <c r="H29" s="17">
        <f>SUM(H9:H28)</f>
        <v>32</v>
      </c>
      <c r="I29" s="8"/>
      <c r="J29" s="8"/>
      <c r="K29" s="2"/>
    </row>
    <row r="30" spans="2:11" ht="15.75" x14ac:dyDescent="0.25">
      <c r="B30" s="7"/>
      <c r="C30" s="7"/>
      <c r="D30" s="13"/>
      <c r="E30" s="7"/>
      <c r="F30" s="7"/>
      <c r="G30" s="7"/>
      <c r="H30" s="13"/>
      <c r="I30" s="7"/>
      <c r="J30" s="8"/>
      <c r="K30" s="8"/>
    </row>
    <row r="31" spans="2:11" ht="15.75" x14ac:dyDescent="0.25">
      <c r="B31" s="212" t="s">
        <v>17</v>
      </c>
      <c r="C31" s="212"/>
      <c r="D31" s="150" t="str">
        <f>IF(LEFT($I$2,4)="CMUL","10:1",IF(OR($I$2="Engineering",$I$2="Environmental Sciences"),"15:1",IF( $I$2="Sciences","20:1",IF($I$2="Library","400:1","30:1"))))</f>
        <v>15:1</v>
      </c>
      <c r="E31" s="7"/>
      <c r="F31" s="7"/>
      <c r="G31" s="7"/>
      <c r="H31" s="13"/>
      <c r="I31" s="7"/>
      <c r="J31" s="8"/>
      <c r="K31" s="8"/>
    </row>
    <row r="32" spans="2:11" ht="15.75" x14ac:dyDescent="0.25">
      <c r="B32" s="152" t="str">
        <f>IF($I$2="Library", "","K = 15 x R")</f>
        <v>K = 15 x R</v>
      </c>
      <c r="C32" s="152"/>
      <c r="D32" s="13"/>
      <c r="E32" s="20">
        <f>IF($I$2="Library","",15*LEFT($D31,2))</f>
        <v>225</v>
      </c>
      <c r="F32" s="137"/>
      <c r="G32" s="7"/>
      <c r="H32" s="13"/>
      <c r="I32" s="7"/>
      <c r="J32" s="8"/>
      <c r="K32" s="8"/>
    </row>
    <row r="33" spans="1:10" x14ac:dyDescent="0.25">
      <c r="B33" s="21"/>
      <c r="C33" s="21"/>
      <c r="E33" s="21"/>
    </row>
    <row r="34" spans="1:10" ht="15.75" x14ac:dyDescent="0.25">
      <c r="B34" s="212" t="str">
        <f>IF($I$2="Library","","No. of Semesters:")</f>
        <v>No. of Semesters:</v>
      </c>
      <c r="C34" s="212"/>
      <c r="D34" s="14">
        <v>1</v>
      </c>
      <c r="E34" s="22"/>
      <c r="F34" s="7"/>
      <c r="G34" s="7"/>
      <c r="H34" s="7"/>
      <c r="I34" s="8"/>
      <c r="J34" s="7"/>
    </row>
    <row r="35" spans="1:10" ht="15.75" x14ac:dyDescent="0.25">
      <c r="B35" s="212" t="str">
        <f>IF($I$2="Library","","Normal Students Credits (NSC):")</f>
        <v>Normal Students Credits (NSC):</v>
      </c>
      <c r="C35" s="212"/>
      <c r="D35" s="8"/>
      <c r="E35" s="68">
        <f>IF($I$2="Library","",$D$34*$E$32/4)</f>
        <v>56.25</v>
      </c>
      <c r="F35" s="7"/>
      <c r="G35" s="7"/>
      <c r="H35" s="7"/>
      <c r="I35" s="8"/>
      <c r="J35" s="7"/>
    </row>
    <row r="36" spans="1:10" ht="15.75" x14ac:dyDescent="0.25">
      <c r="A36" s="7"/>
      <c r="B36" s="22"/>
      <c r="C36" s="22"/>
      <c r="D36" s="7"/>
      <c r="E36" s="42"/>
      <c r="F36" s="7"/>
      <c r="G36" s="7"/>
      <c r="H36" s="7"/>
      <c r="I36" s="8"/>
      <c r="J36" s="7"/>
    </row>
    <row r="37" spans="1:10" ht="15.75" x14ac:dyDescent="0.25">
      <c r="A37" s="7" t="s">
        <v>9</v>
      </c>
      <c r="B37" s="212" t="str">
        <f>IF($I$2="Library", "EWLU (Excess Work Load Units) Required:","HC (Hour Component):")</f>
        <v>HC (Hour Component):</v>
      </c>
      <c r="C37" s="212"/>
      <c r="D37" s="7"/>
      <c r="E37" s="24">
        <f>IF($I$2="Library","",$H$29)</f>
        <v>32</v>
      </c>
      <c r="F37" s="7"/>
      <c r="G37" s="7"/>
      <c r="H37" s="7"/>
      <c r="I37" s="8"/>
      <c r="J37" s="7"/>
    </row>
    <row r="38" spans="1:10" ht="15.75" x14ac:dyDescent="0.25">
      <c r="A38" s="7"/>
      <c r="B38" s="151"/>
      <c r="C38" s="151"/>
      <c r="D38" s="7"/>
      <c r="E38" s="42"/>
      <c r="F38" s="7"/>
      <c r="G38" s="7"/>
      <c r="H38" s="7"/>
      <c r="I38" s="8"/>
      <c r="J38" s="7"/>
    </row>
    <row r="39" spans="1:10" ht="15.75" x14ac:dyDescent="0.25">
      <c r="A39" s="7" t="s">
        <v>10</v>
      </c>
      <c r="B39" s="212" t="str">
        <f>IF($I$2="Library","","CLC (Credit Load Component):")</f>
        <v>CLC (Credit Load Component):</v>
      </c>
      <c r="C39" s="212"/>
      <c r="D39" s="7"/>
      <c r="E39" s="24">
        <f>IF($I$2="Library",ROUND($D$29*8*1.3/400,2),$C$29*15)</f>
        <v>105</v>
      </c>
      <c r="F39" s="7"/>
      <c r="G39" s="7"/>
      <c r="H39" s="7"/>
      <c r="I39" s="8"/>
      <c r="J39" s="7"/>
    </row>
    <row r="40" spans="1:10" ht="15.75" x14ac:dyDescent="0.25">
      <c r="A40" s="7"/>
      <c r="B40" s="22"/>
      <c r="C40" s="22"/>
      <c r="D40" s="7"/>
      <c r="E40" s="42"/>
      <c r="F40" s="7"/>
      <c r="G40" s="7"/>
      <c r="H40" s="7"/>
      <c r="I40" s="8"/>
      <c r="J40" s="7"/>
    </row>
    <row r="41" spans="1:10" ht="15.75" x14ac:dyDescent="0.25">
      <c r="A41" s="7" t="s">
        <v>11</v>
      </c>
      <c r="B41" s="212" t="str">
        <f>IF($I$2="Library", "EWLU (Excess Work Load Units) Available:","PSC (Project Supervision Component):")</f>
        <v>PSC (Project Supervision Component):</v>
      </c>
      <c r="C41" s="212"/>
      <c r="D41" s="7"/>
      <c r="E41" s="42"/>
      <c r="F41" s="7"/>
      <c r="G41" s="7"/>
      <c r="H41" s="7"/>
      <c r="I41" s="8"/>
      <c r="J41" s="7"/>
    </row>
    <row r="42" spans="1:10" ht="15.75" x14ac:dyDescent="0.25">
      <c r="A42" s="7"/>
      <c r="B42" s="212" t="str">
        <f>IF($I$2="Library","","No. of Students:")</f>
        <v>No. of Students:</v>
      </c>
      <c r="C42" s="212"/>
      <c r="D42" s="14">
        <v>4</v>
      </c>
      <c r="E42" s="42"/>
      <c r="F42" s="7"/>
      <c r="G42" s="7"/>
      <c r="H42" s="7"/>
      <c r="I42" s="8"/>
      <c r="J42" s="7"/>
    </row>
    <row r="43" spans="1:10" ht="15.75" x14ac:dyDescent="0.25">
      <c r="A43" s="7"/>
      <c r="B43" s="212" t="str">
        <f>IF($I$2="Library","","Project Credit Unit(s):")</f>
        <v>Project Credit Unit(s):</v>
      </c>
      <c r="C43" s="212"/>
      <c r="D43" s="14">
        <v>4</v>
      </c>
      <c r="E43" s="42"/>
      <c r="F43" s="7"/>
      <c r="G43" s="7"/>
      <c r="H43" s="7"/>
      <c r="I43" s="8"/>
      <c r="J43" s="7"/>
    </row>
    <row r="44" spans="1:10" ht="15.75" x14ac:dyDescent="0.25">
      <c r="A44" s="7"/>
      <c r="B44" s="212" t="str">
        <f>IF($I$2="Library","","PSC:")</f>
        <v>PSC:</v>
      </c>
      <c r="C44" s="212"/>
      <c r="D44" s="7"/>
      <c r="E44" s="24">
        <f>IF($I$2="Library",ROUND($E$29*8*1.3,2),IF(AND($D$42&gt;=6,$D$42&lt;=10),1*$D$43*15,IF($D$42&gt;10,1.5*$D$43*15,0)))</f>
        <v>0</v>
      </c>
      <c r="F44" s="7"/>
      <c r="G44" s="7"/>
      <c r="H44" s="7"/>
      <c r="I44" s="8"/>
      <c r="J44" s="7"/>
    </row>
    <row r="45" spans="1:10" ht="15.75" x14ac:dyDescent="0.25">
      <c r="A45" s="7"/>
      <c r="B45" s="7"/>
      <c r="C45" s="7"/>
      <c r="D45" s="7"/>
      <c r="E45" s="23"/>
      <c r="F45" s="7"/>
      <c r="G45" s="7"/>
      <c r="H45" s="7"/>
      <c r="I45" s="8"/>
      <c r="J45" s="7"/>
    </row>
    <row r="46" spans="1:10" ht="15.75" x14ac:dyDescent="0.25">
      <c r="A46" s="7" t="s">
        <v>12</v>
      </c>
      <c r="B46" s="212" t="str">
        <f>IF($I$2="Library","","MR (Marking Ratio):")</f>
        <v>MR (Marking Ratio):</v>
      </c>
      <c r="C46" s="212"/>
      <c r="D46" s="7"/>
      <c r="E46" s="94">
        <f>IF($I$2="Library","",IF($C29=0,0,$G$29/$C$29))</f>
        <v>39.714285714285715</v>
      </c>
      <c r="F46" s="7"/>
      <c r="G46" s="7"/>
      <c r="H46" s="7"/>
      <c r="I46" s="8"/>
      <c r="J46" s="7"/>
    </row>
    <row r="47" spans="1:10" ht="15.75" x14ac:dyDescent="0.25">
      <c r="A47" s="7"/>
      <c r="B47" s="22"/>
      <c r="C47" s="22"/>
      <c r="D47" s="7"/>
      <c r="E47" s="95"/>
      <c r="F47" s="7"/>
      <c r="G47" s="7"/>
      <c r="H47" s="7"/>
      <c r="I47" s="8"/>
      <c r="J47" s="7"/>
    </row>
    <row r="48" spans="1:10" ht="15.75" x14ac:dyDescent="0.25">
      <c r="A48" s="7" t="s">
        <v>13</v>
      </c>
      <c r="B48" s="212" t="s">
        <v>15</v>
      </c>
      <c r="C48" s="212"/>
      <c r="D48" s="7"/>
      <c r="E48" s="94">
        <f>IF($I$2="Library",$E$39-$E$44,IF(SUM(E37:E46)-$E$35&lt;0,0,SUM(E37:E46)-$E$35))</f>
        <v>120.46428571428572</v>
      </c>
      <c r="F48" s="7"/>
      <c r="G48" s="7"/>
      <c r="H48" s="7"/>
      <c r="I48" s="8"/>
      <c r="J48" s="7"/>
    </row>
    <row r="49" spans="1:10" ht="15.75" x14ac:dyDescent="0.25">
      <c r="A49" s="7"/>
      <c r="B49" s="22"/>
      <c r="C49" s="22"/>
      <c r="D49" s="7"/>
      <c r="E49" s="25"/>
      <c r="F49" s="7"/>
      <c r="G49" s="7"/>
      <c r="H49" s="7"/>
      <c r="I49" s="8"/>
      <c r="J49" s="7"/>
    </row>
    <row r="50" spans="1:10" ht="15.75" x14ac:dyDescent="0.25">
      <c r="A50" s="7" t="s">
        <v>14</v>
      </c>
      <c r="B50" s="212" t="s">
        <v>16</v>
      </c>
      <c r="C50" s="212"/>
      <c r="D50" s="7"/>
      <c r="E50" s="26">
        <f>IF(OR(LEFT($G$4,1)="U",LEFT($G$4,1)="P",LEFT($G$4,1)="R",LEFT($G$4,1)="S"),$E$48*3500,$E$48*2000)</f>
        <v>421625</v>
      </c>
      <c r="F50" s="7"/>
      <c r="G50" s="7"/>
      <c r="H50" s="7"/>
      <c r="I50" s="8"/>
      <c r="J50" s="7"/>
    </row>
    <row r="51" spans="1:10" ht="15.75" x14ac:dyDescent="0.25">
      <c r="A51" s="7"/>
      <c r="B51" s="22"/>
      <c r="C51" s="22"/>
      <c r="D51" s="7"/>
      <c r="E51" s="7"/>
      <c r="F51" s="7"/>
      <c r="G51" s="7"/>
      <c r="H51" s="7"/>
      <c r="I51" s="8"/>
      <c r="J51" s="7"/>
    </row>
    <row r="52" spans="1:10" ht="15.75" x14ac:dyDescent="0.25">
      <c r="A52" s="7" t="s">
        <v>18</v>
      </c>
      <c r="B52" s="212" t="s">
        <v>41</v>
      </c>
      <c r="C52" s="212"/>
      <c r="D52" s="216" t="s">
        <v>19</v>
      </c>
      <c r="E52" s="216"/>
      <c r="F52" s="216"/>
      <c r="G52" s="216"/>
      <c r="H52" s="7"/>
      <c r="I52" s="8"/>
      <c r="J52" s="7"/>
    </row>
    <row r="53" spans="1:10" ht="15.75" x14ac:dyDescent="0.25">
      <c r="A53" s="7"/>
      <c r="B53" s="98"/>
      <c r="C53" s="98"/>
      <c r="D53" s="98"/>
      <c r="E53" s="98"/>
      <c r="F53" s="98"/>
      <c r="G53" s="98"/>
      <c r="H53" s="7"/>
      <c r="I53" s="8"/>
      <c r="J53" s="7"/>
    </row>
    <row r="54" spans="1:10" ht="15.75" x14ac:dyDescent="0.25">
      <c r="A54" s="7"/>
      <c r="B54" s="216" t="s">
        <v>20</v>
      </c>
      <c r="C54" s="216"/>
      <c r="D54" s="214"/>
      <c r="E54" s="214"/>
      <c r="F54" s="7" t="s">
        <v>21</v>
      </c>
      <c r="G54" s="215"/>
      <c r="H54" s="215"/>
      <c r="I54" s="8"/>
      <c r="J54" s="7"/>
    </row>
    <row r="55" spans="1:10" ht="15.75" x14ac:dyDescent="0.25">
      <c r="A55" s="7"/>
      <c r="B55" s="7"/>
      <c r="C55" s="7"/>
      <c r="D55" s="7"/>
      <c r="E55" s="7"/>
      <c r="F55" s="7"/>
      <c r="G55" s="7"/>
      <c r="H55" s="7"/>
      <c r="I55" s="8"/>
      <c r="J55" s="7"/>
    </row>
    <row r="56" spans="1:10" ht="15.75" x14ac:dyDescent="0.25">
      <c r="A56" s="7" t="s">
        <v>22</v>
      </c>
      <c r="B56" s="212" t="s">
        <v>23</v>
      </c>
      <c r="C56" s="212"/>
      <c r="D56" s="212"/>
      <c r="E56" s="7"/>
      <c r="F56" s="7"/>
      <c r="G56" s="7"/>
      <c r="H56" s="7"/>
      <c r="I56" s="8"/>
      <c r="J56" s="7"/>
    </row>
    <row r="57" spans="1:10" ht="15.75" x14ac:dyDescent="0.25">
      <c r="A57" s="7"/>
      <c r="B57" s="216" t="s">
        <v>24</v>
      </c>
      <c r="C57" s="216"/>
      <c r="D57" s="216"/>
      <c r="E57" s="216"/>
      <c r="F57" s="26">
        <f>$E$50</f>
        <v>421625</v>
      </c>
      <c r="G57" s="7"/>
      <c r="H57" s="7"/>
      <c r="I57" s="8"/>
      <c r="J57" s="7"/>
    </row>
    <row r="58" spans="1:10" ht="15.75" x14ac:dyDescent="0.25">
      <c r="A58" s="7"/>
      <c r="B58" s="98"/>
      <c r="C58" s="98"/>
      <c r="D58" s="98"/>
      <c r="E58" s="98"/>
      <c r="F58" s="15"/>
      <c r="G58" s="7"/>
      <c r="H58" s="7"/>
      <c r="I58" s="8"/>
      <c r="J58" s="7"/>
    </row>
    <row r="59" spans="1:10" ht="15.75" x14ac:dyDescent="0.25">
      <c r="A59" s="7"/>
      <c r="B59" s="7" t="s">
        <v>25</v>
      </c>
      <c r="C59" s="7"/>
      <c r="D59" s="214"/>
      <c r="E59" s="214"/>
      <c r="F59" s="7" t="s">
        <v>21</v>
      </c>
      <c r="G59" s="214"/>
      <c r="H59" s="214"/>
      <c r="I59" s="8"/>
      <c r="J59" s="7"/>
    </row>
    <row r="60" spans="1:10" ht="15.75" x14ac:dyDescent="0.25">
      <c r="A60" s="7"/>
      <c r="B60" s="7"/>
      <c r="C60" s="7"/>
      <c r="D60" s="7"/>
      <c r="E60" s="7"/>
      <c r="F60" s="7"/>
      <c r="G60" s="7"/>
      <c r="H60" s="7"/>
      <c r="I60" s="8"/>
      <c r="J60" s="7"/>
    </row>
    <row r="61" spans="1:10" ht="15.75" x14ac:dyDescent="0.25">
      <c r="A61" s="7" t="s">
        <v>26</v>
      </c>
      <c r="B61" s="212" t="s">
        <v>27</v>
      </c>
      <c r="C61" s="212"/>
      <c r="D61" s="212"/>
      <c r="E61" s="212"/>
      <c r="F61" s="7"/>
      <c r="G61" s="7"/>
      <c r="H61" s="7"/>
      <c r="I61" s="8"/>
      <c r="J61" s="7"/>
    </row>
    <row r="62" spans="1:10" ht="15.75" x14ac:dyDescent="0.25">
      <c r="A62" s="7"/>
      <c r="B62" s="216" t="s">
        <v>28</v>
      </c>
      <c r="C62" s="216"/>
      <c r="D62" s="216"/>
      <c r="E62" s="216"/>
      <c r="F62" s="26">
        <f>$E$50</f>
        <v>421625</v>
      </c>
      <c r="G62" s="7"/>
      <c r="H62" s="7"/>
      <c r="I62" s="8"/>
      <c r="J62" s="7"/>
    </row>
    <row r="63" spans="1:10" ht="15.75" x14ac:dyDescent="0.25">
      <c r="A63" s="7"/>
      <c r="B63" s="7"/>
      <c r="C63" s="7"/>
      <c r="D63" s="7"/>
      <c r="E63" s="7"/>
      <c r="F63" s="7"/>
      <c r="G63" s="7"/>
      <c r="H63" s="7"/>
      <c r="I63" s="8"/>
      <c r="J63" s="7"/>
    </row>
    <row r="64" spans="1:10" ht="15.75" x14ac:dyDescent="0.25">
      <c r="A64" s="7"/>
      <c r="B64" s="7" t="s">
        <v>29</v>
      </c>
      <c r="C64" s="215"/>
      <c r="D64" s="215"/>
      <c r="E64" s="7"/>
      <c r="F64" s="7" t="s">
        <v>21</v>
      </c>
      <c r="G64" s="214"/>
      <c r="H64" s="214"/>
      <c r="I64" s="8"/>
      <c r="J64" s="7"/>
    </row>
    <row r="65" spans="1:10" ht="15.75" x14ac:dyDescent="0.25">
      <c r="A65" s="7"/>
      <c r="B65" s="7"/>
      <c r="C65" s="7"/>
      <c r="D65" s="7"/>
      <c r="E65" s="7"/>
      <c r="F65" s="7"/>
      <c r="G65" s="7"/>
      <c r="H65" s="7"/>
      <c r="I65" s="8"/>
      <c r="J65" s="7"/>
    </row>
    <row r="66" spans="1:10" ht="15.75" x14ac:dyDescent="0.25">
      <c r="A66" s="7"/>
      <c r="B66" s="7"/>
      <c r="C66" s="7"/>
      <c r="D66" s="7"/>
      <c r="E66" s="7"/>
      <c r="F66" s="7"/>
      <c r="G66" s="7"/>
      <c r="H66" s="7"/>
      <c r="I66" s="8"/>
      <c r="J66" s="7"/>
    </row>
    <row r="67" spans="1:10" ht="15.75" x14ac:dyDescent="0.25">
      <c r="A67" s="7"/>
      <c r="B67" s="7"/>
      <c r="C67" s="7"/>
      <c r="D67" s="7"/>
      <c r="E67" s="7"/>
      <c r="F67" s="7"/>
      <c r="G67" s="7"/>
      <c r="H67" s="7"/>
      <c r="I67" s="8"/>
      <c r="J67" s="7"/>
    </row>
    <row r="68" spans="1:10" ht="15.75" x14ac:dyDescent="0.25">
      <c r="A68" s="7"/>
      <c r="B68" s="7"/>
      <c r="C68" s="7"/>
      <c r="D68" s="7"/>
      <c r="E68" s="7"/>
      <c r="F68" s="7"/>
      <c r="G68" s="7"/>
      <c r="H68" s="7"/>
      <c r="I68" s="8"/>
      <c r="J68" s="7"/>
    </row>
    <row r="69" spans="1:10" ht="15.75" x14ac:dyDescent="0.25">
      <c r="A69" s="7"/>
      <c r="B69" s="7"/>
      <c r="C69" s="7"/>
      <c r="D69" s="7"/>
      <c r="E69" s="7"/>
      <c r="F69" s="7"/>
      <c r="G69" s="7"/>
      <c r="H69" s="7"/>
      <c r="I69" s="8"/>
      <c r="J69" s="7"/>
    </row>
    <row r="70" spans="1:10" ht="15.75" x14ac:dyDescent="0.25">
      <c r="A70" s="7"/>
      <c r="B70" s="7"/>
      <c r="C70" s="7"/>
      <c r="D70" s="7"/>
      <c r="E70" s="7"/>
      <c r="F70" s="7"/>
      <c r="G70" s="7"/>
      <c r="H70" s="7"/>
      <c r="I70" s="8"/>
      <c r="J70" s="7"/>
    </row>
    <row r="71" spans="1:10" ht="15.75" x14ac:dyDescent="0.25">
      <c r="A71" s="7"/>
      <c r="B71" s="7"/>
      <c r="C71" s="7"/>
      <c r="D71" s="7"/>
      <c r="E71" s="7"/>
      <c r="F71" s="7"/>
      <c r="G71" s="7"/>
      <c r="H71" s="7"/>
      <c r="I71" s="8"/>
      <c r="J71" s="7"/>
    </row>
    <row r="72" spans="1:10" ht="15.75" x14ac:dyDescent="0.25">
      <c r="A72" s="7"/>
      <c r="B72" s="7"/>
      <c r="C72" s="7"/>
      <c r="D72" s="7"/>
      <c r="E72" s="7"/>
      <c r="F72" s="7"/>
      <c r="G72" s="7"/>
      <c r="H72" s="7"/>
      <c r="I72" s="8"/>
      <c r="J72" s="7"/>
    </row>
    <row r="73" spans="1:10" ht="15.75" x14ac:dyDescent="0.25">
      <c r="A73" s="7"/>
      <c r="B73" s="7"/>
      <c r="C73" s="7"/>
      <c r="D73" s="7"/>
      <c r="E73" s="7"/>
      <c r="F73" s="7"/>
      <c r="G73" s="7"/>
      <c r="H73" s="7"/>
      <c r="I73" s="8"/>
      <c r="J73" s="7"/>
    </row>
    <row r="74" spans="1:10" ht="15.75" x14ac:dyDescent="0.25">
      <c r="A74" s="7"/>
      <c r="B74" s="7"/>
      <c r="C74" s="7"/>
      <c r="D74" s="7"/>
      <c r="E74" s="7"/>
      <c r="F74" s="7"/>
      <c r="G74" s="7"/>
      <c r="H74" s="7"/>
      <c r="I74" s="8"/>
      <c r="J74" s="7"/>
    </row>
    <row r="75" spans="1:10" ht="15.75" x14ac:dyDescent="0.25">
      <c r="A75" s="7"/>
      <c r="B75" s="7"/>
      <c r="C75" s="7"/>
      <c r="D75" s="7"/>
      <c r="E75" s="7"/>
      <c r="F75" s="7"/>
      <c r="G75" s="7"/>
      <c r="H75" s="7"/>
      <c r="I75" s="8"/>
      <c r="J75" s="7"/>
    </row>
    <row r="76" spans="1:10" ht="15.75" x14ac:dyDescent="0.25">
      <c r="A76" s="7"/>
      <c r="B76" s="7"/>
      <c r="C76" s="7"/>
      <c r="D76" s="7"/>
      <c r="E76" s="7"/>
      <c r="F76" s="7"/>
      <c r="G76" s="7"/>
      <c r="H76" s="7"/>
      <c r="I76" s="8"/>
      <c r="J76" s="7"/>
    </row>
    <row r="77" spans="1:10" ht="15.75" x14ac:dyDescent="0.25">
      <c r="A77" s="7"/>
      <c r="B77" s="7"/>
      <c r="C77" s="7"/>
      <c r="D77" s="7"/>
      <c r="E77" s="7"/>
      <c r="F77" s="7"/>
      <c r="G77" s="7"/>
      <c r="H77" s="7"/>
      <c r="I77" s="8"/>
      <c r="J77" s="7"/>
    </row>
    <row r="78" spans="1:10" ht="15.75" x14ac:dyDescent="0.25">
      <c r="A78" s="7"/>
      <c r="B78" s="7"/>
      <c r="C78" s="7"/>
      <c r="D78" s="7"/>
      <c r="E78" s="7"/>
      <c r="F78" s="7"/>
      <c r="G78" s="7"/>
      <c r="H78" s="7"/>
      <c r="I78" s="8"/>
      <c r="J78" s="7"/>
    </row>
    <row r="79" spans="1:10" ht="15.75" x14ac:dyDescent="0.25">
      <c r="A79" s="7"/>
      <c r="B79" s="7"/>
      <c r="C79" s="7"/>
      <c r="D79" s="7"/>
      <c r="E79" s="7"/>
      <c r="F79" s="7"/>
      <c r="G79" s="7"/>
      <c r="H79" s="7"/>
      <c r="I79" s="8"/>
      <c r="J79" s="7"/>
    </row>
    <row r="80" spans="1:10" ht="15.75" x14ac:dyDescent="0.25">
      <c r="A80" s="7"/>
      <c r="B80" s="7"/>
      <c r="C80" s="7"/>
      <c r="D80" s="7"/>
      <c r="E80" s="7"/>
      <c r="F80" s="7"/>
      <c r="G80" s="7"/>
      <c r="H80" s="7"/>
      <c r="I80" s="8"/>
      <c r="J80" s="7"/>
    </row>
    <row r="81" spans="1:10" ht="15.75" x14ac:dyDescent="0.25">
      <c r="A81" s="7"/>
      <c r="B81" s="7"/>
      <c r="C81" s="7"/>
      <c r="D81" s="7"/>
      <c r="E81" s="7"/>
      <c r="F81" s="7"/>
      <c r="G81" s="7"/>
      <c r="H81" s="7"/>
      <c r="I81" s="8"/>
      <c r="J81" s="7"/>
    </row>
    <row r="82" spans="1:10" ht="15.75" x14ac:dyDescent="0.25">
      <c r="A82" s="7"/>
      <c r="B82" s="7"/>
      <c r="C82" s="7"/>
      <c r="D82" s="7"/>
      <c r="E82" s="7"/>
      <c r="F82" s="7"/>
      <c r="G82" s="7"/>
      <c r="H82" s="7"/>
      <c r="I82" s="8"/>
      <c r="J82" s="7"/>
    </row>
    <row r="83" spans="1:10" ht="15.75" x14ac:dyDescent="0.25">
      <c r="A83" s="7"/>
      <c r="B83" s="7"/>
      <c r="C83" s="7"/>
      <c r="D83" s="7"/>
      <c r="E83" s="7"/>
      <c r="F83" s="7"/>
      <c r="G83" s="7"/>
      <c r="H83" s="7"/>
      <c r="I83" s="8"/>
      <c r="J83" s="7"/>
    </row>
    <row r="84" spans="1:10" ht="15.75" x14ac:dyDescent="0.25">
      <c r="A84" s="7"/>
      <c r="B84" s="7"/>
      <c r="C84" s="7"/>
      <c r="D84" s="7"/>
      <c r="E84" s="7"/>
      <c r="F84" s="7"/>
      <c r="G84" s="7"/>
      <c r="H84" s="7"/>
      <c r="I84" s="8"/>
      <c r="J84" s="7"/>
    </row>
    <row r="85" spans="1:10" ht="15.75" x14ac:dyDescent="0.25">
      <c r="A85" s="7"/>
      <c r="B85" s="7"/>
      <c r="C85" s="7"/>
      <c r="D85" s="7"/>
      <c r="E85" s="7"/>
      <c r="F85" s="7"/>
      <c r="G85" s="7"/>
      <c r="H85" s="7"/>
      <c r="I85" s="8"/>
      <c r="J85" s="7"/>
    </row>
    <row r="86" spans="1:10" ht="15.75" x14ac:dyDescent="0.25">
      <c r="A86" s="7"/>
      <c r="B86" s="7"/>
      <c r="C86" s="7"/>
      <c r="D86" s="7"/>
      <c r="E86" s="7"/>
      <c r="F86" s="7"/>
      <c r="G86" s="7"/>
      <c r="H86" s="7"/>
      <c r="I86" s="8"/>
      <c r="J86" s="7"/>
    </row>
    <row r="87" spans="1:10" ht="15.75" x14ac:dyDescent="0.25">
      <c r="A87" s="7"/>
      <c r="B87" s="7"/>
      <c r="C87" s="7"/>
      <c r="D87" s="7"/>
      <c r="E87" s="7"/>
      <c r="F87" s="7"/>
      <c r="G87" s="7"/>
      <c r="H87" s="7"/>
      <c r="I87" s="8"/>
      <c r="J87" s="7"/>
    </row>
    <row r="88" spans="1:10" ht="15.75" x14ac:dyDescent="0.25">
      <c r="A88" s="7"/>
      <c r="B88" s="7"/>
      <c r="C88" s="7"/>
      <c r="D88" s="7"/>
      <c r="E88" s="7"/>
      <c r="F88" s="7"/>
      <c r="G88" s="7"/>
      <c r="H88" s="7"/>
      <c r="I88" s="8"/>
      <c r="J88" s="7"/>
    </row>
    <row r="89" spans="1:10" ht="15.75" x14ac:dyDescent="0.25">
      <c r="A89" s="7"/>
      <c r="B89" s="7"/>
      <c r="C89" s="7"/>
      <c r="D89" s="7"/>
      <c r="E89" s="7"/>
      <c r="F89" s="7"/>
      <c r="G89" s="7"/>
      <c r="H89" s="7"/>
      <c r="I89" s="8"/>
      <c r="J89" s="7"/>
    </row>
    <row r="90" spans="1:10" ht="15.75" x14ac:dyDescent="0.25">
      <c r="A90" s="7"/>
      <c r="B90" s="7"/>
      <c r="C90" s="7"/>
      <c r="D90" s="7"/>
      <c r="E90" s="7"/>
      <c r="F90" s="7"/>
      <c r="G90" s="7"/>
      <c r="H90" s="7"/>
      <c r="I90" s="8"/>
      <c r="J90" s="7"/>
    </row>
    <row r="91" spans="1:10" ht="15.75" x14ac:dyDescent="0.25">
      <c r="A91" s="7"/>
      <c r="B91" s="7"/>
      <c r="C91" s="7"/>
      <c r="D91" s="7"/>
      <c r="E91" s="7"/>
      <c r="F91" s="7"/>
      <c r="G91" s="7"/>
      <c r="H91" s="7"/>
      <c r="I91" s="8"/>
      <c r="J91" s="7"/>
    </row>
    <row r="92" spans="1:10" ht="15.75" x14ac:dyDescent="0.25">
      <c r="A92" s="7"/>
      <c r="B92" s="7"/>
      <c r="C92" s="7"/>
      <c r="D92" s="7"/>
      <c r="E92" s="7"/>
      <c r="F92" s="7"/>
      <c r="G92" s="7"/>
      <c r="H92" s="7"/>
      <c r="I92" s="8"/>
      <c r="J92" s="7"/>
    </row>
    <row r="93" spans="1:10" ht="15.75" x14ac:dyDescent="0.25">
      <c r="A93" s="7"/>
      <c r="B93" s="7"/>
      <c r="C93" s="7"/>
      <c r="D93" s="7"/>
      <c r="E93" s="7"/>
      <c r="F93" s="7"/>
      <c r="G93" s="7"/>
      <c r="H93" s="7"/>
      <c r="I93" s="8"/>
      <c r="J93" s="7"/>
    </row>
    <row r="94" spans="1:10" ht="15.75" x14ac:dyDescent="0.25">
      <c r="A94" s="7"/>
      <c r="B94" s="7"/>
      <c r="C94" s="7"/>
      <c r="D94" s="7"/>
      <c r="E94" s="7"/>
      <c r="F94" s="7"/>
      <c r="G94" s="7"/>
      <c r="H94" s="7"/>
      <c r="I94" s="8"/>
      <c r="J94" s="7"/>
    </row>
    <row r="95" spans="1:10" ht="15.75" x14ac:dyDescent="0.25">
      <c r="A95" s="7"/>
      <c r="B95" s="7"/>
      <c r="C95" s="7"/>
      <c r="D95" s="7"/>
      <c r="E95" s="7"/>
      <c r="F95" s="7"/>
      <c r="G95" s="7"/>
      <c r="H95" s="7"/>
      <c r="I95" s="8"/>
      <c r="J95" s="7"/>
    </row>
    <row r="96" spans="1:10" ht="15.75" x14ac:dyDescent="0.25">
      <c r="A96" s="7"/>
      <c r="B96" s="7"/>
      <c r="C96" s="7"/>
      <c r="D96" s="7"/>
      <c r="E96" s="7"/>
      <c r="F96" s="7"/>
      <c r="G96" s="7"/>
      <c r="H96" s="7"/>
      <c r="I96" s="8"/>
      <c r="J96" s="7"/>
    </row>
    <row r="97" spans="1:10" ht="15.75" x14ac:dyDescent="0.25">
      <c r="A97" s="7"/>
      <c r="B97" s="7"/>
      <c r="C97" s="7"/>
      <c r="D97" s="7"/>
      <c r="E97" s="7"/>
      <c r="F97" s="7"/>
      <c r="G97" s="7"/>
      <c r="H97" s="7"/>
      <c r="I97" s="8"/>
      <c r="J97" s="7"/>
    </row>
    <row r="98" spans="1:10" ht="15.75" x14ac:dyDescent="0.25">
      <c r="A98" s="7"/>
      <c r="B98" s="7"/>
      <c r="C98" s="7"/>
      <c r="D98" s="7"/>
      <c r="E98" s="7"/>
      <c r="F98" s="7"/>
      <c r="G98" s="7"/>
      <c r="H98" s="7"/>
      <c r="I98" s="8"/>
      <c r="J98" s="7"/>
    </row>
    <row r="99" spans="1:10" ht="15.75" x14ac:dyDescent="0.25">
      <c r="A99" s="7"/>
      <c r="B99" s="7"/>
      <c r="C99" s="7"/>
      <c r="D99" s="7"/>
      <c r="E99" s="7"/>
      <c r="F99" s="7"/>
      <c r="G99" s="7"/>
      <c r="H99" s="7"/>
      <c r="I99" s="8"/>
      <c r="J99" s="7"/>
    </row>
    <row r="100" spans="1:10" ht="15.75" x14ac:dyDescent="0.25">
      <c r="A100" s="7"/>
      <c r="B100" s="7"/>
      <c r="C100" s="7"/>
      <c r="D100" s="7"/>
      <c r="E100" s="7"/>
      <c r="F100" s="7"/>
      <c r="G100" s="7"/>
      <c r="H100" s="7"/>
      <c r="I100" s="8"/>
      <c r="J100" s="7"/>
    </row>
    <row r="101" spans="1:10" ht="15.75" x14ac:dyDescent="0.25">
      <c r="A101" s="7"/>
      <c r="B101" s="7"/>
      <c r="C101" s="7"/>
      <c r="D101" s="7"/>
      <c r="E101" s="7"/>
      <c r="F101" s="7"/>
      <c r="G101" s="7"/>
      <c r="H101" s="7"/>
      <c r="I101" s="8"/>
      <c r="J101" s="7"/>
    </row>
    <row r="102" spans="1:10" ht="15.75" x14ac:dyDescent="0.25">
      <c r="A102" s="7"/>
      <c r="B102" s="7"/>
      <c r="C102" s="7"/>
      <c r="D102" s="7"/>
      <c r="E102" s="7"/>
      <c r="F102" s="7"/>
      <c r="G102" s="7"/>
      <c r="H102" s="7"/>
      <c r="I102" s="8"/>
      <c r="J102" s="7"/>
    </row>
    <row r="103" spans="1:10" ht="15.75" x14ac:dyDescent="0.25">
      <c r="A103" s="7"/>
      <c r="B103" s="7"/>
      <c r="C103" s="7"/>
      <c r="D103" s="7"/>
      <c r="E103" s="7"/>
      <c r="F103" s="7"/>
      <c r="G103" s="7"/>
      <c r="H103" s="7"/>
      <c r="I103" s="8"/>
      <c r="J103" s="7"/>
    </row>
    <row r="104" spans="1:10" ht="15.75" x14ac:dyDescent="0.25">
      <c r="A104" s="7"/>
      <c r="B104" s="7"/>
      <c r="C104" s="7"/>
      <c r="D104" s="7"/>
      <c r="E104" s="7"/>
      <c r="F104" s="7"/>
      <c r="G104" s="7"/>
      <c r="H104" s="7"/>
      <c r="I104" s="8"/>
      <c r="J104" s="7"/>
    </row>
    <row r="105" spans="1:10" ht="15.75" x14ac:dyDescent="0.25">
      <c r="A105" s="7"/>
      <c r="B105" s="7"/>
      <c r="C105" s="7"/>
      <c r="D105" s="7"/>
      <c r="E105" s="7"/>
      <c r="F105" s="7"/>
      <c r="G105" s="7"/>
      <c r="H105" s="7"/>
      <c r="I105" s="8"/>
      <c r="J105" s="7"/>
    </row>
    <row r="106" spans="1:10" ht="15.75" x14ac:dyDescent="0.25">
      <c r="A106" s="7"/>
      <c r="B106" s="7"/>
      <c r="C106" s="7"/>
      <c r="D106" s="7"/>
      <c r="E106" s="7"/>
      <c r="F106" s="7"/>
      <c r="G106" s="7"/>
      <c r="H106" s="7"/>
      <c r="I106" s="8"/>
      <c r="J106" s="7"/>
    </row>
    <row r="107" spans="1:10" ht="15.75" x14ac:dyDescent="0.25">
      <c r="A107" s="7"/>
      <c r="B107" s="7"/>
      <c r="C107" s="7"/>
      <c r="D107" s="7"/>
      <c r="E107" s="7"/>
      <c r="F107" s="7"/>
      <c r="G107" s="7"/>
      <c r="H107" s="7"/>
      <c r="I107" s="8"/>
      <c r="J107" s="7"/>
    </row>
    <row r="108" spans="1:10" ht="15.75" x14ac:dyDescent="0.25">
      <c r="A108" s="7"/>
      <c r="B108" s="7"/>
      <c r="C108" s="7"/>
      <c r="D108" s="7"/>
      <c r="E108" s="7"/>
      <c r="F108" s="7"/>
      <c r="G108" s="7"/>
      <c r="H108" s="7"/>
      <c r="I108" s="8"/>
      <c r="J108" s="7"/>
    </row>
    <row r="109" spans="1:10" ht="15.75" x14ac:dyDescent="0.25">
      <c r="A109" s="7"/>
      <c r="B109" s="7"/>
      <c r="C109" s="7"/>
      <c r="D109" s="7"/>
      <c r="E109" s="7"/>
      <c r="F109" s="7"/>
      <c r="G109" s="7"/>
      <c r="H109" s="7"/>
      <c r="I109" s="8"/>
      <c r="J109" s="7"/>
    </row>
    <row r="110" spans="1:10" ht="15.75" x14ac:dyDescent="0.25">
      <c r="A110" s="7"/>
      <c r="B110" s="7"/>
      <c r="C110" s="7"/>
      <c r="D110" s="7"/>
      <c r="E110" s="7"/>
      <c r="F110" s="7"/>
      <c r="G110" s="7"/>
      <c r="H110" s="7"/>
      <c r="I110" s="8"/>
      <c r="J110" s="7"/>
    </row>
    <row r="111" spans="1:10" ht="15.75" x14ac:dyDescent="0.25">
      <c r="A111" s="7"/>
      <c r="B111" s="7"/>
      <c r="C111" s="7"/>
      <c r="D111" s="7"/>
      <c r="E111" s="7"/>
      <c r="F111" s="7"/>
      <c r="G111" s="7"/>
      <c r="H111" s="7"/>
      <c r="I111" s="8"/>
      <c r="J111" s="7"/>
    </row>
    <row r="112" spans="1:10" ht="15.75" x14ac:dyDescent="0.25">
      <c r="A112" s="7"/>
      <c r="B112" s="7"/>
      <c r="C112" s="7"/>
      <c r="D112" s="7"/>
      <c r="E112" s="7"/>
      <c r="F112" s="7"/>
      <c r="G112" s="7"/>
      <c r="H112" s="7"/>
      <c r="I112" s="8"/>
      <c r="J112" s="7"/>
    </row>
    <row r="113" spans="1:10" ht="15.75" x14ac:dyDescent="0.25">
      <c r="A113" s="7"/>
      <c r="B113" s="7"/>
      <c r="C113" s="7"/>
      <c r="D113" s="7"/>
      <c r="E113" s="7"/>
      <c r="F113" s="7"/>
      <c r="G113" s="7"/>
      <c r="H113" s="7"/>
      <c r="I113" s="8"/>
      <c r="J113" s="7"/>
    </row>
    <row r="114" spans="1:10" ht="15.75" x14ac:dyDescent="0.25">
      <c r="A114" s="7"/>
      <c r="B114" s="7"/>
      <c r="C114" s="7"/>
      <c r="D114" s="7"/>
      <c r="E114" s="7"/>
      <c r="F114" s="7"/>
      <c r="G114" s="7"/>
      <c r="H114" s="7"/>
      <c r="I114" s="8"/>
      <c r="J114" s="7"/>
    </row>
    <row r="115" spans="1:10" ht="15.75" x14ac:dyDescent="0.25">
      <c r="A115" s="7"/>
      <c r="B115" s="7"/>
      <c r="C115" s="7"/>
      <c r="D115" s="7"/>
      <c r="E115" s="7"/>
      <c r="F115" s="7"/>
      <c r="G115" s="7"/>
      <c r="H115" s="7"/>
      <c r="I115" s="8"/>
      <c r="J115" s="7"/>
    </row>
    <row r="116" spans="1:10" ht="15.75" x14ac:dyDescent="0.25">
      <c r="A116" s="7"/>
      <c r="B116" s="7"/>
      <c r="C116" s="7"/>
      <c r="D116" s="7"/>
      <c r="E116" s="7"/>
      <c r="F116" s="7"/>
      <c r="G116" s="7"/>
      <c r="H116" s="7"/>
      <c r="I116" s="8"/>
      <c r="J116" s="7"/>
    </row>
  </sheetData>
  <sheetProtection password="E9BA" sheet="1" objects="1" scenarios="1" formatCells="0" formatColumns="0" formatRows="0" insertRows="0" deleteColumns="0" deleteRows="0"/>
  <mergeCells count="31">
    <mergeCell ref="B31:C31"/>
    <mergeCell ref="B7:C7"/>
    <mergeCell ref="B1:C1"/>
    <mergeCell ref="C2:E2"/>
    <mergeCell ref="I2:J2"/>
    <mergeCell ref="C4:E4"/>
    <mergeCell ref="C5:E5"/>
    <mergeCell ref="B50:C50"/>
    <mergeCell ref="B52:C52"/>
    <mergeCell ref="D52:G52"/>
    <mergeCell ref="B54:C54"/>
    <mergeCell ref="D54:E54"/>
    <mergeCell ref="G54:H54"/>
    <mergeCell ref="B48:C48"/>
    <mergeCell ref="B34:C34"/>
    <mergeCell ref="B35:C35"/>
    <mergeCell ref="B37:C37"/>
    <mergeCell ref="B39:C39"/>
    <mergeCell ref="B41:C41"/>
    <mergeCell ref="B42:C42"/>
    <mergeCell ref="B43:C43"/>
    <mergeCell ref="B44:C44"/>
    <mergeCell ref="B46:C46"/>
    <mergeCell ref="C64:D64"/>
    <mergeCell ref="G64:H64"/>
    <mergeCell ref="B56:D56"/>
    <mergeCell ref="B57:E57"/>
    <mergeCell ref="D59:E59"/>
    <mergeCell ref="G59:H59"/>
    <mergeCell ref="B61:E61"/>
    <mergeCell ref="B62:E62"/>
  </mergeCells>
  <dataValidations count="5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J4 D31"/>
    <dataValidation type="list" allowBlank="1" showInputMessage="1" showErrorMessage="1" sqref="H5">
      <formula1>"2009/2010,2010/2011,2011/2012"</formula1>
    </dataValidation>
    <dataValidation type="list" allowBlank="1" showInputMessage="1" showErrorMessage="1" sqref="D34">
      <formula1>"1,2"</formula1>
    </dataValidation>
    <dataValidation type="list" allowBlank="1" showInputMessage="1" showErrorMessage="1" sqref="F5">
      <formula1>$B$2:$B$7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Excess Workload Allowance
Claim Form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allowBlank="1" showInputMessage="1" showErrorMessage="1">
          <x14:formula1>
            <xm:f>Info_Lists!$B$2:$B$7</xm:f>
          </x14:formula1>
          <xm:sqref>I4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I2</xm:sqref>
        </x14:dataValidation>
        <x14:dataValidation type="list" allowBlank="1" showInputMessage="1" showErrorMessage="1">
          <x14:formula1>
            <xm:f>IF($I$4="2008/2009",Courses_List!$A$3:$A$102,IF($I$4="2009/2010",Courses_List!$E$3:$E$102,IF($I$4="2010/2011",Courses_List!$I$3:$I$102,IF($I$4="2011/2012",Courses_List!$M$3:$M$102,IF($I$4="2012/2013",Courses_List!$Q$3:$Q$102,"INVALID")))))</xm:f>
          </x14:formula1>
          <xm:sqref>B9:B28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66"/>
  </sheetPr>
  <dimension ref="A1:K29"/>
  <sheetViews>
    <sheetView workbookViewId="0">
      <selection activeCell="E12" sqref="E12"/>
    </sheetView>
  </sheetViews>
  <sheetFormatPr defaultRowHeight="15" x14ac:dyDescent="0.25"/>
  <cols>
    <col min="1" max="1" width="2.85546875" style="2" bestFit="1" customWidth="1"/>
    <col min="2" max="2" width="14.85546875" style="2" customWidth="1"/>
    <col min="3" max="3" width="4.7109375" style="2" bestFit="1" customWidth="1"/>
    <col min="4" max="4" width="12" style="2" customWidth="1"/>
    <col min="5" max="5" width="37.7109375" style="2" customWidth="1"/>
    <col min="6" max="6" width="15.42578125" style="2" bestFit="1" customWidth="1"/>
    <col min="7" max="9" width="9.140625" style="2"/>
    <col min="10" max="10" width="9.85546875" style="2" bestFit="1" customWidth="1"/>
    <col min="11" max="11" width="14.85546875" style="2" customWidth="1"/>
    <col min="12" max="16384" width="9.140625" style="2"/>
  </cols>
  <sheetData>
    <row r="1" spans="1:11" x14ac:dyDescent="0.25">
      <c r="A1" s="2" t="s">
        <v>0</v>
      </c>
      <c r="B1" s="113" t="s">
        <v>1</v>
      </c>
      <c r="H1" s="3"/>
      <c r="J1" s="4"/>
    </row>
    <row r="2" spans="1:11" ht="15.75" x14ac:dyDescent="0.25">
      <c r="B2" s="16" t="s">
        <v>2</v>
      </c>
      <c r="C2" s="214" t="s">
        <v>393</v>
      </c>
      <c r="D2" s="214"/>
      <c r="E2" s="214"/>
      <c r="F2" s="16" t="s">
        <v>3</v>
      </c>
      <c r="G2" s="255" t="str">
        <f>IF(LOOKUP($C$2,Staff_List!$A$4:$A$53,Staff_List!$B$4:$B$53)="","",LOOKUP($C$2,Staff_List!$A$4:$A$53,Staff_List!$B$4:$B$53))</f>
        <v>A7581</v>
      </c>
      <c r="H2" s="255"/>
      <c r="I2" s="16" t="s">
        <v>4</v>
      </c>
      <c r="J2" s="224" t="s">
        <v>103</v>
      </c>
      <c r="K2" s="224"/>
    </row>
    <row r="3" spans="1:11" x14ac:dyDescent="0.25">
      <c r="B3" s="21"/>
      <c r="G3" s="3"/>
      <c r="K3" s="44"/>
    </row>
    <row r="4" spans="1:11" x14ac:dyDescent="0.25">
      <c r="B4" s="16" t="s">
        <v>35</v>
      </c>
      <c r="C4" s="224" t="s">
        <v>146</v>
      </c>
      <c r="D4" s="224"/>
      <c r="E4" s="224"/>
      <c r="F4" s="16" t="s">
        <v>5</v>
      </c>
      <c r="G4" s="224" t="s">
        <v>487</v>
      </c>
      <c r="H4" s="224"/>
      <c r="I4" s="16" t="s">
        <v>6</v>
      </c>
      <c r="J4" s="76" t="s">
        <v>106</v>
      </c>
      <c r="K4" s="101"/>
    </row>
    <row r="5" spans="1:11" customFormat="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  <c r="K5" s="2"/>
    </row>
    <row r="6" spans="1:11" x14ac:dyDescent="0.25">
      <c r="B6" s="27"/>
      <c r="I6" s="3"/>
      <c r="K6" s="44"/>
    </row>
    <row r="7" spans="1:11" ht="15.75" x14ac:dyDescent="0.25">
      <c r="A7" s="7" t="s">
        <v>7</v>
      </c>
      <c r="B7" s="212" t="s">
        <v>30</v>
      </c>
      <c r="C7" s="212"/>
      <c r="D7" s="7"/>
      <c r="E7" s="7"/>
      <c r="F7" s="7"/>
      <c r="G7" s="7"/>
      <c r="H7" s="7"/>
      <c r="I7" s="8"/>
      <c r="J7" s="7"/>
      <c r="K7" s="4"/>
    </row>
    <row r="8" spans="1:11" ht="20.25" customHeight="1" x14ac:dyDescent="0.25">
      <c r="C8" s="19" t="s">
        <v>31</v>
      </c>
      <c r="D8" s="32" t="s">
        <v>32</v>
      </c>
      <c r="E8" s="33" t="s">
        <v>33</v>
      </c>
      <c r="F8" s="28"/>
      <c r="G8" s="28"/>
      <c r="H8" s="28"/>
      <c r="I8" s="28"/>
      <c r="J8" s="9"/>
      <c r="K8" s="10"/>
    </row>
    <row r="9" spans="1:11" ht="15.75" customHeight="1" x14ac:dyDescent="0.25">
      <c r="C9" s="31">
        <f>IF(AND(ISTEXT($D9),ISTEXT($E9)),1,"")</f>
        <v>1</v>
      </c>
      <c r="D9" s="202" t="s">
        <v>511</v>
      </c>
      <c r="E9" s="203" t="s">
        <v>512</v>
      </c>
      <c r="F9" s="7"/>
      <c r="G9" s="7"/>
      <c r="H9" s="7"/>
      <c r="I9" s="7"/>
      <c r="J9" s="8"/>
      <c r="K9" s="12"/>
    </row>
    <row r="10" spans="1:11" ht="15.75" x14ac:dyDescent="0.25">
      <c r="C10" s="31">
        <f>IF(AND(ISTEXT($D10),ISTEXT($E10)),2,"")</f>
        <v>2</v>
      </c>
      <c r="D10" s="202" t="s">
        <v>513</v>
      </c>
      <c r="E10" s="203" t="s">
        <v>514</v>
      </c>
      <c r="F10" s="7"/>
      <c r="G10" s="7"/>
      <c r="H10" s="7"/>
      <c r="I10" s="7"/>
      <c r="J10" s="8"/>
      <c r="K10" s="12"/>
    </row>
    <row r="11" spans="1:11" ht="15.75" x14ac:dyDescent="0.25">
      <c r="C11" s="31">
        <f>IF(AND(ISTEXT($D11),ISTEXT($E11)),3,"")</f>
        <v>3</v>
      </c>
      <c r="D11" s="202" t="s">
        <v>515</v>
      </c>
      <c r="E11" s="203" t="s">
        <v>516</v>
      </c>
      <c r="F11" s="7"/>
      <c r="G11" s="7"/>
      <c r="H11" s="7"/>
      <c r="I11" s="7"/>
      <c r="J11" s="8"/>
      <c r="K11" s="12"/>
    </row>
    <row r="12" spans="1:11" ht="15.75" x14ac:dyDescent="0.25">
      <c r="C12" s="31" t="str">
        <f>IF(AND(ISTEXT($D12),ISTEXT($E12)),4,"")</f>
        <v/>
      </c>
      <c r="D12" s="29"/>
      <c r="E12" s="11"/>
      <c r="F12" s="7"/>
      <c r="G12" s="7"/>
      <c r="H12" s="7"/>
      <c r="I12" s="7"/>
      <c r="J12" s="8"/>
      <c r="K12" s="12"/>
    </row>
    <row r="13" spans="1:11" ht="15.75" x14ac:dyDescent="0.25">
      <c r="C13" s="31" t="str">
        <f>IF(AND(ISTEXT($D13),ISTEXT($E13)),5,"")</f>
        <v/>
      </c>
      <c r="D13" s="29"/>
      <c r="E13" s="11"/>
      <c r="F13" s="7"/>
      <c r="G13" s="7"/>
      <c r="H13" s="7"/>
      <c r="I13" s="7"/>
      <c r="J13" s="8"/>
      <c r="K13" s="12"/>
    </row>
    <row r="14" spans="1:11" ht="15.75" x14ac:dyDescent="0.25">
      <c r="B14" s="30"/>
      <c r="C14" s="7"/>
      <c r="D14" s="7"/>
      <c r="E14" s="7"/>
      <c r="F14" s="7"/>
      <c r="G14" s="7"/>
      <c r="H14" s="7"/>
      <c r="I14" s="7"/>
      <c r="J14" s="8"/>
      <c r="K14" s="12"/>
    </row>
    <row r="15" spans="1:11" ht="15.75" x14ac:dyDescent="0.25">
      <c r="A15" s="2" t="s">
        <v>9</v>
      </c>
      <c r="B15" s="212" t="s">
        <v>34</v>
      </c>
      <c r="C15" s="212"/>
      <c r="D15" s="212"/>
      <c r="E15" s="26">
        <f>IF($J$4="2008/2009",(IF(OR(LEFT($G$4,1)="P",LEFT($G$4,1)="R"),25000*(IF(ISTEXT($E9),1,0)+IF(ISTEXT($E10),1,0)+IF(ISTEXT($E11),1,0)+IF(ISTEXT($E12),1,0)+IF(ISTEXT($E13),1,0)),IF(LEFT($G$4,1)="S",20000*(IF(ISTEXT($E9),1,0)+IF(ISTEXT($E10),1,0)+IF(ISTEXT($E11),1,0)+IF(ISTEXT($E12),1,0)+IF(ISTEXT($E13),1,0)),IF(AND(LEFT($G$4,1)="L",OR(RIGHT($G$4,2)=" I",RIGHT($G$4,2)="II")),15000*(IF(ISTEXT($E9),1,0)+IF(ISTEXT($E10),1,0)+IF(ISTEXT($E11),1,0)+IF(ISTEXT($E12),1,0)+IF(ISTEXT($E13),1,0)),0))))/2,IF(OR(LEFT($G$4,1)="P",LEFT($G$4,1)="R"),25000*(IF(ISTEXT($E9),1,0)+IF(ISTEXT($E10),1,0)+IF(ISTEXT($E11),1,0)+IF(ISTEXT($E12),1,0)+IF(ISTEXT($E13),1,0)),IF(LEFT($G$4,1)="S",20000*(IF(ISTEXT($E9),1,0)+IF(ISTEXT($E10),1,0)+IF(ISTEXT($E11),1,0)+IF(ISTEXT($E12),1,0)+IF(ISTEXT($E13),1,0)),IF(AND(LEFT($G$4,1)="L",OR(RIGHT($G$4,2)=" I",RIGHT($G$4,2)="II")),15000*(IF(ISTEXT($E9),1,0)+IF(ISTEXT($E10),1,0)+IF(ISTEXT($E11),1,0)+IF(ISTEXT($E12),1,0)+IF(ISTEXT($E13),1,0)),0))))</f>
        <v>60000</v>
      </c>
      <c r="F15" s="7"/>
      <c r="G15" s="7"/>
      <c r="H15" s="7"/>
      <c r="I15" s="7"/>
      <c r="J15" s="8"/>
      <c r="K15" s="12"/>
    </row>
    <row r="16" spans="1:11" ht="15.75" x14ac:dyDescent="0.25">
      <c r="B16" s="30"/>
      <c r="C16" s="7"/>
      <c r="D16" s="7"/>
      <c r="E16" s="7"/>
      <c r="F16" s="7"/>
      <c r="G16" s="7"/>
      <c r="H16" s="7"/>
      <c r="I16" s="7"/>
      <c r="J16" s="8"/>
      <c r="K16" s="12"/>
    </row>
    <row r="17" spans="1:11" ht="15.75" x14ac:dyDescent="0.25">
      <c r="A17" s="7" t="s">
        <v>10</v>
      </c>
      <c r="B17" s="212" t="s">
        <v>41</v>
      </c>
      <c r="C17" s="212"/>
      <c r="D17" s="212"/>
      <c r="E17" s="98" t="s">
        <v>19</v>
      </c>
      <c r="F17" s="98"/>
      <c r="G17" s="98"/>
      <c r="H17" s="7"/>
      <c r="I17" s="7"/>
      <c r="J17" s="8"/>
      <c r="K17" s="12"/>
    </row>
    <row r="18" spans="1:11" ht="15.75" x14ac:dyDescent="0.25">
      <c r="A18" s="7"/>
      <c r="B18" s="98"/>
      <c r="C18" s="98"/>
      <c r="D18" s="98"/>
      <c r="E18" s="98"/>
      <c r="F18" s="98"/>
      <c r="G18" s="98"/>
      <c r="H18" s="7"/>
    </row>
    <row r="19" spans="1:11" ht="15.75" x14ac:dyDescent="0.25">
      <c r="A19" s="7"/>
      <c r="B19" s="216" t="s">
        <v>20</v>
      </c>
      <c r="C19" s="216"/>
      <c r="D19" s="216"/>
      <c r="E19" s="98"/>
      <c r="F19" s="7" t="s">
        <v>21</v>
      </c>
      <c r="G19" s="254"/>
      <c r="H19" s="254"/>
    </row>
    <row r="20" spans="1:11" ht="15.75" x14ac:dyDescent="0.25">
      <c r="A20" s="7"/>
      <c r="B20" s="7"/>
      <c r="C20" s="7"/>
      <c r="D20" s="7"/>
      <c r="E20" s="7"/>
      <c r="F20" s="7"/>
      <c r="G20" s="7"/>
      <c r="H20" s="7"/>
    </row>
    <row r="21" spans="1:11" ht="15.75" x14ac:dyDescent="0.25">
      <c r="A21" s="7" t="s">
        <v>11</v>
      </c>
      <c r="B21" s="212" t="s">
        <v>23</v>
      </c>
      <c r="C21" s="212"/>
      <c r="D21" s="212"/>
      <c r="E21" s="212"/>
      <c r="F21" s="7"/>
      <c r="G21" s="7"/>
      <c r="H21" s="7"/>
    </row>
    <row r="22" spans="1:11" ht="15.75" x14ac:dyDescent="0.25">
      <c r="A22" s="7"/>
      <c r="B22" s="216" t="s">
        <v>24</v>
      </c>
      <c r="C22" s="216"/>
      <c r="D22" s="216"/>
      <c r="E22" s="216"/>
      <c r="F22" s="26">
        <f>$E$15</f>
        <v>60000</v>
      </c>
      <c r="G22" s="7"/>
      <c r="H22" s="7"/>
    </row>
    <row r="23" spans="1:11" ht="15.75" x14ac:dyDescent="0.25">
      <c r="A23" s="7"/>
      <c r="B23" s="98"/>
      <c r="C23" s="98"/>
      <c r="D23" s="98"/>
      <c r="E23" s="98"/>
      <c r="F23" s="15"/>
      <c r="G23" s="7"/>
      <c r="H23" s="7"/>
    </row>
    <row r="24" spans="1:11" ht="15.75" x14ac:dyDescent="0.25">
      <c r="A24" s="7"/>
      <c r="B24" s="216" t="s">
        <v>25</v>
      </c>
      <c r="C24" s="216"/>
      <c r="D24" s="216"/>
      <c r="E24" s="216"/>
      <c r="F24" s="7" t="s">
        <v>21</v>
      </c>
      <c r="G24" s="216"/>
      <c r="H24" s="216"/>
    </row>
    <row r="25" spans="1:11" ht="15.75" x14ac:dyDescent="0.25">
      <c r="A25" s="7"/>
      <c r="B25" s="7"/>
      <c r="C25" s="7"/>
      <c r="D25" s="7"/>
      <c r="E25" s="7"/>
      <c r="F25" s="7"/>
      <c r="G25" s="7"/>
      <c r="H25" s="7"/>
    </row>
    <row r="26" spans="1:11" ht="15.75" x14ac:dyDescent="0.25">
      <c r="A26" s="7" t="s">
        <v>12</v>
      </c>
      <c r="B26" s="212" t="s">
        <v>27</v>
      </c>
      <c r="C26" s="212"/>
      <c r="D26" s="212"/>
      <c r="E26" s="212"/>
      <c r="F26" s="7"/>
      <c r="G26" s="7"/>
      <c r="H26" s="7"/>
    </row>
    <row r="27" spans="1:11" ht="15.75" x14ac:dyDescent="0.25">
      <c r="A27" s="7"/>
      <c r="B27" s="216" t="s">
        <v>28</v>
      </c>
      <c r="C27" s="216"/>
      <c r="D27" s="216"/>
      <c r="E27" s="216"/>
      <c r="F27" s="26">
        <f>$E$15</f>
        <v>60000</v>
      </c>
      <c r="G27" s="7"/>
      <c r="H27" s="7"/>
    </row>
    <row r="28" spans="1:11" ht="15.75" x14ac:dyDescent="0.25">
      <c r="A28" s="7"/>
      <c r="B28" s="7"/>
      <c r="C28" s="7"/>
      <c r="D28" s="7"/>
      <c r="E28" s="7"/>
      <c r="F28" s="7"/>
      <c r="G28" s="7"/>
      <c r="H28" s="7"/>
    </row>
    <row r="29" spans="1:11" ht="15.75" x14ac:dyDescent="0.25">
      <c r="A29" s="7"/>
      <c r="B29" s="7" t="s">
        <v>29</v>
      </c>
      <c r="C29" s="216"/>
      <c r="D29" s="216"/>
      <c r="E29" s="216"/>
      <c r="F29" s="7" t="s">
        <v>21</v>
      </c>
      <c r="G29" s="216"/>
      <c r="H29" s="216"/>
    </row>
  </sheetData>
  <sheetProtection password="E9BA" sheet="1" objects="1" scenarios="1" formatCells="0" formatColumns="0" formatRows="0" insertRows="0" deleteColumns="0" deleteRows="0"/>
  <mergeCells count="20">
    <mergeCell ref="C5:E5"/>
    <mergeCell ref="C2:E2"/>
    <mergeCell ref="G2:H2"/>
    <mergeCell ref="J2:K2"/>
    <mergeCell ref="C4:E4"/>
    <mergeCell ref="G4:H4"/>
    <mergeCell ref="B7:C7"/>
    <mergeCell ref="C29:E29"/>
    <mergeCell ref="G29:H29"/>
    <mergeCell ref="B15:D15"/>
    <mergeCell ref="B17:D17"/>
    <mergeCell ref="B19:D19"/>
    <mergeCell ref="G19:H19"/>
    <mergeCell ref="B21:E21"/>
    <mergeCell ref="B22:E22"/>
    <mergeCell ref="B24:C24"/>
    <mergeCell ref="D24:E24"/>
    <mergeCell ref="G24:H24"/>
    <mergeCell ref="B26:E26"/>
    <mergeCell ref="B27:E27"/>
  </mergeCells>
  <dataValidations count="3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type="list" allowBlank="1" showInputMessage="1" showErrorMessage="1" sqref="H5">
      <formula1>"2009/2010,2010/2011,2011/2012"</formula1>
    </dataValidation>
    <dataValidation type="list" allowBlank="1" showInputMessage="1" showErrorMessage="1" sqref="F5">
      <formula1>$B$2:$B$13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Postgraduate Supervision Allowance
Claim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allowBlank="1" showInputMessage="1" showErrorMessage="1">
          <x14:formula1>
            <xm:f>Info_Lists!$B$2:$B$7</xm:f>
          </x14:formula1>
          <xm:sqref>J4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J2:K2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0066"/>
  </sheetPr>
  <dimension ref="A1:K46"/>
  <sheetViews>
    <sheetView workbookViewId="0">
      <selection activeCell="F13" sqref="F13"/>
    </sheetView>
  </sheetViews>
  <sheetFormatPr defaultRowHeight="15" x14ac:dyDescent="0.25"/>
  <cols>
    <col min="1" max="1" width="2.85546875" bestFit="1" customWidth="1"/>
    <col min="2" max="2" width="19.5703125" bestFit="1" customWidth="1"/>
    <col min="3" max="3" width="5.7109375" customWidth="1"/>
    <col min="4" max="4" width="11.28515625" bestFit="1" customWidth="1"/>
    <col min="5" max="5" width="32.42578125" customWidth="1"/>
    <col min="6" max="6" width="21.140625" customWidth="1"/>
    <col min="8" max="8" width="8.42578125" customWidth="1"/>
    <col min="10" max="10" width="9.85546875" bestFit="1" customWidth="1"/>
    <col min="11" max="11" width="17.28515625" customWidth="1"/>
  </cols>
  <sheetData>
    <row r="1" spans="1:11" x14ac:dyDescent="0.25">
      <c r="A1" s="2" t="s">
        <v>0</v>
      </c>
      <c r="B1" s="113" t="s">
        <v>1</v>
      </c>
      <c r="C1" s="2"/>
      <c r="D1" s="2"/>
      <c r="E1" s="2"/>
      <c r="F1" s="2"/>
      <c r="G1" s="2"/>
      <c r="H1" s="3"/>
      <c r="I1" s="2"/>
      <c r="J1" s="4"/>
      <c r="K1" s="2"/>
    </row>
    <row r="2" spans="1:11" ht="15.75" x14ac:dyDescent="0.25">
      <c r="A2" s="2"/>
      <c r="B2" s="16" t="s">
        <v>2</v>
      </c>
      <c r="C2" s="214" t="s">
        <v>393</v>
      </c>
      <c r="D2" s="214"/>
      <c r="E2" s="214"/>
      <c r="F2" s="16" t="s">
        <v>3</v>
      </c>
      <c r="G2" s="255" t="str">
        <f>IF(LOOKUP($C$2,Staff_List!$A$4:$A$53,Staff_List!$B$4:$B$53)="","",LOOKUP($C$2,Staff_List!$A$4:$A$53,Staff_List!$B$4:$B$53))</f>
        <v>A7581</v>
      </c>
      <c r="H2" s="255"/>
      <c r="I2" s="16" t="s">
        <v>4</v>
      </c>
      <c r="J2" s="224" t="s">
        <v>103</v>
      </c>
      <c r="K2" s="224"/>
    </row>
    <row r="3" spans="1:11" x14ac:dyDescent="0.25">
      <c r="A3" s="2"/>
      <c r="B3" s="21"/>
      <c r="C3" s="2"/>
      <c r="D3" s="2"/>
      <c r="E3" s="2"/>
      <c r="F3" s="2"/>
      <c r="G3" s="3"/>
      <c r="H3" s="2"/>
      <c r="I3" s="2"/>
      <c r="J3" s="2"/>
      <c r="K3" s="44"/>
    </row>
    <row r="4" spans="1:11" x14ac:dyDescent="0.25">
      <c r="A4" s="2"/>
      <c r="B4" s="16" t="s">
        <v>35</v>
      </c>
      <c r="C4" s="224" t="s">
        <v>146</v>
      </c>
      <c r="D4" s="224"/>
      <c r="E4" s="224"/>
      <c r="F4" s="16" t="s">
        <v>5</v>
      </c>
      <c r="G4" s="224" t="s">
        <v>487</v>
      </c>
      <c r="H4" s="224"/>
      <c r="I4" s="16" t="s">
        <v>6</v>
      </c>
      <c r="J4" s="76" t="s">
        <v>106</v>
      </c>
      <c r="K4" s="101"/>
    </row>
    <row r="5" spans="1:1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  <c r="K5" s="46"/>
    </row>
    <row r="6" spans="1:11" x14ac:dyDescent="0.25">
      <c r="A6" s="2"/>
      <c r="B6" s="116"/>
      <c r="C6" s="2"/>
      <c r="D6" s="2"/>
      <c r="E6" s="2"/>
      <c r="F6" s="2"/>
      <c r="G6" s="2"/>
      <c r="H6" s="2"/>
      <c r="I6" s="3"/>
      <c r="J6" s="2"/>
      <c r="K6" s="4"/>
    </row>
    <row r="7" spans="1:11" ht="15.75" x14ac:dyDescent="0.25">
      <c r="A7" s="7" t="s">
        <v>7</v>
      </c>
      <c r="B7" s="152" t="s">
        <v>30</v>
      </c>
      <c r="C7" s="7"/>
      <c r="D7" s="7"/>
      <c r="E7" s="7"/>
      <c r="F7" s="7"/>
      <c r="G7" s="7"/>
      <c r="H7" s="7"/>
      <c r="I7" s="8"/>
      <c r="J7" s="7"/>
      <c r="K7" s="4"/>
    </row>
    <row r="8" spans="1:11" ht="27.75" customHeight="1" x14ac:dyDescent="0.25">
      <c r="A8" s="2"/>
      <c r="B8" s="2"/>
      <c r="C8" s="19" t="s">
        <v>31</v>
      </c>
      <c r="D8" s="32" t="s">
        <v>32</v>
      </c>
      <c r="E8" s="33" t="s">
        <v>33</v>
      </c>
      <c r="F8" s="37" t="s">
        <v>37</v>
      </c>
      <c r="G8" s="28"/>
      <c r="H8" s="28"/>
      <c r="I8" s="28"/>
      <c r="J8" s="9"/>
      <c r="K8" s="10"/>
    </row>
    <row r="9" spans="1:11" ht="15.75" x14ac:dyDescent="0.25">
      <c r="A9" s="2"/>
      <c r="B9" s="2"/>
      <c r="C9" s="31">
        <f>IF(ISTEXT($D9),1,"")</f>
        <v>1</v>
      </c>
      <c r="D9" s="202" t="s">
        <v>536</v>
      </c>
      <c r="E9" s="203" t="s">
        <v>537</v>
      </c>
      <c r="F9" s="11" t="s">
        <v>39</v>
      </c>
      <c r="G9" s="7"/>
      <c r="H9" s="7"/>
      <c r="I9" s="7"/>
      <c r="J9" s="8"/>
      <c r="K9" s="12"/>
    </row>
    <row r="10" spans="1:11" ht="15.75" x14ac:dyDescent="0.25">
      <c r="A10" s="2"/>
      <c r="B10" s="2"/>
      <c r="C10" s="31">
        <f>IF(ISTEXT($D10),2,"")</f>
        <v>2</v>
      </c>
      <c r="D10" s="202" t="s">
        <v>538</v>
      </c>
      <c r="E10" s="203" t="s">
        <v>539</v>
      </c>
      <c r="F10" s="11" t="s">
        <v>39</v>
      </c>
      <c r="G10" s="7"/>
      <c r="H10" s="7"/>
      <c r="I10" s="7"/>
      <c r="J10" s="8"/>
      <c r="K10" s="12"/>
    </row>
    <row r="11" spans="1:11" ht="15.75" x14ac:dyDescent="0.25">
      <c r="A11" s="2"/>
      <c r="B11" s="2"/>
      <c r="C11" s="31">
        <f>IF(ISTEXT($D11),3,"")</f>
        <v>3</v>
      </c>
      <c r="D11" s="202" t="s">
        <v>540</v>
      </c>
      <c r="E11" s="203" t="s">
        <v>541</v>
      </c>
      <c r="F11" s="11" t="s">
        <v>39</v>
      </c>
      <c r="G11" s="7"/>
      <c r="H11" s="7"/>
      <c r="I11" s="7"/>
      <c r="J11" s="8"/>
      <c r="K11" s="12"/>
    </row>
    <row r="12" spans="1:11" ht="15.75" x14ac:dyDescent="0.25">
      <c r="A12" s="2"/>
      <c r="B12" s="2"/>
      <c r="C12" s="31">
        <f>IF(ISTEXT($D12),4,"")</f>
        <v>4</v>
      </c>
      <c r="D12" s="202" t="s">
        <v>542</v>
      </c>
      <c r="E12" s="203" t="s">
        <v>543</v>
      </c>
      <c r="F12" s="11" t="s">
        <v>39</v>
      </c>
      <c r="G12" s="7"/>
      <c r="H12" s="7"/>
      <c r="I12" s="7"/>
      <c r="J12" s="8"/>
      <c r="K12" s="12"/>
    </row>
    <row r="13" spans="1:11" ht="15.75" x14ac:dyDescent="0.25">
      <c r="A13" s="2"/>
      <c r="B13" s="2"/>
      <c r="C13" s="31">
        <f>IF(ISTEXT($D13),5,"")</f>
        <v>5</v>
      </c>
      <c r="D13" s="202" t="s">
        <v>544</v>
      </c>
      <c r="E13" s="203" t="s">
        <v>545</v>
      </c>
      <c r="F13" s="11" t="s">
        <v>39</v>
      </c>
      <c r="G13" s="7"/>
      <c r="H13" s="7"/>
      <c r="I13" s="7"/>
      <c r="J13" s="8"/>
      <c r="K13" s="12"/>
    </row>
    <row r="14" spans="1:11" ht="15.75" x14ac:dyDescent="0.25">
      <c r="A14" s="2"/>
      <c r="B14" s="2"/>
      <c r="C14" s="31" t="str">
        <f>IF(ISTEXT($D14),6,"")</f>
        <v/>
      </c>
      <c r="D14" s="29"/>
      <c r="E14" s="11"/>
      <c r="F14" s="11"/>
      <c r="G14" s="7"/>
      <c r="H14" s="7"/>
      <c r="I14" s="7"/>
      <c r="J14" s="8"/>
      <c r="K14" s="12"/>
    </row>
    <row r="15" spans="1:11" ht="15.75" x14ac:dyDescent="0.25">
      <c r="A15" s="2"/>
      <c r="B15" s="2"/>
      <c r="C15" s="31" t="str">
        <f>IF(ISTEXT($D15),7,"")</f>
        <v/>
      </c>
      <c r="D15" s="29"/>
      <c r="E15" s="11"/>
      <c r="F15" s="11"/>
      <c r="G15" s="7"/>
      <c r="H15" s="7"/>
      <c r="I15" s="7"/>
      <c r="J15" s="8"/>
      <c r="K15" s="12"/>
    </row>
    <row r="16" spans="1:11" ht="15.75" x14ac:dyDescent="0.25">
      <c r="A16" s="2"/>
      <c r="B16" s="2"/>
      <c r="C16" s="31" t="str">
        <f>IF(ISTEXT($D16),8,"")</f>
        <v/>
      </c>
      <c r="D16" s="29"/>
      <c r="E16" s="11"/>
      <c r="F16" s="11"/>
      <c r="G16" s="7"/>
      <c r="H16" s="7"/>
      <c r="I16" s="7"/>
      <c r="J16" s="8"/>
      <c r="K16" s="12"/>
    </row>
    <row r="17" spans="1:11" ht="15.75" x14ac:dyDescent="0.25">
      <c r="A17" s="2"/>
      <c r="B17" s="2"/>
      <c r="C17" s="31" t="str">
        <f>IF(ISTEXT($D17),9,"")</f>
        <v/>
      </c>
      <c r="D17" s="29"/>
      <c r="E17" s="11"/>
      <c r="F17" s="11"/>
      <c r="G17" s="7"/>
      <c r="H17" s="7"/>
      <c r="I17" s="7"/>
      <c r="J17" s="8"/>
      <c r="K17" s="12"/>
    </row>
    <row r="18" spans="1:11" ht="15.75" x14ac:dyDescent="0.25">
      <c r="A18" s="2"/>
      <c r="B18" s="2"/>
      <c r="C18" s="31" t="str">
        <f>IF(ISTEXT($D18),10,"")</f>
        <v/>
      </c>
      <c r="D18" s="29"/>
      <c r="E18" s="11"/>
      <c r="F18" s="11"/>
      <c r="G18" s="7"/>
      <c r="H18" s="7"/>
      <c r="I18" s="7"/>
      <c r="J18" s="8"/>
      <c r="K18" s="12"/>
    </row>
    <row r="19" spans="1:11" ht="15.75" x14ac:dyDescent="0.25">
      <c r="A19" s="2"/>
      <c r="B19" s="2"/>
      <c r="C19" s="31" t="str">
        <f>IF(ISTEXT($D19),11,"")</f>
        <v/>
      </c>
      <c r="D19" s="29"/>
      <c r="E19" s="11"/>
      <c r="F19" s="11"/>
      <c r="G19" s="7"/>
      <c r="H19" s="7"/>
      <c r="I19" s="7"/>
      <c r="J19" s="8"/>
      <c r="K19" s="12"/>
    </row>
    <row r="20" spans="1:11" ht="15.75" x14ac:dyDescent="0.25">
      <c r="A20" s="2"/>
      <c r="B20" s="2"/>
      <c r="C20" s="31" t="str">
        <f>IF(ISTEXT($D20),12,"")</f>
        <v/>
      </c>
      <c r="D20" s="29"/>
      <c r="E20" s="11"/>
      <c r="F20" s="11"/>
      <c r="G20" s="7"/>
      <c r="H20" s="7"/>
      <c r="I20" s="7"/>
      <c r="J20" s="8"/>
      <c r="K20" s="12"/>
    </row>
    <row r="21" spans="1:11" ht="15.75" x14ac:dyDescent="0.25">
      <c r="A21" s="2"/>
      <c r="B21" s="2"/>
      <c r="C21" s="31" t="str">
        <f>IF(ISTEXT($D21),13,"")</f>
        <v/>
      </c>
      <c r="D21" s="29"/>
      <c r="E21" s="11"/>
      <c r="F21" s="11"/>
      <c r="G21" s="7"/>
      <c r="H21" s="7"/>
      <c r="I21" s="7"/>
      <c r="J21" s="8"/>
      <c r="K21" s="12"/>
    </row>
    <row r="22" spans="1:11" ht="15.75" x14ac:dyDescent="0.25">
      <c r="A22" s="2"/>
      <c r="B22" s="2"/>
      <c r="C22" s="31" t="str">
        <f>IF(ISTEXT($D22),14,"")</f>
        <v/>
      </c>
      <c r="D22" s="29"/>
      <c r="E22" s="11"/>
      <c r="F22" s="11"/>
      <c r="G22" s="7"/>
      <c r="H22" s="7"/>
      <c r="I22" s="7"/>
      <c r="J22" s="8"/>
      <c r="K22" s="12"/>
    </row>
    <row r="23" spans="1:11" ht="15.75" x14ac:dyDescent="0.25">
      <c r="A23" s="2"/>
      <c r="B23" s="2"/>
      <c r="C23" s="31" t="str">
        <f>IF(ISTEXT($D23),15,"")</f>
        <v/>
      </c>
      <c r="D23" s="29"/>
      <c r="E23" s="11"/>
      <c r="F23" s="11"/>
      <c r="G23" s="7"/>
      <c r="H23" s="7"/>
      <c r="I23" s="7"/>
      <c r="J23" s="8"/>
      <c r="K23" s="12"/>
    </row>
    <row r="24" spans="1:11" ht="15.75" x14ac:dyDescent="0.25">
      <c r="A24" s="2"/>
      <c r="B24" s="2"/>
      <c r="C24" s="60"/>
      <c r="D24" s="58"/>
      <c r="E24" s="59"/>
      <c r="F24" s="59"/>
      <c r="G24" s="7"/>
      <c r="H24" s="7"/>
      <c r="I24" s="7"/>
      <c r="J24" s="8"/>
      <c r="K24" s="12"/>
    </row>
    <row r="25" spans="1:11" ht="15.75" x14ac:dyDescent="0.25">
      <c r="A25" s="2"/>
      <c r="B25" s="2"/>
      <c r="C25" s="256" t="s">
        <v>109</v>
      </c>
      <c r="D25" s="256"/>
      <c r="E25" s="256"/>
      <c r="F25" s="57"/>
      <c r="G25" s="7"/>
      <c r="H25" s="7"/>
      <c r="I25" s="7"/>
      <c r="J25" s="8"/>
      <c r="K25" s="12"/>
    </row>
    <row r="26" spans="1:11" ht="15.75" x14ac:dyDescent="0.25">
      <c r="A26" s="2"/>
      <c r="B26" s="2"/>
      <c r="C26" s="256" t="s">
        <v>110</v>
      </c>
      <c r="D26" s="256"/>
      <c r="E26" s="256"/>
      <c r="F26" s="57"/>
      <c r="G26" s="7"/>
      <c r="H26" s="7"/>
      <c r="I26" s="7"/>
      <c r="J26" s="8"/>
      <c r="K26" s="12"/>
    </row>
    <row r="27" spans="1:11" ht="15.75" x14ac:dyDescent="0.25">
      <c r="A27" s="2"/>
      <c r="B27" s="2"/>
      <c r="C27" s="256" t="s">
        <v>111</v>
      </c>
      <c r="D27" s="256"/>
      <c r="E27" s="256"/>
      <c r="F27" s="57"/>
      <c r="G27" s="7"/>
      <c r="H27" s="7"/>
      <c r="I27" s="7"/>
      <c r="J27" s="8"/>
      <c r="K27" s="12"/>
    </row>
    <row r="28" spans="1:11" ht="15.75" x14ac:dyDescent="0.25">
      <c r="A28" s="2"/>
      <c r="B28" s="30"/>
      <c r="C28" s="22"/>
      <c r="D28" s="22"/>
      <c r="E28" s="22"/>
      <c r="F28" s="7"/>
      <c r="G28" s="7"/>
      <c r="H28" s="7"/>
      <c r="I28" s="7"/>
      <c r="J28" s="8"/>
      <c r="K28" s="12"/>
    </row>
    <row r="29" spans="1:11" ht="15.75" x14ac:dyDescent="0.25">
      <c r="A29" s="2"/>
      <c r="B29" s="2"/>
      <c r="C29" s="212" t="s">
        <v>38</v>
      </c>
      <c r="D29" s="212"/>
      <c r="E29" s="212"/>
      <c r="F29" s="36">
        <f>IF($J$4="2008/2009",(IF(OR(LEFT($G$4,1)="P",LEFT($G$4,1)="R"),IF(COUNTIF($F$9:$F$23,"Field Trip")&gt;0,1,0)*100000,IF(LEFT($G$4,1)="S",IF(COUNTIF($F$9:$F$23,"Field Trip")&gt;0,1,0)*80000,IF(OR(LEFT($G$4,1)="L",LEFT($G$4,1)="L",LEFT($G$4,1)="A"),IF(COUNTIF($F$9:$F$23,"Field Trip")&gt;0,1,0)*60000,"#ERROR"))))/2,IF(OR(LEFT($G$4,1)="P",LEFT($G$4,1)="R"),IF(COUNTIF($F$9:$F$23,"Field Trip")&gt;0,1,0)*100000,IF(LEFT($G$4,1)="S",IF(COUNTIF($F$9:$F$23,"Field Trip")&gt;0,1,0)*80000,IF(OR(LEFT($G$4,1)="L",LEFT($G$4,1)="L",LEFT($G$4,1)="A"),IF(COUNTIF($F$9:$F$23,"Field Trip")&gt;0,1,0)*60000,"#ERROR"))))</f>
        <v>0</v>
      </c>
      <c r="G29" s="7"/>
      <c r="H29" s="7"/>
      <c r="I29" s="7"/>
      <c r="J29" s="8"/>
      <c r="K29" s="2"/>
    </row>
    <row r="30" spans="1:11" ht="15.75" x14ac:dyDescent="0.25">
      <c r="A30" s="2"/>
      <c r="B30" s="2"/>
      <c r="C30" s="212" t="s">
        <v>39</v>
      </c>
      <c r="D30" s="212"/>
      <c r="E30" s="212"/>
      <c r="F30" s="36">
        <f>IF($J$4="2008/2009",(IF(OR(LEFT($G$4,1)="P",LEFT($G$4,1)="R"),IF(COUNTIF($F$9:$F$23,"Industrial Supervision")&gt;0,1,0)*100000,IF(LEFT($G$4,1)="S",IF(COUNTIF($F$9:$F$23,"Industrial Supervision")&gt;0,1,0)*80000,IF(OR(LEFT($G$4,1)="L",LEFT($G$4,1)="L",LEFT($G$4,1)="A"),IF(COUNTIF($F$9:$F$23,"Industrial Supervision")&gt;0,1,0)*60000,"#ERROR"))))/2,IF(OR(LEFT($G$4,1)="P",LEFT($G$4,1)="R"),IF(COUNTIF($F$9:$F$23,"Industrial Supervision")&gt;0,1,0)*100000,IF(LEFT($G$4,1)="S",IF(COUNTIF($F$9:$F$23,"Industrial Supervision")&gt;0,1,0)*80000,IF(OR(LEFT($G$4,1)="L",LEFT($G$4,1)="L",LEFT($G$4,1)="A"),IF(COUNTIF($F$9:$F$23,"Industrial Supervision")&gt;0,1,0)*60000,"#ERROR"))))</f>
        <v>80000</v>
      </c>
      <c r="G30" s="7"/>
      <c r="H30" s="7"/>
      <c r="I30" s="7"/>
      <c r="J30" s="8"/>
      <c r="K30" s="2"/>
    </row>
    <row r="31" spans="1:11" ht="15.75" x14ac:dyDescent="0.25">
      <c r="A31" s="2"/>
      <c r="B31" s="2"/>
      <c r="C31" s="212" t="s">
        <v>40</v>
      </c>
      <c r="D31" s="212"/>
      <c r="E31" s="212"/>
      <c r="F31" s="36">
        <f>IF($J$4="2008/2009",(IF(OR(LEFT($G$4,1)="P",LEFT($G$4,1)="R"),IF(COUNTIF($F$9:$F$23,"Teaching Practice")&gt;0,1,0)*100000,IF(LEFT($G$4,1)="S",IF(COUNTIF($F$9:$F$23,"Teaching Practice")&gt;0,1,0)*80000,IF(OR(LEFT($G$4,1)="L",LEFT($G$4,1)="L",LEFT($G$4,1)="A"),IF(COUNTIF($F$9:$F$23,"Teaching Practice")&gt;0,1,0)*60000,"#ERROR"))))/2,IF(OR(LEFT($G$4,1)="P",LEFT($G$4,1)="R"),IF(COUNTIF($F$9:$F$23,"Teaching Practice")&gt;0,1,0)*100000,IF(LEFT($G$4,1)="S",IF(COUNTIF($F$9:$F$23,"Teaching Practice")&gt;0,1,0)*80000,IF(OR(LEFT($G$4,1)="L",LEFT($G$4,1)="L",LEFT($G$4,1)="A"),IF(COUNTIF($F$9:$F$23,"Teaching Practice")&gt;0,1,0)*60000,"#ERROR"))))</f>
        <v>0</v>
      </c>
      <c r="G31" s="7"/>
      <c r="H31" s="7"/>
      <c r="I31" s="7"/>
      <c r="J31" s="8"/>
      <c r="K31" s="2"/>
    </row>
    <row r="32" spans="1:11" ht="15.75" x14ac:dyDescent="0.25">
      <c r="A32" s="2" t="s">
        <v>9</v>
      </c>
      <c r="B32" s="212" t="s">
        <v>180</v>
      </c>
      <c r="C32" s="212"/>
      <c r="D32" s="96"/>
      <c r="E32" s="69"/>
      <c r="F32" s="26">
        <f>SUM(F29:F31)</f>
        <v>80000</v>
      </c>
      <c r="G32" s="7"/>
      <c r="H32" s="7"/>
      <c r="I32" s="7"/>
      <c r="J32" s="8"/>
      <c r="K32" s="2"/>
    </row>
    <row r="33" spans="1:11" ht="15.75" x14ac:dyDescent="0.25">
      <c r="A33" s="2"/>
      <c r="B33" s="30"/>
      <c r="C33" s="7"/>
      <c r="D33" s="7"/>
      <c r="E33" s="7"/>
      <c r="F33" s="7"/>
      <c r="G33" s="7"/>
      <c r="H33" s="7"/>
      <c r="I33" s="7"/>
      <c r="J33" s="8"/>
      <c r="K33" s="2"/>
    </row>
    <row r="34" spans="1:11" ht="15.75" x14ac:dyDescent="0.25">
      <c r="A34" s="7" t="s">
        <v>10</v>
      </c>
      <c r="B34" s="212" t="s">
        <v>41</v>
      </c>
      <c r="C34" s="212"/>
      <c r="D34" s="212"/>
      <c r="E34" s="216" t="s">
        <v>19</v>
      </c>
      <c r="F34" s="216"/>
      <c r="G34" s="98"/>
      <c r="H34" s="7"/>
      <c r="I34" s="7"/>
      <c r="J34" s="8"/>
      <c r="K34" s="2"/>
    </row>
    <row r="35" spans="1:11" ht="15.75" x14ac:dyDescent="0.25">
      <c r="A35" s="7"/>
      <c r="B35" s="98"/>
      <c r="C35" s="98"/>
      <c r="D35" s="98"/>
      <c r="E35" s="98"/>
      <c r="F35" s="98"/>
      <c r="G35" s="98"/>
      <c r="H35" s="7"/>
      <c r="I35" s="2"/>
      <c r="J35" s="2"/>
      <c r="K35" s="2"/>
    </row>
    <row r="36" spans="1:11" ht="15.75" x14ac:dyDescent="0.25">
      <c r="A36" s="7"/>
      <c r="B36" s="216" t="s">
        <v>20</v>
      </c>
      <c r="C36" s="216"/>
      <c r="D36" s="216"/>
      <c r="E36" s="98"/>
      <c r="F36" s="7" t="s">
        <v>21</v>
      </c>
      <c r="G36" s="254"/>
      <c r="H36" s="254"/>
      <c r="I36" s="2"/>
      <c r="J36" s="2"/>
      <c r="K36" s="2"/>
    </row>
    <row r="37" spans="1:11" ht="15.75" x14ac:dyDescent="0.25">
      <c r="A37" s="7"/>
      <c r="B37" s="7"/>
      <c r="C37" s="7"/>
      <c r="D37" s="7"/>
      <c r="E37" s="7"/>
      <c r="F37" s="7"/>
      <c r="G37" s="7"/>
      <c r="H37" s="7"/>
      <c r="I37" s="2"/>
      <c r="J37" s="2"/>
      <c r="K37" s="2"/>
    </row>
    <row r="38" spans="1:11" ht="15.75" x14ac:dyDescent="0.25">
      <c r="A38" s="7" t="s">
        <v>11</v>
      </c>
      <c r="B38" s="212" t="s">
        <v>23</v>
      </c>
      <c r="C38" s="212"/>
      <c r="D38" s="212"/>
      <c r="E38" s="212"/>
      <c r="F38" s="7"/>
      <c r="G38" s="7"/>
      <c r="H38" s="7"/>
      <c r="I38" s="2"/>
      <c r="J38" s="2"/>
      <c r="K38" s="2"/>
    </row>
    <row r="39" spans="1:11" ht="15.75" x14ac:dyDescent="0.25">
      <c r="A39" s="7"/>
      <c r="B39" s="216" t="s">
        <v>24</v>
      </c>
      <c r="C39" s="216"/>
      <c r="D39" s="216"/>
      <c r="E39" s="216"/>
      <c r="F39" s="26">
        <f>$F$32</f>
        <v>80000</v>
      </c>
      <c r="G39" s="7"/>
      <c r="H39" s="7"/>
      <c r="I39" s="2"/>
      <c r="J39" s="2"/>
      <c r="K39" s="2"/>
    </row>
    <row r="40" spans="1:11" ht="15.75" x14ac:dyDescent="0.25">
      <c r="A40" s="7"/>
      <c r="B40" s="98"/>
      <c r="C40" s="98"/>
      <c r="D40" s="98"/>
      <c r="E40" s="98"/>
      <c r="F40" s="15"/>
      <c r="G40" s="7"/>
      <c r="H40" s="7"/>
      <c r="I40" s="2"/>
      <c r="J40" s="2"/>
      <c r="K40" s="2"/>
    </row>
    <row r="41" spans="1:11" ht="15.75" x14ac:dyDescent="0.25">
      <c r="A41" s="7"/>
      <c r="B41" s="216" t="s">
        <v>25</v>
      </c>
      <c r="C41" s="216"/>
      <c r="D41" s="216"/>
      <c r="E41" s="216"/>
      <c r="F41" s="7" t="s">
        <v>21</v>
      </c>
      <c r="G41" s="216"/>
      <c r="H41" s="216"/>
      <c r="I41" s="2"/>
      <c r="J41" s="2"/>
      <c r="K41" s="2"/>
    </row>
    <row r="42" spans="1:11" ht="15.75" x14ac:dyDescent="0.25">
      <c r="A42" s="7"/>
      <c r="B42" s="7"/>
      <c r="C42" s="7"/>
      <c r="D42" s="7"/>
      <c r="E42" s="7"/>
      <c r="F42" s="7"/>
      <c r="G42" s="7"/>
      <c r="H42" s="7"/>
      <c r="I42" s="2"/>
      <c r="J42" s="2"/>
      <c r="K42" s="2"/>
    </row>
    <row r="43" spans="1:11" ht="15.75" x14ac:dyDescent="0.25">
      <c r="A43" s="7" t="s">
        <v>12</v>
      </c>
      <c r="B43" s="212" t="s">
        <v>27</v>
      </c>
      <c r="C43" s="212"/>
      <c r="D43" s="212"/>
      <c r="E43" s="212"/>
      <c r="F43" s="7"/>
      <c r="G43" s="7"/>
      <c r="H43" s="7"/>
      <c r="I43" s="2"/>
      <c r="J43" s="2"/>
      <c r="K43" s="2"/>
    </row>
    <row r="44" spans="1:11" ht="15.75" x14ac:dyDescent="0.25">
      <c r="A44" s="7"/>
      <c r="B44" s="216" t="s">
        <v>28</v>
      </c>
      <c r="C44" s="216"/>
      <c r="D44" s="216"/>
      <c r="E44" s="216"/>
      <c r="F44" s="26">
        <f>$F$32</f>
        <v>80000</v>
      </c>
      <c r="G44" s="7"/>
      <c r="H44" s="7"/>
      <c r="I44" s="2"/>
      <c r="J44" s="2"/>
      <c r="K44" s="2"/>
    </row>
    <row r="45" spans="1:11" ht="15.75" x14ac:dyDescent="0.25">
      <c r="A45" s="7"/>
      <c r="B45" s="7"/>
      <c r="C45" s="7"/>
      <c r="D45" s="7"/>
      <c r="E45" s="7"/>
      <c r="F45" s="7"/>
      <c r="G45" s="7"/>
      <c r="H45" s="7"/>
      <c r="I45" s="2"/>
      <c r="J45" s="2"/>
      <c r="K45" s="2"/>
    </row>
    <row r="46" spans="1:11" ht="15.75" x14ac:dyDescent="0.25">
      <c r="A46" s="7"/>
      <c r="B46" s="7" t="s">
        <v>29</v>
      </c>
      <c r="C46" s="216"/>
      <c r="D46" s="216"/>
      <c r="E46" s="216"/>
      <c r="F46" s="7" t="s">
        <v>21</v>
      </c>
      <c r="G46" s="216"/>
      <c r="H46" s="216"/>
      <c r="I46" s="2"/>
      <c r="J46" s="2"/>
      <c r="K46" s="2"/>
    </row>
  </sheetData>
  <sheetProtection password="E9BA" sheet="1" objects="1" scenarios="1" formatCells="0" formatColumns="0" formatRows="0" insertRows="0" deleteColumns="0" deleteRows="0"/>
  <mergeCells count="26">
    <mergeCell ref="C5:E5"/>
    <mergeCell ref="C2:E2"/>
    <mergeCell ref="G2:H2"/>
    <mergeCell ref="J2:K2"/>
    <mergeCell ref="C4:E4"/>
    <mergeCell ref="G4:H4"/>
    <mergeCell ref="C31:E31"/>
    <mergeCell ref="B32:C32"/>
    <mergeCell ref="B34:D34"/>
    <mergeCell ref="E34:F34"/>
    <mergeCell ref="B36:D36"/>
    <mergeCell ref="C25:E25"/>
    <mergeCell ref="C26:E26"/>
    <mergeCell ref="C27:E27"/>
    <mergeCell ref="C29:E29"/>
    <mergeCell ref="C30:E30"/>
    <mergeCell ref="G36:H36"/>
    <mergeCell ref="C46:E46"/>
    <mergeCell ref="G46:H46"/>
    <mergeCell ref="B39:E39"/>
    <mergeCell ref="B41:C41"/>
    <mergeCell ref="D41:E41"/>
    <mergeCell ref="G41:H41"/>
    <mergeCell ref="B43:E43"/>
    <mergeCell ref="B44:E44"/>
    <mergeCell ref="B38:E38"/>
  </mergeCells>
  <dataValidations count="4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F25:F27"/>
    <dataValidation type="list" showInputMessage="1" showErrorMessage="1" sqref="F9:F24">
      <formula1>"Field Trip,Industrial Supervision,Teaching Practice"</formula1>
    </dataValidation>
    <dataValidation type="list" allowBlank="1" showInputMessage="1" showErrorMessage="1" sqref="F5">
      <formula1>$B$2:$B$13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verticalDpi="0" r:id="rId1"/>
  <headerFooter>
    <oddHeader>&amp;C&amp;16UNIVERSITY OF LAGOS&amp;11
&amp;14Field Trip, Industrial Supervision and Teaching Practice&amp;11
&amp;14Claim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allowBlank="1" showInputMessage="1" showErrorMessage="1">
          <x14:formula1>
            <xm:f>Info_Lists!$B$2:$B$7</xm:f>
          </x14:formula1>
          <xm:sqref>J4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J2:K2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66"/>
  </sheetPr>
  <dimension ref="A1:J25"/>
  <sheetViews>
    <sheetView workbookViewId="0">
      <selection activeCell="D8" sqref="D8"/>
    </sheetView>
  </sheetViews>
  <sheetFormatPr defaultRowHeight="15" x14ac:dyDescent="0.25"/>
  <cols>
    <col min="1" max="1" width="2.85546875" bestFit="1" customWidth="1"/>
    <col min="2" max="2" width="19.5703125" bestFit="1" customWidth="1"/>
    <col min="3" max="3" width="4.7109375" bestFit="1" customWidth="1"/>
    <col min="4" max="4" width="36.5703125" customWidth="1"/>
    <col min="5" max="5" width="21.42578125" customWidth="1"/>
    <col min="6" max="6" width="19.140625" customWidth="1"/>
    <col min="8" max="8" width="9.85546875" bestFit="1" customWidth="1"/>
    <col min="9" max="9" width="11.5703125" bestFit="1" customWidth="1"/>
    <col min="10" max="10" width="10.85546875" customWidth="1"/>
  </cols>
  <sheetData>
    <row r="1" spans="1:10" x14ac:dyDescent="0.25">
      <c r="A1" s="2" t="s">
        <v>0</v>
      </c>
      <c r="B1" s="113" t="s">
        <v>1</v>
      </c>
      <c r="C1" s="2"/>
      <c r="D1" s="2"/>
      <c r="E1" s="2"/>
      <c r="F1" s="2"/>
      <c r="G1" s="3"/>
      <c r="H1" s="2"/>
      <c r="I1" s="4"/>
      <c r="J1" s="2"/>
    </row>
    <row r="2" spans="1:10" ht="15.75" x14ac:dyDescent="0.25">
      <c r="A2" s="2"/>
      <c r="B2" s="16" t="s">
        <v>2</v>
      </c>
      <c r="C2" s="224" t="s">
        <v>393</v>
      </c>
      <c r="D2" s="224"/>
      <c r="E2" s="16" t="s">
        <v>3</v>
      </c>
      <c r="F2" s="100" t="str">
        <f>IF(LOOKUP($C$2,Staff_List!$A$4:$A$53,Staff_List!$B$4:$B$53)="","",LOOKUP($C$2,Staff_List!$A$4:$A$53,Staff_List!$B$4:$B$53))</f>
        <v>A7581</v>
      </c>
      <c r="G2" s="110"/>
      <c r="H2" s="101"/>
      <c r="I2" s="101"/>
    </row>
    <row r="3" spans="1:10" x14ac:dyDescent="0.25">
      <c r="A3" s="2"/>
      <c r="B3" s="21"/>
      <c r="C3" s="2"/>
      <c r="D3" s="2"/>
      <c r="E3" s="21"/>
      <c r="F3" s="3"/>
      <c r="G3" s="2"/>
      <c r="H3" s="2"/>
      <c r="I3" s="44"/>
    </row>
    <row r="4" spans="1:10" x14ac:dyDescent="0.25">
      <c r="A4" s="2"/>
      <c r="B4" s="16" t="s">
        <v>173</v>
      </c>
      <c r="C4" s="224" t="s">
        <v>103</v>
      </c>
      <c r="D4" s="224"/>
      <c r="E4" s="16" t="s">
        <v>5</v>
      </c>
      <c r="F4" s="99" t="s">
        <v>487</v>
      </c>
      <c r="G4" s="16" t="s">
        <v>6</v>
      </c>
      <c r="H4" s="76" t="s">
        <v>106</v>
      </c>
      <c r="I4" s="85"/>
    </row>
    <row r="5" spans="1:10" x14ac:dyDescent="0.25">
      <c r="A5" s="2"/>
      <c r="B5" s="116"/>
      <c r="C5" s="2"/>
      <c r="D5" s="2"/>
      <c r="E5" s="2"/>
      <c r="F5" s="2"/>
      <c r="G5" s="2"/>
      <c r="H5" s="3"/>
      <c r="J5" s="46"/>
    </row>
    <row r="6" spans="1:10" ht="15.75" x14ac:dyDescent="0.25">
      <c r="A6" s="7" t="s">
        <v>7</v>
      </c>
      <c r="B6" s="152" t="s">
        <v>43</v>
      </c>
      <c r="C6" s="259"/>
      <c r="D6" s="259"/>
      <c r="E6" s="7"/>
      <c r="F6" s="7"/>
      <c r="G6" s="7"/>
      <c r="H6" s="8"/>
      <c r="J6" s="2"/>
    </row>
    <row r="7" spans="1:10" ht="15.75" x14ac:dyDescent="0.25">
      <c r="A7" s="2"/>
      <c r="B7" s="2"/>
      <c r="C7" s="19" t="s">
        <v>31</v>
      </c>
      <c r="D7" s="33" t="s">
        <v>44</v>
      </c>
      <c r="E7" s="18" t="s">
        <v>45</v>
      </c>
      <c r="F7" s="28"/>
      <c r="G7" s="28"/>
      <c r="H7" s="28"/>
      <c r="J7" s="2"/>
    </row>
    <row r="8" spans="1:10" ht="15.75" x14ac:dyDescent="0.25">
      <c r="A8" s="2"/>
      <c r="B8" s="2"/>
      <c r="C8" s="31" t="str">
        <f>IF(ISTEXT($D8),1,"")</f>
        <v/>
      </c>
      <c r="D8" s="38"/>
      <c r="E8" s="61" t="str">
        <f>IF($D8="","",IF($H$4="2008/2009",IF(OR($D8="Deputy Vice Chancellor",$D8="Librarian"),750000,IF(OR($D8="Provost",$D8="Dean",$D8="Director"),500000,IF(OR($D8="Deputy Provost",$D8="Deputy Dean"),350000,IF(OR($D8="Head of Department",$D8="Sub Dean"),250000,150000))))/2,IF(OR($D8="Deputy Vice Chancellor",$D8="Librarian"),750000,IF(OR($D8="Provost",$D8="Dean",$D8="Director"),500000,IF(OR($D8="Deputy Provost",$D8="Deputy Dean"),350000,IF(OR($D8="Head of Department",$D8="Sub Dean"),250000,150000))))))</f>
        <v/>
      </c>
      <c r="F8" s="7"/>
      <c r="G8" s="7"/>
      <c r="H8" s="7"/>
      <c r="J8" s="2"/>
    </row>
    <row r="9" spans="1:10" ht="15.75" x14ac:dyDescent="0.25">
      <c r="A9" s="2"/>
      <c r="B9" s="2"/>
      <c r="C9" s="31" t="str">
        <f>IF(ISTEXT($D9),2,"")</f>
        <v/>
      </c>
      <c r="D9" s="38"/>
      <c r="E9" s="61" t="str">
        <f>IF($D9="","",IF($H$4="2008/2009",IF(OR($D9="Deputy Vice Chancellor",$D9="Librarian"),750000,IF(OR($D9="Provost",$D9="Dean",$D9="Director"),500000,IF(OR($D9="Deputy Provost",$D9="Deputy Dean"),350000,IF(OR($D9="Head of Department",$D9="Sub Dean"),250000,150000))))/2,IF(OR($D9="Deputy Vice Chancellor",$D9="Librarian"),750000,IF(OR($D9="Provost",$D9="Dean",$D9="Director"),500000,IF(OR($D9="Deputy Provost",$D9="Deputy Dean"),350000,IF(OR($D9="Head of Department",$D9="Sub Dean"),250000,150000))))))</f>
        <v/>
      </c>
      <c r="F9" s="7"/>
      <c r="G9" s="7"/>
      <c r="H9" s="7"/>
      <c r="J9" s="2"/>
    </row>
    <row r="10" spans="1:10" ht="15.75" x14ac:dyDescent="0.25">
      <c r="A10" s="2"/>
      <c r="B10" s="2"/>
      <c r="C10" s="31" t="str">
        <f>IF(ISTEXT($D10),3,"")</f>
        <v/>
      </c>
      <c r="D10" s="38"/>
      <c r="E10" s="61" t="str">
        <f>IF($D10="","",IF($H$4="2008/2009",IF(OR($D10="Deputy Vice Chancellor",$D10="Librarian"),750000,IF(OR($D10="Provost",$D10="Dean",$D10="Director"),500000,IF(OR($D10="Deputy Provost",$D10="Deputy Dean"),350000,IF(OR($D10="Head of Department",$D10="Sub Dean"),250000,150000))))/2,IF(OR($D10="Deputy Vice Chancellor",$D10="Librarian"),750000,IF(OR($D10="Provost",$D10="Dean",$D10="Director"),500000,IF(OR($D10="Deputy Provost",$D10="Deputy Dean"),350000,IF(OR($D10="Head of Department",$D10="Sub Dean"),250000,150000))))))</f>
        <v/>
      </c>
      <c r="F10" s="7"/>
      <c r="G10" s="7"/>
      <c r="H10" s="7"/>
      <c r="J10" s="2"/>
    </row>
    <row r="11" spans="1:10" ht="15.75" x14ac:dyDescent="0.25">
      <c r="A11" s="2"/>
      <c r="B11" s="2"/>
      <c r="C11" s="31" t="str">
        <f>IF(ISTEXT($D11),4,"")</f>
        <v/>
      </c>
      <c r="D11" s="38"/>
      <c r="E11" s="61" t="str">
        <f>IF($D11="","",IF($H$4="2008/2009",IF(OR($D11="Deputy Vice Chancellor",$D11="Librarian"),750000,IF(OR($D11="Provost",$D11="Dean",$D11="Director"),500000,IF(OR($D11="Deputy Provost",$D11="Deputy Dean"),350000,IF(OR($D11="Head of Department",$D11="Sub Dean"),250000,150000))))/2,IF(OR($D11="Deputy Vice Chancellor",$D11="Librarian"),750000,IF(OR($D11="Provost",$D11="Dean",$D11="Director"),500000,IF(OR($D11="Deputy Provost",$D11="Deputy Dean"),350000,IF(OR($D11="Head of Department",$D11="Sub Dean"),250000,150000))))))</f>
        <v/>
      </c>
      <c r="F11" s="7"/>
      <c r="G11" s="7"/>
      <c r="H11" s="7"/>
      <c r="J11" s="2"/>
    </row>
    <row r="12" spans="1:10" ht="15.75" x14ac:dyDescent="0.25">
      <c r="A12" s="2"/>
      <c r="B12" s="2"/>
      <c r="C12" s="31" t="str">
        <f>IF(ISTEXT($D12),5,"")</f>
        <v/>
      </c>
      <c r="D12" s="38"/>
      <c r="E12" s="61" t="str">
        <f>IF($D12="","",IF($H$4="2008/2009",IF(OR($D12="Deputy Vice Chancellor",$D12="Librarian"),750000,IF(OR($D12="Provost",$D12="Dean",$D12="Director"),500000,IF(OR($D12="Deputy Provost",$D12="Deputy Dean"),350000,IF(OR($D12="Head of Department",$D12="Sub Dean"),250000,150000))))/2,IF(OR($D12="Deputy Vice Chancellor",$D12="Librarian"),750000,IF(OR($D12="Provost",$D12="Dean",$D12="Director"),500000,IF(OR($D12="Deputy Provost",$D12="Deputy Dean"),350000,IF(OR($D12="Head of Department",$D12="Sub Dean"),250000,150000))))))</f>
        <v/>
      </c>
      <c r="F12" s="7"/>
      <c r="G12" s="7"/>
      <c r="H12" s="7"/>
      <c r="J12" s="2"/>
    </row>
    <row r="13" spans="1:10" ht="15.75" x14ac:dyDescent="0.25">
      <c r="A13" s="2" t="s">
        <v>9</v>
      </c>
      <c r="B13" s="212" t="s">
        <v>181</v>
      </c>
      <c r="C13" s="212"/>
      <c r="D13" s="212"/>
      <c r="E13" s="70">
        <f>SUM(E8:E11)</f>
        <v>0</v>
      </c>
      <c r="F13" s="2"/>
      <c r="G13" s="2"/>
      <c r="H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</row>
    <row r="15" spans="1:10" ht="15.75" x14ac:dyDescent="0.25">
      <c r="A15" s="7" t="s">
        <v>10</v>
      </c>
      <c r="B15" s="212" t="s">
        <v>41</v>
      </c>
      <c r="C15" s="212"/>
      <c r="D15" s="212"/>
      <c r="E15" s="216" t="s">
        <v>19</v>
      </c>
      <c r="F15" s="216"/>
      <c r="G15" s="216"/>
      <c r="H15" s="2"/>
    </row>
    <row r="16" spans="1:10" ht="15.75" x14ac:dyDescent="0.25">
      <c r="A16" s="7"/>
      <c r="B16" s="98"/>
      <c r="C16" s="98"/>
      <c r="D16" s="98"/>
      <c r="E16" s="98"/>
      <c r="F16" s="98"/>
      <c r="G16" s="2"/>
      <c r="H16" s="2"/>
    </row>
    <row r="17" spans="1:10" ht="15.75" x14ac:dyDescent="0.25">
      <c r="A17" s="7"/>
      <c r="B17" s="216" t="s">
        <v>20</v>
      </c>
      <c r="C17" s="216"/>
      <c r="D17" s="216"/>
      <c r="E17" s="98"/>
      <c r="F17" s="7" t="s">
        <v>21</v>
      </c>
      <c r="G17" s="2"/>
      <c r="H17" s="2"/>
    </row>
    <row r="18" spans="1:10" ht="15.75" x14ac:dyDescent="0.25">
      <c r="A18" s="7"/>
      <c r="B18" s="7"/>
      <c r="C18" s="7"/>
      <c r="D18" s="7"/>
      <c r="E18" s="7"/>
      <c r="F18" s="7"/>
      <c r="G18" s="7"/>
      <c r="H18" s="7"/>
      <c r="I18" s="2"/>
      <c r="J18" s="2"/>
    </row>
    <row r="19" spans="1:10" ht="15.75" x14ac:dyDescent="0.25">
      <c r="A19" s="7" t="s">
        <v>11</v>
      </c>
      <c r="B19" s="212" t="s">
        <v>174</v>
      </c>
      <c r="C19" s="212"/>
      <c r="D19" s="212"/>
      <c r="E19" s="212"/>
      <c r="F19" s="7"/>
      <c r="G19" s="7"/>
      <c r="H19" s="7"/>
      <c r="I19" s="2"/>
      <c r="J19" s="2"/>
    </row>
    <row r="20" spans="1:10" ht="15.75" x14ac:dyDescent="0.25">
      <c r="A20" s="7"/>
      <c r="B20" s="216" t="s">
        <v>24</v>
      </c>
      <c r="C20" s="216"/>
      <c r="D20" s="216"/>
      <c r="E20" s="216"/>
      <c r="F20" s="26" t="str">
        <f>IF($E13=0,"",$E13)</f>
        <v/>
      </c>
      <c r="G20" s="7"/>
      <c r="H20" s="7"/>
      <c r="I20" s="2"/>
      <c r="J20" s="2"/>
    </row>
    <row r="21" spans="1:10" ht="15.75" x14ac:dyDescent="0.25">
      <c r="A21" s="7"/>
      <c r="B21" s="7"/>
      <c r="C21" s="7"/>
      <c r="D21" s="7"/>
      <c r="E21" s="7"/>
      <c r="F21" s="7"/>
      <c r="G21" s="2"/>
      <c r="H21" s="2"/>
    </row>
    <row r="22" spans="1:10" ht="15.75" x14ac:dyDescent="0.25">
      <c r="A22" s="7" t="s">
        <v>12</v>
      </c>
      <c r="B22" s="212" t="s">
        <v>27</v>
      </c>
      <c r="C22" s="212"/>
      <c r="D22" s="212"/>
      <c r="E22" s="212"/>
      <c r="F22" s="7"/>
      <c r="G22" s="2"/>
      <c r="H22" s="2"/>
    </row>
    <row r="23" spans="1:10" ht="15.75" x14ac:dyDescent="0.25">
      <c r="A23" s="7"/>
      <c r="B23" s="216" t="s">
        <v>28</v>
      </c>
      <c r="C23" s="216"/>
      <c r="D23" s="216"/>
      <c r="E23" s="216"/>
      <c r="F23" s="26" t="str">
        <f>IF($E13=0,"",$E13)</f>
        <v/>
      </c>
      <c r="G23" s="2"/>
      <c r="H23" s="2"/>
    </row>
    <row r="24" spans="1:10" ht="15.75" x14ac:dyDescent="0.25">
      <c r="A24" s="7"/>
      <c r="B24" s="7"/>
      <c r="C24" s="7"/>
      <c r="D24" s="7"/>
      <c r="E24" s="7"/>
      <c r="F24" s="7"/>
      <c r="G24" s="2"/>
      <c r="H24" s="2"/>
    </row>
    <row r="25" spans="1:10" ht="15.75" x14ac:dyDescent="0.25">
      <c r="A25" s="7"/>
      <c r="B25" s="7" t="s">
        <v>29</v>
      </c>
      <c r="C25" s="216"/>
      <c r="D25" s="216"/>
      <c r="E25" s="216"/>
      <c r="F25" s="7" t="s">
        <v>21</v>
      </c>
      <c r="G25" s="2"/>
      <c r="H25" s="2"/>
    </row>
  </sheetData>
  <sheetProtection password="E9BA" sheet="1" objects="1" scenarios="1" formatCells="0" formatColumns="0" formatRows="0" insertRows="0" deleteColumns="0" deleteRows="0"/>
  <mergeCells count="12">
    <mergeCell ref="C25:E25"/>
    <mergeCell ref="C2:D2"/>
    <mergeCell ref="C4:D4"/>
    <mergeCell ref="C6:D6"/>
    <mergeCell ref="B13:D13"/>
    <mergeCell ref="B15:D15"/>
    <mergeCell ref="E15:G15"/>
    <mergeCell ref="B17:D17"/>
    <mergeCell ref="B19:E19"/>
    <mergeCell ref="B20:E20"/>
    <mergeCell ref="B22:E22"/>
    <mergeCell ref="B23:E23"/>
  </mergeCells>
  <dataValidations count="3">
    <dataValidation type="list" showInputMessage="1" showErrorMessage="1" sqref="F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I4"/>
    <dataValidation type="list" allowBlank="1" showInputMessage="1" showErrorMessage="1" sqref="C4:D4">
      <formula1>$C$2:$C$13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Faculty/Directorate Responsibility Allowance 
Claim Form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Staff_List!$A$2:$A$53</xm:f>
          </x14:formula1>
          <xm:sqref>C2:D2</xm:sqref>
        </x14:dataValidation>
        <x14:dataValidation type="list" allowBlank="1" showInputMessage="1" showErrorMessage="1">
          <x14:formula1>
            <xm:f>Info_Lists!$B$2:$B$7</xm:f>
          </x14:formula1>
          <xm:sqref>H4</xm:sqref>
        </x14:dataValidation>
        <x14:dataValidation type="list" allowBlank="1" showInputMessage="1" showErrorMessage="1">
          <x14:formula1>
            <xm:f>Info_Lists!$F$2:$F$20</xm:f>
          </x14:formula1>
          <xm:sqref>D8:D12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99"/>
  </sheetPr>
  <dimension ref="A1:I81"/>
  <sheetViews>
    <sheetView workbookViewId="0">
      <selection activeCell="I23" sqref="I23"/>
    </sheetView>
  </sheetViews>
  <sheetFormatPr defaultRowHeight="15" x14ac:dyDescent="0.25"/>
  <cols>
    <col min="1" max="1" width="7.85546875" customWidth="1"/>
    <col min="2" max="2" width="25.7109375" customWidth="1"/>
    <col min="3" max="3" width="1.7109375" customWidth="1"/>
    <col min="4" max="4" width="15.7109375" customWidth="1"/>
    <col min="5" max="5" width="15.85546875" customWidth="1"/>
    <col min="6" max="6" width="15.42578125" bestFit="1" customWidth="1"/>
    <col min="7" max="8" width="21.85546875" customWidth="1"/>
    <col min="9" max="9" width="1.7109375" customWidth="1"/>
  </cols>
  <sheetData>
    <row r="1" spans="1:9" ht="15.75" x14ac:dyDescent="0.25">
      <c r="A1" s="155" t="s">
        <v>348</v>
      </c>
      <c r="B1" s="2"/>
      <c r="C1" s="2"/>
      <c r="D1" s="245" t="s">
        <v>373</v>
      </c>
      <c r="E1" s="245"/>
      <c r="F1" s="21"/>
      <c r="G1" s="2"/>
      <c r="H1" s="2"/>
      <c r="I1" s="2"/>
    </row>
    <row r="2" spans="1:9" ht="15.75" x14ac:dyDescent="0.25">
      <c r="A2" s="155" t="s">
        <v>349</v>
      </c>
      <c r="B2" s="2"/>
      <c r="C2" s="2"/>
      <c r="D2" s="246" t="str">
        <f>'Excess_Workload (4)'!$C$4</f>
        <v>Estate Management</v>
      </c>
      <c r="E2" s="246"/>
      <c r="F2" s="246"/>
      <c r="G2" s="2"/>
      <c r="H2" s="2"/>
      <c r="I2" s="2"/>
    </row>
    <row r="3" spans="1:9" ht="15.75" x14ac:dyDescent="0.25">
      <c r="A3" s="155" t="s">
        <v>350</v>
      </c>
      <c r="B3" s="2"/>
      <c r="C3" s="2"/>
      <c r="D3" s="246" t="str">
        <f>'Excess_Workload (4)'!$C$2</f>
        <v>Dr. A.C. Otegbulu</v>
      </c>
      <c r="E3" s="246"/>
      <c r="F3" s="63"/>
      <c r="G3" s="2"/>
      <c r="H3" s="2"/>
      <c r="I3" s="2"/>
    </row>
    <row r="4" spans="1:9" ht="15.75" x14ac:dyDescent="0.25">
      <c r="A4" s="155" t="s">
        <v>351</v>
      </c>
      <c r="B4" s="2"/>
      <c r="C4" s="2"/>
      <c r="D4" s="246" t="str">
        <f>'Excess_Workload (4)'!$G$4</f>
        <v>Senior Lecturer</v>
      </c>
      <c r="E4" s="246"/>
      <c r="F4" s="63"/>
      <c r="G4" s="2"/>
      <c r="H4" s="2"/>
      <c r="I4" s="2"/>
    </row>
    <row r="5" spans="1:9" ht="15.75" x14ac:dyDescent="0.25">
      <c r="A5" s="155" t="s">
        <v>352</v>
      </c>
      <c r="B5" s="2"/>
      <c r="C5" s="2"/>
      <c r="D5" s="63" t="str">
        <f>'Excess_Workload (4)'!$G$2</f>
        <v>A7581</v>
      </c>
      <c r="E5" s="21"/>
      <c r="F5" s="21"/>
      <c r="G5" s="2"/>
      <c r="H5" s="2"/>
      <c r="I5" s="2"/>
    </row>
    <row r="6" spans="1:9" ht="15.75" x14ac:dyDescent="0.25">
      <c r="A6" s="155" t="s">
        <v>353</v>
      </c>
      <c r="B6" s="2"/>
      <c r="C6" s="2"/>
      <c r="D6" s="224" t="s">
        <v>489</v>
      </c>
      <c r="E6" s="224"/>
      <c r="F6" s="2"/>
      <c r="G6" s="2"/>
      <c r="H6" s="2"/>
      <c r="I6" s="2"/>
    </row>
    <row r="7" spans="1:9" ht="15.75" x14ac:dyDescent="0.25">
      <c r="A7" s="155" t="s">
        <v>354</v>
      </c>
      <c r="B7" s="2"/>
      <c r="C7" s="2"/>
      <c r="D7" s="170" t="str">
        <f>'Excess_Workload (4)'!$I$4</f>
        <v>2011/2012</v>
      </c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31.5" x14ac:dyDescent="0.25">
      <c r="A9" s="156" t="s">
        <v>371</v>
      </c>
      <c r="B9" s="157" t="s">
        <v>45</v>
      </c>
      <c r="C9" s="158"/>
      <c r="D9" s="159"/>
      <c r="E9" s="159"/>
      <c r="F9" s="159"/>
      <c r="G9" s="159"/>
      <c r="H9" s="159"/>
      <c r="I9" s="160"/>
    </row>
    <row r="10" spans="1:9" ht="15" customHeight="1" x14ac:dyDescent="0.25">
      <c r="A10" s="228"/>
      <c r="B10" s="229" t="str">
        <f>"Postgraduate        Supervision              Allowance                              ("&amp;"NGN "&amp;IF(OR(LEFT($D$4,1)="P",LEFT($D$4,1)="R"),"25,000.00",IF(LEFT($D$4,1)="S","20,000.00",IF(AND(LEFT($D$4,1)="L",OR(RIGHT($D$4,2)=" I",RIGHT($D$4,2)="II")),"15,000.00","ERROR")))&amp;" Per Student, Per Annum) A maximum of 5 Students"</f>
        <v>Postgraduate        Supervision              Allowance                              (NGN 20,000.00 Per Student, Per Annum) A maximum of 5 Students</v>
      </c>
      <c r="C10" s="171"/>
      <c r="D10" s="172" t="s">
        <v>355</v>
      </c>
      <c r="E10" s="172"/>
      <c r="F10" s="172"/>
      <c r="G10" s="161"/>
      <c r="H10" s="161"/>
      <c r="I10" s="162"/>
    </row>
    <row r="11" spans="1:9" ht="15" customHeight="1" x14ac:dyDescent="0.25">
      <c r="A11" s="228"/>
      <c r="B11" s="230"/>
      <c r="C11" s="173"/>
      <c r="D11" s="233" t="s">
        <v>356</v>
      </c>
      <c r="E11" s="234"/>
      <c r="F11" s="105" t="s">
        <v>357</v>
      </c>
      <c r="G11" s="252" t="s">
        <v>358</v>
      </c>
      <c r="H11" s="252"/>
      <c r="I11" s="164"/>
    </row>
    <row r="12" spans="1:9" ht="15" customHeight="1" x14ac:dyDescent="0.25">
      <c r="A12" s="228"/>
      <c r="B12" s="230"/>
      <c r="C12" s="173"/>
      <c r="D12" s="247" t="str">
        <f>IF('PG_Supervision (4)'!E9="","",'PG_Supervision (4)'!E9)</f>
        <v>Louisa Nwobodo</v>
      </c>
      <c r="E12" s="248"/>
      <c r="F12" s="174" t="str">
        <f>IF('PG_Supervision (4)'!D9="","",'PG_Supervision (4)'!D9)</f>
        <v>119053014</v>
      </c>
      <c r="G12" s="232"/>
      <c r="H12" s="232"/>
      <c r="I12" s="164"/>
    </row>
    <row r="13" spans="1:9" ht="15" customHeight="1" x14ac:dyDescent="0.25">
      <c r="A13" s="228"/>
      <c r="B13" s="230"/>
      <c r="C13" s="173"/>
      <c r="D13" s="247" t="str">
        <f>IF('PG_Supervision (4)'!E10="","",'PG_Supervision (4)'!E10)</f>
        <v>Nworah Joseph</v>
      </c>
      <c r="E13" s="248"/>
      <c r="F13" s="174" t="str">
        <f>IF('PG_Supervision (4)'!D10="","",'PG_Supervision (4)'!D10)</f>
        <v>119053039</v>
      </c>
      <c r="G13" s="232"/>
      <c r="H13" s="232"/>
      <c r="I13" s="164"/>
    </row>
    <row r="14" spans="1:9" ht="15" customHeight="1" x14ac:dyDescent="0.25">
      <c r="A14" s="228"/>
      <c r="B14" s="230"/>
      <c r="C14" s="173"/>
      <c r="D14" s="247" t="str">
        <f>IF('PG_Supervision (4)'!E11="","",'PG_Supervision (4)'!E11)</f>
        <v>Ogbonna Isreal</v>
      </c>
      <c r="E14" s="248"/>
      <c r="F14" s="174" t="str">
        <f>IF('PG_Supervision (4)'!D11="","",'PG_Supervision (4)'!D11)</f>
        <v>119053003</v>
      </c>
      <c r="G14" s="232"/>
      <c r="H14" s="232"/>
      <c r="I14" s="164"/>
    </row>
    <row r="15" spans="1:9" ht="15" customHeight="1" x14ac:dyDescent="0.25">
      <c r="A15" s="228"/>
      <c r="B15" s="230"/>
      <c r="C15" s="173"/>
      <c r="D15" s="247" t="str">
        <f>IF('PG_Supervision (4)'!E12="","",'PG_Supervision (4)'!E12)</f>
        <v>Ogungbola Olumuywa</v>
      </c>
      <c r="E15" s="248"/>
      <c r="F15" s="174" t="str">
        <f>IF('PG_Supervision (4)'!D12="","",'PG_Supervision (4)'!D12)</f>
        <v>010502057</v>
      </c>
      <c r="G15" s="232"/>
      <c r="H15" s="232"/>
      <c r="I15" s="164"/>
    </row>
    <row r="16" spans="1:9" ht="15" customHeight="1" x14ac:dyDescent="0.25">
      <c r="A16" s="228"/>
      <c r="B16" s="175">
        <f>'PG_Supervision (4)'!$E$15</f>
        <v>100000</v>
      </c>
      <c r="C16" s="176"/>
      <c r="D16" s="247" t="str">
        <f>IF('PG_Supervision (4)'!E13="","",'PG_Supervision (4)'!E13)</f>
        <v>Odekoya Abayomi</v>
      </c>
      <c r="E16" s="248"/>
      <c r="F16" s="174" t="str">
        <f>IF('PG_Supervision (4)'!D13="","",'PG_Supervision (4)'!D13)</f>
        <v>010502054</v>
      </c>
      <c r="G16" s="232"/>
      <c r="H16" s="232"/>
      <c r="I16" s="165"/>
    </row>
    <row r="17" spans="1:9" ht="15" customHeight="1" x14ac:dyDescent="0.25">
      <c r="A17" s="228"/>
      <c r="B17" s="229" t="str">
        <f>"Teaching    Practice/Industrial Supervision/ Field Trip Allowances           (NGN "&amp;IF(OR(LEFT($D$4,1)="P",LEFT($D$4,1)="R"),"100,000.00",IF(LEFT($D$4,1)="S","80,000.00",IF(OR(LEFT($D$4,1)="L",LEFT($D$4,1)="L",LEFT($D$4,1)="A"),"60,000.00","#ERROR")))&amp;" Per Annum)"</f>
        <v>Teaching    Practice/Industrial Supervision/ Field Trip Allowances           (NGN 80,000.00 Per Annum)</v>
      </c>
      <c r="C17" s="173"/>
      <c r="D17" s="177" t="s">
        <v>359</v>
      </c>
      <c r="E17" s="177"/>
      <c r="F17" s="177"/>
      <c r="G17" s="166"/>
      <c r="H17" s="166"/>
      <c r="I17" s="164"/>
    </row>
    <row r="18" spans="1:9" x14ac:dyDescent="0.25">
      <c r="A18" s="228"/>
      <c r="B18" s="230"/>
      <c r="C18" s="173"/>
      <c r="D18" s="233" t="s">
        <v>356</v>
      </c>
      <c r="E18" s="234"/>
      <c r="F18" s="105" t="s">
        <v>357</v>
      </c>
      <c r="G18" s="252" t="s">
        <v>360</v>
      </c>
      <c r="H18" s="252"/>
      <c r="I18" s="164"/>
    </row>
    <row r="19" spans="1:9" x14ac:dyDescent="0.25">
      <c r="A19" s="228"/>
      <c r="B19" s="230"/>
      <c r="C19" s="173"/>
      <c r="D19" s="226" t="str">
        <f>IF('TP_IS_FT_Allowance (4)'!E9="","",'TP_IS_FT_Allowance (4)'!E9)</f>
        <v>ADEDOKUN TOLULOYE</v>
      </c>
      <c r="E19" s="227"/>
      <c r="F19" s="178" t="str">
        <f>IF('TP_IS_FT_Allowance (4)'!D9="","",'TP_IS_FT_Allowance (4)'!D9)</f>
        <v>070502004</v>
      </c>
      <c r="G19" s="232" t="s">
        <v>561</v>
      </c>
      <c r="H19" s="232"/>
      <c r="I19" s="164"/>
    </row>
    <row r="20" spans="1:9" x14ac:dyDescent="0.25">
      <c r="A20" s="228"/>
      <c r="B20" s="230"/>
      <c r="C20" s="173"/>
      <c r="D20" s="226" t="str">
        <f>IF('TP_IS_FT_Allowance (4)'!E10="","",'TP_IS_FT_Allowance (4)'!E10)</f>
        <v>ADEDOSU DESMOND</v>
      </c>
      <c r="E20" s="227"/>
      <c r="F20" s="178" t="str">
        <f>IF('TP_IS_FT_Allowance (4)'!D10="","",'TP_IS_FT_Allowance (4)'!D10)</f>
        <v>080502005</v>
      </c>
      <c r="G20" s="232" t="s">
        <v>562</v>
      </c>
      <c r="H20" s="232"/>
      <c r="I20" s="164"/>
    </row>
    <row r="21" spans="1:9" x14ac:dyDescent="0.25">
      <c r="A21" s="228"/>
      <c r="B21" s="230"/>
      <c r="C21" s="173"/>
      <c r="D21" s="226" t="str">
        <f>IF('TP_IS_FT_Allowance (4)'!E11="","",'TP_IS_FT_Allowance (4)'!E11)</f>
        <v>MORAN IFENEFUNA</v>
      </c>
      <c r="E21" s="227"/>
      <c r="F21" s="178" t="str">
        <f>IF('TP_IS_FT_Allowance (4)'!D11="","",'TP_IS_FT_Allowance (4)'!D11)</f>
        <v>090502044</v>
      </c>
      <c r="G21" s="232" t="s">
        <v>562</v>
      </c>
      <c r="H21" s="232"/>
      <c r="I21" s="164"/>
    </row>
    <row r="22" spans="1:9" x14ac:dyDescent="0.25">
      <c r="A22" s="228"/>
      <c r="B22" s="230"/>
      <c r="C22" s="173"/>
      <c r="D22" s="226" t="str">
        <f>IF('TP_IS_FT_Allowance (4)'!E12="","",'TP_IS_FT_Allowance (4)'!E12)</f>
        <v>AYARA ORIYOMI</v>
      </c>
      <c r="E22" s="227"/>
      <c r="F22" s="178" t="str">
        <f>IF('TP_IS_FT_Allowance (4)'!D12="","",'TP_IS_FT_Allowance (4)'!D12)</f>
        <v>090502023</v>
      </c>
      <c r="G22" s="232" t="s">
        <v>563</v>
      </c>
      <c r="H22" s="232"/>
      <c r="I22" s="164"/>
    </row>
    <row r="23" spans="1:9" x14ac:dyDescent="0.25">
      <c r="A23" s="228"/>
      <c r="B23" s="179"/>
      <c r="C23" s="173"/>
      <c r="D23" s="226" t="str">
        <f>IF('TP_IS_FT_Allowance (4)'!E13="","",'TP_IS_FT_Allowance (4)'!E13)</f>
        <v>NWREOCHA TOBECHUWU</v>
      </c>
      <c r="E23" s="227"/>
      <c r="F23" s="178" t="str">
        <f>IF('TP_IS_FT_Allowance (4)'!D13="","",'TP_IS_FT_Allowance (4)'!D13)</f>
        <v>080502047</v>
      </c>
      <c r="G23" s="232" t="s">
        <v>563</v>
      </c>
      <c r="H23" s="232"/>
      <c r="I23" s="164"/>
    </row>
    <row r="24" spans="1:9" ht="15.75" x14ac:dyDescent="0.25">
      <c r="A24" s="228"/>
      <c r="B24" s="180">
        <f>'TP_IS_FT_Allowance (4)'!$F$32</f>
        <v>80000</v>
      </c>
      <c r="C24" s="173"/>
      <c r="D24" s="226" t="str">
        <f>IF('TP_IS_FT_Allowance (4)'!E14="","",'TP_IS_FT_Allowance (4)'!E14)</f>
        <v/>
      </c>
      <c r="E24" s="227"/>
      <c r="F24" s="178" t="str">
        <f>IF('TP_IS_FT_Allowance (4)'!D14="","",'TP_IS_FT_Allowance (4)'!D14)</f>
        <v/>
      </c>
      <c r="G24" s="232"/>
      <c r="H24" s="232"/>
      <c r="I24" s="164"/>
    </row>
    <row r="25" spans="1:9" x14ac:dyDescent="0.25">
      <c r="A25" s="228"/>
      <c r="B25" s="179"/>
      <c r="C25" s="173"/>
      <c r="D25" s="226" t="str">
        <f>IF('TP_IS_FT_Allowance (4)'!E15="","",'TP_IS_FT_Allowance (4)'!E15)</f>
        <v/>
      </c>
      <c r="E25" s="227"/>
      <c r="F25" s="178" t="str">
        <f>IF('TP_IS_FT_Allowance (4)'!D15="","",'TP_IS_FT_Allowance (4)'!D15)</f>
        <v/>
      </c>
      <c r="G25" s="232"/>
      <c r="H25" s="232"/>
      <c r="I25" s="164"/>
    </row>
    <row r="26" spans="1:9" x14ac:dyDescent="0.25">
      <c r="A26" s="228"/>
      <c r="B26" s="179"/>
      <c r="C26" s="173"/>
      <c r="D26" s="226" t="str">
        <f>IF('TP_IS_FT_Allowance (4)'!E16="","",'TP_IS_FT_Allowance (4)'!E16)</f>
        <v/>
      </c>
      <c r="E26" s="227"/>
      <c r="F26" s="178" t="str">
        <f>IF('TP_IS_FT_Allowance (4)'!D16="","",'TP_IS_FT_Allowance (4)'!D16)</f>
        <v/>
      </c>
      <c r="G26" s="232"/>
      <c r="H26" s="232"/>
      <c r="I26" s="164"/>
    </row>
    <row r="27" spans="1:9" x14ac:dyDescent="0.25">
      <c r="A27" s="228"/>
      <c r="B27" s="179"/>
      <c r="C27" s="173"/>
      <c r="D27" s="226" t="str">
        <f>IF('TP_IS_FT_Allowance (4)'!E17="","",'TP_IS_FT_Allowance (4)'!E17)</f>
        <v/>
      </c>
      <c r="E27" s="227"/>
      <c r="F27" s="178" t="str">
        <f>IF('TP_IS_FT_Allowance (4)'!D17="","",'TP_IS_FT_Allowance (4)'!D17)</f>
        <v/>
      </c>
      <c r="G27" s="232"/>
      <c r="H27" s="232"/>
      <c r="I27" s="164"/>
    </row>
    <row r="28" spans="1:9" x14ac:dyDescent="0.25">
      <c r="A28" s="228"/>
      <c r="B28" s="179"/>
      <c r="C28" s="173"/>
      <c r="D28" s="226" t="str">
        <f>IF('TP_IS_FT_Allowance (4)'!E18="","",'TP_IS_FT_Allowance (4)'!E18)</f>
        <v/>
      </c>
      <c r="E28" s="227"/>
      <c r="F28" s="178" t="str">
        <f>IF('TP_IS_FT_Allowance (4)'!D18="","",'TP_IS_FT_Allowance (4)'!D18)</f>
        <v/>
      </c>
      <c r="G28" s="232"/>
      <c r="H28" s="232"/>
      <c r="I28" s="164"/>
    </row>
    <row r="29" spans="1:9" x14ac:dyDescent="0.25">
      <c r="A29" s="228"/>
      <c r="B29" s="179"/>
      <c r="C29" s="173"/>
      <c r="D29" s="226" t="str">
        <f>IF('TP_IS_FT_Allowance (4)'!E19="","",'TP_IS_FT_Allowance (4)'!E19)</f>
        <v/>
      </c>
      <c r="E29" s="227"/>
      <c r="F29" s="178" t="str">
        <f>IF('TP_IS_FT_Allowance (4)'!D19="","",'TP_IS_FT_Allowance (4)'!D19)</f>
        <v/>
      </c>
      <c r="G29" s="232"/>
      <c r="H29" s="232"/>
      <c r="I29" s="164"/>
    </row>
    <row r="30" spans="1:9" x14ac:dyDescent="0.25">
      <c r="A30" s="228"/>
      <c r="B30" s="179"/>
      <c r="C30" s="173"/>
      <c r="D30" s="226" t="str">
        <f>IF('TP_IS_FT_Allowance (4)'!E20="","",'TP_IS_FT_Allowance (4)'!E20)</f>
        <v/>
      </c>
      <c r="E30" s="227"/>
      <c r="F30" s="178" t="str">
        <f>IF('TP_IS_FT_Allowance (4)'!D20="","",'TP_IS_FT_Allowance (4)'!D20)</f>
        <v/>
      </c>
      <c r="G30" s="232"/>
      <c r="H30" s="232"/>
      <c r="I30" s="164"/>
    </row>
    <row r="31" spans="1:9" x14ac:dyDescent="0.25">
      <c r="A31" s="228"/>
      <c r="B31" s="179"/>
      <c r="C31" s="173"/>
      <c r="D31" s="226" t="str">
        <f>IF('TP_IS_FT_Allowance (4)'!E21="","",'TP_IS_FT_Allowance (4)'!E21)</f>
        <v/>
      </c>
      <c r="E31" s="227"/>
      <c r="F31" s="178" t="str">
        <f>IF('TP_IS_FT_Allowance (4)'!D21="","",'TP_IS_FT_Allowance (4)'!D21)</f>
        <v/>
      </c>
      <c r="G31" s="232"/>
      <c r="H31" s="232"/>
      <c r="I31" s="164"/>
    </row>
    <row r="32" spans="1:9" x14ac:dyDescent="0.25">
      <c r="A32" s="228"/>
      <c r="B32" s="179"/>
      <c r="C32" s="173"/>
      <c r="D32" s="226" t="str">
        <f>IF('TP_IS_FT_Allowance (4)'!E22="","",'TP_IS_FT_Allowance (4)'!E22)</f>
        <v/>
      </c>
      <c r="E32" s="227"/>
      <c r="F32" s="178" t="str">
        <f>IF('TP_IS_FT_Allowance (4)'!D22="","",'TP_IS_FT_Allowance (4)'!D22)</f>
        <v/>
      </c>
      <c r="G32" s="232"/>
      <c r="H32" s="232"/>
      <c r="I32" s="164"/>
    </row>
    <row r="33" spans="1:9" x14ac:dyDescent="0.25">
      <c r="A33" s="228"/>
      <c r="B33" s="181"/>
      <c r="C33" s="173"/>
      <c r="D33" s="226" t="str">
        <f>IF('TP_IS_FT_Allowance (4)'!E23="","",'TP_IS_FT_Allowance (4)'!E23)</f>
        <v/>
      </c>
      <c r="E33" s="227"/>
      <c r="F33" s="178" t="str">
        <f>IF('TP_IS_FT_Allowance (4)'!D23="","",'TP_IS_FT_Allowance (4)'!D23)</f>
        <v/>
      </c>
      <c r="G33" s="251"/>
      <c r="H33" s="251"/>
      <c r="I33" s="164"/>
    </row>
    <row r="34" spans="1:9" ht="30" x14ac:dyDescent="0.25">
      <c r="A34" s="228"/>
      <c r="B34" s="196" t="s">
        <v>361</v>
      </c>
      <c r="C34" s="198"/>
      <c r="D34" s="263" t="s">
        <v>362</v>
      </c>
      <c r="E34" s="263"/>
      <c r="F34" s="263"/>
      <c r="G34" s="263"/>
      <c r="H34" s="161"/>
      <c r="I34" s="162"/>
    </row>
    <row r="35" spans="1:9" ht="54.75" customHeight="1" x14ac:dyDescent="0.25">
      <c r="A35" s="228"/>
      <c r="B35" s="65"/>
      <c r="C35" s="169"/>
      <c r="D35" s="261" t="s">
        <v>374</v>
      </c>
      <c r="E35" s="261"/>
      <c r="F35" s="261"/>
      <c r="G35" s="261"/>
      <c r="H35" s="261"/>
      <c r="I35" s="165"/>
    </row>
    <row r="36" spans="1:9" ht="15" customHeight="1" x14ac:dyDescent="0.25">
      <c r="A36" s="228"/>
      <c r="B36" s="229" t="s">
        <v>366</v>
      </c>
      <c r="C36" s="183"/>
      <c r="D36" s="172" t="s">
        <v>363</v>
      </c>
      <c r="E36" s="172"/>
      <c r="F36" s="172"/>
      <c r="G36" s="172"/>
      <c r="H36" s="161"/>
      <c r="I36" s="162"/>
    </row>
    <row r="37" spans="1:9" x14ac:dyDescent="0.25">
      <c r="A37" s="228"/>
      <c r="B37" s="230"/>
      <c r="C37" s="184"/>
      <c r="D37" s="233" t="s">
        <v>364</v>
      </c>
      <c r="E37" s="234"/>
      <c r="F37" s="234"/>
      <c r="G37" s="235"/>
      <c r="H37" s="163" t="s">
        <v>365</v>
      </c>
      <c r="I37" s="164"/>
    </row>
    <row r="38" spans="1:9" x14ac:dyDescent="0.25">
      <c r="A38" s="228"/>
      <c r="B38" s="192" t="str">
        <f>IF($D38="","","NGN "&amp;IF(OR($D38="Deputy Vice Chancellor",$D38="Librarian"),"750,000.00",IF(OR($D38="Provost",$D38="Dean",$D38="Director"),"500,000.00",IF(OR($D38="Deputy Provost",$D38="Deputy Dean"),"350,000.00",IF(OR($D38="Head of Department",$D38="Sub Dean"),"250,000.00","150,000.00"))))&amp;" Per Annum")</f>
        <v>NGN 250,000.00 Per Annum</v>
      </c>
      <c r="C38" s="184"/>
      <c r="D38" s="236" t="str">
        <f>IF('Responsibility (4)'!D8="","",'Responsibility (4)'!D8)</f>
        <v>Head of Department</v>
      </c>
      <c r="E38" s="237"/>
      <c r="F38" s="237"/>
      <c r="G38" s="238"/>
      <c r="H38" s="65"/>
      <c r="I38" s="164"/>
    </row>
    <row r="39" spans="1:9" x14ac:dyDescent="0.25">
      <c r="A39" s="228"/>
      <c r="B39" s="192" t="str">
        <f>IF($D39="","","NGN "&amp;IF(OR($D39="Deputy Vice Chancellor",$D39="Librarian"),"750,000.00",IF(OR($D39="Provost",$D39="Dean",$D39="Director"),"500,000.00",IF(OR($D39="Deputy Provost",$D39="Deputy Dean"),"350,000.00",IF(OR($D39="Head of Department",$D39="Sub Dean"),"250,000.00","150,000.00"))))&amp;" Per Annum")</f>
        <v/>
      </c>
      <c r="C39" s="184"/>
      <c r="D39" s="236" t="str">
        <f>IF('Responsibility (4)'!D9="","",'Responsibility (4)'!D9)</f>
        <v/>
      </c>
      <c r="E39" s="237"/>
      <c r="F39" s="237"/>
      <c r="G39" s="238"/>
      <c r="H39" s="65"/>
      <c r="I39" s="164"/>
    </row>
    <row r="40" spans="1:9" x14ac:dyDescent="0.25">
      <c r="A40" s="228"/>
      <c r="B40" s="192" t="str">
        <f>IF($D40="","","NGN "&amp;IF(OR($D40="Deputy Vice Chancellor",$D40="Librarian"),"750,000.00",IF(OR($D40="Provost",$D40="Dean",$D40="Director"),"500,000.00",IF(OR($D40="Deputy Provost",$D40="Deputy Dean"),"350,000.00",IF(OR($D40="Head of Department",$D40="Sub Dean"),"250,000.00","150,000.00"))))&amp;" Per Annum")</f>
        <v/>
      </c>
      <c r="C40" s="184"/>
      <c r="D40" s="236" t="str">
        <f>IF('Responsibility (4)'!D10="","",'Responsibility (4)'!D10)</f>
        <v/>
      </c>
      <c r="E40" s="237"/>
      <c r="F40" s="237"/>
      <c r="G40" s="238"/>
      <c r="H40" s="65"/>
      <c r="I40" s="164"/>
    </row>
    <row r="41" spans="1:9" x14ac:dyDescent="0.25">
      <c r="A41" s="228"/>
      <c r="B41" s="192" t="str">
        <f>IF($D41="","","NGN "&amp;IF(OR($D41="Deputy Vice Chancellor",$D41="Librarian"),"750,000.00",IF(OR($D41="Provost",$D41="Dean",$D41="Director"),"500,000.00",IF(OR($D41="Deputy Provost",$D41="Deputy Dean"),"350,000.00",IF(OR($D41="Head of Department",$D41="Sub Dean"),"250,000.00","150,000.00"))))&amp;" Per Annum")</f>
        <v/>
      </c>
      <c r="C41" s="184"/>
      <c r="D41" s="236" t="str">
        <f>IF('Responsibility (4)'!D11="","",'Responsibility (4)'!D11)</f>
        <v/>
      </c>
      <c r="E41" s="237"/>
      <c r="F41" s="237"/>
      <c r="G41" s="238"/>
      <c r="H41" s="65"/>
      <c r="I41" s="164"/>
    </row>
    <row r="42" spans="1:9" x14ac:dyDescent="0.25">
      <c r="A42" s="228"/>
      <c r="B42" s="192" t="str">
        <f>IF($D42="","","NGN "&amp;IF(OR($D42="Deputy Vice Chancellor",$D42="Librarian"),"750,000.00",IF(OR($D42="Provost",$D42="Dean",$D42="Director"),"500,000.00",IF(OR($D42="Deputy Provost",$D42="Deputy Dean"),"350,000.00",IF(OR($D42="Head of Department",$D42="Sub Dean"),"250,000.00","150,000.00"))))&amp;" Per Annum")</f>
        <v/>
      </c>
      <c r="C42" s="184"/>
      <c r="D42" s="236" t="str">
        <f>IF('Responsibility (4)'!D12="","",'Responsibility (4)'!D12)</f>
        <v/>
      </c>
      <c r="E42" s="237"/>
      <c r="F42" s="237"/>
      <c r="G42" s="238"/>
      <c r="H42" s="65"/>
      <c r="I42" s="164"/>
    </row>
    <row r="43" spans="1:9" x14ac:dyDescent="0.25">
      <c r="A43" s="228"/>
      <c r="B43" s="179"/>
      <c r="C43" s="184"/>
      <c r="D43" s="239" t="str">
        <f>IF(Responsibility!D11="","",Responsibility!D11)</f>
        <v/>
      </c>
      <c r="E43" s="240"/>
      <c r="F43" s="240"/>
      <c r="G43" s="241"/>
      <c r="H43" s="191"/>
      <c r="I43" s="164"/>
    </row>
    <row r="44" spans="1:9" x14ac:dyDescent="0.25">
      <c r="A44" s="228"/>
      <c r="B44" s="186">
        <f>'Responsibility (4)'!$E$13</f>
        <v>250000</v>
      </c>
      <c r="C44" s="187"/>
      <c r="D44" s="239" t="str">
        <f>IF(Responsibility!D12="","",Responsibility!D12)</f>
        <v/>
      </c>
      <c r="E44" s="240"/>
      <c r="F44" s="240"/>
      <c r="G44" s="241"/>
      <c r="H44" s="191"/>
      <c r="I44" s="165"/>
    </row>
    <row r="45" spans="1:9" ht="15" customHeight="1" x14ac:dyDescent="0.25">
      <c r="A45" s="228"/>
      <c r="B45" s="229" t="str">
        <f>"Excess    Workload Allowance (NGN "&amp;IF(OR(LEFT($D$4,1)="U",LEFT($D$4,1)="P",LEFT($D$4,1)="R",LEFT($D$4,1)="S"),"3,500.00","2,000.00")&amp;" Per Hour)"</f>
        <v>Excess    Workload Allowance (NGN 3,500.00 Per Hour)</v>
      </c>
      <c r="C45" s="183"/>
      <c r="D45" s="172" t="s">
        <v>367</v>
      </c>
      <c r="E45" s="172"/>
      <c r="F45" s="172"/>
      <c r="G45" s="172"/>
      <c r="H45" s="172"/>
      <c r="I45" s="193"/>
    </row>
    <row r="46" spans="1:9" ht="30" x14ac:dyDescent="0.25">
      <c r="A46" s="228"/>
      <c r="B46" s="230"/>
      <c r="C46" s="184"/>
      <c r="D46" s="105" t="s">
        <v>189</v>
      </c>
      <c r="E46" s="105" t="s">
        <v>368</v>
      </c>
      <c r="F46" s="188" t="s">
        <v>369</v>
      </c>
      <c r="G46" s="242" t="s">
        <v>370</v>
      </c>
      <c r="H46" s="243"/>
      <c r="I46" s="194"/>
    </row>
    <row r="47" spans="1:9" x14ac:dyDescent="0.25">
      <c r="A47" s="228"/>
      <c r="B47" s="179"/>
      <c r="C47" s="184"/>
      <c r="D47" s="189" t="str">
        <f>IF('Excess_Workload (4)'!B9="","",'Excess_Workload (4)'!B9)</f>
        <v>ESM411</v>
      </c>
      <c r="E47" s="189">
        <f>IF('Excess_Workload (4)'!C9="","",'Excess_Workload (4)'!C9)</f>
        <v>2</v>
      </c>
      <c r="F47" s="189">
        <f>IF('Excess_Workload (4)'!E9="","",'Excess_Workload (4)'!E9)</f>
        <v>2</v>
      </c>
      <c r="G47" s="244">
        <f>IF('Excess_Workload (4)'!D9="","",'Excess_Workload (4)'!D9)</f>
        <v>136</v>
      </c>
      <c r="H47" s="244"/>
      <c r="I47" s="194"/>
    </row>
    <row r="48" spans="1:9" x14ac:dyDescent="0.25">
      <c r="A48" s="228"/>
      <c r="B48" s="179"/>
      <c r="C48" s="184"/>
      <c r="D48" s="189" t="str">
        <f>IF('Excess_Workload (4)'!B10="","",'Excess_Workload (4)'!B10)</f>
        <v>ESM531</v>
      </c>
      <c r="E48" s="189">
        <f>IF('Excess_Workload (4)'!C10="","",'Excess_Workload (4)'!C10)</f>
        <v>2</v>
      </c>
      <c r="F48" s="189">
        <f>IF('Excess_Workload (4)'!E10="","",'Excess_Workload (4)'!E10)</f>
        <v>2</v>
      </c>
      <c r="G48" s="244">
        <f>IF('Excess_Workload (4)'!D10="","",'Excess_Workload (4)'!D10)</f>
        <v>112</v>
      </c>
      <c r="H48" s="244"/>
      <c r="I48" s="194"/>
    </row>
    <row r="49" spans="1:9" x14ac:dyDescent="0.25">
      <c r="A49" s="228"/>
      <c r="B49" s="190">
        <f>'Excess_Workload (4)'!$E$50</f>
        <v>464704.54545454547</v>
      </c>
      <c r="C49" s="184"/>
      <c r="D49" s="189" t="str">
        <f>IF('Excess_Workload (4)'!B11="","",'Excess_Workload (4)'!B11)</f>
        <v>ESM532</v>
      </c>
      <c r="E49" s="189">
        <f>IF('Excess_Workload (4)'!C11="","",'Excess_Workload (4)'!C11)</f>
        <v>3</v>
      </c>
      <c r="F49" s="189">
        <f>IF('Excess_Workload (4)'!E11="","",'Excess_Workload (4)'!E11)</f>
        <v>2</v>
      </c>
      <c r="G49" s="244">
        <f>IF('Excess_Workload (4)'!D11="","",'Excess_Workload (4)'!D11)</f>
        <v>107</v>
      </c>
      <c r="H49" s="244"/>
      <c r="I49" s="194"/>
    </row>
    <row r="50" spans="1:9" x14ac:dyDescent="0.25">
      <c r="A50" s="228"/>
      <c r="B50" s="179"/>
      <c r="C50" s="184"/>
      <c r="D50" s="189" t="str">
        <f>IF('Excess_Workload (4)'!B12="","",'Excess_Workload (4)'!B12)</f>
        <v>ESM591</v>
      </c>
      <c r="E50" s="189">
        <f>IF('Excess_Workload (4)'!C12="","",'Excess_Workload (4)'!C12)</f>
        <v>2</v>
      </c>
      <c r="F50" s="189">
        <f>IF('Excess_Workload (4)'!E12="","",'Excess_Workload (4)'!E12)</f>
        <v>2</v>
      </c>
      <c r="G50" s="244">
        <f>IF('Excess_Workload (4)'!D12="","",'Excess_Workload (4)'!D12)</f>
        <v>123</v>
      </c>
      <c r="H50" s="244"/>
      <c r="I50" s="194"/>
    </row>
    <row r="51" spans="1:9" x14ac:dyDescent="0.25">
      <c r="A51" s="228"/>
      <c r="B51" s="179"/>
      <c r="C51" s="184"/>
      <c r="D51" s="189" t="str">
        <f>IF('Excess_Workload (4)'!B13="","",'Excess_Workload (4)'!B13)</f>
        <v>ESM592</v>
      </c>
      <c r="E51" s="189">
        <f>IF('Excess_Workload (4)'!C13="","",'Excess_Workload (4)'!C13)</f>
        <v>2</v>
      </c>
      <c r="F51" s="189">
        <f>IF('Excess_Workload (4)'!E13="","",'Excess_Workload (4)'!E13)</f>
        <v>2</v>
      </c>
      <c r="G51" s="244">
        <f>IF('Excess_Workload (4)'!D13="","",'Excess_Workload (4)'!D13)</f>
        <v>122</v>
      </c>
      <c r="H51" s="244"/>
      <c r="I51" s="194"/>
    </row>
    <row r="52" spans="1:9" x14ac:dyDescent="0.25">
      <c r="A52" s="228"/>
      <c r="B52" s="179"/>
      <c r="C52" s="184"/>
      <c r="D52" s="189" t="str">
        <f>IF('Excess_Workload (4)'!B14="","",'Excess_Workload (4)'!B14)</f>
        <v/>
      </c>
      <c r="E52" s="189" t="str">
        <f>IF('Excess_Workload (4)'!C14="","",'Excess_Workload (4)'!C14)</f>
        <v/>
      </c>
      <c r="F52" s="189" t="str">
        <f>IF('Excess_Workload (4)'!E14="","",'Excess_Workload (4)'!E14)</f>
        <v/>
      </c>
      <c r="G52" s="244" t="str">
        <f>IF('Excess_Workload (4)'!D14="","",'Excess_Workload (4)'!D14)</f>
        <v/>
      </c>
      <c r="H52" s="244"/>
      <c r="I52" s="194"/>
    </row>
    <row r="53" spans="1:9" x14ac:dyDescent="0.25">
      <c r="A53" s="228"/>
      <c r="B53" s="179"/>
      <c r="C53" s="184"/>
      <c r="D53" s="189" t="str">
        <f>IF('Excess_Workload (4)'!B15="","",'Excess_Workload (4)'!B15)</f>
        <v/>
      </c>
      <c r="E53" s="189" t="str">
        <f>IF('Excess_Workload (4)'!C15="","",'Excess_Workload (4)'!C15)</f>
        <v/>
      </c>
      <c r="F53" s="189" t="str">
        <f>IF('Excess_Workload (4)'!E15="","",'Excess_Workload (4)'!E15)</f>
        <v/>
      </c>
      <c r="G53" s="244" t="str">
        <f>IF('Excess_Workload (4)'!D15="","",'Excess_Workload (4)'!D15)</f>
        <v/>
      </c>
      <c r="H53" s="244"/>
      <c r="I53" s="194"/>
    </row>
    <row r="54" spans="1:9" x14ac:dyDescent="0.25">
      <c r="A54" s="228"/>
      <c r="B54" s="179"/>
      <c r="C54" s="184"/>
      <c r="D54" s="189" t="str">
        <f>IF('Excess_Workload (4)'!B16="","",'Excess_Workload (4)'!B16)</f>
        <v/>
      </c>
      <c r="E54" s="189" t="str">
        <f>IF('Excess_Workload (4)'!C16="","",'Excess_Workload (4)'!C16)</f>
        <v/>
      </c>
      <c r="F54" s="189" t="str">
        <f>IF('Excess_Workload (4)'!E16="","",'Excess_Workload (4)'!E16)</f>
        <v/>
      </c>
      <c r="G54" s="244" t="str">
        <f>IF('Excess_Workload (4)'!D16="","",'Excess_Workload (4)'!D16)</f>
        <v/>
      </c>
      <c r="H54" s="244"/>
      <c r="I54" s="194"/>
    </row>
    <row r="55" spans="1:9" x14ac:dyDescent="0.25">
      <c r="A55" s="228"/>
      <c r="B55" s="179"/>
      <c r="C55" s="184"/>
      <c r="D55" s="189" t="str">
        <f>IF('Excess_Workload (4)'!B17="","",'Excess_Workload (4)'!B17)</f>
        <v/>
      </c>
      <c r="E55" s="189" t="str">
        <f>IF('Excess_Workload (4)'!C17="","",'Excess_Workload (4)'!C17)</f>
        <v/>
      </c>
      <c r="F55" s="189" t="str">
        <f>IF('Excess_Workload (4)'!E17="","",'Excess_Workload (4)'!E17)</f>
        <v/>
      </c>
      <c r="G55" s="244" t="str">
        <f>IF('Excess_Workload (4)'!D17="","",'Excess_Workload (4)'!D17)</f>
        <v/>
      </c>
      <c r="H55" s="244"/>
      <c r="I55" s="194"/>
    </row>
    <row r="56" spans="1:9" x14ac:dyDescent="0.25">
      <c r="A56" s="228"/>
      <c r="B56" s="179"/>
      <c r="C56" s="184"/>
      <c r="D56" s="189" t="str">
        <f>IF('Excess_Workload (4)'!B18="","",'Excess_Workload (4)'!B18)</f>
        <v/>
      </c>
      <c r="E56" s="189" t="str">
        <f>IF('Excess_Workload (4)'!C18="","",'Excess_Workload (4)'!C18)</f>
        <v/>
      </c>
      <c r="F56" s="189" t="str">
        <f>IF('Excess_Workload (4)'!E18="","",'Excess_Workload (4)'!E18)</f>
        <v/>
      </c>
      <c r="G56" s="244" t="str">
        <f>IF('Excess_Workload (4)'!D18="","",'Excess_Workload (4)'!D18)</f>
        <v/>
      </c>
      <c r="H56" s="244"/>
      <c r="I56" s="194"/>
    </row>
    <row r="57" spans="1:9" x14ac:dyDescent="0.25">
      <c r="A57" s="228"/>
      <c r="B57" s="179"/>
      <c r="C57" s="184"/>
      <c r="D57" s="189" t="str">
        <f>IF('Excess_Workload (4)'!B19="","",'Excess_Workload (4)'!B19)</f>
        <v/>
      </c>
      <c r="E57" s="189" t="str">
        <f>IF('Excess_Workload (4)'!C19="","",'Excess_Workload (4)'!C19)</f>
        <v/>
      </c>
      <c r="F57" s="189" t="str">
        <f>IF('Excess_Workload (4)'!E19="","",'Excess_Workload (4)'!E19)</f>
        <v/>
      </c>
      <c r="G57" s="244" t="str">
        <f>IF('Excess_Workload (4)'!D19="","",'Excess_Workload (4)'!D19)</f>
        <v/>
      </c>
      <c r="H57" s="244"/>
      <c r="I57" s="194"/>
    </row>
    <row r="58" spans="1:9" x14ac:dyDescent="0.25">
      <c r="A58" s="228"/>
      <c r="B58" s="181"/>
      <c r="C58" s="187"/>
      <c r="D58" s="189" t="str">
        <f>IF('Excess_Workload (4)'!B20="","",'Excess_Workload (4)'!B20)</f>
        <v/>
      </c>
      <c r="E58" s="189" t="str">
        <f>IF('Excess_Workload (4)'!C20="","",'Excess_Workload (4)'!C20)</f>
        <v/>
      </c>
      <c r="F58" s="189" t="str">
        <f>IF('Excess_Workload (4)'!E20="","",'Excess_Workload (4)'!E20)</f>
        <v/>
      </c>
      <c r="G58" s="244" t="str">
        <f>IF('Excess_Workload (4)'!D20="","",'Excess_Workload (4)'!D20)</f>
        <v/>
      </c>
      <c r="H58" s="244"/>
      <c r="I58" s="195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 t="s">
        <v>372</v>
      </c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</sheetData>
  <sheetProtection password="E9BA" sheet="1" scenarios="1" formatCells="0" formatColumns="0" formatRows="0" insertRows="0" deleteRows="0"/>
  <mergeCells count="81">
    <mergeCell ref="A45:A58"/>
    <mergeCell ref="B45:B46"/>
    <mergeCell ref="G46:H46"/>
    <mergeCell ref="G47:H47"/>
    <mergeCell ref="G48:H48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54:H54"/>
    <mergeCell ref="D33:E33"/>
    <mergeCell ref="G33:H33"/>
    <mergeCell ref="A34:A35"/>
    <mergeCell ref="D34:G34"/>
    <mergeCell ref="D35:H35"/>
    <mergeCell ref="A17:A33"/>
    <mergeCell ref="B17:B22"/>
    <mergeCell ref="D30:E30"/>
    <mergeCell ref="G30:H30"/>
    <mergeCell ref="D31:E31"/>
    <mergeCell ref="G31:H31"/>
    <mergeCell ref="D32:E32"/>
    <mergeCell ref="G32:H32"/>
    <mergeCell ref="D27:E27"/>
    <mergeCell ref="G27:H27"/>
    <mergeCell ref="D28:E28"/>
    <mergeCell ref="A36:A44"/>
    <mergeCell ref="B36:B37"/>
    <mergeCell ref="D37:G37"/>
    <mergeCell ref="D38:G38"/>
    <mergeCell ref="D39:G39"/>
    <mergeCell ref="D40:G40"/>
    <mergeCell ref="D41:G41"/>
    <mergeCell ref="D42:G42"/>
    <mergeCell ref="D43:G43"/>
    <mergeCell ref="D44:G44"/>
    <mergeCell ref="G28:H28"/>
    <mergeCell ref="D29:E29"/>
    <mergeCell ref="G29:H29"/>
    <mergeCell ref="D24:E24"/>
    <mergeCell ref="G24:H24"/>
    <mergeCell ref="D25:E25"/>
    <mergeCell ref="G25:H25"/>
    <mergeCell ref="D26:E26"/>
    <mergeCell ref="G26:H26"/>
    <mergeCell ref="D23:E23"/>
    <mergeCell ref="G23:H23"/>
    <mergeCell ref="G15:H15"/>
    <mergeCell ref="D16:E16"/>
    <mergeCell ref="G16:H16"/>
    <mergeCell ref="D18:E18"/>
    <mergeCell ref="G18:H18"/>
    <mergeCell ref="D19:E19"/>
    <mergeCell ref="G19:H19"/>
    <mergeCell ref="D20:E20"/>
    <mergeCell ref="G20:H20"/>
    <mergeCell ref="D21:E21"/>
    <mergeCell ref="G21:H21"/>
    <mergeCell ref="D22:E22"/>
    <mergeCell ref="G22:H22"/>
    <mergeCell ref="G14:H14"/>
    <mergeCell ref="D1:E1"/>
    <mergeCell ref="D2:F2"/>
    <mergeCell ref="D3:E3"/>
    <mergeCell ref="D4:E4"/>
    <mergeCell ref="D6:E6"/>
    <mergeCell ref="G11:H11"/>
    <mergeCell ref="D12:E12"/>
    <mergeCell ref="G12:H12"/>
    <mergeCell ref="D13:E13"/>
    <mergeCell ref="G13:H13"/>
    <mergeCell ref="A10:A16"/>
    <mergeCell ref="B10:B15"/>
    <mergeCell ref="D11:E11"/>
    <mergeCell ref="D15:E15"/>
    <mergeCell ref="D14:E14"/>
  </mergeCells>
  <dataValidations count="1">
    <dataValidation type="list" allowBlank="1" showInputMessage="1" showErrorMessage="1" sqref="D35:H35">
      <formula1>"Not Applicable,Photocopy Herewith Attached"</formula1>
    </dataValidation>
  </dataValidations>
  <pageMargins left="0.70866141732283472" right="0.70866141732283472" top="1.5354330708661419" bottom="0.74803149606299213" header="0.31496062992125984" footer="0.31496062992125984"/>
  <pageSetup paperSize="9" orientation="landscape" verticalDpi="0" r:id="rId1"/>
  <headerFooter>
    <oddHeader>&amp;C&amp;"Times New Roman,Regular"&amp;22IMPLEMENTATION MONITORING COMMITTEE
EARNED ALLOWANCES FORM&amp;"-,Regular"&amp;11
&amp;"Times New Roman,Bold"&amp;12(To be completed by Academic Staff Only)</oddHeader>
    <oddFooter>&amp;C&amp;P of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3399"/>
  </sheetPr>
  <dimension ref="A1:O116"/>
  <sheetViews>
    <sheetView zoomScale="115" zoomScaleNormal="115" workbookViewId="0">
      <selection activeCell="G4" sqref="G4"/>
    </sheetView>
  </sheetViews>
  <sheetFormatPr defaultRowHeight="15" x14ac:dyDescent="0.25"/>
  <cols>
    <col min="1" max="1" width="3" style="2" bestFit="1" customWidth="1"/>
    <col min="2" max="2" width="13" style="2" customWidth="1"/>
    <col min="3" max="3" width="21.7109375" style="2" customWidth="1"/>
    <col min="4" max="4" width="7.7109375" style="2" bestFit="1" customWidth="1"/>
    <col min="5" max="5" width="18.42578125" style="2" customWidth="1"/>
    <col min="6" max="6" width="18.42578125" style="2" bestFit="1" customWidth="1"/>
    <col min="7" max="7" width="16.85546875" style="2" bestFit="1" customWidth="1"/>
    <col min="8" max="8" width="10.5703125" style="2" customWidth="1"/>
    <col min="9" max="9" width="10.42578125" style="3" customWidth="1"/>
    <col min="10" max="10" width="9.85546875" style="2" customWidth="1"/>
    <col min="11" max="11" width="10" style="4" customWidth="1"/>
    <col min="12" max="16384" width="9.140625" style="2"/>
  </cols>
  <sheetData>
    <row r="1" spans="1:15" x14ac:dyDescent="0.25">
      <c r="A1" s="2" t="s">
        <v>0</v>
      </c>
      <c r="B1" s="225" t="s">
        <v>1</v>
      </c>
      <c r="C1" s="225"/>
      <c r="H1" s="3"/>
      <c r="I1" s="2"/>
      <c r="J1" s="4"/>
      <c r="K1" s="2"/>
    </row>
    <row r="2" spans="1:15" ht="15.75" x14ac:dyDescent="0.25">
      <c r="B2" s="16" t="s">
        <v>2</v>
      </c>
      <c r="C2" s="214" t="s">
        <v>393</v>
      </c>
      <c r="D2" s="214"/>
      <c r="E2" s="214"/>
      <c r="F2" s="16" t="s">
        <v>3</v>
      </c>
      <c r="G2" s="100" t="str">
        <f>IF(LOOKUP($C$2,Staff_List!$A$4:$A$53,Staff_List!$B$4:$B$53)="","",LOOKUP($C$2,Staff_List!$A$4:$A$53,Staff_List!$B$4:$B$53))</f>
        <v>A7581</v>
      </c>
      <c r="H2" s="16" t="s">
        <v>4</v>
      </c>
      <c r="I2" s="224" t="s">
        <v>103</v>
      </c>
      <c r="J2" s="224"/>
      <c r="K2" s="85"/>
      <c r="L2" s="5"/>
      <c r="M2" s="5"/>
      <c r="N2" s="6"/>
      <c r="O2" s="6"/>
    </row>
    <row r="3" spans="1:15" x14ac:dyDescent="0.25">
      <c r="G3" s="3"/>
      <c r="I3" s="2"/>
      <c r="J3" s="44"/>
      <c r="K3" s="44"/>
    </row>
    <row r="4" spans="1:15" x14ac:dyDescent="0.25">
      <c r="B4" s="16" t="s">
        <v>35</v>
      </c>
      <c r="C4" s="224" t="s">
        <v>146</v>
      </c>
      <c r="D4" s="224"/>
      <c r="E4" s="224"/>
      <c r="F4" s="16" t="s">
        <v>5</v>
      </c>
      <c r="G4" s="99" t="s">
        <v>487</v>
      </c>
      <c r="H4" s="16" t="s">
        <v>6</v>
      </c>
      <c r="I4" s="76" t="s">
        <v>107</v>
      </c>
      <c r="J4" s="101"/>
      <c r="K4" s="85"/>
      <c r="L4" s="5"/>
      <c r="M4" s="6"/>
      <c r="N4" s="6"/>
    </row>
    <row r="5" spans="1:15" customFormat="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</row>
    <row r="6" spans="1:15" x14ac:dyDescent="0.25">
      <c r="K6" s="44"/>
    </row>
    <row r="7" spans="1:15" ht="15.75" x14ac:dyDescent="0.25">
      <c r="A7" s="7" t="s">
        <v>7</v>
      </c>
      <c r="B7" s="211" t="s">
        <v>8</v>
      </c>
      <c r="C7" s="211"/>
      <c r="D7" s="7"/>
      <c r="E7" s="7"/>
      <c r="F7" s="7"/>
      <c r="G7" s="7"/>
      <c r="H7" s="7"/>
      <c r="I7" s="8"/>
      <c r="J7" s="7"/>
    </row>
    <row r="8" spans="1:15" ht="50.25" customHeight="1" x14ac:dyDescent="0.25">
      <c r="B8" s="18" t="str">
        <f>IF($I$2="Library","","Course Code")</f>
        <v>Course Code</v>
      </c>
      <c r="C8" s="18" t="str">
        <f>IF($I$2="Library","Credit Unit (hrs)        (a)","Credit weight     (a)")</f>
        <v>Credit weight     (a)</v>
      </c>
      <c r="D8" s="18" t="str">
        <f>IF($I$2="Library","Students Enrolment  (b)","Students Enrolment (b)")</f>
        <v>Students Enrolment (b)</v>
      </c>
      <c r="E8" s="18" t="str">
        <f>IF($I$2="Library","No. of Librarians Available               (n)","No. of Lecturer     (n)")</f>
        <v>No. of Lecturer     (n)</v>
      </c>
      <c r="F8" s="18" t="str">
        <f>IF($I$2="Library","Librarians Required     (r)","Ratio of Teaching (r) ")</f>
        <v xml:space="preserve">Ratio of Teaching (r) </v>
      </c>
      <c r="G8" s="18" t="str">
        <f>IF($I$2="Library","Librarians Load      M = r - n","Students Load          M = b x r")</f>
        <v>Students Load          M = b x r</v>
      </c>
      <c r="H8" s="18" t="str">
        <f>IF($I$2="Library","Excess Workload Units","Credits Load        H = a x L")</f>
        <v>Credits Load        H = a x L</v>
      </c>
      <c r="I8" s="9"/>
      <c r="J8" s="10"/>
      <c r="K8" s="2"/>
    </row>
    <row r="9" spans="1:15" ht="15.75" customHeight="1" x14ac:dyDescent="0.25">
      <c r="B9" s="208" t="s">
        <v>467</v>
      </c>
      <c r="C9" s="17">
        <f>IF($B9="","",IF($I$4="2008/2009",VLOOKUP($B9,Courses_List!$A$3:$T$102,2,FALSE),IF($I$4="2009/2010",VLOOKUP($B9,Courses_List!$E$3:$F$102,2,FALSE),IF($I$4="2010/2011",VLOOKUP($B9,Courses_List!$I$3:$J$102,2,FALSE),IF($I$4="2011/2012",VLOOKUP($B9,Courses_List!$M$3:$N$102,2,FALSE),IF($I$4="2012/2013",VLOOKUP($B9,Courses_List!$Q$3:$R$102,2,FALSE),"INVALID"))))))</f>
        <v>2</v>
      </c>
      <c r="D9" s="17">
        <f>IF($B9="","",IF($I$4="2008/2009",VLOOKUP($B9,Courses_List!$A$3:$C$102,3,FALSE),IF($I$4="2009/2010",VLOOKUP($B9,Courses_List!$E$3:$G$102,3,FALSE),IF($I$4="2010/2011",VLOOKUP($B9,Courses_List!$I$3:$K$102,3,FALSE),IF($I$4="2011/2012",VLOOKUP($B9,Courses_List!$M$3:$O$102,3,FALSE),IF($I$4="2012/2013",VLOOKUP($B9,Courses_List!$Q$3:$S$102,3,FALSE),"INVALID"))))))</f>
        <v>136</v>
      </c>
      <c r="E9" s="17">
        <f>IF($B9="","",IF($I$4="2008/2009",VLOOKUP($B9,Courses_List!$A$3:$D$102,4,FALSE),IF($I$4="2009/2010",VLOOKUP($B9,Courses_List!$E$3:$H$102,4,FALSE),IF($I$4="2010/2011",VLOOKUP($B9,Courses_List!$I$3:$L$102,4,FALSE),IF($I$4="2011/2012",VLOOKUP($B9,Courses_List!$M$3:$P$102,4,FALSE),IF($I$4="2012/2013",VLOOKUP($B9,Courses_List!$Q$3:$T$102,4,FALSE),"INVALID"))))))</f>
        <v>2</v>
      </c>
      <c r="F9" s="78">
        <f>IF($E9="","",1/$E9)</f>
        <v>0.5</v>
      </c>
      <c r="G9" s="17">
        <f>IF(OR($D9="",$E9="",$F9=""),"",$D9*$F9)</f>
        <v>68</v>
      </c>
      <c r="H9" s="17">
        <f>IF(OR($B9="",$C9=""),"",MID($B9,4,1)*$C9)</f>
        <v>8</v>
      </c>
      <c r="I9" s="8"/>
      <c r="J9" s="12"/>
      <c r="K9" s="2"/>
    </row>
    <row r="10" spans="1:15" ht="15.75" x14ac:dyDescent="0.25">
      <c r="B10" s="208" t="s">
        <v>476</v>
      </c>
      <c r="C10" s="17">
        <f>IF($B10="","",IF($I$4="2008/2009",VLOOKUP($B10,Courses_List!$A$3:$T$102,2,FALSE),IF($I$4="2009/2010",VLOOKUP($B10,Courses_List!$E$3:$F$102,2,FALSE),IF($I$4="2010/2011",VLOOKUP($B10,Courses_List!$I$3:$J$102,2,FALSE),IF($I$4="2011/2012",VLOOKUP($B10,Courses_List!$M$3:$N$102,2,FALSE),IF($I$4="2012/2013",VLOOKUP($B10,Courses_List!$Q$3:$R$102,2,FALSE),"INVALID"))))))</f>
        <v>2</v>
      </c>
      <c r="D10" s="17">
        <f>IF($B10="","",IF($I$4="2008/2009",VLOOKUP($B10,Courses_List!$A$3:$C$102,3,FALSE),IF($I$4="2009/2010",VLOOKUP($B10,Courses_List!$E$3:$G$102,3,FALSE),IF($I$4="2010/2011",VLOOKUP($B10,Courses_List!$I$3:$K$102,3,FALSE),IF($I$4="2011/2012",VLOOKUP($B10,Courses_List!$M$3:$O$102,3,FALSE),IF($I$4="2012/2013",VLOOKUP($B10,Courses_List!$Q$3:$S$102,3,FALSE),"INVALID"))))))</f>
        <v>112</v>
      </c>
      <c r="E10" s="17">
        <f>IF($B10="","",IF($I$4="2008/2009",VLOOKUP($B10,Courses_List!$A$3:$D$102,4,FALSE),IF($I$4="2009/2010",VLOOKUP($B10,Courses_List!$E$3:$H$102,4,FALSE),IF($I$4="2010/2011",VLOOKUP($B10,Courses_List!$I$3:$L$102,4,FALSE),IF($I$4="2011/2012",VLOOKUP($B10,Courses_List!$M$3:$P$102,4,FALSE),IF($I$4="2012/2013",VLOOKUP($B10,Courses_List!$Q$3:$T$102,4,FALSE),"INVALID"))))))</f>
        <v>2</v>
      </c>
      <c r="F10" s="78">
        <f>IF($E10="","",1/$E10)</f>
        <v>0.5</v>
      </c>
      <c r="G10" s="17">
        <f t="shared" ref="G10:G28" si="0">IF(OR($D10="",$E10="",$F10=""),"",$D10*$F10)</f>
        <v>56</v>
      </c>
      <c r="H10" s="17">
        <f t="shared" ref="H10:H28" si="1">IF(OR($B10="",$C10=""),"",MID($B10,4,1)*$C10)</f>
        <v>10</v>
      </c>
      <c r="I10" s="8"/>
      <c r="J10" s="12"/>
      <c r="K10" s="2"/>
    </row>
    <row r="11" spans="1:15" ht="15.75" x14ac:dyDescent="0.25">
      <c r="B11" s="208" t="s">
        <v>451</v>
      </c>
      <c r="C11" s="17">
        <f>IF($B11="","",IF($I$4="2008/2009",VLOOKUP($B11,Courses_List!$A$3:$T$102,2,FALSE),IF($I$4="2009/2010",VLOOKUP($B11,Courses_List!$E$3:$F$102,2,FALSE),IF($I$4="2010/2011",VLOOKUP($B11,Courses_List!$I$3:$J$102,2,FALSE),IF($I$4="2011/2012",VLOOKUP($B11,Courses_List!$M$3:$N$102,2,FALSE),IF($I$4="2012/2013",VLOOKUP($B11,Courses_List!$Q$3:$R$102,2,FALSE),"INVALID"))))))</f>
        <v>3</v>
      </c>
      <c r="D11" s="17">
        <f>IF($B11="","",IF($I$4="2008/2009",VLOOKUP($B11,Courses_List!$A$3:$C$102,3,FALSE),IF($I$4="2009/2010",VLOOKUP($B11,Courses_List!$E$3:$G$102,3,FALSE),IF($I$4="2010/2011",VLOOKUP($B11,Courses_List!$I$3:$K$102,3,FALSE),IF($I$4="2011/2012",VLOOKUP($B11,Courses_List!$M$3:$O$102,3,FALSE),IF($I$4="2012/2013",VLOOKUP($B11,Courses_List!$Q$3:$S$102,3,FALSE),"INVALID"))))))</f>
        <v>107</v>
      </c>
      <c r="E11" s="17">
        <f>IF($B11="","",IF($I$4="2008/2009",VLOOKUP($B11,Courses_List!$A$3:$D$102,4,FALSE),IF($I$4="2009/2010",VLOOKUP($B11,Courses_List!$E$3:$H$102,4,FALSE),IF($I$4="2010/2011",VLOOKUP($B11,Courses_List!$I$3:$L$102,4,FALSE),IF($I$4="2011/2012",VLOOKUP($B11,Courses_List!$M$3:$P$102,4,FALSE),IF($I$4="2012/2013",VLOOKUP($B11,Courses_List!$Q$3:$T$102,4,FALSE),"INVALID"))))))</f>
        <v>2</v>
      </c>
      <c r="F11" s="78">
        <f>IF($E11="","",1/$E11)</f>
        <v>0.5</v>
      </c>
      <c r="G11" s="17">
        <f t="shared" si="0"/>
        <v>53.5</v>
      </c>
      <c r="H11" s="17">
        <f t="shared" si="1"/>
        <v>15</v>
      </c>
      <c r="I11" s="8"/>
      <c r="J11" s="12"/>
      <c r="K11" s="2"/>
    </row>
    <row r="12" spans="1:15" ht="15.75" x14ac:dyDescent="0.25">
      <c r="B12" s="208" t="s">
        <v>477</v>
      </c>
      <c r="C12" s="17">
        <f>IF($B12="","",IF($I$4="2008/2009",VLOOKUP($B12,Courses_List!$A$3:$T$102,2,FALSE),IF($I$4="2009/2010",VLOOKUP($B12,Courses_List!$E$3:$F$102,2,FALSE),IF($I$4="2010/2011",VLOOKUP($B12,Courses_List!$I$3:$J$102,2,FALSE),IF($I$4="2011/2012",VLOOKUP($B12,Courses_List!$M$3:$N$102,2,FALSE),IF($I$4="2012/2013",VLOOKUP($B12,Courses_List!$Q$3:$R$102,2,FALSE),"INVALID"))))))</f>
        <v>2</v>
      </c>
      <c r="D12" s="17">
        <f>IF($B12="","",IF($I$4="2008/2009",VLOOKUP($B12,Courses_List!$A$3:$C$102,3,FALSE),IF($I$4="2009/2010",VLOOKUP($B12,Courses_List!$E$3:$G$102,3,FALSE),IF($I$4="2010/2011",VLOOKUP($B12,Courses_List!$I$3:$K$102,3,FALSE),IF($I$4="2011/2012",VLOOKUP($B12,Courses_List!$M$3:$O$102,3,FALSE),IF($I$4="2012/2013",VLOOKUP($B12,Courses_List!$Q$3:$S$102,3,FALSE),"INVALID"))))))</f>
        <v>123</v>
      </c>
      <c r="E12" s="17">
        <f>IF($B12="","",IF($I$4="2008/2009",VLOOKUP($B12,Courses_List!$A$3:$D$102,4,FALSE),IF($I$4="2009/2010",VLOOKUP($B12,Courses_List!$E$3:$H$102,4,FALSE),IF($I$4="2010/2011",VLOOKUP($B12,Courses_List!$I$3:$L$102,4,FALSE),IF($I$4="2011/2012",VLOOKUP($B12,Courses_List!$M$3:$P$102,4,FALSE),IF($I$4="2012/2013",VLOOKUP($B12,Courses_List!$Q$3:$T$102,4,FALSE),"INVALID"))))))</f>
        <v>2</v>
      </c>
      <c r="F12" s="78">
        <f>IF($E12="","",1/$E12)</f>
        <v>0.5</v>
      </c>
      <c r="G12" s="17">
        <f t="shared" si="0"/>
        <v>61.5</v>
      </c>
      <c r="H12" s="17">
        <f t="shared" si="1"/>
        <v>10</v>
      </c>
      <c r="I12" s="8"/>
      <c r="J12" s="12"/>
      <c r="K12" s="2"/>
    </row>
    <row r="13" spans="1:15" ht="15.75" x14ac:dyDescent="0.25">
      <c r="B13" s="208" t="s">
        <v>452</v>
      </c>
      <c r="C13" s="17">
        <f>IF($B13="","",IF($I$4="2008/2009",VLOOKUP($B13,Courses_List!$A$3:$T$102,2,FALSE),IF($I$4="2009/2010",VLOOKUP($B13,Courses_List!$E$3:$F$102,2,FALSE),IF($I$4="2010/2011",VLOOKUP($B13,Courses_List!$I$3:$J$102,2,FALSE),IF($I$4="2011/2012",VLOOKUP($B13,Courses_List!$M$3:$N$102,2,FALSE),IF($I$4="2012/2013",VLOOKUP($B13,Courses_List!$Q$3:$R$102,2,FALSE),"INVALID"))))))</f>
        <v>2</v>
      </c>
      <c r="D13" s="17">
        <f>IF($B13="","",IF($I$4="2008/2009",VLOOKUP($B13,Courses_List!$A$3:$C$102,3,FALSE),IF($I$4="2009/2010",VLOOKUP($B13,Courses_List!$E$3:$G$102,3,FALSE),IF($I$4="2010/2011",VLOOKUP($B13,Courses_List!$I$3:$K$102,3,FALSE),IF($I$4="2011/2012",VLOOKUP($B13,Courses_List!$M$3:$O$102,3,FALSE),IF($I$4="2012/2013",VLOOKUP($B13,Courses_List!$Q$3:$S$102,3,FALSE),"INVALID"))))))</f>
        <v>122</v>
      </c>
      <c r="E13" s="17">
        <f>IF($B13="","",IF($I$4="2008/2009",VLOOKUP($B13,Courses_List!$A$3:$D$102,4,FALSE),IF($I$4="2009/2010",VLOOKUP($B13,Courses_List!$E$3:$H$102,4,FALSE),IF($I$4="2010/2011",VLOOKUP($B13,Courses_List!$I$3:$L$102,4,FALSE),IF($I$4="2011/2012",VLOOKUP($B13,Courses_List!$M$3:$P$102,4,FALSE),IF($I$4="2012/2013",VLOOKUP($B13,Courses_List!$Q$3:$T$102,4,FALSE),"INVALID"))))))</f>
        <v>2</v>
      </c>
      <c r="F13" s="78">
        <f>IF($E13="","",1/$E13)</f>
        <v>0.5</v>
      </c>
      <c r="G13" s="17">
        <f t="shared" si="0"/>
        <v>61</v>
      </c>
      <c r="H13" s="17">
        <f t="shared" si="1"/>
        <v>10</v>
      </c>
      <c r="I13" s="8"/>
      <c r="J13" s="12"/>
      <c r="K13" s="2"/>
    </row>
    <row r="14" spans="1:15" ht="15.75" x14ac:dyDescent="0.25">
      <c r="B14" s="77"/>
      <c r="C14" s="17" t="str">
        <f>IF($B14="","",IF($I$4="2008/2009",VLOOKUP($B14,Courses_List!$A$3:$T$102,2,FALSE),IF($I$4="2009/2010",VLOOKUP($B14,Courses_List!$E$3:$F$102,2,FALSE),IF($I$4="2010/2011",VLOOKUP($B14,Courses_List!$I$3:$J$102,2,FALSE),IF($I$4="2011/2012",VLOOKUP($B14,Courses_List!$M$3:$N$102,2,FALSE),IF($I$4="2012/2013",VLOOKUP($B14,Courses_List!$Q$3:$R$102,2,FALSE),"INVALID"))))))</f>
        <v/>
      </c>
      <c r="D14" s="17" t="str">
        <f>IF($B14="","",IF($I$4="2008/2009",VLOOKUP($B14,Courses_List!$A$3:$C$102,3,FALSE),IF($I$4="2009/2010",VLOOKUP($B14,Courses_List!$E$3:$G$102,3,FALSE),IF($I$4="2010/2011",VLOOKUP($B14,Courses_List!$I$3:$K$102,3,FALSE),IF($I$4="2011/2012",VLOOKUP($B14,Courses_List!$M$3:$O$102,3,FALSE),IF($I$4="2012/2013",VLOOKUP($B14,Courses_List!$Q$3:$S$102,3,FALSE),"INVALID"))))))</f>
        <v/>
      </c>
      <c r="E14" s="17" t="str">
        <f>IF($B14="","",IF($I$4="2008/2009",VLOOKUP($B14,Courses_List!$A$3:$D$102,4,FALSE),IF($I$4="2009/2010",VLOOKUP($B14,Courses_List!$E$3:$H$102,4,FALSE),IF($I$4="2010/2011",VLOOKUP($B14,Courses_List!$I$3:$L$102,4,FALSE),IF($I$4="2011/2012",VLOOKUP($B14,Courses_List!$M$3:$P$102,4,FALSE),IF($I$4="2012/2013",VLOOKUP($B14,Courses_List!$Q$3:$T$102,4,FALSE),"INVALID"))))))</f>
        <v/>
      </c>
      <c r="F14" s="78" t="str">
        <f>IF($I$2="Library",IF(OR($C14="",$D14="",$E14=""),"",ROUND($D14/400,0)),IF($E14="","",1/$E14))</f>
        <v/>
      </c>
      <c r="G14" s="17" t="str">
        <f>IF($F14="","",IF($I$2="Library",$F14-$E14,IF(OR($D14="",$E14="",$F14=""),"",$D14*$F14)))</f>
        <v/>
      </c>
      <c r="H14" s="17" t="str">
        <f>IF($I$2="Library",IF(OR($C14="",$D14="",$E14=""),"",$C14*$E14*400*1.3/400),IF(OR($B14="",$C14=""),"",MID($B14,4,1)*$C14))</f>
        <v/>
      </c>
      <c r="I14" s="8"/>
      <c r="J14" s="12"/>
      <c r="K14" s="2"/>
    </row>
    <row r="15" spans="1:15" ht="15.75" x14ac:dyDescent="0.25">
      <c r="B15" s="77"/>
      <c r="C15" s="17" t="str">
        <f>IF($B15="","",IF($I$4="2008/2009",VLOOKUP($B15,Courses_List!$A$3:$T$102,2,FALSE),IF($I$4="2009/2010",VLOOKUP($B15,Courses_List!$E$3:$F$102,2,FALSE),IF($I$4="2010/2011",VLOOKUP($B15,Courses_List!$I$3:$J$102,2,FALSE),IF($I$4="2011/2012",VLOOKUP($B15,Courses_List!$M$3:$N$102,2,FALSE),IF($I$4="2012/2013",VLOOKUP($B15,Courses_List!$Q$3:$R$102,2,FALSE),"INVALID"))))))</f>
        <v/>
      </c>
      <c r="D15" s="17" t="str">
        <f>IF($B15="","",IF($I$4="2008/2009",VLOOKUP($B15,Courses_List!$A$3:$C$102,3,FALSE),IF($I$4="2009/2010",VLOOKUP($B15,Courses_List!$E$3:$G$102,3,FALSE),IF($I$4="2010/2011",VLOOKUP($B15,Courses_List!$I$3:$K$102,3,FALSE),IF($I$4="2011/2012",VLOOKUP($B15,Courses_List!$M$3:$O$102,3,FALSE),IF($I$4="2012/2013",VLOOKUP($B15,Courses_List!$Q$3:$S$102,3,FALSE),"INVALID"))))))</f>
        <v/>
      </c>
      <c r="E15" s="17" t="str">
        <f>IF($B15="","",IF($I$4="2008/2009",VLOOKUP($B15,Courses_List!$A$3:$D$102,4,FALSE),IF($I$4="2009/2010",VLOOKUP($B15,Courses_List!$E$3:$H$102,4,FALSE),IF($I$4="2010/2011",VLOOKUP($B15,Courses_List!$I$3:$L$102,4,FALSE),IF($I$4="2011/2012",VLOOKUP($B15,Courses_List!$M$3:$P$102,4,FALSE),IF($I$4="2012/2013",VLOOKUP($B15,Courses_List!$Q$3:$T$102,4,FALSE),"INVALID"))))))</f>
        <v/>
      </c>
      <c r="F15" s="78" t="str">
        <f t="shared" ref="F15:F28" si="2">IF($E15="","",1/$E15)</f>
        <v/>
      </c>
      <c r="G15" s="17" t="str">
        <f t="shared" si="0"/>
        <v/>
      </c>
      <c r="H15" s="17" t="str">
        <f t="shared" si="1"/>
        <v/>
      </c>
      <c r="I15" s="8"/>
      <c r="J15" s="12"/>
      <c r="K15" s="2"/>
    </row>
    <row r="16" spans="1:15" ht="15.75" x14ac:dyDescent="0.25">
      <c r="B16" s="77"/>
      <c r="C16" s="17" t="str">
        <f>IF($B16="","",IF($I$4="2008/2009",VLOOKUP($B16,Courses_List!$A$3:$T$102,2,FALSE),IF($I$4="2009/2010",VLOOKUP($B16,Courses_List!$E$3:$F$102,2,FALSE),IF($I$4="2010/2011",VLOOKUP($B16,Courses_List!$I$3:$J$102,2,FALSE),IF($I$4="2011/2012",VLOOKUP($B16,Courses_List!$M$3:$N$102,2,FALSE),IF($I$4="2012/2013",VLOOKUP($B16,Courses_List!$Q$3:$R$102,2,FALSE),"INVALID"))))))</f>
        <v/>
      </c>
      <c r="D16" s="17" t="str">
        <f>IF($B16="","",IF($I$4="2008/2009",VLOOKUP($B16,Courses_List!$A$3:$C$102,3,FALSE),IF($I$4="2009/2010",VLOOKUP($B16,Courses_List!$E$3:$G$102,3,FALSE),IF($I$4="2010/2011",VLOOKUP($B16,Courses_List!$I$3:$K$102,3,FALSE),IF($I$4="2011/2012",VLOOKUP($B16,Courses_List!$M$3:$O$102,3,FALSE),IF($I$4="2012/2013",VLOOKUP($B16,Courses_List!$Q$3:$S$102,3,FALSE),"INVALID"))))))</f>
        <v/>
      </c>
      <c r="E16" s="17" t="str">
        <f>IF($B16="","",IF($I$4="2008/2009",VLOOKUP($B16,Courses_List!$A$3:$D$102,4,FALSE),IF($I$4="2009/2010",VLOOKUP($B16,Courses_List!$E$3:$H$102,4,FALSE),IF($I$4="2010/2011",VLOOKUP($B16,Courses_List!$I$3:$L$102,4,FALSE),IF($I$4="2011/2012",VLOOKUP($B16,Courses_List!$M$3:$P$102,4,FALSE),IF($I$4="2012/2013",VLOOKUP($B16,Courses_List!$Q$3:$T$102,4,FALSE),"INVALID"))))))</f>
        <v/>
      </c>
      <c r="F16" s="78" t="str">
        <f t="shared" si="2"/>
        <v/>
      </c>
      <c r="G16" s="17" t="str">
        <f t="shared" si="0"/>
        <v/>
      </c>
      <c r="H16" s="17" t="str">
        <f t="shared" si="1"/>
        <v/>
      </c>
      <c r="I16" s="8"/>
      <c r="J16" s="12"/>
      <c r="K16" s="2"/>
    </row>
    <row r="17" spans="2:11" ht="15.75" x14ac:dyDescent="0.25">
      <c r="B17" s="77"/>
      <c r="C17" s="17" t="str">
        <f>IF($B17="","",IF($I$4="2008/2009",VLOOKUP($B17,Courses_List!$A$3:$T$102,2,FALSE),IF($I$4="2009/2010",VLOOKUP($B17,Courses_List!$E$3:$F$102,2,FALSE),IF($I$4="2010/2011",VLOOKUP($B17,Courses_List!$I$3:$J$102,2,FALSE),IF($I$4="2011/2012",VLOOKUP($B17,Courses_List!$M$3:$N$102,2,FALSE),IF($I$4="2012/2013",VLOOKUP($B17,Courses_List!$Q$3:$R$102,2,FALSE),"INVALID"))))))</f>
        <v/>
      </c>
      <c r="D17" s="17" t="str">
        <f>IF($B17="","",IF($I$4="2008/2009",VLOOKUP($B17,Courses_List!$A$3:$C$102,3,FALSE),IF($I$4="2009/2010",VLOOKUP($B17,Courses_List!$E$3:$G$102,3,FALSE),IF($I$4="2010/2011",VLOOKUP($B17,Courses_List!$I$3:$K$102,3,FALSE),IF($I$4="2011/2012",VLOOKUP($B17,Courses_List!$M$3:$O$102,3,FALSE),IF($I$4="2012/2013",VLOOKUP($B17,Courses_List!$Q$3:$S$102,3,FALSE),"INVALID"))))))</f>
        <v/>
      </c>
      <c r="E17" s="17" t="str">
        <f>IF($B17="","",IF($I$4="2008/2009",VLOOKUP($B17,Courses_List!$A$3:$D$102,4,FALSE),IF($I$4="2009/2010",VLOOKUP($B17,Courses_List!$E$3:$H$102,4,FALSE),IF($I$4="2010/2011",VLOOKUP($B17,Courses_List!$I$3:$L$102,4,FALSE),IF($I$4="2011/2012",VLOOKUP($B17,Courses_List!$M$3:$P$102,4,FALSE),IF($I$4="2012/2013",VLOOKUP($B17,Courses_List!$Q$3:$T$102,4,FALSE),"INVALID"))))))</f>
        <v/>
      </c>
      <c r="F17" s="78" t="str">
        <f t="shared" si="2"/>
        <v/>
      </c>
      <c r="G17" s="17" t="str">
        <f t="shared" si="0"/>
        <v/>
      </c>
      <c r="H17" s="17" t="str">
        <f t="shared" si="1"/>
        <v/>
      </c>
      <c r="I17" s="8"/>
      <c r="J17" s="12"/>
      <c r="K17" s="2"/>
    </row>
    <row r="18" spans="2:11" ht="15.75" x14ac:dyDescent="0.25">
      <c r="B18" s="77"/>
      <c r="C18" s="17" t="str">
        <f>IF($B18="","",IF($I$4="2008/2009",VLOOKUP($B18,Courses_List!$A$3:$T$102,2,FALSE),IF($I$4="2009/2010",VLOOKUP($B18,Courses_List!$E$3:$F$102,2,FALSE),IF($I$4="2010/2011",VLOOKUP($B18,Courses_List!$I$3:$J$102,2,FALSE),IF($I$4="2011/2012",VLOOKUP($B18,Courses_List!$M$3:$N$102,2,FALSE),IF($I$4="2012/2013",VLOOKUP($B18,Courses_List!$Q$3:$R$102,2,FALSE),"INVALID"))))))</f>
        <v/>
      </c>
      <c r="D18" s="17" t="str">
        <f>IF($B18="","",IF($I$4="2008/2009",VLOOKUP($B18,Courses_List!$A$3:$C$102,3,FALSE),IF($I$4="2009/2010",VLOOKUP($B18,Courses_List!$E$3:$G$102,3,FALSE),IF($I$4="2010/2011",VLOOKUP($B18,Courses_List!$I$3:$K$102,3,FALSE),IF($I$4="2011/2012",VLOOKUP($B18,Courses_List!$M$3:$O$102,3,FALSE),IF($I$4="2012/2013",VLOOKUP($B18,Courses_List!$Q$3:$S$102,3,FALSE),"INVALID"))))))</f>
        <v/>
      </c>
      <c r="E18" s="17" t="str">
        <f>IF($B18="","",IF($I$4="2008/2009",VLOOKUP($B18,Courses_List!$A$3:$D$102,4,FALSE),IF($I$4="2009/2010",VLOOKUP($B18,Courses_List!$E$3:$H$102,4,FALSE),IF($I$4="2010/2011",VLOOKUP($B18,Courses_List!$I$3:$L$102,4,FALSE),IF($I$4="2011/2012",VLOOKUP($B18,Courses_List!$M$3:$P$102,4,FALSE),IF($I$4="2012/2013",VLOOKUP($B18,Courses_List!$Q$3:$T$102,4,FALSE),"INVALID"))))))</f>
        <v/>
      </c>
      <c r="F18" s="78" t="str">
        <f t="shared" si="2"/>
        <v/>
      </c>
      <c r="G18" s="17" t="str">
        <f t="shared" si="0"/>
        <v/>
      </c>
      <c r="H18" s="17" t="str">
        <f t="shared" si="1"/>
        <v/>
      </c>
      <c r="I18" s="8"/>
      <c r="J18" s="12"/>
      <c r="K18" s="2"/>
    </row>
    <row r="19" spans="2:11" ht="15.75" customHeight="1" x14ac:dyDescent="0.25">
      <c r="B19" s="77"/>
      <c r="C19" s="17" t="str">
        <f>IF($B19="","",IF($I$4="2008/2009",VLOOKUP($B19,Courses_List!$A$3:$T$102,2,FALSE),IF($I$4="2009/2010",VLOOKUP($B19,Courses_List!$E$3:$F$102,2,FALSE),IF($I$4="2010/2011",VLOOKUP($B19,Courses_List!$I$3:$J$102,2,FALSE),IF($I$4="2011/2012",VLOOKUP($B19,Courses_List!$M$3:$N$102,2,FALSE),IF($I$4="2012/2013",VLOOKUP($B19,Courses_List!$Q$3:$R$102,2,FALSE),"INVALID"))))))</f>
        <v/>
      </c>
      <c r="D19" s="17" t="str">
        <f>IF($B19="","",IF($I$4="2008/2009",VLOOKUP($B19,Courses_List!$A$3:$C$102,3,FALSE),IF($I$4="2009/2010",VLOOKUP($B19,Courses_List!$E$3:$G$102,3,FALSE),IF($I$4="2010/2011",VLOOKUP($B19,Courses_List!$I$3:$K$102,3,FALSE),IF($I$4="2011/2012",VLOOKUP($B19,Courses_List!$M$3:$O$102,3,FALSE),IF($I$4="2012/2013",VLOOKUP($B19,Courses_List!$Q$3:$S$102,3,FALSE),"INVALID"))))))</f>
        <v/>
      </c>
      <c r="E19" s="17" t="str">
        <f>IF($B19="","",IF($I$4="2008/2009",VLOOKUP($B19,Courses_List!$A$3:$D$102,4,FALSE),IF($I$4="2009/2010",VLOOKUP($B19,Courses_List!$E$3:$H$102,4,FALSE),IF($I$4="2010/2011",VLOOKUP($B19,Courses_List!$I$3:$L$102,4,FALSE),IF($I$4="2011/2012",VLOOKUP($B19,Courses_List!$M$3:$P$102,4,FALSE),IF($I$4="2012/2013",VLOOKUP($B19,Courses_List!$Q$3:$T$102,4,FALSE),"INVALID"))))))</f>
        <v/>
      </c>
      <c r="F19" s="78" t="str">
        <f t="shared" si="2"/>
        <v/>
      </c>
      <c r="G19" s="17" t="str">
        <f t="shared" si="0"/>
        <v/>
      </c>
      <c r="H19" s="17" t="str">
        <f t="shared" si="1"/>
        <v/>
      </c>
      <c r="I19" s="8"/>
      <c r="J19" s="12"/>
      <c r="K19" s="2"/>
    </row>
    <row r="20" spans="2:11" ht="15.75" x14ac:dyDescent="0.25">
      <c r="B20" s="77"/>
      <c r="C20" s="17" t="str">
        <f>IF($B20="","",IF($I$4="2008/2009",VLOOKUP($B20,Courses_List!$A$3:$T$102,2,FALSE),IF($I$4="2009/2010",VLOOKUP($B20,Courses_List!$E$3:$F$102,2,FALSE),IF($I$4="2010/2011",VLOOKUP($B20,Courses_List!$I$3:$J$102,2,FALSE),IF($I$4="2011/2012",VLOOKUP($B20,Courses_List!$M$3:$N$102,2,FALSE),IF($I$4="2012/2013",VLOOKUP($B20,Courses_List!$Q$3:$R$102,2,FALSE),"INVALID"))))))</f>
        <v/>
      </c>
      <c r="D20" s="17" t="str">
        <f>IF($B20="","",IF($I$4="2008/2009",VLOOKUP($B20,Courses_List!$A$3:$C$102,3,FALSE),IF($I$4="2009/2010",VLOOKUP($B20,Courses_List!$E$3:$G$102,3,FALSE),IF($I$4="2010/2011",VLOOKUP($B20,Courses_List!$I$3:$K$102,3,FALSE),IF($I$4="2011/2012",VLOOKUP($B20,Courses_List!$M$3:$O$102,3,FALSE),IF($I$4="2012/2013",VLOOKUP($B20,Courses_List!$Q$3:$S$102,3,FALSE),"INVALID"))))))</f>
        <v/>
      </c>
      <c r="E20" s="17" t="str">
        <f>IF($B20="","",IF($I$4="2008/2009",VLOOKUP($B20,Courses_List!$A$3:$D$102,4,FALSE),IF($I$4="2009/2010",VLOOKUP($B20,Courses_List!$E$3:$H$102,4,FALSE),IF($I$4="2010/2011",VLOOKUP($B20,Courses_List!$I$3:$L$102,4,FALSE),IF($I$4="2011/2012",VLOOKUP($B20,Courses_List!$M$3:$P$102,4,FALSE),IF($I$4="2012/2013",VLOOKUP($B20,Courses_List!$Q$3:$T$102,4,FALSE),"INVALID"))))))</f>
        <v/>
      </c>
      <c r="F20" s="78" t="str">
        <f t="shared" si="2"/>
        <v/>
      </c>
      <c r="G20" s="17" t="str">
        <f t="shared" si="0"/>
        <v/>
      </c>
      <c r="H20" s="17" t="str">
        <f t="shared" si="1"/>
        <v/>
      </c>
      <c r="I20" s="8"/>
      <c r="J20" s="12"/>
      <c r="K20" s="2"/>
    </row>
    <row r="21" spans="2:11" ht="15.75" x14ac:dyDescent="0.25">
      <c r="B21" s="77"/>
      <c r="C21" s="17" t="str">
        <f>IF($B21="","",IF($I$4="2008/2009",VLOOKUP($B21,Courses_List!$A$3:$T$102,2,FALSE),IF($I$4="2009/2010",VLOOKUP($B21,Courses_List!$E$3:$F$102,2,FALSE),IF($I$4="2010/2011",VLOOKUP($B21,Courses_List!$I$3:$J$102,2,FALSE),IF($I$4="2011/2012",VLOOKUP($B21,Courses_List!$M$3:$N$102,2,FALSE),IF($I$4="2012/2013",VLOOKUP($B21,Courses_List!$Q$3:$R$102,2,FALSE),"INVALID"))))))</f>
        <v/>
      </c>
      <c r="D21" s="17" t="str">
        <f>IF($B21="","",IF($I$4="2008/2009",VLOOKUP($B21,Courses_List!$A$3:$C$102,3,FALSE),IF($I$4="2009/2010",VLOOKUP($B21,Courses_List!$E$3:$G$102,3,FALSE),IF($I$4="2010/2011",VLOOKUP($B21,Courses_List!$I$3:$K$102,3,FALSE),IF($I$4="2011/2012",VLOOKUP($B21,Courses_List!$M$3:$O$102,3,FALSE),IF($I$4="2012/2013",VLOOKUP($B21,Courses_List!$Q$3:$S$102,3,FALSE),"INVALID"))))))</f>
        <v/>
      </c>
      <c r="E21" s="17" t="str">
        <f>IF($B21="","",IF($I$4="2008/2009",VLOOKUP($B21,Courses_List!$A$3:$D$102,4,FALSE),IF($I$4="2009/2010",VLOOKUP($B21,Courses_List!$E$3:$H$102,4,FALSE),IF($I$4="2010/2011",VLOOKUP($B21,Courses_List!$I$3:$L$102,4,FALSE),IF($I$4="2011/2012",VLOOKUP($B21,Courses_List!$M$3:$P$102,4,FALSE),IF($I$4="2012/2013",VLOOKUP($B21,Courses_List!$Q$3:$T$102,4,FALSE),"INVALID"))))))</f>
        <v/>
      </c>
      <c r="F21" s="78" t="str">
        <f t="shared" si="2"/>
        <v/>
      </c>
      <c r="G21" s="17" t="str">
        <f t="shared" si="0"/>
        <v/>
      </c>
      <c r="H21" s="17" t="str">
        <f t="shared" si="1"/>
        <v/>
      </c>
      <c r="I21" s="8"/>
      <c r="J21" s="12"/>
      <c r="K21" s="2"/>
    </row>
    <row r="22" spans="2:11" ht="15.75" x14ac:dyDescent="0.25">
      <c r="B22" s="77"/>
      <c r="C22" s="17" t="str">
        <f>IF($B22="","",IF($I$4="2008/2009",VLOOKUP($B22,Courses_List!$A$3:$T$102,2,FALSE),IF($I$4="2009/2010",VLOOKUP($B22,Courses_List!$E$3:$F$102,2,FALSE),IF($I$4="2010/2011",VLOOKUP($B22,Courses_List!$I$3:$J$102,2,FALSE),IF($I$4="2011/2012",VLOOKUP($B22,Courses_List!$M$3:$N$102,2,FALSE),IF($I$4="2012/2013",VLOOKUP($B22,Courses_List!$Q$3:$R$102,2,FALSE),"INVALID"))))))</f>
        <v/>
      </c>
      <c r="D22" s="17" t="str">
        <f>IF($B22="","",IF($I$4="2008/2009",VLOOKUP($B22,Courses_List!$A$3:$C$102,3,FALSE),IF($I$4="2009/2010",VLOOKUP($B22,Courses_List!$E$3:$G$102,3,FALSE),IF($I$4="2010/2011",VLOOKUP($B22,Courses_List!$I$3:$K$102,3,FALSE),IF($I$4="2011/2012",VLOOKUP($B22,Courses_List!$M$3:$O$102,3,FALSE),IF($I$4="2012/2013",VLOOKUP($B22,Courses_List!$Q$3:$S$102,3,FALSE),"INVALID"))))))</f>
        <v/>
      </c>
      <c r="E22" s="17" t="str">
        <f>IF($B22="","",IF($I$4="2008/2009",VLOOKUP($B22,Courses_List!$A$3:$D$102,4,FALSE),IF($I$4="2009/2010",VLOOKUP($B22,Courses_List!$E$3:$H$102,4,FALSE),IF($I$4="2010/2011",VLOOKUP($B22,Courses_List!$I$3:$L$102,4,FALSE),IF($I$4="2011/2012",VLOOKUP($B22,Courses_List!$M$3:$P$102,4,FALSE),IF($I$4="2012/2013",VLOOKUP($B22,Courses_List!$Q$3:$T$102,4,FALSE),"INVALID"))))))</f>
        <v/>
      </c>
      <c r="F22" s="78" t="str">
        <f t="shared" si="2"/>
        <v/>
      </c>
      <c r="G22" s="17" t="str">
        <f t="shared" si="0"/>
        <v/>
      </c>
      <c r="H22" s="17" t="str">
        <f t="shared" si="1"/>
        <v/>
      </c>
      <c r="I22" s="8"/>
      <c r="J22" s="12"/>
      <c r="K22" s="2"/>
    </row>
    <row r="23" spans="2:11" ht="15.75" x14ac:dyDescent="0.25">
      <c r="B23" s="77"/>
      <c r="C23" s="17" t="str">
        <f>IF($B23="","",IF($I$4="2008/2009",VLOOKUP($B23,Courses_List!$A$3:$T$102,2,FALSE),IF($I$4="2009/2010",VLOOKUP($B23,Courses_List!$E$3:$F$102,2,FALSE),IF($I$4="2010/2011",VLOOKUP($B23,Courses_List!$I$3:$J$102,2,FALSE),IF($I$4="2011/2012",VLOOKUP($B23,Courses_List!$M$3:$N$102,2,FALSE),IF($I$4="2012/2013",VLOOKUP($B23,Courses_List!$Q$3:$R$102,2,FALSE),"INVALID"))))))</f>
        <v/>
      </c>
      <c r="D23" s="17" t="str">
        <f>IF($B23="","",IF($I$4="2008/2009",VLOOKUP($B23,Courses_List!$A$3:$C$102,3,FALSE),IF($I$4="2009/2010",VLOOKUP($B23,Courses_List!$E$3:$G$102,3,FALSE),IF($I$4="2010/2011",VLOOKUP($B23,Courses_List!$I$3:$K$102,3,FALSE),IF($I$4="2011/2012",VLOOKUP($B23,Courses_List!$M$3:$O$102,3,FALSE),IF($I$4="2012/2013",VLOOKUP($B23,Courses_List!$Q$3:$S$102,3,FALSE),"INVALID"))))))</f>
        <v/>
      </c>
      <c r="E23" s="17" t="str">
        <f>IF($B23="","",IF($I$4="2008/2009",VLOOKUP($B23,Courses_List!$A$3:$D$102,4,FALSE),IF($I$4="2009/2010",VLOOKUP($B23,Courses_List!$E$3:$H$102,4,FALSE),IF($I$4="2010/2011",VLOOKUP($B23,Courses_List!$I$3:$L$102,4,FALSE),IF($I$4="2011/2012",VLOOKUP($B23,Courses_List!$M$3:$P$102,4,FALSE),IF($I$4="2012/2013",VLOOKUP($B23,Courses_List!$Q$3:$T$102,4,FALSE),"INVALID"))))))</f>
        <v/>
      </c>
      <c r="F23" s="78" t="str">
        <f t="shared" si="2"/>
        <v/>
      </c>
      <c r="G23" s="17" t="str">
        <f t="shared" si="0"/>
        <v/>
      </c>
      <c r="H23" s="17" t="str">
        <f t="shared" si="1"/>
        <v/>
      </c>
      <c r="I23" s="8"/>
      <c r="J23" s="12"/>
      <c r="K23" s="2"/>
    </row>
    <row r="24" spans="2:11" ht="15.75" x14ac:dyDescent="0.25">
      <c r="B24" s="77"/>
      <c r="C24" s="17" t="str">
        <f>IF($B24="","",IF($I$4="2008/2009",VLOOKUP($B24,Courses_List!$A$3:$T$102,2,FALSE),IF($I$4="2009/2010",VLOOKUP($B24,Courses_List!$E$3:$F$102,2,FALSE),IF($I$4="2010/2011",VLOOKUP($B24,Courses_List!$I$3:$J$102,2,FALSE),IF($I$4="2011/2012",VLOOKUP($B24,Courses_List!$M$3:$N$102,2,FALSE),IF($I$4="2012/2013",VLOOKUP($B24,Courses_List!$Q$3:$R$102,2,FALSE),"INVALID"))))))</f>
        <v/>
      </c>
      <c r="D24" s="17" t="str">
        <f>IF($B24="","",IF($I$4="2008/2009",VLOOKUP($B24,Courses_List!$A$3:$C$102,3,FALSE),IF($I$4="2009/2010",VLOOKUP($B24,Courses_List!$E$3:$G$102,3,FALSE),IF($I$4="2010/2011",VLOOKUP($B24,Courses_List!$I$3:$K$102,3,FALSE),IF($I$4="2011/2012",VLOOKUP($B24,Courses_List!$M$3:$O$102,3,FALSE),IF($I$4="2012/2013",VLOOKUP($B24,Courses_List!$Q$3:$S$102,3,FALSE),"INVALID"))))))</f>
        <v/>
      </c>
      <c r="E24" s="17" t="str">
        <f>IF($B24="","",IF($I$4="2008/2009",VLOOKUP($B24,Courses_List!$A$3:$D$102,4,FALSE),IF($I$4="2009/2010",VLOOKUP($B24,Courses_List!$E$3:$H$102,4,FALSE),IF($I$4="2010/2011",VLOOKUP($B24,Courses_List!$I$3:$L$102,4,FALSE),IF($I$4="2011/2012",VLOOKUP($B24,Courses_List!$M$3:$P$102,4,FALSE),IF($I$4="2012/2013",VLOOKUP($B24,Courses_List!$Q$3:$T$102,4,FALSE),"INVALID"))))))</f>
        <v/>
      </c>
      <c r="F24" s="78" t="str">
        <f t="shared" si="2"/>
        <v/>
      </c>
      <c r="G24" s="17" t="str">
        <f t="shared" si="0"/>
        <v/>
      </c>
      <c r="H24" s="17" t="str">
        <f t="shared" si="1"/>
        <v/>
      </c>
      <c r="I24" s="8"/>
      <c r="J24" s="12"/>
      <c r="K24" s="2"/>
    </row>
    <row r="25" spans="2:11" ht="15.75" x14ac:dyDescent="0.25">
      <c r="B25" s="77"/>
      <c r="C25" s="17" t="str">
        <f>IF($B25="","",IF($I$4="2008/2009",VLOOKUP($B25,Courses_List!$A$3:$T$102,2,FALSE),IF($I$4="2009/2010",VLOOKUP($B25,Courses_List!$E$3:$F$102,2,FALSE),IF($I$4="2010/2011",VLOOKUP($B25,Courses_List!$I$3:$J$102,2,FALSE),IF($I$4="2011/2012",VLOOKUP($B25,Courses_List!$M$3:$N$102,2,FALSE),IF($I$4="2012/2013",VLOOKUP($B25,Courses_List!$Q$3:$R$102,2,FALSE),"INVALID"))))))</f>
        <v/>
      </c>
      <c r="D25" s="17" t="str">
        <f>IF($B25="","",IF($I$4="2008/2009",VLOOKUP($B25,Courses_List!$A$3:$C$102,3,FALSE),IF($I$4="2009/2010",VLOOKUP($B25,Courses_List!$E$3:$G$102,3,FALSE),IF($I$4="2010/2011",VLOOKUP($B25,Courses_List!$I$3:$K$102,3,FALSE),IF($I$4="2011/2012",VLOOKUP($B25,Courses_List!$M$3:$O$102,3,FALSE),IF($I$4="2012/2013",VLOOKUP($B25,Courses_List!$Q$3:$S$102,3,FALSE),"INVALID"))))))</f>
        <v/>
      </c>
      <c r="E25" s="17" t="str">
        <f>IF($B25="","",IF($I$4="2008/2009",VLOOKUP($B25,Courses_List!$A$3:$D$102,4,FALSE),IF($I$4="2009/2010",VLOOKUP($B25,Courses_List!$E$3:$H$102,4,FALSE),IF($I$4="2010/2011",VLOOKUP($B25,Courses_List!$I$3:$L$102,4,FALSE),IF($I$4="2011/2012",VLOOKUP($B25,Courses_List!$M$3:$P$102,4,FALSE),IF($I$4="2012/2013",VLOOKUP($B25,Courses_List!$Q$3:$T$102,4,FALSE),"INVALID"))))))</f>
        <v/>
      </c>
      <c r="F25" s="78" t="str">
        <f t="shared" si="2"/>
        <v/>
      </c>
      <c r="G25" s="17" t="str">
        <f t="shared" si="0"/>
        <v/>
      </c>
      <c r="H25" s="17" t="str">
        <f t="shared" si="1"/>
        <v/>
      </c>
      <c r="I25" s="8"/>
      <c r="J25" s="12"/>
      <c r="K25" s="2"/>
    </row>
    <row r="26" spans="2:11" ht="15.75" x14ac:dyDescent="0.25">
      <c r="B26" s="77"/>
      <c r="C26" s="17" t="str">
        <f>IF($B26="","",IF($I$4="2008/2009",VLOOKUP($B26,Courses_List!$A$3:$T$102,2,FALSE),IF($I$4="2009/2010",VLOOKUP($B26,Courses_List!$E$3:$F$102,2,FALSE),IF($I$4="2010/2011",VLOOKUP($B26,Courses_List!$I$3:$J$102,2,FALSE),IF($I$4="2011/2012",VLOOKUP($B26,Courses_List!$M$3:$N$102,2,FALSE),IF($I$4="2012/2013",VLOOKUP($B26,Courses_List!$Q$3:$R$102,2,FALSE),"INVALID"))))))</f>
        <v/>
      </c>
      <c r="D26" s="17" t="str">
        <f>IF($B26="","",IF($I$4="2008/2009",VLOOKUP($B26,Courses_List!$A$3:$C$102,3,FALSE),IF($I$4="2009/2010",VLOOKUP($B26,Courses_List!$E$3:$G$102,3,FALSE),IF($I$4="2010/2011",VLOOKUP($B26,Courses_List!$I$3:$K$102,3,FALSE),IF($I$4="2011/2012",VLOOKUP($B26,Courses_List!$M$3:$O$102,3,FALSE),IF($I$4="2012/2013",VLOOKUP($B26,Courses_List!$Q$3:$S$102,3,FALSE),"INVALID"))))))</f>
        <v/>
      </c>
      <c r="E26" s="17" t="str">
        <f>IF($B26="","",IF($I$4="2008/2009",VLOOKUP($B26,Courses_List!$A$3:$D$102,4,FALSE),IF($I$4="2009/2010",VLOOKUP($B26,Courses_List!$E$3:$H$102,4,FALSE),IF($I$4="2010/2011",VLOOKUP($B26,Courses_List!$I$3:$L$102,4,FALSE),IF($I$4="2011/2012",VLOOKUP($B26,Courses_List!$M$3:$P$102,4,FALSE),IF($I$4="2012/2013",VLOOKUP($B26,Courses_List!$Q$3:$T$102,4,FALSE),"INVALID"))))))</f>
        <v/>
      </c>
      <c r="F26" s="78" t="str">
        <f t="shared" si="2"/>
        <v/>
      </c>
      <c r="G26" s="17" t="str">
        <f t="shared" si="0"/>
        <v/>
      </c>
      <c r="H26" s="17" t="str">
        <f t="shared" si="1"/>
        <v/>
      </c>
      <c r="I26" s="8"/>
      <c r="J26" s="12"/>
      <c r="K26" s="2"/>
    </row>
    <row r="27" spans="2:11" ht="15.75" x14ac:dyDescent="0.25">
      <c r="B27" s="77"/>
      <c r="C27" s="17" t="str">
        <f>IF($B27="","",IF($I$4="2008/2009",VLOOKUP($B27,Courses_List!$A$3:$T$102,2,FALSE),IF($I$4="2009/2010",VLOOKUP($B27,Courses_List!$E$3:$F$102,2,FALSE),IF($I$4="2010/2011",VLOOKUP($B27,Courses_List!$I$3:$J$102,2,FALSE),IF($I$4="2011/2012",VLOOKUP($B27,Courses_List!$M$3:$N$102,2,FALSE),IF($I$4="2012/2013",VLOOKUP($B27,Courses_List!$Q$3:$R$102,2,FALSE),"INVALID"))))))</f>
        <v/>
      </c>
      <c r="D27" s="17" t="str">
        <f>IF($B27="","",IF($I$4="2008/2009",VLOOKUP($B27,Courses_List!$A$3:$C$102,3,FALSE),IF($I$4="2009/2010",VLOOKUP($B27,Courses_List!$E$3:$G$102,3,FALSE),IF($I$4="2010/2011",VLOOKUP($B27,Courses_List!$I$3:$K$102,3,FALSE),IF($I$4="2011/2012",VLOOKUP($B27,Courses_List!$M$3:$O$102,3,FALSE),IF($I$4="2012/2013",VLOOKUP($B27,Courses_List!$Q$3:$S$102,3,FALSE),"INVALID"))))))</f>
        <v/>
      </c>
      <c r="E27" s="17" t="str">
        <f>IF($B27="","",IF($I$4="2008/2009",VLOOKUP($B27,Courses_List!$A$3:$D$102,4,FALSE),IF($I$4="2009/2010",VLOOKUP($B27,Courses_List!$E$3:$H$102,4,FALSE),IF($I$4="2010/2011",VLOOKUP($B27,Courses_List!$I$3:$L$102,4,FALSE),IF($I$4="2011/2012",VLOOKUP($B27,Courses_List!$M$3:$P$102,4,FALSE),IF($I$4="2012/2013",VLOOKUP($B27,Courses_List!$Q$3:$T$102,4,FALSE),"INVALID"))))))</f>
        <v/>
      </c>
      <c r="F27" s="78" t="str">
        <f t="shared" si="2"/>
        <v/>
      </c>
      <c r="G27" s="17" t="str">
        <f t="shared" si="0"/>
        <v/>
      </c>
      <c r="H27" s="17" t="str">
        <f t="shared" si="1"/>
        <v/>
      </c>
      <c r="I27" s="8"/>
      <c r="J27" s="12"/>
      <c r="K27" s="2"/>
    </row>
    <row r="28" spans="2:11" ht="15.75" x14ac:dyDescent="0.25">
      <c r="B28" s="77"/>
      <c r="C28" s="17" t="str">
        <f>IF($B28="","",IF($I$4="2008/2009",VLOOKUP($B28,Courses_List!$A$3:$T$102,2,FALSE),IF($I$4="2009/2010",VLOOKUP($B28,Courses_List!$E$3:$F$102,2,FALSE),IF($I$4="2010/2011",VLOOKUP($B28,Courses_List!$I$3:$J$102,2,FALSE),IF($I$4="2011/2012",VLOOKUP($B28,Courses_List!$M$3:$N$102,2,FALSE),IF($I$4="2012/2013",VLOOKUP($B28,Courses_List!$Q$3:$R$102,2,FALSE),"INVALID"))))))</f>
        <v/>
      </c>
      <c r="D28" s="17" t="str">
        <f>IF($B28="","",IF($I$4="2008/2009",VLOOKUP($B28,Courses_List!$A$3:$C$102,3,FALSE),IF($I$4="2009/2010",VLOOKUP($B28,Courses_List!$E$3:$G$102,3,FALSE),IF($I$4="2010/2011",VLOOKUP($B28,Courses_List!$I$3:$K$102,3,FALSE),IF($I$4="2011/2012",VLOOKUP($B28,Courses_List!$M$3:$O$102,3,FALSE),IF($I$4="2012/2013",VLOOKUP($B28,Courses_List!$Q$3:$S$102,3,FALSE),"INVALID"))))))</f>
        <v/>
      </c>
      <c r="E28" s="17" t="str">
        <f>IF($B28="","",IF($I$4="2008/2009",VLOOKUP($B28,Courses_List!$A$3:$D$102,4,FALSE),IF($I$4="2009/2010",VLOOKUP($B28,Courses_List!$E$3:$H$102,4,FALSE),IF($I$4="2010/2011",VLOOKUP($B28,Courses_List!$I$3:$L$102,4,FALSE),IF($I$4="2011/2012",VLOOKUP($B28,Courses_List!$M$3:$P$102,4,FALSE),IF($I$4="2012/2013",VLOOKUP($B28,Courses_List!$Q$3:$T$102,4,FALSE),"INVALID"))))))</f>
        <v/>
      </c>
      <c r="F28" s="78" t="str">
        <f t="shared" si="2"/>
        <v/>
      </c>
      <c r="G28" s="17" t="str">
        <f t="shared" si="0"/>
        <v/>
      </c>
      <c r="H28" s="17" t="str">
        <f t="shared" si="1"/>
        <v/>
      </c>
      <c r="I28" s="8"/>
      <c r="J28" s="12"/>
      <c r="K28" s="2"/>
    </row>
    <row r="29" spans="2:11" ht="15.75" x14ac:dyDescent="0.25">
      <c r="B29" s="1"/>
      <c r="C29" s="19">
        <f>SUM(C9:C28)</f>
        <v>11</v>
      </c>
      <c r="D29" s="142" t="str">
        <f>IF($I$2="Library",SUM(D9:D28),"")</f>
        <v/>
      </c>
      <c r="E29" s="142" t="str">
        <f>IF($I$2="Library",SUM(E9:E28),"")</f>
        <v/>
      </c>
      <c r="F29" s="142"/>
      <c r="G29" s="19">
        <f>SUM(G9:G28)</f>
        <v>300</v>
      </c>
      <c r="H29" s="17">
        <f>SUM(H9:H28)</f>
        <v>53</v>
      </c>
      <c r="I29" s="8"/>
      <c r="J29" s="8"/>
      <c r="K29" s="2"/>
    </row>
    <row r="30" spans="2:11" ht="15.75" x14ac:dyDescent="0.25">
      <c r="B30" s="7"/>
      <c r="C30" s="7"/>
      <c r="D30" s="13"/>
      <c r="E30" s="7"/>
      <c r="F30" s="7"/>
      <c r="G30" s="7"/>
      <c r="H30" s="13"/>
      <c r="I30" s="7"/>
      <c r="J30" s="8"/>
      <c r="K30" s="8"/>
    </row>
    <row r="31" spans="2:11" ht="15.75" x14ac:dyDescent="0.25">
      <c r="B31" s="212" t="s">
        <v>17</v>
      </c>
      <c r="C31" s="212"/>
      <c r="D31" s="150" t="str">
        <f>IF(LEFT($I$2,4)="CMUL","10:1",IF(OR($I$2="Engineering",$I$2="Environmental Sciences"),"15:1",IF( $I$2="Sciences","20:1",IF($I$2="Library","400:1","30:1"))))</f>
        <v>15:1</v>
      </c>
      <c r="E31" s="7"/>
      <c r="F31" s="7"/>
      <c r="G31" s="7"/>
      <c r="H31" s="13"/>
      <c r="I31" s="7"/>
      <c r="J31" s="8"/>
      <c r="K31" s="8"/>
    </row>
    <row r="32" spans="2:11" ht="15.75" x14ac:dyDescent="0.25">
      <c r="B32" s="152" t="str">
        <f>IF($I$2="Library", "","K = 15 x R")</f>
        <v>K = 15 x R</v>
      </c>
      <c r="C32" s="152"/>
      <c r="D32" s="13"/>
      <c r="E32" s="20">
        <f>IF($I$2="Library","",15*LEFT($D31,2))</f>
        <v>225</v>
      </c>
      <c r="F32" s="137"/>
      <c r="G32" s="7"/>
      <c r="H32" s="13"/>
      <c r="I32" s="7"/>
      <c r="J32" s="8"/>
      <c r="K32" s="8"/>
    </row>
    <row r="33" spans="1:10" x14ac:dyDescent="0.25">
      <c r="B33" s="21"/>
      <c r="C33" s="21"/>
      <c r="E33" s="21"/>
    </row>
    <row r="34" spans="1:10" ht="15.75" x14ac:dyDescent="0.25">
      <c r="B34" s="212" t="str">
        <f>IF($I$2="Library","","No. of Semesters:")</f>
        <v>No. of Semesters:</v>
      </c>
      <c r="C34" s="212"/>
      <c r="D34" s="14">
        <v>2</v>
      </c>
      <c r="E34" s="22"/>
      <c r="F34" s="7"/>
      <c r="G34" s="7"/>
      <c r="H34" s="7"/>
      <c r="I34" s="8"/>
      <c r="J34" s="7"/>
    </row>
    <row r="35" spans="1:10" ht="15.75" x14ac:dyDescent="0.25">
      <c r="B35" s="212" t="str">
        <f>IF($I$2="Library","","Normal Students Credits (NSC):")</f>
        <v>Normal Students Credits (NSC):</v>
      </c>
      <c r="C35" s="212"/>
      <c r="D35" s="8"/>
      <c r="E35" s="68">
        <f>IF($I$2="Library","",$D$34*$E$32/4)</f>
        <v>112.5</v>
      </c>
      <c r="F35" s="7"/>
      <c r="G35" s="7"/>
      <c r="H35" s="7"/>
      <c r="I35" s="8"/>
      <c r="J35" s="7"/>
    </row>
    <row r="36" spans="1:10" ht="15.75" x14ac:dyDescent="0.25">
      <c r="A36" s="7"/>
      <c r="B36" s="22"/>
      <c r="C36" s="22"/>
      <c r="D36" s="7"/>
      <c r="E36" s="42"/>
      <c r="F36" s="7"/>
      <c r="G36" s="7"/>
      <c r="H36" s="7"/>
      <c r="I36" s="8"/>
      <c r="J36" s="7"/>
    </row>
    <row r="37" spans="1:10" ht="15.75" x14ac:dyDescent="0.25">
      <c r="A37" s="7" t="s">
        <v>9</v>
      </c>
      <c r="B37" s="212" t="str">
        <f>IF($I$2="Library", "EWLU (Excess Work Load Units) Required:","HC (Hour Component):")</f>
        <v>HC (Hour Component):</v>
      </c>
      <c r="C37" s="212"/>
      <c r="D37" s="7"/>
      <c r="E37" s="24">
        <f>IF($I$2="Library","",$H$29)</f>
        <v>53</v>
      </c>
      <c r="F37" s="7"/>
      <c r="G37" s="7"/>
      <c r="H37" s="7"/>
      <c r="I37" s="8"/>
      <c r="J37" s="7"/>
    </row>
    <row r="38" spans="1:10" ht="15.75" x14ac:dyDescent="0.25">
      <c r="A38" s="7"/>
      <c r="B38" s="151"/>
      <c r="C38" s="151"/>
      <c r="D38" s="7"/>
      <c r="E38" s="42"/>
      <c r="F38" s="7"/>
      <c r="G38" s="7"/>
      <c r="H38" s="7"/>
      <c r="I38" s="8"/>
      <c r="J38" s="7"/>
    </row>
    <row r="39" spans="1:10" ht="15.75" x14ac:dyDescent="0.25">
      <c r="A39" s="7" t="s">
        <v>10</v>
      </c>
      <c r="B39" s="212" t="str">
        <f>IF($I$2="Library","","CLC (Credit Load Component):")</f>
        <v>CLC (Credit Load Component):</v>
      </c>
      <c r="C39" s="212"/>
      <c r="D39" s="7"/>
      <c r="E39" s="24">
        <f>IF($I$2="Library",ROUND($D$29*8*1.3/400,2),$C$29*15)</f>
        <v>165</v>
      </c>
      <c r="F39" s="7"/>
      <c r="G39" s="7"/>
      <c r="H39" s="7"/>
      <c r="I39" s="8"/>
      <c r="J39" s="7"/>
    </row>
    <row r="40" spans="1:10" ht="15.75" x14ac:dyDescent="0.25">
      <c r="A40" s="7"/>
      <c r="B40" s="22"/>
      <c r="C40" s="22"/>
      <c r="D40" s="7"/>
      <c r="E40" s="138"/>
      <c r="F40" s="7"/>
      <c r="G40" s="7"/>
      <c r="H40" s="7"/>
      <c r="I40" s="8"/>
      <c r="J40" s="7"/>
    </row>
    <row r="41" spans="1:10" ht="15.75" x14ac:dyDescent="0.25">
      <c r="A41" s="7" t="s">
        <v>11</v>
      </c>
      <c r="B41" s="212" t="str">
        <f>IF($I$2="Library", "EWLU (Excess Work Load Units) Available:","PSC (Project Supervision Component):")</f>
        <v>PSC (Project Supervision Component):</v>
      </c>
      <c r="C41" s="212"/>
      <c r="D41" s="7"/>
      <c r="E41" s="138"/>
      <c r="F41" s="7"/>
      <c r="G41" s="7"/>
      <c r="H41" s="7"/>
      <c r="I41" s="8"/>
      <c r="J41" s="7"/>
    </row>
    <row r="42" spans="1:10" ht="15.75" x14ac:dyDescent="0.25">
      <c r="A42" s="7"/>
      <c r="B42" s="212" t="str">
        <f>IF($I$2="Library","","No. of Students:")</f>
        <v>No. of Students:</v>
      </c>
      <c r="C42" s="212"/>
      <c r="D42" s="14">
        <v>3</v>
      </c>
      <c r="E42" s="138"/>
      <c r="F42" s="7"/>
      <c r="G42" s="7"/>
      <c r="H42" s="7"/>
      <c r="I42" s="8"/>
      <c r="J42" s="7"/>
    </row>
    <row r="43" spans="1:10" ht="15.75" x14ac:dyDescent="0.25">
      <c r="A43" s="7"/>
      <c r="B43" s="212" t="str">
        <f>IF($I$2="Library","","Project Credit Unit(s):")</f>
        <v>Project Credit Unit(s):</v>
      </c>
      <c r="C43" s="212"/>
      <c r="D43" s="14">
        <v>4</v>
      </c>
      <c r="E43" s="138"/>
      <c r="F43" s="7"/>
      <c r="G43" s="7"/>
      <c r="H43" s="7"/>
      <c r="I43" s="8"/>
      <c r="J43" s="7"/>
    </row>
    <row r="44" spans="1:10" ht="15.75" x14ac:dyDescent="0.25">
      <c r="A44" s="7"/>
      <c r="B44" s="212" t="str">
        <f>IF($I$2="Library","","PSC:")</f>
        <v>PSC:</v>
      </c>
      <c r="C44" s="212"/>
      <c r="D44" s="7"/>
      <c r="E44" s="24">
        <f>IF($I$2="Library",ROUND($E$29*8*1.3,2),IF(AND($D$42&gt;=6,$D$42&lt;=10),1*$D$43*15,IF($D$42&gt;10,1.5*$D$43*15,0)))</f>
        <v>0</v>
      </c>
      <c r="F44" s="7"/>
      <c r="G44" s="7"/>
      <c r="H44" s="7"/>
      <c r="I44" s="8"/>
      <c r="J44" s="7"/>
    </row>
    <row r="45" spans="1:10" ht="15.75" x14ac:dyDescent="0.25">
      <c r="A45" s="7"/>
      <c r="B45" s="22"/>
      <c r="C45" s="22"/>
      <c r="D45" s="7"/>
      <c r="E45" s="23"/>
      <c r="F45" s="7"/>
      <c r="G45" s="7"/>
      <c r="H45" s="7"/>
      <c r="I45" s="8"/>
      <c r="J45" s="7"/>
    </row>
    <row r="46" spans="1:10" ht="15.75" x14ac:dyDescent="0.25">
      <c r="A46" s="7" t="s">
        <v>12</v>
      </c>
      <c r="B46" s="212" t="str">
        <f>IF($I$2="Library","","MR (Marking Ratio):")</f>
        <v>MR (Marking Ratio):</v>
      </c>
      <c r="C46" s="212"/>
      <c r="D46" s="7"/>
      <c r="E46" s="94">
        <f>IF($I$2="Library","",IF($C29=0,0,$G$29/$C$29))</f>
        <v>27.272727272727273</v>
      </c>
      <c r="F46" s="7"/>
      <c r="G46" s="7"/>
      <c r="H46" s="7"/>
      <c r="I46" s="8"/>
      <c r="J46" s="7"/>
    </row>
    <row r="47" spans="1:10" ht="15.75" x14ac:dyDescent="0.25">
      <c r="A47" s="7"/>
      <c r="B47" s="22"/>
      <c r="C47" s="22"/>
      <c r="D47" s="7"/>
      <c r="E47" s="95"/>
      <c r="F47" s="7"/>
      <c r="G47" s="7"/>
      <c r="H47" s="7"/>
      <c r="I47" s="8"/>
      <c r="J47" s="7"/>
    </row>
    <row r="48" spans="1:10" ht="15.75" x14ac:dyDescent="0.25">
      <c r="A48" s="7" t="s">
        <v>13</v>
      </c>
      <c r="B48" s="212" t="s">
        <v>15</v>
      </c>
      <c r="C48" s="212"/>
      <c r="D48" s="7"/>
      <c r="E48" s="94">
        <f>IF($I$2="Library",$E$39-$E$44,IF(SUM(E37:E46)-$E$35&lt;0,0,SUM(E37:E46)-$E$35))</f>
        <v>132.77272727272728</v>
      </c>
      <c r="F48" s="7"/>
      <c r="G48" s="7"/>
      <c r="H48" s="7"/>
      <c r="I48" s="8"/>
      <c r="J48" s="7"/>
    </row>
    <row r="49" spans="1:10" ht="15.75" x14ac:dyDescent="0.25">
      <c r="A49" s="7"/>
      <c r="B49" s="22"/>
      <c r="C49" s="22"/>
      <c r="D49" s="7"/>
      <c r="E49" s="25"/>
      <c r="F49" s="7"/>
      <c r="G49" s="7"/>
      <c r="H49" s="7"/>
      <c r="I49" s="8"/>
      <c r="J49" s="7"/>
    </row>
    <row r="50" spans="1:10" ht="15.75" x14ac:dyDescent="0.25">
      <c r="A50" s="7" t="s">
        <v>14</v>
      </c>
      <c r="B50" s="212" t="s">
        <v>16</v>
      </c>
      <c r="C50" s="212"/>
      <c r="D50" s="7"/>
      <c r="E50" s="26">
        <f>IF(OR(LEFT($G$4,1)="U",LEFT($G$4,1)="P",LEFT($G$4,1)="R",LEFT($G$4,1)="S"),$E$48*3500,$E$48*2000)</f>
        <v>464704.54545454547</v>
      </c>
      <c r="F50" s="7"/>
      <c r="G50" s="7"/>
      <c r="H50" s="7"/>
      <c r="I50" s="8"/>
      <c r="J50" s="7"/>
    </row>
    <row r="51" spans="1:10" ht="15.75" x14ac:dyDescent="0.25">
      <c r="A51" s="7"/>
      <c r="B51" s="22"/>
      <c r="C51" s="22"/>
      <c r="D51" s="7"/>
      <c r="E51" s="7"/>
      <c r="F51" s="7"/>
      <c r="G51" s="7"/>
      <c r="H51" s="7"/>
      <c r="I51" s="8"/>
      <c r="J51" s="7"/>
    </row>
    <row r="52" spans="1:10" ht="15.75" x14ac:dyDescent="0.25">
      <c r="A52" s="7" t="s">
        <v>18</v>
      </c>
      <c r="B52" s="212" t="s">
        <v>41</v>
      </c>
      <c r="C52" s="212"/>
      <c r="D52" s="216" t="s">
        <v>19</v>
      </c>
      <c r="E52" s="216"/>
      <c r="F52" s="216"/>
      <c r="G52" s="216"/>
      <c r="H52" s="7"/>
      <c r="I52" s="8"/>
      <c r="J52" s="7"/>
    </row>
    <row r="53" spans="1:10" ht="15.75" x14ac:dyDescent="0.25">
      <c r="A53" s="7"/>
      <c r="B53" s="98"/>
      <c r="C53" s="98"/>
      <c r="D53" s="98"/>
      <c r="E53" s="98"/>
      <c r="F53" s="98"/>
      <c r="G53" s="98"/>
      <c r="H53" s="7"/>
      <c r="I53" s="8"/>
      <c r="J53" s="7"/>
    </row>
    <row r="54" spans="1:10" ht="15.75" x14ac:dyDescent="0.25">
      <c r="A54" s="7"/>
      <c r="B54" s="216" t="s">
        <v>20</v>
      </c>
      <c r="C54" s="216"/>
      <c r="D54" s="214"/>
      <c r="E54" s="214"/>
      <c r="F54" s="7" t="s">
        <v>21</v>
      </c>
      <c r="G54" s="215"/>
      <c r="H54" s="215"/>
      <c r="I54" s="8"/>
      <c r="J54" s="7"/>
    </row>
    <row r="55" spans="1:10" ht="15.75" x14ac:dyDescent="0.25">
      <c r="A55" s="7"/>
      <c r="B55" s="7"/>
      <c r="C55" s="7"/>
      <c r="D55" s="7"/>
      <c r="E55" s="7"/>
      <c r="F55" s="7"/>
      <c r="G55" s="7"/>
      <c r="H55" s="7"/>
      <c r="I55" s="8"/>
      <c r="J55" s="7"/>
    </row>
    <row r="56" spans="1:10" ht="15.75" x14ac:dyDescent="0.25">
      <c r="A56" s="7" t="s">
        <v>22</v>
      </c>
      <c r="B56" s="212" t="s">
        <v>23</v>
      </c>
      <c r="C56" s="212"/>
      <c r="D56" s="212"/>
      <c r="E56" s="7"/>
      <c r="F56" s="7"/>
      <c r="G56" s="7"/>
      <c r="H56" s="7"/>
      <c r="I56" s="8"/>
      <c r="J56" s="7"/>
    </row>
    <row r="57" spans="1:10" ht="15.75" x14ac:dyDescent="0.25">
      <c r="A57" s="7"/>
      <c r="B57" s="216" t="s">
        <v>24</v>
      </c>
      <c r="C57" s="216"/>
      <c r="D57" s="216"/>
      <c r="E57" s="216"/>
      <c r="F57" s="26">
        <f>$E$50</f>
        <v>464704.54545454547</v>
      </c>
      <c r="G57" s="7"/>
      <c r="H57" s="7"/>
      <c r="I57" s="8"/>
      <c r="J57" s="7"/>
    </row>
    <row r="58" spans="1:10" ht="15.75" x14ac:dyDescent="0.25">
      <c r="A58" s="7"/>
      <c r="B58" s="98"/>
      <c r="C58" s="98"/>
      <c r="D58" s="98"/>
      <c r="E58" s="98"/>
      <c r="F58" s="15"/>
      <c r="G58" s="7"/>
      <c r="H58" s="7"/>
      <c r="I58" s="8"/>
      <c r="J58" s="7"/>
    </row>
    <row r="59" spans="1:10" ht="15.75" x14ac:dyDescent="0.25">
      <c r="A59" s="7"/>
      <c r="B59" s="7" t="s">
        <v>25</v>
      </c>
      <c r="C59" s="7"/>
      <c r="D59" s="214"/>
      <c r="E59" s="214"/>
      <c r="F59" s="7" t="s">
        <v>21</v>
      </c>
      <c r="G59" s="214"/>
      <c r="H59" s="214"/>
      <c r="I59" s="8"/>
      <c r="J59" s="7"/>
    </row>
    <row r="60" spans="1:10" ht="15.75" x14ac:dyDescent="0.25">
      <c r="A60" s="7"/>
      <c r="B60" s="7"/>
      <c r="C60" s="7"/>
      <c r="D60" s="7"/>
      <c r="E60" s="7"/>
      <c r="F60" s="7"/>
      <c r="G60" s="7"/>
      <c r="H60" s="7"/>
      <c r="I60" s="8"/>
      <c r="J60" s="7"/>
    </row>
    <row r="61" spans="1:10" ht="15.75" x14ac:dyDescent="0.25">
      <c r="A61" s="7" t="s">
        <v>26</v>
      </c>
      <c r="B61" s="212" t="s">
        <v>27</v>
      </c>
      <c r="C61" s="212"/>
      <c r="D61" s="212"/>
      <c r="E61" s="212"/>
      <c r="F61" s="7"/>
      <c r="G61" s="7"/>
      <c r="H61" s="7"/>
      <c r="I61" s="8"/>
      <c r="J61" s="7"/>
    </row>
    <row r="62" spans="1:10" ht="15.75" x14ac:dyDescent="0.25">
      <c r="A62" s="7"/>
      <c r="B62" s="216" t="s">
        <v>28</v>
      </c>
      <c r="C62" s="216"/>
      <c r="D62" s="216"/>
      <c r="E62" s="216"/>
      <c r="F62" s="26">
        <f>$E$50</f>
        <v>464704.54545454547</v>
      </c>
      <c r="G62" s="7"/>
      <c r="H62" s="7"/>
      <c r="I62" s="8"/>
      <c r="J62" s="7"/>
    </row>
    <row r="63" spans="1:10" ht="15.75" x14ac:dyDescent="0.25">
      <c r="A63" s="7"/>
      <c r="B63" s="7"/>
      <c r="C63" s="7"/>
      <c r="D63" s="7"/>
      <c r="E63" s="7"/>
      <c r="F63" s="7"/>
      <c r="G63" s="7"/>
      <c r="H63" s="7"/>
      <c r="I63" s="8"/>
      <c r="J63" s="7"/>
    </row>
    <row r="64" spans="1:10" ht="15.75" x14ac:dyDescent="0.25">
      <c r="A64" s="7"/>
      <c r="B64" s="7" t="s">
        <v>29</v>
      </c>
      <c r="C64" s="215"/>
      <c r="D64" s="215"/>
      <c r="E64" s="7"/>
      <c r="F64" s="7" t="s">
        <v>21</v>
      </c>
      <c r="G64" s="214"/>
      <c r="H64" s="214"/>
      <c r="I64" s="8"/>
      <c r="J64" s="7"/>
    </row>
    <row r="65" spans="1:10" ht="15.75" x14ac:dyDescent="0.25">
      <c r="A65" s="7"/>
      <c r="B65" s="7"/>
      <c r="C65" s="7"/>
      <c r="D65" s="7"/>
      <c r="E65" s="7"/>
      <c r="F65" s="7"/>
      <c r="G65" s="7"/>
      <c r="H65" s="7"/>
      <c r="I65" s="8"/>
      <c r="J65" s="7"/>
    </row>
    <row r="66" spans="1:10" ht="15.75" x14ac:dyDescent="0.25">
      <c r="A66" s="7"/>
      <c r="B66" s="7"/>
      <c r="C66" s="7"/>
      <c r="D66" s="7"/>
      <c r="E66" s="7"/>
      <c r="F66" s="7"/>
      <c r="G66" s="7"/>
      <c r="H66" s="7"/>
      <c r="I66" s="8"/>
      <c r="J66" s="7"/>
    </row>
    <row r="67" spans="1:10" ht="15.75" x14ac:dyDescent="0.25">
      <c r="A67" s="7"/>
      <c r="B67" s="7"/>
      <c r="C67" s="7"/>
      <c r="D67" s="7"/>
      <c r="E67" s="7"/>
      <c r="F67" s="7"/>
      <c r="G67" s="7"/>
      <c r="H67" s="7"/>
      <c r="I67" s="8"/>
      <c r="J67" s="7"/>
    </row>
    <row r="68" spans="1:10" ht="15.75" x14ac:dyDescent="0.25">
      <c r="A68" s="7"/>
      <c r="B68" s="7"/>
      <c r="C68" s="7"/>
      <c r="D68" s="7"/>
      <c r="E68" s="7"/>
      <c r="F68" s="7"/>
      <c r="G68" s="7"/>
      <c r="H68" s="7"/>
      <c r="I68" s="8"/>
      <c r="J68" s="7"/>
    </row>
    <row r="69" spans="1:10" ht="15.75" x14ac:dyDescent="0.25">
      <c r="A69" s="7"/>
      <c r="B69" s="7"/>
      <c r="C69" s="7"/>
      <c r="D69" s="7"/>
      <c r="E69" s="7"/>
      <c r="F69" s="7"/>
      <c r="G69" s="7"/>
      <c r="H69" s="7"/>
      <c r="I69" s="8"/>
      <c r="J69" s="7"/>
    </row>
    <row r="70" spans="1:10" ht="15.75" x14ac:dyDescent="0.25">
      <c r="A70" s="7"/>
      <c r="B70" s="7"/>
      <c r="C70" s="7"/>
      <c r="D70" s="7"/>
      <c r="E70" s="7"/>
      <c r="F70" s="7"/>
      <c r="G70" s="7"/>
      <c r="H70" s="7"/>
      <c r="I70" s="8"/>
      <c r="J70" s="7"/>
    </row>
    <row r="71" spans="1:10" ht="15.75" x14ac:dyDescent="0.25">
      <c r="A71" s="7"/>
      <c r="B71" s="7"/>
      <c r="C71" s="7"/>
      <c r="D71" s="7"/>
      <c r="E71" s="7"/>
      <c r="F71" s="7"/>
      <c r="G71" s="7"/>
      <c r="H71" s="7"/>
      <c r="I71" s="8"/>
      <c r="J71" s="7"/>
    </row>
    <row r="72" spans="1:10" ht="15.75" x14ac:dyDescent="0.25">
      <c r="A72" s="7"/>
      <c r="B72" s="7"/>
      <c r="C72" s="7"/>
      <c r="D72" s="7"/>
      <c r="E72" s="7"/>
      <c r="F72" s="7"/>
      <c r="G72" s="7"/>
      <c r="H72" s="7"/>
      <c r="I72" s="8"/>
      <c r="J72" s="7"/>
    </row>
    <row r="73" spans="1:10" ht="15.75" x14ac:dyDescent="0.25">
      <c r="A73" s="7"/>
      <c r="B73" s="7"/>
      <c r="C73" s="7"/>
      <c r="D73" s="7"/>
      <c r="E73" s="7"/>
      <c r="F73" s="7"/>
      <c r="G73" s="7"/>
      <c r="H73" s="7"/>
      <c r="I73" s="8"/>
      <c r="J73" s="7"/>
    </row>
    <row r="74" spans="1:10" ht="15.75" x14ac:dyDescent="0.25">
      <c r="A74" s="7"/>
      <c r="B74" s="7"/>
      <c r="C74" s="7"/>
      <c r="D74" s="7"/>
      <c r="E74" s="7"/>
      <c r="F74" s="7"/>
      <c r="G74" s="7"/>
      <c r="H74" s="7"/>
      <c r="I74" s="8"/>
      <c r="J74" s="7"/>
    </row>
    <row r="75" spans="1:10" ht="15.75" x14ac:dyDescent="0.25">
      <c r="A75" s="7"/>
      <c r="B75" s="7"/>
      <c r="C75" s="7"/>
      <c r="D75" s="7"/>
      <c r="E75" s="7"/>
      <c r="F75" s="7"/>
      <c r="G75" s="7"/>
      <c r="H75" s="7"/>
      <c r="I75" s="8"/>
      <c r="J75" s="7"/>
    </row>
    <row r="76" spans="1:10" ht="15.75" x14ac:dyDescent="0.25">
      <c r="A76" s="7"/>
      <c r="B76" s="7"/>
      <c r="C76" s="7"/>
      <c r="D76" s="7"/>
      <c r="E76" s="7"/>
      <c r="F76" s="7"/>
      <c r="G76" s="7"/>
      <c r="H76" s="7"/>
      <c r="I76" s="8"/>
      <c r="J76" s="7"/>
    </row>
    <row r="77" spans="1:10" ht="15.75" x14ac:dyDescent="0.25">
      <c r="A77" s="7"/>
      <c r="B77" s="7"/>
      <c r="C77" s="7"/>
      <c r="D77" s="7"/>
      <c r="E77" s="7"/>
      <c r="F77" s="7"/>
      <c r="G77" s="7"/>
      <c r="H77" s="7"/>
      <c r="I77" s="8"/>
      <c r="J77" s="7"/>
    </row>
    <row r="78" spans="1:10" ht="15.75" x14ac:dyDescent="0.25">
      <c r="A78" s="7"/>
      <c r="B78" s="7"/>
      <c r="C78" s="7"/>
      <c r="D78" s="7"/>
      <c r="E78" s="7"/>
      <c r="F78" s="7"/>
      <c r="G78" s="7"/>
      <c r="H78" s="7"/>
      <c r="I78" s="8"/>
      <c r="J78" s="7"/>
    </row>
    <row r="79" spans="1:10" ht="15.75" x14ac:dyDescent="0.25">
      <c r="A79" s="7"/>
      <c r="B79" s="7"/>
      <c r="C79" s="7"/>
      <c r="D79" s="7"/>
      <c r="E79" s="7"/>
      <c r="F79" s="7"/>
      <c r="G79" s="7"/>
      <c r="H79" s="7"/>
      <c r="I79" s="8"/>
      <c r="J79" s="7"/>
    </row>
    <row r="80" spans="1:10" ht="15.75" x14ac:dyDescent="0.25">
      <c r="A80" s="7"/>
      <c r="B80" s="7"/>
      <c r="C80" s="7"/>
      <c r="D80" s="7"/>
      <c r="E80" s="7"/>
      <c r="F80" s="7"/>
      <c r="G80" s="7"/>
      <c r="H80" s="7"/>
      <c r="I80" s="8"/>
      <c r="J80" s="7"/>
    </row>
    <row r="81" spans="1:10" ht="15.75" x14ac:dyDescent="0.25">
      <c r="A81" s="7"/>
      <c r="B81" s="7"/>
      <c r="C81" s="7"/>
      <c r="D81" s="7"/>
      <c r="E81" s="7"/>
      <c r="F81" s="7"/>
      <c r="G81" s="7"/>
      <c r="H81" s="7"/>
      <c r="I81" s="8"/>
      <c r="J81" s="7"/>
    </row>
    <row r="82" spans="1:10" ht="15.75" x14ac:dyDescent="0.25">
      <c r="A82" s="7"/>
      <c r="B82" s="7"/>
      <c r="C82" s="7"/>
      <c r="D82" s="7"/>
      <c r="E82" s="7"/>
      <c r="F82" s="7"/>
      <c r="G82" s="7"/>
      <c r="H82" s="7"/>
      <c r="I82" s="8"/>
      <c r="J82" s="7"/>
    </row>
    <row r="83" spans="1:10" ht="15.75" x14ac:dyDescent="0.25">
      <c r="A83" s="7"/>
      <c r="B83" s="7"/>
      <c r="C83" s="7"/>
      <c r="D83" s="7"/>
      <c r="E83" s="7"/>
      <c r="F83" s="7"/>
      <c r="G83" s="7"/>
      <c r="H83" s="7"/>
      <c r="I83" s="8"/>
      <c r="J83" s="7"/>
    </row>
    <row r="84" spans="1:10" ht="15.75" x14ac:dyDescent="0.25">
      <c r="A84" s="7"/>
      <c r="B84" s="7"/>
      <c r="C84" s="7"/>
      <c r="D84" s="7"/>
      <c r="E84" s="7"/>
      <c r="F84" s="7"/>
      <c r="G84" s="7"/>
      <c r="H84" s="7"/>
      <c r="I84" s="8"/>
      <c r="J84" s="7"/>
    </row>
    <row r="85" spans="1:10" ht="15.75" x14ac:dyDescent="0.25">
      <c r="A85" s="7"/>
      <c r="B85" s="7"/>
      <c r="C85" s="7"/>
      <c r="D85" s="7"/>
      <c r="E85" s="7"/>
      <c r="F85" s="7"/>
      <c r="G85" s="7"/>
      <c r="H85" s="7"/>
      <c r="I85" s="8"/>
      <c r="J85" s="7"/>
    </row>
    <row r="86" spans="1:10" ht="15.75" x14ac:dyDescent="0.25">
      <c r="A86" s="7"/>
      <c r="B86" s="7"/>
      <c r="C86" s="7"/>
      <c r="D86" s="7"/>
      <c r="E86" s="7"/>
      <c r="F86" s="7"/>
      <c r="G86" s="7"/>
      <c r="H86" s="7"/>
      <c r="I86" s="8"/>
      <c r="J86" s="7"/>
    </row>
    <row r="87" spans="1:10" ht="15.75" x14ac:dyDescent="0.25">
      <c r="A87" s="7"/>
      <c r="B87" s="7"/>
      <c r="C87" s="7"/>
      <c r="D87" s="7"/>
      <c r="E87" s="7"/>
      <c r="F87" s="7"/>
      <c r="G87" s="7"/>
      <c r="H87" s="7"/>
      <c r="I87" s="8"/>
      <c r="J87" s="7"/>
    </row>
    <row r="88" spans="1:10" ht="15.75" x14ac:dyDescent="0.25">
      <c r="A88" s="7"/>
      <c r="B88" s="7"/>
      <c r="C88" s="7"/>
      <c r="D88" s="7"/>
      <c r="E88" s="7"/>
      <c r="F88" s="7"/>
      <c r="G88" s="7"/>
      <c r="H88" s="7"/>
      <c r="I88" s="8"/>
      <c r="J88" s="7"/>
    </row>
    <row r="89" spans="1:10" ht="15.75" x14ac:dyDescent="0.25">
      <c r="A89" s="7"/>
      <c r="B89" s="7"/>
      <c r="C89" s="7"/>
      <c r="D89" s="7"/>
      <c r="E89" s="7"/>
      <c r="F89" s="7"/>
      <c r="G89" s="7"/>
      <c r="H89" s="7"/>
      <c r="I89" s="8"/>
      <c r="J89" s="7"/>
    </row>
    <row r="90" spans="1:10" ht="15.75" x14ac:dyDescent="0.25">
      <c r="A90" s="7"/>
      <c r="B90" s="7"/>
      <c r="C90" s="7"/>
      <c r="D90" s="7"/>
      <c r="E90" s="7"/>
      <c r="F90" s="7"/>
      <c r="G90" s="7"/>
      <c r="H90" s="7"/>
      <c r="I90" s="8"/>
      <c r="J90" s="7"/>
    </row>
    <row r="91" spans="1:10" ht="15.75" x14ac:dyDescent="0.25">
      <c r="A91" s="7"/>
      <c r="B91" s="7"/>
      <c r="C91" s="7"/>
      <c r="D91" s="7"/>
      <c r="E91" s="7"/>
      <c r="F91" s="7"/>
      <c r="G91" s="7"/>
      <c r="H91" s="7"/>
      <c r="I91" s="8"/>
      <c r="J91" s="7"/>
    </row>
    <row r="92" spans="1:10" ht="15.75" x14ac:dyDescent="0.25">
      <c r="A92" s="7"/>
      <c r="B92" s="7"/>
      <c r="C92" s="7"/>
      <c r="D92" s="7"/>
      <c r="E92" s="7"/>
      <c r="F92" s="7"/>
      <c r="G92" s="7"/>
      <c r="H92" s="7"/>
      <c r="I92" s="8"/>
      <c r="J92" s="7"/>
    </row>
    <row r="93" spans="1:10" ht="15.75" x14ac:dyDescent="0.25">
      <c r="A93" s="7"/>
      <c r="B93" s="7"/>
      <c r="C93" s="7"/>
      <c r="D93" s="7"/>
      <c r="E93" s="7"/>
      <c r="F93" s="7"/>
      <c r="G93" s="7"/>
      <c r="H93" s="7"/>
      <c r="I93" s="8"/>
      <c r="J93" s="7"/>
    </row>
    <row r="94" spans="1:10" ht="15.75" x14ac:dyDescent="0.25">
      <c r="A94" s="7"/>
      <c r="B94" s="7"/>
      <c r="C94" s="7"/>
      <c r="D94" s="7"/>
      <c r="E94" s="7"/>
      <c r="F94" s="7"/>
      <c r="G94" s="7"/>
      <c r="H94" s="7"/>
      <c r="I94" s="8"/>
      <c r="J94" s="7"/>
    </row>
    <row r="95" spans="1:10" ht="15.75" x14ac:dyDescent="0.25">
      <c r="A95" s="7"/>
      <c r="B95" s="7"/>
      <c r="C95" s="7"/>
      <c r="D95" s="7"/>
      <c r="E95" s="7"/>
      <c r="F95" s="7"/>
      <c r="G95" s="7"/>
      <c r="H95" s="7"/>
      <c r="I95" s="8"/>
      <c r="J95" s="7"/>
    </row>
    <row r="96" spans="1:10" ht="15.75" x14ac:dyDescent="0.25">
      <c r="A96" s="7"/>
      <c r="B96" s="7"/>
      <c r="C96" s="7"/>
      <c r="D96" s="7"/>
      <c r="E96" s="7"/>
      <c r="F96" s="7"/>
      <c r="G96" s="7"/>
      <c r="H96" s="7"/>
      <c r="I96" s="8"/>
      <c r="J96" s="7"/>
    </row>
    <row r="97" spans="1:10" ht="15.75" x14ac:dyDescent="0.25">
      <c r="A97" s="7"/>
      <c r="B97" s="7"/>
      <c r="C97" s="7"/>
      <c r="D97" s="7"/>
      <c r="E97" s="7"/>
      <c r="F97" s="7"/>
      <c r="G97" s="7"/>
      <c r="H97" s="7"/>
      <c r="I97" s="8"/>
      <c r="J97" s="7"/>
    </row>
    <row r="98" spans="1:10" ht="15.75" x14ac:dyDescent="0.25">
      <c r="A98" s="7"/>
      <c r="B98" s="7"/>
      <c r="C98" s="7"/>
      <c r="D98" s="7"/>
      <c r="E98" s="7"/>
      <c r="F98" s="7"/>
      <c r="G98" s="7"/>
      <c r="H98" s="7"/>
      <c r="I98" s="8"/>
      <c r="J98" s="7"/>
    </row>
    <row r="99" spans="1:10" ht="15.75" x14ac:dyDescent="0.25">
      <c r="A99" s="7"/>
      <c r="B99" s="7"/>
      <c r="C99" s="7"/>
      <c r="D99" s="7"/>
      <c r="E99" s="7"/>
      <c r="F99" s="7"/>
      <c r="G99" s="7"/>
      <c r="H99" s="7"/>
      <c r="I99" s="8"/>
      <c r="J99" s="7"/>
    </row>
    <row r="100" spans="1:10" ht="15.75" x14ac:dyDescent="0.25">
      <c r="A100" s="7"/>
      <c r="B100" s="7"/>
      <c r="C100" s="7"/>
      <c r="D100" s="7"/>
      <c r="E100" s="7"/>
      <c r="F100" s="7"/>
      <c r="G100" s="7"/>
      <c r="H100" s="7"/>
      <c r="I100" s="8"/>
      <c r="J100" s="7"/>
    </row>
    <row r="101" spans="1:10" ht="15.75" x14ac:dyDescent="0.25">
      <c r="A101" s="7"/>
      <c r="B101" s="7"/>
      <c r="C101" s="7"/>
      <c r="D101" s="7"/>
      <c r="E101" s="7"/>
      <c r="F101" s="7"/>
      <c r="G101" s="7"/>
      <c r="H101" s="7"/>
      <c r="I101" s="8"/>
      <c r="J101" s="7"/>
    </row>
    <row r="102" spans="1:10" ht="15.75" x14ac:dyDescent="0.25">
      <c r="A102" s="7"/>
      <c r="B102" s="7"/>
      <c r="C102" s="7"/>
      <c r="D102" s="7"/>
      <c r="E102" s="7"/>
      <c r="F102" s="7"/>
      <c r="G102" s="7"/>
      <c r="H102" s="7"/>
      <c r="I102" s="8"/>
      <c r="J102" s="7"/>
    </row>
    <row r="103" spans="1:10" ht="15.75" x14ac:dyDescent="0.25">
      <c r="A103" s="7"/>
      <c r="B103" s="7"/>
      <c r="C103" s="7"/>
      <c r="D103" s="7"/>
      <c r="E103" s="7"/>
      <c r="F103" s="7"/>
      <c r="G103" s="7"/>
      <c r="H103" s="7"/>
      <c r="I103" s="8"/>
      <c r="J103" s="7"/>
    </row>
    <row r="104" spans="1:10" ht="15.75" x14ac:dyDescent="0.25">
      <c r="A104" s="7"/>
      <c r="B104" s="7"/>
      <c r="C104" s="7"/>
      <c r="D104" s="7"/>
      <c r="E104" s="7"/>
      <c r="F104" s="7"/>
      <c r="G104" s="7"/>
      <c r="H104" s="7"/>
      <c r="I104" s="8"/>
      <c r="J104" s="7"/>
    </row>
    <row r="105" spans="1:10" ht="15.75" x14ac:dyDescent="0.25">
      <c r="A105" s="7"/>
      <c r="B105" s="7"/>
      <c r="C105" s="7"/>
      <c r="D105" s="7"/>
      <c r="E105" s="7"/>
      <c r="F105" s="7"/>
      <c r="G105" s="7"/>
      <c r="H105" s="7"/>
      <c r="I105" s="8"/>
      <c r="J105" s="7"/>
    </row>
    <row r="106" spans="1:10" ht="15.75" x14ac:dyDescent="0.25">
      <c r="A106" s="7"/>
      <c r="B106" s="7"/>
      <c r="C106" s="7"/>
      <c r="D106" s="7"/>
      <c r="E106" s="7"/>
      <c r="F106" s="7"/>
      <c r="G106" s="7"/>
      <c r="H106" s="7"/>
      <c r="I106" s="8"/>
      <c r="J106" s="7"/>
    </row>
    <row r="107" spans="1:10" ht="15.75" x14ac:dyDescent="0.25">
      <c r="A107" s="7"/>
      <c r="B107" s="7"/>
      <c r="C107" s="7"/>
      <c r="D107" s="7"/>
      <c r="E107" s="7"/>
      <c r="F107" s="7"/>
      <c r="G107" s="7"/>
      <c r="H107" s="7"/>
      <c r="I107" s="8"/>
      <c r="J107" s="7"/>
    </row>
    <row r="108" spans="1:10" ht="15.75" x14ac:dyDescent="0.25">
      <c r="A108" s="7"/>
      <c r="B108" s="7"/>
      <c r="C108" s="7"/>
      <c r="D108" s="7"/>
      <c r="E108" s="7"/>
      <c r="F108" s="7"/>
      <c r="G108" s="7"/>
      <c r="H108" s="7"/>
      <c r="I108" s="8"/>
      <c r="J108" s="7"/>
    </row>
    <row r="109" spans="1:10" ht="15.75" x14ac:dyDescent="0.25">
      <c r="A109" s="7"/>
      <c r="B109" s="7"/>
      <c r="C109" s="7"/>
      <c r="D109" s="7"/>
      <c r="E109" s="7"/>
      <c r="F109" s="7"/>
      <c r="G109" s="7"/>
      <c r="H109" s="7"/>
      <c r="I109" s="8"/>
      <c r="J109" s="7"/>
    </row>
    <row r="110" spans="1:10" ht="15.75" x14ac:dyDescent="0.25">
      <c r="A110" s="7"/>
      <c r="B110" s="7"/>
      <c r="C110" s="7"/>
      <c r="D110" s="7"/>
      <c r="E110" s="7"/>
      <c r="F110" s="7"/>
      <c r="G110" s="7"/>
      <c r="H110" s="7"/>
      <c r="I110" s="8"/>
      <c r="J110" s="7"/>
    </row>
    <row r="111" spans="1:10" ht="15.75" x14ac:dyDescent="0.25">
      <c r="A111" s="7"/>
      <c r="B111" s="7"/>
      <c r="C111" s="7"/>
      <c r="D111" s="7"/>
      <c r="E111" s="7"/>
      <c r="F111" s="7"/>
      <c r="G111" s="7"/>
      <c r="H111" s="7"/>
      <c r="I111" s="8"/>
      <c r="J111" s="7"/>
    </row>
    <row r="112" spans="1:10" ht="15.75" x14ac:dyDescent="0.25">
      <c r="A112" s="7"/>
      <c r="B112" s="7"/>
      <c r="C112" s="7"/>
      <c r="D112" s="7"/>
      <c r="E112" s="7"/>
      <c r="F112" s="7"/>
      <c r="G112" s="7"/>
      <c r="H112" s="7"/>
      <c r="I112" s="8"/>
      <c r="J112" s="7"/>
    </row>
    <row r="113" spans="1:10" ht="15.75" x14ac:dyDescent="0.25">
      <c r="A113" s="7"/>
      <c r="B113" s="7"/>
      <c r="C113" s="7"/>
      <c r="D113" s="7"/>
      <c r="E113" s="7"/>
      <c r="F113" s="7"/>
      <c r="G113" s="7"/>
      <c r="H113" s="7"/>
      <c r="I113" s="8"/>
      <c r="J113" s="7"/>
    </row>
    <row r="114" spans="1:10" ht="15.75" x14ac:dyDescent="0.25">
      <c r="A114" s="7"/>
      <c r="B114" s="7"/>
      <c r="C114" s="7"/>
      <c r="D114" s="7"/>
      <c r="E114" s="7"/>
      <c r="F114" s="7"/>
      <c r="G114" s="7"/>
      <c r="H114" s="7"/>
      <c r="I114" s="8"/>
      <c r="J114" s="7"/>
    </row>
    <row r="115" spans="1:10" ht="15.75" x14ac:dyDescent="0.25">
      <c r="A115" s="7"/>
      <c r="B115" s="7"/>
      <c r="C115" s="7"/>
      <c r="D115" s="7"/>
      <c r="E115" s="7"/>
      <c r="F115" s="7"/>
      <c r="G115" s="7"/>
      <c r="H115" s="7"/>
      <c r="I115" s="8"/>
      <c r="J115" s="7"/>
    </row>
    <row r="116" spans="1:10" ht="15.75" x14ac:dyDescent="0.25">
      <c r="A116" s="7"/>
      <c r="B116" s="7"/>
      <c r="C116" s="7"/>
      <c r="D116" s="7"/>
      <c r="E116" s="7"/>
      <c r="F116" s="7"/>
      <c r="G116" s="7"/>
      <c r="H116" s="7"/>
      <c r="I116" s="8"/>
      <c r="J116" s="7"/>
    </row>
  </sheetData>
  <sheetProtection password="E9BA" sheet="1" objects="1" scenarios="1" formatCells="0" formatColumns="0" formatRows="0" insertRows="0" deleteColumns="0" deleteRows="0"/>
  <mergeCells count="31">
    <mergeCell ref="B31:C31"/>
    <mergeCell ref="B7:C7"/>
    <mergeCell ref="B1:C1"/>
    <mergeCell ref="C2:E2"/>
    <mergeCell ref="I2:J2"/>
    <mergeCell ref="C4:E4"/>
    <mergeCell ref="C5:E5"/>
    <mergeCell ref="B50:C50"/>
    <mergeCell ref="B52:C52"/>
    <mergeCell ref="D52:G52"/>
    <mergeCell ref="B54:C54"/>
    <mergeCell ref="D54:E54"/>
    <mergeCell ref="G54:H54"/>
    <mergeCell ref="B48:C48"/>
    <mergeCell ref="B34:C34"/>
    <mergeCell ref="B35:C35"/>
    <mergeCell ref="B37:C37"/>
    <mergeCell ref="B39:C39"/>
    <mergeCell ref="B41:C41"/>
    <mergeCell ref="B42:C42"/>
    <mergeCell ref="B43:C43"/>
    <mergeCell ref="B44:C44"/>
    <mergeCell ref="B46:C46"/>
    <mergeCell ref="C64:D64"/>
    <mergeCell ref="G64:H64"/>
    <mergeCell ref="B56:D56"/>
    <mergeCell ref="B57:E57"/>
    <mergeCell ref="D59:E59"/>
    <mergeCell ref="G59:H59"/>
    <mergeCell ref="B61:E61"/>
    <mergeCell ref="B62:E62"/>
  </mergeCells>
  <dataValidations count="5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J4 D31"/>
    <dataValidation type="list" allowBlank="1" showInputMessage="1" showErrorMessage="1" sqref="H5">
      <formula1>"2009/2010,2010/2011,2011/2012"</formula1>
    </dataValidation>
    <dataValidation type="list" allowBlank="1" showInputMessage="1" showErrorMessage="1" sqref="D34">
      <formula1>"1,2"</formula1>
    </dataValidation>
    <dataValidation type="list" allowBlank="1" showInputMessage="1" showErrorMessage="1" sqref="F5">
      <formula1>$B$2:$B$7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Excess Workload Allowance
Claim Form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allowBlank="1" showInputMessage="1" showErrorMessage="1">
          <x14:formula1>
            <xm:f>Info_Lists!$B$2:$B$7</xm:f>
          </x14:formula1>
          <xm:sqref>I4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I2</xm:sqref>
        </x14:dataValidation>
        <x14:dataValidation type="list" allowBlank="1" showInputMessage="1" showErrorMessage="1">
          <x14:formula1>
            <xm:f>IF($I$4="2008/2009",Courses_List!$A$3:$A$102,IF($I$4="2009/2010",Courses_List!$E$3:$E$102,IF($I$4="2010/2011",Courses_List!$I$3:$I$102,IF($I$4="2011/2012",Courses_List!$M$3:$M$102,IF($I$4="2012/2013",Courses_List!$Q$3:$Q$102,"INVALID")))))</xm:f>
          </x14:formula1>
          <xm:sqref>B9:B28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3399"/>
  </sheetPr>
  <dimension ref="A1:K29"/>
  <sheetViews>
    <sheetView workbookViewId="0">
      <selection activeCell="E13" sqref="E13"/>
    </sheetView>
  </sheetViews>
  <sheetFormatPr defaultRowHeight="15" x14ac:dyDescent="0.25"/>
  <cols>
    <col min="1" max="1" width="2.85546875" style="2" bestFit="1" customWidth="1"/>
    <col min="2" max="2" width="14.85546875" style="2" customWidth="1"/>
    <col min="3" max="3" width="4.7109375" style="2" bestFit="1" customWidth="1"/>
    <col min="4" max="4" width="12" style="2" customWidth="1"/>
    <col min="5" max="5" width="37.7109375" style="2" customWidth="1"/>
    <col min="6" max="6" width="16.42578125" style="2" customWidth="1"/>
    <col min="7" max="9" width="9.140625" style="2"/>
    <col min="10" max="10" width="9.85546875" style="2" bestFit="1" customWidth="1"/>
    <col min="11" max="11" width="14.85546875" style="2" customWidth="1"/>
    <col min="12" max="16384" width="9.140625" style="2"/>
  </cols>
  <sheetData>
    <row r="1" spans="1:11" x14ac:dyDescent="0.25">
      <c r="A1" s="2" t="s">
        <v>0</v>
      </c>
      <c r="B1" s="113" t="s">
        <v>1</v>
      </c>
      <c r="H1" s="3"/>
      <c r="J1" s="4"/>
    </row>
    <row r="2" spans="1:11" ht="15.75" x14ac:dyDescent="0.25">
      <c r="B2" s="16" t="s">
        <v>2</v>
      </c>
      <c r="C2" s="214" t="s">
        <v>393</v>
      </c>
      <c r="D2" s="214"/>
      <c r="E2" s="214"/>
      <c r="F2" s="16" t="s">
        <v>3</v>
      </c>
      <c r="G2" s="255" t="str">
        <f>IF(LOOKUP($C$2,Staff_List!$A$4:$A$53,Staff_List!$B$4:$B$53)="","",LOOKUP($C$2,Staff_List!$A$4:$A$53,Staff_List!$B$4:$B$53))</f>
        <v>A7581</v>
      </c>
      <c r="H2" s="255"/>
      <c r="I2" s="16" t="s">
        <v>4</v>
      </c>
      <c r="J2" s="224" t="s">
        <v>103</v>
      </c>
      <c r="K2" s="224"/>
    </row>
    <row r="3" spans="1:11" x14ac:dyDescent="0.25">
      <c r="B3" s="21"/>
      <c r="G3" s="3"/>
      <c r="K3" s="44"/>
    </row>
    <row r="4" spans="1:11" x14ac:dyDescent="0.25">
      <c r="B4" s="16" t="s">
        <v>35</v>
      </c>
      <c r="C4" s="224" t="s">
        <v>146</v>
      </c>
      <c r="D4" s="224"/>
      <c r="E4" s="224"/>
      <c r="F4" s="16" t="s">
        <v>5</v>
      </c>
      <c r="G4" s="224" t="s">
        <v>487</v>
      </c>
      <c r="H4" s="224"/>
      <c r="I4" s="16" t="s">
        <v>6</v>
      </c>
      <c r="J4" s="76" t="s">
        <v>107</v>
      </c>
      <c r="K4" s="101"/>
    </row>
    <row r="5" spans="1:11" customFormat="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  <c r="K5" s="2"/>
    </row>
    <row r="6" spans="1:11" x14ac:dyDescent="0.25">
      <c r="B6" s="27"/>
      <c r="I6" s="3"/>
      <c r="K6" s="44"/>
    </row>
    <row r="7" spans="1:11" ht="15.75" x14ac:dyDescent="0.25">
      <c r="A7" s="7" t="s">
        <v>7</v>
      </c>
      <c r="B7" s="212" t="s">
        <v>30</v>
      </c>
      <c r="C7" s="212"/>
      <c r="D7" s="7"/>
      <c r="E7" s="7"/>
      <c r="F7" s="7"/>
      <c r="G7" s="7"/>
      <c r="H7" s="7"/>
      <c r="I7" s="8"/>
      <c r="J7" s="7"/>
      <c r="K7" s="4"/>
    </row>
    <row r="8" spans="1:11" ht="20.25" customHeight="1" x14ac:dyDescent="0.25">
      <c r="C8" s="19" t="s">
        <v>31</v>
      </c>
      <c r="D8" s="32" t="s">
        <v>32</v>
      </c>
      <c r="E8" s="33" t="s">
        <v>33</v>
      </c>
      <c r="F8" s="28"/>
      <c r="G8" s="28"/>
      <c r="H8" s="28"/>
      <c r="I8" s="28"/>
      <c r="J8" s="9"/>
      <c r="K8" s="10"/>
    </row>
    <row r="9" spans="1:11" ht="15.75" customHeight="1" x14ac:dyDescent="0.25">
      <c r="C9" s="31">
        <f>IF(AND(ISTEXT($D9),ISTEXT($E9)),1,"")</f>
        <v>1</v>
      </c>
      <c r="D9" s="202" t="s">
        <v>501</v>
      </c>
      <c r="E9" s="203" t="s">
        <v>502</v>
      </c>
      <c r="F9" s="7"/>
      <c r="G9" s="7"/>
      <c r="H9" s="7"/>
      <c r="I9" s="7"/>
      <c r="J9" s="8"/>
      <c r="K9" s="12"/>
    </row>
    <row r="10" spans="1:11" ht="15.75" x14ac:dyDescent="0.25">
      <c r="C10" s="31">
        <f>IF(AND(ISTEXT($D10),ISTEXT($E10)),2,"")</f>
        <v>2</v>
      </c>
      <c r="D10" s="202" t="s">
        <v>503</v>
      </c>
      <c r="E10" s="203" t="s">
        <v>504</v>
      </c>
      <c r="F10" s="7"/>
      <c r="G10" s="7"/>
      <c r="H10" s="7"/>
      <c r="I10" s="7"/>
      <c r="J10" s="8"/>
      <c r="K10" s="12"/>
    </row>
    <row r="11" spans="1:11" ht="15.75" x14ac:dyDescent="0.25">
      <c r="C11" s="31">
        <f>IF(AND(ISTEXT($D11),ISTEXT($E11)),3,"")</f>
        <v>3</v>
      </c>
      <c r="D11" s="202" t="s">
        <v>505</v>
      </c>
      <c r="E11" s="203" t="s">
        <v>506</v>
      </c>
      <c r="F11" s="7"/>
      <c r="G11" s="7"/>
      <c r="H11" s="7"/>
      <c r="I11" s="7"/>
      <c r="J11" s="8"/>
      <c r="K11" s="12"/>
    </row>
    <row r="12" spans="1:11" ht="15.75" x14ac:dyDescent="0.25">
      <c r="C12" s="31">
        <f>IF(AND(ISTEXT($D12),ISTEXT($E12)),4,"")</f>
        <v>4</v>
      </c>
      <c r="D12" s="202" t="s">
        <v>507</v>
      </c>
      <c r="E12" s="203" t="s">
        <v>508</v>
      </c>
      <c r="F12" s="7"/>
      <c r="G12" s="7"/>
      <c r="H12" s="7"/>
      <c r="I12" s="7"/>
      <c r="J12" s="8"/>
      <c r="K12" s="12"/>
    </row>
    <row r="13" spans="1:11" ht="15.75" x14ac:dyDescent="0.25">
      <c r="C13" s="31">
        <f>IF(AND(ISTEXT($D13),ISTEXT($E13)),5,"")</f>
        <v>5</v>
      </c>
      <c r="D13" s="202" t="s">
        <v>509</v>
      </c>
      <c r="E13" s="203" t="s">
        <v>510</v>
      </c>
      <c r="F13" s="7"/>
      <c r="G13" s="7"/>
      <c r="H13" s="7"/>
      <c r="I13" s="7"/>
      <c r="J13" s="8"/>
      <c r="K13" s="12"/>
    </row>
    <row r="14" spans="1:11" ht="15.75" x14ac:dyDescent="0.25">
      <c r="B14" s="30"/>
      <c r="C14" s="7"/>
      <c r="D14" s="7"/>
      <c r="E14" s="7"/>
      <c r="F14" s="7"/>
      <c r="G14" s="7"/>
      <c r="H14" s="7"/>
      <c r="I14" s="7"/>
      <c r="J14" s="8"/>
      <c r="K14" s="12"/>
    </row>
    <row r="15" spans="1:11" ht="15.75" x14ac:dyDescent="0.25">
      <c r="A15" s="2" t="s">
        <v>9</v>
      </c>
      <c r="B15" s="212" t="s">
        <v>34</v>
      </c>
      <c r="C15" s="212"/>
      <c r="D15" s="212"/>
      <c r="E15" s="26">
        <f>IF($J$4="2008/2009",(IF(OR(LEFT($G$4,1)="P",LEFT($G$4,1)="R"),25000*(IF(ISTEXT($E9),1,0)+IF(ISTEXT($E10),1,0)+IF(ISTEXT($E11),1,0)+IF(ISTEXT($E12),1,0)+IF(ISTEXT($E13),1,0)),IF(LEFT($G$4,1)="S",20000*(IF(ISTEXT($E9),1,0)+IF(ISTEXT($E10),1,0)+IF(ISTEXT($E11),1,0)+IF(ISTEXT($E12),1,0)+IF(ISTEXT($E13),1,0)),IF(AND(LEFT($G$4,1)="L",OR(RIGHT($G$4,2)=" I",RIGHT($G$4,2)="II")),15000*(IF(ISTEXT($E9),1,0)+IF(ISTEXT($E10),1,0)+IF(ISTEXT($E11),1,0)+IF(ISTEXT($E12),1,0)+IF(ISTEXT($E13),1,0)),0))))/2,IF(OR(LEFT($G$4,1)="P",LEFT($G$4,1)="R"),25000*(IF(ISTEXT($E9),1,0)+IF(ISTEXT($E10),1,0)+IF(ISTEXT($E11),1,0)+IF(ISTEXT($E12),1,0)+IF(ISTEXT($E13),1,0)),IF(LEFT($G$4,1)="S",20000*(IF(ISTEXT($E9),1,0)+IF(ISTEXT($E10),1,0)+IF(ISTEXT($E11),1,0)+IF(ISTEXT($E12),1,0)+IF(ISTEXT($E13),1,0)),IF(AND(LEFT($G$4,1)="L",OR(RIGHT($G$4,2)=" I",RIGHT($G$4,2)="II")),15000*(IF(ISTEXT($E9),1,0)+IF(ISTEXT($E10),1,0)+IF(ISTEXT($E11),1,0)+IF(ISTEXT($E12),1,0)+IF(ISTEXT($E13),1,0)),0))))</f>
        <v>100000</v>
      </c>
      <c r="F15" s="7"/>
      <c r="G15" s="7"/>
      <c r="H15" s="7"/>
      <c r="I15" s="7"/>
      <c r="J15" s="8"/>
      <c r="K15" s="12"/>
    </row>
    <row r="16" spans="1:11" ht="15.75" x14ac:dyDescent="0.25">
      <c r="B16" s="30"/>
      <c r="C16" s="7"/>
      <c r="D16" s="7"/>
      <c r="E16" s="7"/>
      <c r="F16" s="7"/>
      <c r="G16" s="7"/>
      <c r="H16" s="7"/>
      <c r="I16" s="7"/>
      <c r="J16" s="8"/>
      <c r="K16" s="12"/>
    </row>
    <row r="17" spans="1:11" ht="15.75" x14ac:dyDescent="0.25">
      <c r="A17" s="7" t="s">
        <v>10</v>
      </c>
      <c r="B17" s="212" t="s">
        <v>41</v>
      </c>
      <c r="C17" s="212"/>
      <c r="D17" s="212"/>
      <c r="E17" s="98" t="s">
        <v>19</v>
      </c>
      <c r="F17" s="98"/>
      <c r="G17" s="98"/>
      <c r="H17" s="7"/>
      <c r="I17" s="7"/>
      <c r="J17" s="8"/>
      <c r="K17" s="12"/>
    </row>
    <row r="18" spans="1:11" ht="15.75" x14ac:dyDescent="0.25">
      <c r="A18" s="7"/>
      <c r="B18" s="98"/>
      <c r="C18" s="98"/>
      <c r="D18" s="98"/>
      <c r="E18" s="98"/>
      <c r="F18" s="98"/>
      <c r="G18" s="98"/>
      <c r="H18" s="7"/>
    </row>
    <row r="19" spans="1:11" ht="15.75" x14ac:dyDescent="0.25">
      <c r="A19" s="7"/>
      <c r="B19" s="216" t="s">
        <v>20</v>
      </c>
      <c r="C19" s="216"/>
      <c r="D19" s="216"/>
      <c r="E19" s="98"/>
      <c r="F19" s="7" t="s">
        <v>21</v>
      </c>
      <c r="G19" s="254"/>
      <c r="H19" s="254"/>
    </row>
    <row r="20" spans="1:11" ht="15.75" x14ac:dyDescent="0.25">
      <c r="A20" s="7"/>
      <c r="B20" s="7"/>
      <c r="C20" s="7"/>
      <c r="D20" s="7"/>
      <c r="E20" s="7"/>
      <c r="F20" s="7"/>
      <c r="G20" s="7"/>
      <c r="H20" s="7"/>
    </row>
    <row r="21" spans="1:11" ht="15.75" x14ac:dyDescent="0.25">
      <c r="A21" s="7" t="s">
        <v>11</v>
      </c>
      <c r="B21" s="212" t="s">
        <v>23</v>
      </c>
      <c r="C21" s="212"/>
      <c r="D21" s="212"/>
      <c r="E21" s="212"/>
      <c r="F21" s="7"/>
      <c r="G21" s="7"/>
      <c r="H21" s="7"/>
    </row>
    <row r="22" spans="1:11" ht="15.75" x14ac:dyDescent="0.25">
      <c r="A22" s="7"/>
      <c r="B22" s="216" t="s">
        <v>24</v>
      </c>
      <c r="C22" s="216"/>
      <c r="D22" s="216"/>
      <c r="E22" s="216"/>
      <c r="F22" s="26">
        <f>$E$15</f>
        <v>100000</v>
      </c>
      <c r="G22" s="7"/>
      <c r="H22" s="7"/>
    </row>
    <row r="23" spans="1:11" ht="15.75" x14ac:dyDescent="0.25">
      <c r="A23" s="7"/>
      <c r="B23" s="98"/>
      <c r="C23" s="98"/>
      <c r="D23" s="98"/>
      <c r="E23" s="98"/>
      <c r="F23" s="15"/>
      <c r="G23" s="7"/>
      <c r="H23" s="7"/>
    </row>
    <row r="24" spans="1:11" ht="15.75" x14ac:dyDescent="0.25">
      <c r="A24" s="7"/>
      <c r="B24" s="216" t="s">
        <v>25</v>
      </c>
      <c r="C24" s="216"/>
      <c r="D24" s="216"/>
      <c r="E24" s="216"/>
      <c r="F24" s="7" t="s">
        <v>21</v>
      </c>
      <c r="G24" s="216"/>
      <c r="H24" s="216"/>
    </row>
    <row r="25" spans="1:11" ht="15.75" x14ac:dyDescent="0.25">
      <c r="A25" s="7"/>
      <c r="B25" s="7"/>
      <c r="C25" s="7"/>
      <c r="D25" s="7"/>
      <c r="E25" s="7"/>
      <c r="F25" s="7"/>
      <c r="G25" s="7"/>
      <c r="H25" s="7"/>
    </row>
    <row r="26" spans="1:11" ht="15.75" x14ac:dyDescent="0.25">
      <c r="A26" s="7" t="s">
        <v>12</v>
      </c>
      <c r="B26" s="212" t="s">
        <v>27</v>
      </c>
      <c r="C26" s="212"/>
      <c r="D26" s="212"/>
      <c r="E26" s="212"/>
      <c r="F26" s="7"/>
      <c r="G26" s="7"/>
      <c r="H26" s="7"/>
    </row>
    <row r="27" spans="1:11" ht="15.75" x14ac:dyDescent="0.25">
      <c r="A27" s="7"/>
      <c r="B27" s="216" t="s">
        <v>28</v>
      </c>
      <c r="C27" s="216"/>
      <c r="D27" s="216"/>
      <c r="E27" s="216"/>
      <c r="F27" s="26">
        <f>$E$15</f>
        <v>100000</v>
      </c>
      <c r="G27" s="7"/>
      <c r="H27" s="7"/>
    </row>
    <row r="28" spans="1:11" ht="15.75" x14ac:dyDescent="0.25">
      <c r="A28" s="7"/>
      <c r="B28" s="7"/>
      <c r="C28" s="7"/>
      <c r="D28" s="7"/>
      <c r="E28" s="7"/>
      <c r="F28" s="7"/>
      <c r="G28" s="7"/>
      <c r="H28" s="7"/>
    </row>
    <row r="29" spans="1:11" ht="15.75" x14ac:dyDescent="0.25">
      <c r="A29" s="7"/>
      <c r="B29" s="7" t="s">
        <v>29</v>
      </c>
      <c r="C29" s="216"/>
      <c r="D29" s="216"/>
      <c r="E29" s="216"/>
      <c r="F29" s="7" t="s">
        <v>21</v>
      </c>
      <c r="G29" s="216"/>
      <c r="H29" s="216"/>
    </row>
  </sheetData>
  <sheetProtection password="E9BA" sheet="1" objects="1" scenarios="1" formatCells="0" formatColumns="0" formatRows="0" insertRows="0" deleteColumns="0" deleteRows="0"/>
  <mergeCells count="20">
    <mergeCell ref="C5:E5"/>
    <mergeCell ref="C2:E2"/>
    <mergeCell ref="G2:H2"/>
    <mergeCell ref="J2:K2"/>
    <mergeCell ref="C4:E4"/>
    <mergeCell ref="G4:H4"/>
    <mergeCell ref="B7:C7"/>
    <mergeCell ref="C29:E29"/>
    <mergeCell ref="G29:H29"/>
    <mergeCell ref="B15:D15"/>
    <mergeCell ref="B17:D17"/>
    <mergeCell ref="B19:D19"/>
    <mergeCell ref="G19:H19"/>
    <mergeCell ref="B21:E21"/>
    <mergeCell ref="B22:E22"/>
    <mergeCell ref="B24:C24"/>
    <mergeCell ref="D24:E24"/>
    <mergeCell ref="G24:H24"/>
    <mergeCell ref="B26:E26"/>
    <mergeCell ref="B27:E27"/>
  </mergeCells>
  <dataValidations count="3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type="list" allowBlank="1" showInputMessage="1" showErrorMessage="1" sqref="H5">
      <formula1>"2009/2010,2010/2011,2011/2012"</formula1>
    </dataValidation>
    <dataValidation type="list" allowBlank="1" showInputMessage="1" showErrorMessage="1" sqref="F5">
      <formula1>$B$2:$B$13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Postgraduate Supervision Allowance
Claim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allowBlank="1" showInputMessage="1" showErrorMessage="1">
          <x14:formula1>
            <xm:f>Info_Lists!$B$2:$B$7</xm:f>
          </x14:formula1>
          <xm:sqref>J4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J2:K2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O116"/>
  <sheetViews>
    <sheetView zoomScale="130" zoomScaleNormal="130" workbookViewId="0">
      <selection activeCell="B10" sqref="B10"/>
    </sheetView>
  </sheetViews>
  <sheetFormatPr defaultRowHeight="15" x14ac:dyDescent="0.25"/>
  <cols>
    <col min="1" max="1" width="3" style="2" bestFit="1" customWidth="1"/>
    <col min="2" max="2" width="13" style="2" customWidth="1"/>
    <col min="3" max="3" width="21.7109375" style="2" customWidth="1"/>
    <col min="4" max="4" width="7.7109375" style="2" bestFit="1" customWidth="1"/>
    <col min="5" max="5" width="18.42578125" style="2" customWidth="1"/>
    <col min="6" max="6" width="18.42578125" style="2" bestFit="1" customWidth="1"/>
    <col min="7" max="7" width="16.85546875" style="2" bestFit="1" customWidth="1"/>
    <col min="8" max="8" width="10.5703125" style="2" customWidth="1"/>
    <col min="9" max="9" width="11" style="3" bestFit="1" customWidth="1"/>
    <col min="10" max="10" width="9.85546875" style="2" customWidth="1"/>
    <col min="11" max="11" width="10" style="4" customWidth="1"/>
    <col min="12" max="16384" width="9.140625" style="2"/>
  </cols>
  <sheetData>
    <row r="1" spans="1:15" x14ac:dyDescent="0.25">
      <c r="A1" s="21" t="s">
        <v>0</v>
      </c>
      <c r="B1" s="225" t="s">
        <v>1</v>
      </c>
      <c r="C1" s="225"/>
      <c r="H1" s="3"/>
      <c r="I1" s="2"/>
      <c r="J1" s="4"/>
      <c r="K1" s="2"/>
    </row>
    <row r="2" spans="1:15" ht="15.75" x14ac:dyDescent="0.25">
      <c r="B2" s="16" t="s">
        <v>2</v>
      </c>
      <c r="C2" s="223" t="s">
        <v>393</v>
      </c>
      <c r="D2" s="214"/>
      <c r="E2" s="214"/>
      <c r="F2" s="16" t="s">
        <v>3</v>
      </c>
      <c r="G2" s="100" t="str">
        <f>IF(LOOKUP($C$2,Staff_List!$A$4:$A$53,Staff_List!$B$4:$B$53)="","",LOOKUP($C$2,Staff_List!$A$4:$A$53,Staff_List!$B$4:$B$53))</f>
        <v>A7581</v>
      </c>
      <c r="H2" s="16" t="s">
        <v>4</v>
      </c>
      <c r="I2" s="224" t="s">
        <v>103</v>
      </c>
      <c r="J2" s="224"/>
      <c r="K2" s="45"/>
      <c r="L2" s="5"/>
      <c r="M2" s="5"/>
      <c r="N2" s="6"/>
      <c r="O2" s="6"/>
    </row>
    <row r="3" spans="1:15" x14ac:dyDescent="0.25">
      <c r="G3" s="3"/>
      <c r="I3" s="2"/>
      <c r="J3" s="44"/>
      <c r="K3" s="44"/>
    </row>
    <row r="4" spans="1:15" x14ac:dyDescent="0.25">
      <c r="B4" s="16" t="s">
        <v>35</v>
      </c>
      <c r="C4" s="224" t="s">
        <v>146</v>
      </c>
      <c r="D4" s="224"/>
      <c r="E4" s="224"/>
      <c r="F4" s="16" t="s">
        <v>5</v>
      </c>
      <c r="G4" s="99" t="s">
        <v>488</v>
      </c>
      <c r="H4" s="16" t="s">
        <v>6</v>
      </c>
      <c r="I4" s="76" t="s">
        <v>313</v>
      </c>
      <c r="J4" s="101"/>
      <c r="K4" s="45"/>
      <c r="L4" s="5"/>
      <c r="M4" s="6"/>
      <c r="N4" s="6"/>
    </row>
    <row r="5" spans="1:15" customFormat="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</row>
    <row r="6" spans="1:15" x14ac:dyDescent="0.25">
      <c r="K6" s="44"/>
    </row>
    <row r="7" spans="1:15" ht="15.75" x14ac:dyDescent="0.25">
      <c r="A7" s="22" t="s">
        <v>7</v>
      </c>
      <c r="B7" s="211" t="s">
        <v>8</v>
      </c>
      <c r="C7" s="211"/>
      <c r="D7" s="22"/>
      <c r="E7" s="22"/>
      <c r="F7" s="22"/>
      <c r="G7" s="22"/>
      <c r="H7" s="22"/>
      <c r="I7" s="141"/>
      <c r="J7" s="7"/>
      <c r="K7" s="2"/>
    </row>
    <row r="8" spans="1:15" ht="50.25" customHeight="1" x14ac:dyDescent="0.25">
      <c r="A8" s="21"/>
      <c r="B8" s="18" t="str">
        <f>IF($I$2="Library","","Course Code")</f>
        <v>Course Code</v>
      </c>
      <c r="C8" s="18" t="str">
        <f>IF($I$2="Library","Credit Unit (hrs)        (a)","Credit weight     (a)")</f>
        <v>Credit weight     (a)</v>
      </c>
      <c r="D8" s="18" t="str">
        <f>IF($I$2="Library","Students Enrolment  (b)","Students Enrolment              (b)")</f>
        <v>Students Enrolment              (b)</v>
      </c>
      <c r="E8" s="18" t="str">
        <f>IF($I$2="Library","No. of Librarians Available               (n)","No. of Lecturer     (n)")</f>
        <v>No. of Lecturer     (n)</v>
      </c>
      <c r="F8" s="18" t="str">
        <f>IF($I$2="Library","Librarians Required     (r)","Ratio of Teaching            (r) ")</f>
        <v xml:space="preserve">Ratio of Teaching            (r) </v>
      </c>
      <c r="G8" s="18" t="str">
        <f>IF($I$2="Library","Librarians Load      M = r - n","Students Load          M = b x r")</f>
        <v>Students Load          M = b x r</v>
      </c>
      <c r="H8" s="18" t="str">
        <f>IF($I$2="Library","Excess Workload Units","Credits Load          H = a x L")</f>
        <v>Credits Load          H = a x L</v>
      </c>
      <c r="I8" s="9"/>
      <c r="J8" s="10"/>
      <c r="K8" s="2"/>
    </row>
    <row r="9" spans="1:15" ht="15.75" customHeight="1" x14ac:dyDescent="0.25">
      <c r="B9" s="208" t="s">
        <v>452</v>
      </c>
      <c r="C9" s="17">
        <f>IF($B9="","",IF($I$4="2008/2009",VLOOKUP($B9,Courses_List!$A$3:$T$102,2,FALSE),IF($I$4="2009/2010",VLOOKUP($B9,Courses_List!$E$3:$F$102,2,FALSE),IF($I$4="2010/2011",VLOOKUP($B9,Courses_List!$I$3:$J$102,2,FALSE),IF($I$4="2011/2012",VLOOKUP($B9,Courses_List!$M$3:$N$102,2,FALSE),IF($I$4="2012/2013",VLOOKUP($B9,Courses_List!$Q$3:$R$102,2,FALSE),"INVALID"))))))</f>
        <v>2</v>
      </c>
      <c r="D9" s="17">
        <f>IF($B9="","",IF($I$4="2008/2009",VLOOKUP($B9,Courses_List!$A$3:$C$102,3,FALSE),IF($I$4="2009/2010",VLOOKUP($B9,Courses_List!$E$3:$G$102,3,FALSE),IF($I$4="2010/2011",VLOOKUP($B9,Courses_List!$I$3:$K$102,3,FALSE),IF($I$4="2011/2012",VLOOKUP($B9,Courses_List!$M$3:$O$102,3,FALSE),IF($I$4="2012/2013",VLOOKUP($B9,Courses_List!$Q$3:$S$102,3,FALSE),"INVALID"))))))</f>
        <v>87</v>
      </c>
      <c r="E9" s="17">
        <f>IF($B9="","",IF($I$4="2008/2009",VLOOKUP($B9,Courses_List!$A$3:$D$102,4,FALSE),IF($I$4="2009/2010",VLOOKUP($B9,Courses_List!$E$3:$H$102,4,FALSE),IF($I$4="2010/2011",VLOOKUP($B9,Courses_List!$I$3:$L$102,4,FALSE),IF($I$4="2011/2012",VLOOKUP($B9,Courses_List!$M$3:$P$102,4,FALSE),IF($I$4="2012/2013",VLOOKUP($B9,Courses_List!$Q$3:$T$102,4,FALSE),"INVALID"))))))</f>
        <v>1</v>
      </c>
      <c r="F9" s="78">
        <f>IF($E9="","",1/$E9)</f>
        <v>1</v>
      </c>
      <c r="G9" s="78">
        <f>IF(OR($D9="",$E9="",$F9=""),"",$D9*$F9)</f>
        <v>87</v>
      </c>
      <c r="H9" s="17">
        <f>IF(OR($B9="",$C9=""),"",MID($B9,4,1)*$C9)</f>
        <v>10</v>
      </c>
      <c r="I9" s="8"/>
      <c r="J9" s="12"/>
      <c r="K9" s="2"/>
    </row>
    <row r="10" spans="1:15" ht="15.75" x14ac:dyDescent="0.25">
      <c r="B10" s="208" t="s">
        <v>451</v>
      </c>
      <c r="C10" s="17">
        <f>IF($B10="","",IF($I$4="2008/2009",VLOOKUP($B10,Courses_List!$A$3:$T$102,2,FALSE),IF($I$4="2009/2010",VLOOKUP($B10,Courses_List!$E$3:$F$102,2,FALSE),IF($I$4="2010/2011",VLOOKUP($B10,Courses_List!$I$3:$J$102,2,FALSE),IF($I$4="2011/2012",VLOOKUP($B10,Courses_List!$M$3:$N$102,2,FALSE),IF($I$4="2012/2013",VLOOKUP($B10,Courses_List!$Q$3:$R$102,2,FALSE),"INVALID"))))))</f>
        <v>2</v>
      </c>
      <c r="D10" s="17">
        <f>IF($B10="","",IF($I$4="2008/2009",VLOOKUP($B10,Courses_List!$A$3:$C$102,3,FALSE),IF($I$4="2009/2010",VLOOKUP($B10,Courses_List!$E$3:$G$102,3,FALSE),IF($I$4="2010/2011",VLOOKUP($B10,Courses_List!$I$3:$K$102,3,FALSE),IF($I$4="2011/2012",VLOOKUP($B10,Courses_List!$M$3:$O$102,3,FALSE),IF($I$4="2012/2013",VLOOKUP($B10,Courses_List!$Q$3:$S$102,3,FALSE),"INVALID"))))))</f>
        <v>83</v>
      </c>
      <c r="E10" s="17">
        <f>IF($B10="","",IF($I$4="2008/2009",VLOOKUP($B10,Courses_List!$A$3:$D$102,4,FALSE),IF($I$4="2009/2010",VLOOKUP($B10,Courses_List!$E$3:$H$102,4,FALSE),IF($I$4="2010/2011",VLOOKUP($B10,Courses_List!$I$3:$L$102,4,FALSE),IF($I$4="2011/2012",VLOOKUP($B10,Courses_List!$M$3:$P$102,4,FALSE),IF($I$4="2012/2013",VLOOKUP($B10,Courses_List!$Q$3:$T$102,4,FALSE),"INVALID"))))))</f>
        <v>1</v>
      </c>
      <c r="F10" s="78">
        <f t="shared" ref="F10:F28" si="0">IF($E10="","",1/$E10)</f>
        <v>1</v>
      </c>
      <c r="G10" s="78">
        <f t="shared" ref="G10:G28" si="1">IF(OR($D10="",$E10="",$F10=""),"",$D10*$F10)</f>
        <v>83</v>
      </c>
      <c r="H10" s="17">
        <f t="shared" ref="H10:H28" si="2">IF(OR($B10="",$C10=""),"",MID($B10,4,1)*$C10)</f>
        <v>10</v>
      </c>
      <c r="I10" s="8"/>
      <c r="J10" s="12"/>
      <c r="K10" s="2"/>
    </row>
    <row r="11" spans="1:15" ht="15.75" x14ac:dyDescent="0.25">
      <c r="B11" s="77"/>
      <c r="C11" s="17" t="str">
        <f>IF($B11="","",IF($I$4="2008/2009",VLOOKUP($B11,Courses_List!$A$3:$T$102,2,FALSE),IF($I$4="2009/2010",VLOOKUP($B11,Courses_List!$E$3:$F$102,2,FALSE),IF($I$4="2010/2011",VLOOKUP($B11,Courses_List!$I$3:$J$102,2,FALSE),IF($I$4="2011/2012",VLOOKUP($B11,Courses_List!$M$3:$N$102,2,FALSE),IF($I$4="2012/2013",VLOOKUP($B11,Courses_List!$Q$3:$R$102,2,FALSE),"INVALID"))))))</f>
        <v/>
      </c>
      <c r="D11" s="17" t="str">
        <f>IF($B11="","",IF($I$4="2008/2009",VLOOKUP($B11,Courses_List!$A$3:$C$102,3,FALSE),IF($I$4="2009/2010",VLOOKUP($B11,Courses_List!$E$3:$G$102,3,FALSE),IF($I$4="2010/2011",VLOOKUP($B11,Courses_List!$I$3:$K$102,3,FALSE),IF($I$4="2011/2012",VLOOKUP($B11,Courses_List!$M$3:$O$102,3,FALSE),IF($I$4="2012/2013",VLOOKUP($B11,Courses_List!$Q$3:$S$102,3,FALSE),"INVALID"))))))</f>
        <v/>
      </c>
      <c r="E11" s="17" t="str">
        <f>IF($B11="","",IF($I$4="2008/2009",VLOOKUP($B11,Courses_List!$A$3:$D$102,4,FALSE),IF($I$4="2009/2010",VLOOKUP($B11,Courses_List!$E$3:$H$102,4,FALSE),IF($I$4="2010/2011",VLOOKUP($B11,Courses_List!$I$3:$L$102,4,FALSE),IF($I$4="2011/2012",VLOOKUP($B11,Courses_List!$M$3:$P$102,4,FALSE),IF($I$4="2012/2013",VLOOKUP($B11,Courses_List!$Q$3:$T$102,4,FALSE),"INVALID"))))))</f>
        <v/>
      </c>
      <c r="F11" s="78" t="str">
        <f t="shared" si="0"/>
        <v/>
      </c>
      <c r="G11" s="78" t="str">
        <f t="shared" si="1"/>
        <v/>
      </c>
      <c r="H11" s="17" t="str">
        <f t="shared" si="2"/>
        <v/>
      </c>
      <c r="I11" s="8"/>
      <c r="J11" s="12"/>
      <c r="K11" s="2"/>
    </row>
    <row r="12" spans="1:15" ht="15.75" x14ac:dyDescent="0.25">
      <c r="B12" s="77"/>
      <c r="C12" s="17" t="str">
        <f>IF($B12="","",IF($I$4="2008/2009",VLOOKUP($B12,Courses_List!$A$3:$T$102,2,FALSE),IF($I$4="2009/2010",VLOOKUP($B12,Courses_List!$E$3:$F$102,2,FALSE),IF($I$4="2010/2011",VLOOKUP($B12,Courses_List!$I$3:$J$102,2,FALSE),IF($I$4="2011/2012",VLOOKUP($B12,Courses_List!$M$3:$N$102,2,FALSE),IF($I$4="2012/2013",VLOOKUP($B12,Courses_List!$Q$3:$R$102,2,FALSE),"INVALID"))))))</f>
        <v/>
      </c>
      <c r="D12" s="17" t="str">
        <f>IF($B12="","",IF($I$4="2008/2009",VLOOKUP($B12,Courses_List!$A$3:$C$102,3,FALSE),IF($I$4="2009/2010",VLOOKUP($B12,Courses_List!$E$3:$G$102,3,FALSE),IF($I$4="2010/2011",VLOOKUP($B12,Courses_List!$I$3:$K$102,3,FALSE),IF($I$4="2011/2012",VLOOKUP($B12,Courses_List!$M$3:$O$102,3,FALSE),IF($I$4="2012/2013",VLOOKUP($B12,Courses_List!$Q$3:$S$102,3,FALSE),"INVALID"))))))</f>
        <v/>
      </c>
      <c r="E12" s="17" t="str">
        <f>IF($B12="","",IF($I$4="2008/2009",VLOOKUP($B12,Courses_List!$A$3:$D$102,4,FALSE),IF($I$4="2009/2010",VLOOKUP($B12,Courses_List!$E$3:$H$102,4,FALSE),IF($I$4="2010/2011",VLOOKUP($B12,Courses_List!$I$3:$L$102,4,FALSE),IF($I$4="2011/2012",VLOOKUP($B12,Courses_List!$M$3:$P$102,4,FALSE),IF($I$4="2012/2013",VLOOKUP($B12,Courses_List!$Q$3:$T$102,4,FALSE),"INVALID"))))))</f>
        <v/>
      </c>
      <c r="F12" s="78" t="str">
        <f t="shared" si="0"/>
        <v/>
      </c>
      <c r="G12" s="78" t="str">
        <f t="shared" si="1"/>
        <v/>
      </c>
      <c r="H12" s="17" t="str">
        <f t="shared" si="2"/>
        <v/>
      </c>
      <c r="I12" s="8"/>
      <c r="J12" s="12"/>
      <c r="K12" s="2"/>
    </row>
    <row r="13" spans="1:15" ht="15.75" x14ac:dyDescent="0.25">
      <c r="B13" s="77"/>
      <c r="C13" s="17" t="str">
        <f>IF($B13="","",IF($I$4="2008/2009",VLOOKUP($B13,Courses_List!$A$3:$T$102,2,FALSE),IF($I$4="2009/2010",VLOOKUP($B13,Courses_List!$E$3:$F$102,2,FALSE),IF($I$4="2010/2011",VLOOKUP($B13,Courses_List!$I$3:$J$102,2,FALSE),IF($I$4="2011/2012",VLOOKUP($B13,Courses_List!$M$3:$N$102,2,FALSE),IF($I$4="2012/2013",VLOOKUP($B13,Courses_List!$Q$3:$R$102,2,FALSE),"INVALID"))))))</f>
        <v/>
      </c>
      <c r="D13" s="17" t="str">
        <f>IF($B13="","",IF($I$4="2008/2009",VLOOKUP($B13,Courses_List!$A$3:$C$102,3,FALSE),IF($I$4="2009/2010",VLOOKUP($B13,Courses_List!$E$3:$G$102,3,FALSE),IF($I$4="2010/2011",VLOOKUP($B13,Courses_List!$I$3:$K$102,3,FALSE),IF($I$4="2011/2012",VLOOKUP($B13,Courses_List!$M$3:$O$102,3,FALSE),IF($I$4="2012/2013",VLOOKUP($B13,Courses_List!$Q$3:$S$102,3,FALSE),"INVALID"))))))</f>
        <v/>
      </c>
      <c r="E13" s="17" t="str">
        <f>IF($B13="","",IF($I$4="2008/2009",VLOOKUP($B13,Courses_List!$A$3:$D$102,4,FALSE),IF($I$4="2009/2010",VLOOKUP($B13,Courses_List!$E$3:$H$102,4,FALSE),IF($I$4="2010/2011",VLOOKUP($B13,Courses_List!$I$3:$L$102,4,FALSE),IF($I$4="2011/2012",VLOOKUP($B13,Courses_List!$M$3:$P$102,4,FALSE),IF($I$4="2012/2013",VLOOKUP($B13,Courses_List!$Q$3:$T$102,4,FALSE),"INVALID"))))))</f>
        <v/>
      </c>
      <c r="F13" s="78" t="str">
        <f t="shared" si="0"/>
        <v/>
      </c>
      <c r="G13" s="78" t="str">
        <f t="shared" si="1"/>
        <v/>
      </c>
      <c r="H13" s="17" t="str">
        <f t="shared" si="2"/>
        <v/>
      </c>
      <c r="I13" s="8"/>
      <c r="J13" s="12"/>
      <c r="K13" s="2"/>
    </row>
    <row r="14" spans="1:15" ht="15.75" x14ac:dyDescent="0.25">
      <c r="B14" s="77"/>
      <c r="C14" s="17" t="str">
        <f>IF($B14="","",IF($I$4="2008/2009",VLOOKUP($B14,Courses_List!$A$3:$T$102,2,FALSE),IF($I$4="2009/2010",VLOOKUP($B14,Courses_List!$E$3:$F$102,2,FALSE),IF($I$4="2010/2011",VLOOKUP($B14,Courses_List!$I$3:$J$102,2,FALSE),IF($I$4="2011/2012",VLOOKUP($B14,Courses_List!$M$3:$N$102,2,FALSE),IF($I$4="2012/2013",VLOOKUP($B14,Courses_List!$Q$3:$R$102,2,FALSE),"INVALID"))))))</f>
        <v/>
      </c>
      <c r="D14" s="17" t="str">
        <f>IF($B14="","",IF($I$4="2008/2009",VLOOKUP($B14,Courses_List!$A$3:$C$102,3,FALSE),IF($I$4="2009/2010",VLOOKUP($B14,Courses_List!$E$3:$G$102,3,FALSE),IF($I$4="2010/2011",VLOOKUP($B14,Courses_List!$I$3:$K$102,3,FALSE),IF($I$4="2011/2012",VLOOKUP($B14,Courses_List!$M$3:$O$102,3,FALSE),IF($I$4="2012/2013",VLOOKUP($B14,Courses_List!$Q$3:$S$102,3,FALSE),"INVALID"))))))</f>
        <v/>
      </c>
      <c r="E14" s="17" t="str">
        <f>IF($B14="","",IF($I$4="2008/2009",VLOOKUP($B14,Courses_List!$A$3:$D$102,4,FALSE),IF($I$4="2009/2010",VLOOKUP($B14,Courses_List!$E$3:$H$102,4,FALSE),IF($I$4="2010/2011",VLOOKUP($B14,Courses_List!$I$3:$L$102,4,FALSE),IF($I$4="2011/2012",VLOOKUP($B14,Courses_List!$M$3:$P$102,4,FALSE),IF($I$4="2012/2013",VLOOKUP($B14,Courses_List!$Q$3:$T$102,4,FALSE),"INVALID"))))))</f>
        <v/>
      </c>
      <c r="F14" s="78" t="str">
        <f t="shared" si="0"/>
        <v/>
      </c>
      <c r="G14" s="78" t="str">
        <f t="shared" si="1"/>
        <v/>
      </c>
      <c r="H14" s="17" t="str">
        <f t="shared" si="2"/>
        <v/>
      </c>
      <c r="I14" s="8"/>
      <c r="J14" s="12"/>
      <c r="K14" s="2"/>
    </row>
    <row r="15" spans="1:15" ht="15.75" x14ac:dyDescent="0.25">
      <c r="B15" s="77"/>
      <c r="C15" s="17" t="str">
        <f>IF($B15="","",IF($I$4="2008/2009",VLOOKUP($B15,Courses_List!$A$3:$T$102,2,FALSE),IF($I$4="2009/2010",VLOOKUP($B15,Courses_List!$E$3:$F$102,2,FALSE),IF($I$4="2010/2011",VLOOKUP($B15,Courses_List!$I$3:$J$102,2,FALSE),IF($I$4="2011/2012",VLOOKUP($B15,Courses_List!$M$3:$N$102,2,FALSE),IF($I$4="2012/2013",VLOOKUP($B15,Courses_List!$Q$3:$R$102,2,FALSE),"INVALID"))))))</f>
        <v/>
      </c>
      <c r="D15" s="17" t="str">
        <f>IF($B15="","",IF($I$4="2008/2009",VLOOKUP($B15,Courses_List!$A$3:$C$102,3,FALSE),IF($I$4="2009/2010",VLOOKUP($B15,Courses_List!$E$3:$G$102,3,FALSE),IF($I$4="2010/2011",VLOOKUP($B15,Courses_List!$I$3:$K$102,3,FALSE),IF($I$4="2011/2012",VLOOKUP($B15,Courses_List!$M$3:$O$102,3,FALSE),IF($I$4="2012/2013",VLOOKUP($B15,Courses_List!$Q$3:$S$102,3,FALSE),"INVALID"))))))</f>
        <v/>
      </c>
      <c r="E15" s="17" t="str">
        <f>IF($B15="","",IF($I$4="2008/2009",VLOOKUP($B15,Courses_List!$A$3:$D$102,4,FALSE),IF($I$4="2009/2010",VLOOKUP($B15,Courses_List!$E$3:$H$102,4,FALSE),IF($I$4="2010/2011",VLOOKUP($B15,Courses_List!$I$3:$L$102,4,FALSE),IF($I$4="2011/2012",VLOOKUP($B15,Courses_List!$M$3:$P$102,4,FALSE),IF($I$4="2012/2013",VLOOKUP($B15,Courses_List!$Q$3:$T$102,4,FALSE),"INVALID"))))))</f>
        <v/>
      </c>
      <c r="F15" s="78" t="str">
        <f t="shared" si="0"/>
        <v/>
      </c>
      <c r="G15" s="78" t="str">
        <f t="shared" si="1"/>
        <v/>
      </c>
      <c r="H15" s="17" t="str">
        <f t="shared" si="2"/>
        <v/>
      </c>
      <c r="I15" s="8"/>
      <c r="J15" s="12"/>
      <c r="K15" s="2"/>
    </row>
    <row r="16" spans="1:15" ht="15.75" x14ac:dyDescent="0.25">
      <c r="B16" s="77"/>
      <c r="C16" s="17" t="str">
        <f>IF($B16="","",IF($I$4="2008/2009",VLOOKUP($B16,Courses_List!$A$3:$T$102,2,FALSE),IF($I$4="2009/2010",VLOOKUP($B16,Courses_List!$E$3:$F$102,2,FALSE),IF($I$4="2010/2011",VLOOKUP($B16,Courses_List!$I$3:$J$102,2,FALSE),IF($I$4="2011/2012",VLOOKUP($B16,Courses_List!$M$3:$N$102,2,FALSE),IF($I$4="2012/2013",VLOOKUP($B16,Courses_List!$Q$3:$R$102,2,FALSE),"INVALID"))))))</f>
        <v/>
      </c>
      <c r="D16" s="17" t="str">
        <f>IF($B16="","",IF($I$4="2008/2009",VLOOKUP($B16,Courses_List!$A$3:$C$102,3,FALSE),IF($I$4="2009/2010",VLOOKUP($B16,Courses_List!$E$3:$G$102,3,FALSE),IF($I$4="2010/2011",VLOOKUP($B16,Courses_List!$I$3:$K$102,3,FALSE),IF($I$4="2011/2012",VLOOKUP($B16,Courses_List!$M$3:$O$102,3,FALSE),IF($I$4="2012/2013",VLOOKUP($B16,Courses_List!$Q$3:$S$102,3,FALSE),"INVALID"))))))</f>
        <v/>
      </c>
      <c r="E16" s="17" t="str">
        <f>IF($B16="","",IF($I$4="2008/2009",VLOOKUP($B16,Courses_List!$A$3:$D$102,4,FALSE),IF($I$4="2009/2010",VLOOKUP($B16,Courses_List!$E$3:$H$102,4,FALSE),IF($I$4="2010/2011",VLOOKUP($B16,Courses_List!$I$3:$L$102,4,FALSE),IF($I$4="2011/2012",VLOOKUP($B16,Courses_List!$M$3:$P$102,4,FALSE),IF($I$4="2012/2013",VLOOKUP($B16,Courses_List!$Q$3:$T$102,4,FALSE),"INVALID"))))))</f>
        <v/>
      </c>
      <c r="F16" s="78" t="str">
        <f t="shared" si="0"/>
        <v/>
      </c>
      <c r="G16" s="78" t="str">
        <f t="shared" si="1"/>
        <v/>
      </c>
      <c r="H16" s="17" t="str">
        <f t="shared" si="2"/>
        <v/>
      </c>
      <c r="I16" s="8"/>
      <c r="J16" s="12"/>
      <c r="K16" s="2"/>
    </row>
    <row r="17" spans="2:11" ht="15.75" x14ac:dyDescent="0.25">
      <c r="B17" s="77"/>
      <c r="C17" s="17" t="str">
        <f>IF($B17="","",IF($I$4="2008/2009",VLOOKUP($B17,Courses_List!$A$3:$T$102,2,FALSE),IF($I$4="2009/2010",VLOOKUP($B17,Courses_List!$E$3:$F$102,2,FALSE),IF($I$4="2010/2011",VLOOKUP($B17,Courses_List!$I$3:$J$102,2,FALSE),IF($I$4="2011/2012",VLOOKUP($B17,Courses_List!$M$3:$N$102,2,FALSE),IF($I$4="2012/2013",VLOOKUP($B17,Courses_List!$Q$3:$R$102,2,FALSE),"INVALID"))))))</f>
        <v/>
      </c>
      <c r="D17" s="17" t="str">
        <f>IF($B17="","",IF($I$4="2008/2009",VLOOKUP($B17,Courses_List!$A$3:$C$102,3,FALSE),IF($I$4="2009/2010",VLOOKUP($B17,Courses_List!$E$3:$G$102,3,FALSE),IF($I$4="2010/2011",VLOOKUP($B17,Courses_List!$I$3:$K$102,3,FALSE),IF($I$4="2011/2012",VLOOKUP($B17,Courses_List!$M$3:$O$102,3,FALSE),IF($I$4="2012/2013",VLOOKUP($B17,Courses_List!$Q$3:$S$102,3,FALSE),"INVALID"))))))</f>
        <v/>
      </c>
      <c r="E17" s="17" t="str">
        <f>IF($B17="","",IF($I$4="2008/2009",VLOOKUP($B17,Courses_List!$A$3:$D$102,4,FALSE),IF($I$4="2009/2010",VLOOKUP($B17,Courses_List!$E$3:$H$102,4,FALSE),IF($I$4="2010/2011",VLOOKUP($B17,Courses_List!$I$3:$L$102,4,FALSE),IF($I$4="2011/2012",VLOOKUP($B17,Courses_List!$M$3:$P$102,4,FALSE),IF($I$4="2012/2013",VLOOKUP($B17,Courses_List!$Q$3:$T$102,4,FALSE),"INVALID"))))))</f>
        <v/>
      </c>
      <c r="F17" s="78" t="str">
        <f t="shared" si="0"/>
        <v/>
      </c>
      <c r="G17" s="78" t="str">
        <f t="shared" si="1"/>
        <v/>
      </c>
      <c r="H17" s="17" t="str">
        <f t="shared" si="2"/>
        <v/>
      </c>
      <c r="I17" s="8"/>
      <c r="J17" s="12"/>
      <c r="K17" s="2"/>
    </row>
    <row r="18" spans="2:11" ht="15.75" x14ac:dyDescent="0.25">
      <c r="B18" s="77"/>
      <c r="C18" s="17" t="str">
        <f>IF($B18="","",IF($I$4="2008/2009",VLOOKUP($B18,Courses_List!$A$3:$T$102,2,FALSE),IF($I$4="2009/2010",VLOOKUP($B18,Courses_List!$E$3:$F$102,2,FALSE),IF($I$4="2010/2011",VLOOKUP($B18,Courses_List!$I$3:$J$102,2,FALSE),IF($I$4="2011/2012",VLOOKUP($B18,Courses_List!$M$3:$N$102,2,FALSE),IF($I$4="2012/2013",VLOOKUP($B18,Courses_List!$Q$3:$R$102,2,FALSE),"INVALID"))))))</f>
        <v/>
      </c>
      <c r="D18" s="17" t="str">
        <f>IF($B18="","",IF($I$4="2008/2009",VLOOKUP($B18,Courses_List!$A$3:$C$102,3,FALSE),IF($I$4="2009/2010",VLOOKUP($B18,Courses_List!$E$3:$G$102,3,FALSE),IF($I$4="2010/2011",VLOOKUP($B18,Courses_List!$I$3:$K$102,3,FALSE),IF($I$4="2011/2012",VLOOKUP($B18,Courses_List!$M$3:$O$102,3,FALSE),IF($I$4="2012/2013",VLOOKUP($B18,Courses_List!$Q$3:$S$102,3,FALSE),"INVALID"))))))</f>
        <v/>
      </c>
      <c r="E18" s="17" t="str">
        <f>IF($B18="","",IF($I$4="2008/2009",VLOOKUP($B18,Courses_List!$A$3:$D$102,4,FALSE),IF($I$4="2009/2010",VLOOKUP($B18,Courses_List!$E$3:$H$102,4,FALSE),IF($I$4="2010/2011",VLOOKUP($B18,Courses_List!$I$3:$L$102,4,FALSE),IF($I$4="2011/2012",VLOOKUP($B18,Courses_List!$M$3:$P$102,4,FALSE),IF($I$4="2012/2013",VLOOKUP($B18,Courses_List!$Q$3:$T$102,4,FALSE),"INVALID"))))))</f>
        <v/>
      </c>
      <c r="F18" s="78" t="str">
        <f t="shared" si="0"/>
        <v/>
      </c>
      <c r="G18" s="78" t="str">
        <f t="shared" si="1"/>
        <v/>
      </c>
      <c r="H18" s="17" t="str">
        <f t="shared" si="2"/>
        <v/>
      </c>
      <c r="I18" s="8"/>
      <c r="J18" s="12"/>
      <c r="K18" s="2"/>
    </row>
    <row r="19" spans="2:11" ht="15.75" customHeight="1" x14ac:dyDescent="0.25">
      <c r="B19" s="77"/>
      <c r="C19" s="17" t="str">
        <f>IF($B19="","",IF($I$4="2008/2009",VLOOKUP($B19,Courses_List!$A$3:$T$102,2,FALSE),IF($I$4="2009/2010",VLOOKUP($B19,Courses_List!$E$3:$F$102,2,FALSE),IF($I$4="2010/2011",VLOOKUP($B19,Courses_List!$I$3:$J$102,2,FALSE),IF($I$4="2011/2012",VLOOKUP($B19,Courses_List!$M$3:$N$102,2,FALSE),IF($I$4="2012/2013",VLOOKUP($B19,Courses_List!$Q$3:$R$102,2,FALSE),"INVALID"))))))</f>
        <v/>
      </c>
      <c r="D19" s="17" t="str">
        <f>IF($B19="","",IF($I$4="2008/2009",VLOOKUP($B19,Courses_List!$A$3:$C$102,3,FALSE),IF($I$4="2009/2010",VLOOKUP($B19,Courses_List!$E$3:$G$102,3,FALSE),IF($I$4="2010/2011",VLOOKUP($B19,Courses_List!$I$3:$K$102,3,FALSE),IF($I$4="2011/2012",VLOOKUP($B19,Courses_List!$M$3:$O$102,3,FALSE),IF($I$4="2012/2013",VLOOKUP($B19,Courses_List!$Q$3:$S$102,3,FALSE),"INVALID"))))))</f>
        <v/>
      </c>
      <c r="E19" s="17" t="str">
        <f>IF($B19="","",IF($I$4="2008/2009",VLOOKUP($B19,Courses_List!$A$3:$D$102,4,FALSE),IF($I$4="2009/2010",VLOOKUP($B19,Courses_List!$E$3:$H$102,4,FALSE),IF($I$4="2010/2011",VLOOKUP($B19,Courses_List!$I$3:$L$102,4,FALSE),IF($I$4="2011/2012",VLOOKUP($B19,Courses_List!$M$3:$P$102,4,FALSE),IF($I$4="2012/2013",VLOOKUP($B19,Courses_List!$Q$3:$T$102,4,FALSE),"INVALID"))))))</f>
        <v/>
      </c>
      <c r="F19" s="78" t="str">
        <f t="shared" si="0"/>
        <v/>
      </c>
      <c r="G19" s="78" t="str">
        <f t="shared" si="1"/>
        <v/>
      </c>
      <c r="H19" s="17" t="str">
        <f t="shared" si="2"/>
        <v/>
      </c>
      <c r="I19" s="8"/>
      <c r="J19" s="12"/>
      <c r="K19" s="2"/>
    </row>
    <row r="20" spans="2:11" ht="15.75" x14ac:dyDescent="0.25">
      <c r="B20" s="77"/>
      <c r="C20" s="17" t="str">
        <f>IF($B20="","",IF($I$4="2008/2009",VLOOKUP($B20,Courses_List!$A$3:$T$102,2,FALSE),IF($I$4="2009/2010",VLOOKUP($B20,Courses_List!$E$3:$F$102,2,FALSE),IF($I$4="2010/2011",VLOOKUP($B20,Courses_List!$I$3:$J$102,2,FALSE),IF($I$4="2011/2012",VLOOKUP($B20,Courses_List!$M$3:$N$102,2,FALSE),IF($I$4="2012/2013",VLOOKUP($B20,Courses_List!$Q$3:$R$102,2,FALSE),"INVALID"))))))</f>
        <v/>
      </c>
      <c r="D20" s="17" t="str">
        <f>IF($B20="","",IF($I$4="2008/2009",VLOOKUP($B20,Courses_List!$A$3:$C$102,3,FALSE),IF($I$4="2009/2010",VLOOKUP($B20,Courses_List!$E$3:$G$102,3,FALSE),IF($I$4="2010/2011",VLOOKUP($B20,Courses_List!$I$3:$K$102,3,FALSE),IF($I$4="2011/2012",VLOOKUP($B20,Courses_List!$M$3:$O$102,3,FALSE),IF($I$4="2012/2013",VLOOKUP($B20,Courses_List!$Q$3:$S$102,3,FALSE),"INVALID"))))))</f>
        <v/>
      </c>
      <c r="E20" s="17" t="str">
        <f>IF($B20="","",IF($I$4="2008/2009",VLOOKUP($B20,Courses_List!$A$3:$D$102,4,FALSE),IF($I$4="2009/2010",VLOOKUP($B20,Courses_List!$E$3:$H$102,4,FALSE),IF($I$4="2010/2011",VLOOKUP($B20,Courses_List!$I$3:$L$102,4,FALSE),IF($I$4="2011/2012",VLOOKUP($B20,Courses_List!$M$3:$P$102,4,FALSE),IF($I$4="2012/2013",VLOOKUP($B20,Courses_List!$Q$3:$T$102,4,FALSE),"INVALID"))))))</f>
        <v/>
      </c>
      <c r="F20" s="78" t="str">
        <f t="shared" si="0"/>
        <v/>
      </c>
      <c r="G20" s="78" t="str">
        <f t="shared" si="1"/>
        <v/>
      </c>
      <c r="H20" s="17" t="str">
        <f t="shared" si="2"/>
        <v/>
      </c>
      <c r="I20" s="8"/>
      <c r="J20" s="12"/>
      <c r="K20" s="2"/>
    </row>
    <row r="21" spans="2:11" ht="15.75" x14ac:dyDescent="0.25">
      <c r="B21" s="77"/>
      <c r="C21" s="17" t="str">
        <f>IF($B21="","",IF($I$4="2008/2009",VLOOKUP($B21,Courses_List!$A$3:$T$102,2,FALSE),IF($I$4="2009/2010",VLOOKUP($B21,Courses_List!$E$3:$F$102,2,FALSE),IF($I$4="2010/2011",VLOOKUP($B21,Courses_List!$I$3:$J$102,2,FALSE),IF($I$4="2011/2012",VLOOKUP($B21,Courses_List!$M$3:$N$102,2,FALSE),IF($I$4="2012/2013",VLOOKUP($B21,Courses_List!$Q$3:$R$102,2,FALSE),"INVALID"))))))</f>
        <v/>
      </c>
      <c r="D21" s="17" t="str">
        <f>IF($B21="","",IF($I$4="2008/2009",VLOOKUP($B21,Courses_List!$A$3:$C$102,3,FALSE),IF($I$4="2009/2010",VLOOKUP($B21,Courses_List!$E$3:$G$102,3,FALSE),IF($I$4="2010/2011",VLOOKUP($B21,Courses_List!$I$3:$K$102,3,FALSE),IF($I$4="2011/2012",VLOOKUP($B21,Courses_List!$M$3:$O$102,3,FALSE),IF($I$4="2012/2013",VLOOKUP($B21,Courses_List!$Q$3:$S$102,3,FALSE),"INVALID"))))))</f>
        <v/>
      </c>
      <c r="E21" s="17" t="str">
        <f>IF($B21="","",IF($I$4="2008/2009",VLOOKUP($B21,Courses_List!$A$3:$D$102,4,FALSE),IF($I$4="2009/2010",VLOOKUP($B21,Courses_List!$E$3:$H$102,4,FALSE),IF($I$4="2010/2011",VLOOKUP($B21,Courses_List!$I$3:$L$102,4,FALSE),IF($I$4="2011/2012",VLOOKUP($B21,Courses_List!$M$3:$P$102,4,FALSE),IF($I$4="2012/2013",VLOOKUP($B21,Courses_List!$Q$3:$T$102,4,FALSE),"INVALID"))))))</f>
        <v/>
      </c>
      <c r="F21" s="78" t="str">
        <f t="shared" si="0"/>
        <v/>
      </c>
      <c r="G21" s="78" t="str">
        <f t="shared" si="1"/>
        <v/>
      </c>
      <c r="H21" s="17" t="str">
        <f t="shared" si="2"/>
        <v/>
      </c>
      <c r="I21" s="8"/>
      <c r="J21" s="12"/>
      <c r="K21" s="2"/>
    </row>
    <row r="22" spans="2:11" ht="15.75" x14ac:dyDescent="0.25">
      <c r="B22" s="77"/>
      <c r="C22" s="17" t="str">
        <f>IF($B22="","",IF($I$4="2008/2009",VLOOKUP($B22,Courses_List!$A$3:$T$102,2,FALSE),IF($I$4="2009/2010",VLOOKUP($B22,Courses_List!$E$3:$F$102,2,FALSE),IF($I$4="2010/2011",VLOOKUP($B22,Courses_List!$I$3:$J$102,2,FALSE),IF($I$4="2011/2012",VLOOKUP($B22,Courses_List!$M$3:$N$102,2,FALSE),IF($I$4="2012/2013",VLOOKUP($B22,Courses_List!$Q$3:$R$102,2,FALSE),"INVALID"))))))</f>
        <v/>
      </c>
      <c r="D22" s="17" t="str">
        <f>IF($B22="","",IF($I$4="2008/2009",VLOOKUP($B22,Courses_List!$A$3:$C$102,3,FALSE),IF($I$4="2009/2010",VLOOKUP($B22,Courses_List!$E$3:$G$102,3,FALSE),IF($I$4="2010/2011",VLOOKUP($B22,Courses_List!$I$3:$K$102,3,FALSE),IF($I$4="2011/2012",VLOOKUP($B22,Courses_List!$M$3:$O$102,3,FALSE),IF($I$4="2012/2013",VLOOKUP($B22,Courses_List!$Q$3:$S$102,3,FALSE),"INVALID"))))))</f>
        <v/>
      </c>
      <c r="E22" s="17" t="str">
        <f>IF($B22="","",IF($I$4="2008/2009",VLOOKUP($B22,Courses_List!$A$3:$D$102,4,FALSE),IF($I$4="2009/2010",VLOOKUP($B22,Courses_List!$E$3:$H$102,4,FALSE),IF($I$4="2010/2011",VLOOKUP($B22,Courses_List!$I$3:$L$102,4,FALSE),IF($I$4="2011/2012",VLOOKUP($B22,Courses_List!$M$3:$P$102,4,FALSE),IF($I$4="2012/2013",VLOOKUP($B22,Courses_List!$Q$3:$T$102,4,FALSE),"INVALID"))))))</f>
        <v/>
      </c>
      <c r="F22" s="78" t="str">
        <f t="shared" si="0"/>
        <v/>
      </c>
      <c r="G22" s="78" t="str">
        <f t="shared" si="1"/>
        <v/>
      </c>
      <c r="H22" s="17" t="str">
        <f t="shared" si="2"/>
        <v/>
      </c>
      <c r="I22" s="8"/>
      <c r="J22" s="12"/>
      <c r="K22" s="2"/>
    </row>
    <row r="23" spans="2:11" ht="15.75" x14ac:dyDescent="0.25">
      <c r="B23" s="77"/>
      <c r="C23" s="17" t="str">
        <f>IF($B23="","",IF($I$4="2008/2009",VLOOKUP($B23,Courses_List!$A$3:$T$102,2,FALSE),IF($I$4="2009/2010",VLOOKUP($B23,Courses_List!$E$3:$F$102,2,FALSE),IF($I$4="2010/2011",VLOOKUP($B23,Courses_List!$I$3:$J$102,2,FALSE),IF($I$4="2011/2012",VLOOKUP($B23,Courses_List!$M$3:$N$102,2,FALSE),IF($I$4="2012/2013",VLOOKUP($B23,Courses_List!$Q$3:$R$102,2,FALSE),"INVALID"))))))</f>
        <v/>
      </c>
      <c r="D23" s="17" t="str">
        <f>IF($B23="","",IF($I$4="2008/2009",VLOOKUP($B23,Courses_List!$A$3:$C$102,3,FALSE),IF($I$4="2009/2010",VLOOKUP($B23,Courses_List!$E$3:$G$102,3,FALSE),IF($I$4="2010/2011",VLOOKUP($B23,Courses_List!$I$3:$K$102,3,FALSE),IF($I$4="2011/2012",VLOOKUP($B23,Courses_List!$M$3:$O$102,3,FALSE),IF($I$4="2012/2013",VLOOKUP($B23,Courses_List!$Q$3:$S$102,3,FALSE),"INVALID"))))))</f>
        <v/>
      </c>
      <c r="E23" s="17" t="str">
        <f>IF($B23="","",IF($I$4="2008/2009",VLOOKUP($B23,Courses_List!$A$3:$D$102,4,FALSE),IF($I$4="2009/2010",VLOOKUP($B23,Courses_List!$E$3:$H$102,4,FALSE),IF($I$4="2010/2011",VLOOKUP($B23,Courses_List!$I$3:$L$102,4,FALSE),IF($I$4="2011/2012",VLOOKUP($B23,Courses_List!$M$3:$P$102,4,FALSE),IF($I$4="2012/2013",VLOOKUP($B23,Courses_List!$Q$3:$T$102,4,FALSE),"INVALID"))))))</f>
        <v/>
      </c>
      <c r="F23" s="78" t="str">
        <f t="shared" si="0"/>
        <v/>
      </c>
      <c r="G23" s="78" t="str">
        <f t="shared" si="1"/>
        <v/>
      </c>
      <c r="H23" s="17" t="str">
        <f t="shared" si="2"/>
        <v/>
      </c>
      <c r="I23" s="8"/>
      <c r="J23" s="12"/>
      <c r="K23" s="2"/>
    </row>
    <row r="24" spans="2:11" ht="15.75" x14ac:dyDescent="0.25">
      <c r="B24" s="77"/>
      <c r="C24" s="17" t="str">
        <f>IF($B24="","",IF($I$4="2008/2009",VLOOKUP($B24,Courses_List!$A$3:$T$102,2,FALSE),IF($I$4="2009/2010",VLOOKUP($B24,Courses_List!$E$3:$F$102,2,FALSE),IF($I$4="2010/2011",VLOOKUP($B24,Courses_List!$I$3:$J$102,2,FALSE),IF($I$4="2011/2012",VLOOKUP($B24,Courses_List!$M$3:$N$102,2,FALSE),IF($I$4="2012/2013",VLOOKUP($B24,Courses_List!$Q$3:$R$102,2,FALSE),"INVALID"))))))</f>
        <v/>
      </c>
      <c r="D24" s="17" t="str">
        <f>IF($B24="","",IF($I$4="2008/2009",VLOOKUP($B24,Courses_List!$A$3:$C$102,3,FALSE),IF($I$4="2009/2010",VLOOKUP($B24,Courses_List!$E$3:$G$102,3,FALSE),IF($I$4="2010/2011",VLOOKUP($B24,Courses_List!$I$3:$K$102,3,FALSE),IF($I$4="2011/2012",VLOOKUP($B24,Courses_List!$M$3:$O$102,3,FALSE),IF($I$4="2012/2013",VLOOKUP($B24,Courses_List!$Q$3:$S$102,3,FALSE),"INVALID"))))))</f>
        <v/>
      </c>
      <c r="E24" s="17" t="str">
        <f>IF($B24="","",IF($I$4="2008/2009",VLOOKUP($B24,Courses_List!$A$3:$D$102,4,FALSE),IF($I$4="2009/2010",VLOOKUP($B24,Courses_List!$E$3:$H$102,4,FALSE),IF($I$4="2010/2011",VLOOKUP($B24,Courses_List!$I$3:$L$102,4,FALSE),IF($I$4="2011/2012",VLOOKUP($B24,Courses_List!$M$3:$P$102,4,FALSE),IF($I$4="2012/2013",VLOOKUP($B24,Courses_List!$Q$3:$T$102,4,FALSE),"INVALID"))))))</f>
        <v/>
      </c>
      <c r="F24" s="78" t="str">
        <f t="shared" si="0"/>
        <v/>
      </c>
      <c r="G24" s="78" t="str">
        <f t="shared" si="1"/>
        <v/>
      </c>
      <c r="H24" s="17" t="str">
        <f t="shared" si="2"/>
        <v/>
      </c>
      <c r="I24" s="8"/>
      <c r="J24" s="12"/>
      <c r="K24" s="2"/>
    </row>
    <row r="25" spans="2:11" ht="15.75" x14ac:dyDescent="0.25">
      <c r="B25" s="77"/>
      <c r="C25" s="17" t="str">
        <f>IF($B25="","",IF($I$4="2008/2009",VLOOKUP($B25,Courses_List!$A$3:$T$102,2,FALSE),IF($I$4="2009/2010",VLOOKUP($B25,Courses_List!$E$3:$F$102,2,FALSE),IF($I$4="2010/2011",VLOOKUP($B25,Courses_List!$I$3:$J$102,2,FALSE),IF($I$4="2011/2012",VLOOKUP($B25,Courses_List!$M$3:$N$102,2,FALSE),IF($I$4="2012/2013",VLOOKUP($B25,Courses_List!$Q$3:$R$102,2,FALSE),"INVALID"))))))</f>
        <v/>
      </c>
      <c r="D25" s="17" t="str">
        <f>IF($B25="","",IF($I$4="2008/2009",VLOOKUP($B25,Courses_List!$A$3:$C$102,3,FALSE),IF($I$4="2009/2010",VLOOKUP($B25,Courses_List!$E$3:$G$102,3,FALSE),IF($I$4="2010/2011",VLOOKUP($B25,Courses_List!$I$3:$K$102,3,FALSE),IF($I$4="2011/2012",VLOOKUP($B25,Courses_List!$M$3:$O$102,3,FALSE),IF($I$4="2012/2013",VLOOKUP($B25,Courses_List!$Q$3:$S$102,3,FALSE),"INVALID"))))))</f>
        <v/>
      </c>
      <c r="E25" s="17" t="str">
        <f>IF($B25="","",IF($I$4="2008/2009",VLOOKUP($B25,Courses_List!$A$3:$D$102,4,FALSE),IF($I$4="2009/2010",VLOOKUP($B25,Courses_List!$E$3:$H$102,4,FALSE),IF($I$4="2010/2011",VLOOKUP($B25,Courses_List!$I$3:$L$102,4,FALSE),IF($I$4="2011/2012",VLOOKUP($B25,Courses_List!$M$3:$P$102,4,FALSE),IF($I$4="2012/2013",VLOOKUP($B25,Courses_List!$Q$3:$T$102,4,FALSE),"INVALID"))))))</f>
        <v/>
      </c>
      <c r="F25" s="78" t="str">
        <f t="shared" si="0"/>
        <v/>
      </c>
      <c r="G25" s="78" t="str">
        <f t="shared" si="1"/>
        <v/>
      </c>
      <c r="H25" s="17" t="str">
        <f t="shared" si="2"/>
        <v/>
      </c>
      <c r="I25" s="8"/>
      <c r="J25" s="12"/>
      <c r="K25" s="2"/>
    </row>
    <row r="26" spans="2:11" ht="15.75" x14ac:dyDescent="0.25">
      <c r="B26" s="77"/>
      <c r="C26" s="17" t="str">
        <f>IF($B26="","",IF($I$4="2008/2009",VLOOKUP($B26,Courses_List!$A$3:$T$102,2,FALSE),IF($I$4="2009/2010",VLOOKUP($B26,Courses_List!$E$3:$F$102,2,FALSE),IF($I$4="2010/2011",VLOOKUP($B26,Courses_List!$I$3:$J$102,2,FALSE),IF($I$4="2011/2012",VLOOKUP($B26,Courses_List!$M$3:$N$102,2,FALSE),IF($I$4="2012/2013",VLOOKUP($B26,Courses_List!$Q$3:$R$102,2,FALSE),"INVALID"))))))</f>
        <v/>
      </c>
      <c r="D26" s="17" t="str">
        <f>IF($B26="","",IF($I$4="2008/2009",VLOOKUP($B26,Courses_List!$A$3:$C$102,3,FALSE),IF($I$4="2009/2010",VLOOKUP($B26,Courses_List!$E$3:$G$102,3,FALSE),IF($I$4="2010/2011",VLOOKUP($B26,Courses_List!$I$3:$K$102,3,FALSE),IF($I$4="2011/2012",VLOOKUP($B26,Courses_List!$M$3:$O$102,3,FALSE),IF($I$4="2012/2013",VLOOKUP($B26,Courses_List!$Q$3:$S$102,3,FALSE),"INVALID"))))))</f>
        <v/>
      </c>
      <c r="E26" s="17" t="str">
        <f>IF($B26="","",IF($I$4="2008/2009",VLOOKUP($B26,Courses_List!$A$3:$D$102,4,FALSE),IF($I$4="2009/2010",VLOOKUP($B26,Courses_List!$E$3:$H$102,4,FALSE),IF($I$4="2010/2011",VLOOKUP($B26,Courses_List!$I$3:$L$102,4,FALSE),IF($I$4="2011/2012",VLOOKUP($B26,Courses_List!$M$3:$P$102,4,FALSE),IF($I$4="2012/2013",VLOOKUP($B26,Courses_List!$Q$3:$T$102,4,FALSE),"INVALID"))))))</f>
        <v/>
      </c>
      <c r="F26" s="78" t="str">
        <f t="shared" si="0"/>
        <v/>
      </c>
      <c r="G26" s="78" t="str">
        <f t="shared" si="1"/>
        <v/>
      </c>
      <c r="H26" s="17" t="str">
        <f t="shared" si="2"/>
        <v/>
      </c>
      <c r="I26" s="8"/>
      <c r="J26" s="12"/>
      <c r="K26" s="2"/>
    </row>
    <row r="27" spans="2:11" ht="15.75" x14ac:dyDescent="0.25">
      <c r="B27" s="77"/>
      <c r="C27" s="17" t="str">
        <f>IF($B27="","",IF($I$4="2008/2009",VLOOKUP($B27,Courses_List!$A$3:$T$102,2,FALSE),IF($I$4="2009/2010",VLOOKUP($B27,Courses_List!$E$3:$F$102,2,FALSE),IF($I$4="2010/2011",VLOOKUP($B27,Courses_List!$I$3:$J$102,2,FALSE),IF($I$4="2011/2012",VLOOKUP($B27,Courses_List!$M$3:$N$102,2,FALSE),IF($I$4="2012/2013",VLOOKUP($B27,Courses_List!$Q$3:$R$102,2,FALSE),"INVALID"))))))</f>
        <v/>
      </c>
      <c r="D27" s="17" t="str">
        <f>IF($B27="","",IF($I$4="2008/2009",VLOOKUP($B27,Courses_List!$A$3:$C$102,3,FALSE),IF($I$4="2009/2010",VLOOKUP($B27,Courses_List!$E$3:$G$102,3,FALSE),IF($I$4="2010/2011",VLOOKUP($B27,Courses_List!$I$3:$K$102,3,FALSE),IF($I$4="2011/2012",VLOOKUP($B27,Courses_List!$M$3:$O$102,3,FALSE),IF($I$4="2012/2013",VLOOKUP($B27,Courses_List!$Q$3:$S$102,3,FALSE),"INVALID"))))))</f>
        <v/>
      </c>
      <c r="E27" s="17" t="str">
        <f>IF($B27="","",IF($I$4="2008/2009",VLOOKUP($B27,Courses_List!$A$3:$D$102,4,FALSE),IF($I$4="2009/2010",VLOOKUP($B27,Courses_List!$E$3:$H$102,4,FALSE),IF($I$4="2010/2011",VLOOKUP($B27,Courses_List!$I$3:$L$102,4,FALSE),IF($I$4="2011/2012",VLOOKUP($B27,Courses_List!$M$3:$P$102,4,FALSE),IF($I$4="2012/2013",VLOOKUP($B27,Courses_List!$Q$3:$T$102,4,FALSE),"INVALID"))))))</f>
        <v/>
      </c>
      <c r="F27" s="78" t="str">
        <f t="shared" si="0"/>
        <v/>
      </c>
      <c r="G27" s="78" t="str">
        <f t="shared" si="1"/>
        <v/>
      </c>
      <c r="H27" s="17" t="str">
        <f t="shared" si="2"/>
        <v/>
      </c>
      <c r="I27" s="8"/>
      <c r="J27" s="12"/>
      <c r="K27" s="2"/>
    </row>
    <row r="28" spans="2:11" ht="15.75" x14ac:dyDescent="0.25">
      <c r="B28" s="77"/>
      <c r="C28" s="17" t="str">
        <f>IF($B28="","",IF($I$4="2008/2009",VLOOKUP($B28,Courses_List!$A$3:$T$102,2,FALSE),IF($I$4="2009/2010",VLOOKUP($B28,Courses_List!$E$3:$F$102,2,FALSE),IF($I$4="2010/2011",VLOOKUP($B28,Courses_List!$I$3:$J$102,2,FALSE),IF($I$4="2011/2012",VLOOKUP($B28,Courses_List!$M$3:$N$102,2,FALSE),IF($I$4="2012/2013",VLOOKUP($B28,Courses_List!$Q$3:$R$102,2,FALSE),"INVALID"))))))</f>
        <v/>
      </c>
      <c r="D28" s="17" t="str">
        <f>IF($B28="","",IF($I$4="2008/2009",VLOOKUP($B28,Courses_List!$A$3:$C$102,3,FALSE),IF($I$4="2009/2010",VLOOKUP($B28,Courses_List!$E$3:$G$102,3,FALSE),IF($I$4="2010/2011",VLOOKUP($B28,Courses_List!$I$3:$K$102,3,FALSE),IF($I$4="2011/2012",VLOOKUP($B28,Courses_List!$M$3:$O$102,3,FALSE),IF($I$4="2012/2013",VLOOKUP($B28,Courses_List!$Q$3:$S$102,3,FALSE),"INVALID"))))))</f>
        <v/>
      </c>
      <c r="E28" s="17" t="str">
        <f>IF($B28="","",IF($I$4="2008/2009",VLOOKUP($B28,Courses_List!$A$3:$D$102,4,FALSE),IF($I$4="2009/2010",VLOOKUP($B28,Courses_List!$E$3:$H$102,4,FALSE),IF($I$4="2010/2011",VLOOKUP($B28,Courses_List!$I$3:$L$102,4,FALSE),IF($I$4="2011/2012",VLOOKUP($B28,Courses_List!$M$3:$P$102,4,FALSE),IF($I$4="2012/2013",VLOOKUP($B28,Courses_List!$Q$3:$T$102,4,FALSE),"INVALID"))))))</f>
        <v/>
      </c>
      <c r="F28" s="78" t="str">
        <f t="shared" si="0"/>
        <v/>
      </c>
      <c r="G28" s="78" t="str">
        <f t="shared" si="1"/>
        <v/>
      </c>
      <c r="H28" s="17" t="str">
        <f t="shared" si="2"/>
        <v/>
      </c>
      <c r="I28" s="8"/>
      <c r="J28" s="12"/>
      <c r="K28" s="2"/>
    </row>
    <row r="29" spans="2:11" ht="15.75" x14ac:dyDescent="0.25">
      <c r="B29" s="1"/>
      <c r="C29" s="19">
        <f>SUM(C9:C28)</f>
        <v>4</v>
      </c>
      <c r="D29" s="142" t="str">
        <f>IF($I$2="Library",SUM(D9:D28),"")</f>
        <v/>
      </c>
      <c r="E29" s="142" t="str">
        <f>IF($I$2="Library",SUM(E9:E28),"")</f>
        <v/>
      </c>
      <c r="F29" s="142"/>
      <c r="G29" s="87">
        <f>SUM(G9:G28)</f>
        <v>170</v>
      </c>
      <c r="H29" s="17">
        <f>SUM(H9:H28)</f>
        <v>20</v>
      </c>
      <c r="I29" s="8"/>
      <c r="J29" s="8"/>
      <c r="K29" s="2"/>
    </row>
    <row r="30" spans="2:11" ht="15.75" x14ac:dyDescent="0.25">
      <c r="B30" s="7"/>
      <c r="C30" s="7"/>
      <c r="D30" s="13"/>
      <c r="E30" s="7"/>
      <c r="F30" s="7"/>
      <c r="G30" s="7"/>
      <c r="H30" s="13"/>
      <c r="I30" s="7"/>
      <c r="J30" s="8"/>
      <c r="K30" s="8"/>
    </row>
    <row r="31" spans="2:11" ht="15.75" x14ac:dyDescent="0.25">
      <c r="B31" s="212" t="s">
        <v>17</v>
      </c>
      <c r="C31" s="212"/>
      <c r="D31" s="150" t="str">
        <f>IF(LEFT($I$2,4)="CMUL","10:1",IF(OR($I$2="Engineering",$I$2="Environmental Sciences"),"15:1",IF( $I$2="Sciences","20:1",IF($I$2="Library","400:1","30:1"))))</f>
        <v>15:1</v>
      </c>
      <c r="E31" s="7"/>
      <c r="F31" s="7"/>
      <c r="G31" s="7"/>
      <c r="H31" s="13"/>
      <c r="I31" s="7"/>
      <c r="J31" s="8"/>
      <c r="K31" s="8"/>
    </row>
    <row r="32" spans="2:11" ht="15.75" x14ac:dyDescent="0.25">
      <c r="B32" s="152" t="str">
        <f>IF($I$2="Library", "","K = 15 x R")</f>
        <v>K = 15 x R</v>
      </c>
      <c r="C32" s="7"/>
      <c r="D32" s="13"/>
      <c r="E32" s="20">
        <f>IF($I$2="Library","",15*LEFT($D31,2))</f>
        <v>225</v>
      </c>
      <c r="F32" s="137"/>
      <c r="G32" s="7"/>
      <c r="H32" s="13"/>
      <c r="I32" s="7"/>
      <c r="J32" s="8"/>
      <c r="K32" s="8"/>
    </row>
    <row r="34" spans="1:10" ht="15.75" x14ac:dyDescent="0.25">
      <c r="B34" s="216" t="str">
        <f>IF($I$2="Library","","No. of Semesters:")</f>
        <v>No. of Semesters:</v>
      </c>
      <c r="C34" s="216"/>
      <c r="D34" s="14">
        <v>1</v>
      </c>
      <c r="E34" s="7"/>
      <c r="F34" s="7"/>
      <c r="G34" s="7"/>
      <c r="H34" s="7"/>
      <c r="I34" s="8"/>
      <c r="J34" s="7"/>
    </row>
    <row r="35" spans="1:10" ht="15.75" x14ac:dyDescent="0.25">
      <c r="B35" s="216" t="str">
        <f>IF($I$2="Library","","Normal Students Credits (NSC):")</f>
        <v>Normal Students Credits (NSC):</v>
      </c>
      <c r="C35" s="216"/>
      <c r="D35" s="8"/>
      <c r="E35" s="68">
        <f>IF($I$2="Library","",$D$34*$E$32/4)</f>
        <v>56.25</v>
      </c>
      <c r="F35" s="7"/>
      <c r="G35" s="7"/>
      <c r="H35" s="7"/>
      <c r="I35" s="8"/>
      <c r="J35" s="7"/>
    </row>
    <row r="36" spans="1:10" ht="15.75" x14ac:dyDescent="0.25">
      <c r="A36" s="7"/>
      <c r="B36" s="7"/>
      <c r="C36" s="7"/>
      <c r="D36" s="7"/>
      <c r="E36" s="138"/>
      <c r="F36" s="7"/>
      <c r="G36" s="7"/>
      <c r="H36" s="7"/>
      <c r="I36" s="8"/>
      <c r="J36" s="7"/>
    </row>
    <row r="37" spans="1:10" ht="15.75" x14ac:dyDescent="0.25">
      <c r="A37" s="7" t="s">
        <v>9</v>
      </c>
      <c r="B37" s="212" t="str">
        <f>IF($I$2="Library", "EWLU (Excess Work Load Units) Required:","HC (Hour Component):")</f>
        <v>HC (Hour Component):</v>
      </c>
      <c r="C37" s="212"/>
      <c r="D37" s="22"/>
      <c r="E37" s="24">
        <f>IF($I$2="Library","",$H$29)</f>
        <v>20</v>
      </c>
      <c r="F37" s="7"/>
      <c r="G37" s="7"/>
      <c r="H37" s="7"/>
      <c r="I37" s="8"/>
      <c r="J37" s="7"/>
    </row>
    <row r="38" spans="1:10" ht="15.75" x14ac:dyDescent="0.25">
      <c r="A38" s="7"/>
      <c r="B38" s="151"/>
      <c r="C38" s="151"/>
      <c r="D38" s="22"/>
      <c r="E38" s="42"/>
      <c r="F38" s="7"/>
      <c r="G38" s="7"/>
      <c r="H38" s="7"/>
      <c r="I38" s="8"/>
      <c r="J38" s="7"/>
    </row>
    <row r="39" spans="1:10" ht="15.75" x14ac:dyDescent="0.25">
      <c r="A39" s="7" t="s">
        <v>10</v>
      </c>
      <c r="B39" s="212" t="str">
        <f>IF($I$2="Library","","CLC (Credit Load Component):")</f>
        <v>CLC (Credit Load Component):</v>
      </c>
      <c r="C39" s="212"/>
      <c r="D39" s="22"/>
      <c r="E39" s="24">
        <f>IF($I$2="Library",ROUND($D$29*8*1.3/400,2),$C$29*15)</f>
        <v>60</v>
      </c>
      <c r="F39" s="7"/>
      <c r="G39" s="7"/>
      <c r="H39" s="7"/>
      <c r="I39" s="8"/>
      <c r="J39" s="7"/>
    </row>
    <row r="40" spans="1:10" ht="15.75" x14ac:dyDescent="0.25">
      <c r="A40" s="7"/>
      <c r="B40" s="7"/>
      <c r="C40" s="7"/>
      <c r="D40" s="7"/>
      <c r="E40" s="138"/>
      <c r="F40" s="7"/>
      <c r="G40" s="7"/>
      <c r="H40" s="7"/>
      <c r="I40" s="8"/>
      <c r="J40" s="7"/>
    </row>
    <row r="41" spans="1:10" ht="15.75" x14ac:dyDescent="0.25">
      <c r="A41" s="7" t="s">
        <v>11</v>
      </c>
      <c r="B41" s="212" t="str">
        <f>IF($I$2="Library", "EWLU (Excess Work Load Units) Available:","PSC (Project Supervision Component):")</f>
        <v>PSC (Project Supervision Component):</v>
      </c>
      <c r="C41" s="212"/>
      <c r="D41" s="7"/>
      <c r="E41" s="138"/>
      <c r="F41" s="7"/>
      <c r="G41" s="7"/>
      <c r="H41" s="7"/>
      <c r="I41" s="8"/>
      <c r="J41" s="7"/>
    </row>
    <row r="42" spans="1:10" ht="15.75" x14ac:dyDescent="0.25">
      <c r="A42" s="7"/>
      <c r="B42" s="212" t="str">
        <f>IF($I$2="Library","","No. of Students:")</f>
        <v>No. of Students:</v>
      </c>
      <c r="C42" s="212"/>
      <c r="D42" s="14">
        <v>11</v>
      </c>
      <c r="E42" s="138"/>
      <c r="F42" s="7"/>
      <c r="G42" s="7"/>
      <c r="H42" s="7"/>
      <c r="I42" s="8"/>
      <c r="J42" s="7"/>
    </row>
    <row r="43" spans="1:10" ht="15.75" x14ac:dyDescent="0.25">
      <c r="A43" s="7"/>
      <c r="B43" s="212" t="str">
        <f>IF($I$2="Library","","Project Credit Unit(s):")</f>
        <v>Project Credit Unit(s):</v>
      </c>
      <c r="C43" s="212"/>
      <c r="D43" s="14">
        <v>4</v>
      </c>
      <c r="E43" s="138"/>
      <c r="F43" s="7"/>
      <c r="G43" s="7"/>
      <c r="H43" s="7"/>
      <c r="I43" s="8"/>
      <c r="J43" s="7"/>
    </row>
    <row r="44" spans="1:10" ht="15.75" x14ac:dyDescent="0.25">
      <c r="A44" s="7"/>
      <c r="B44" s="212" t="str">
        <f>IF($I$2="Library","","PSC:")</f>
        <v>PSC:</v>
      </c>
      <c r="C44" s="212"/>
      <c r="D44" s="7"/>
      <c r="E44" s="24">
        <f>IF($I$2="Library",ROUND($E$29*8*1.3,2),IF(AND($D$42&gt;=6,$D$42&lt;=10),1*$D$43*15,IF($D$42&gt;10,1.5*$D$43*15,0)))</f>
        <v>90</v>
      </c>
      <c r="F44" s="7"/>
      <c r="G44" s="7"/>
      <c r="H44" s="7"/>
      <c r="I44" s="8"/>
      <c r="J44" s="7"/>
    </row>
    <row r="45" spans="1:10" ht="15.75" x14ac:dyDescent="0.25">
      <c r="A45" s="7"/>
      <c r="B45" s="7"/>
      <c r="C45" s="7"/>
      <c r="D45" s="7"/>
      <c r="E45" s="139"/>
      <c r="F45" s="7"/>
      <c r="G45" s="7"/>
      <c r="H45" s="7"/>
      <c r="I45" s="8"/>
      <c r="J45" s="7"/>
    </row>
    <row r="46" spans="1:10" ht="15.75" x14ac:dyDescent="0.25">
      <c r="A46" s="7" t="s">
        <v>12</v>
      </c>
      <c r="B46" s="212" t="str">
        <f>IF($I$2="Library","","MR (Marking Ratio):")</f>
        <v>MR (Marking Ratio):</v>
      </c>
      <c r="C46" s="212"/>
      <c r="D46" s="7"/>
      <c r="E46" s="24">
        <f>IF($I$2="Library","",IF($C29=0,0,$G$29/$C$29))</f>
        <v>42.5</v>
      </c>
      <c r="F46" s="7"/>
      <c r="G46" s="7"/>
      <c r="H46" s="7"/>
      <c r="I46" s="8"/>
      <c r="J46" s="7"/>
    </row>
    <row r="47" spans="1:10" ht="15.75" x14ac:dyDescent="0.25">
      <c r="A47" s="7"/>
      <c r="B47" s="7"/>
      <c r="C47" s="7"/>
      <c r="D47" s="7"/>
      <c r="E47" s="139"/>
      <c r="F47" s="7"/>
      <c r="G47" s="7"/>
      <c r="H47" s="7"/>
      <c r="I47" s="8"/>
      <c r="J47" s="7"/>
    </row>
    <row r="48" spans="1:10" ht="15.75" x14ac:dyDescent="0.25">
      <c r="A48" s="7" t="s">
        <v>13</v>
      </c>
      <c r="B48" s="212" t="s">
        <v>15</v>
      </c>
      <c r="C48" s="212"/>
      <c r="D48" s="7"/>
      <c r="E48" s="68">
        <f>IF($I$2="Library",$E$39-$E$44,IF(SUM(E37:E46)-$E$35&lt;0,0,SUM(E37:E46)-$E$35))</f>
        <v>156.25</v>
      </c>
      <c r="F48" s="7"/>
      <c r="G48" s="7"/>
      <c r="H48" s="7"/>
      <c r="I48" s="8"/>
      <c r="J48" s="7"/>
    </row>
    <row r="49" spans="1:10" ht="15.75" x14ac:dyDescent="0.25">
      <c r="A49" s="7"/>
      <c r="B49" s="7"/>
      <c r="C49" s="7"/>
      <c r="D49" s="7"/>
      <c r="E49" s="140"/>
      <c r="F49" s="7"/>
      <c r="G49" s="7"/>
      <c r="H49" s="7"/>
      <c r="I49" s="8"/>
      <c r="J49" s="7"/>
    </row>
    <row r="50" spans="1:10" ht="15.75" x14ac:dyDescent="0.25">
      <c r="A50" s="7" t="s">
        <v>14</v>
      </c>
      <c r="B50" s="212" t="s">
        <v>16</v>
      </c>
      <c r="C50" s="212"/>
      <c r="D50" s="7"/>
      <c r="E50" s="26">
        <f>IF(OR(LEFT($G$4,1)="U",LEFT($G$4,1)="P",LEFT($G$4,1)="R",LEFT($G$4,1)="S"),$E$48*3500,$E$48*2000)</f>
        <v>312500</v>
      </c>
      <c r="F50" s="7"/>
      <c r="G50" s="7"/>
      <c r="H50" s="7"/>
      <c r="I50" s="8"/>
      <c r="J50" s="7"/>
    </row>
    <row r="51" spans="1:10" ht="15.75" x14ac:dyDescent="0.25">
      <c r="A51" s="7"/>
      <c r="B51" s="7"/>
      <c r="C51" s="7"/>
      <c r="D51" s="7"/>
      <c r="E51" s="7"/>
      <c r="F51" s="7"/>
      <c r="G51" s="7"/>
      <c r="H51" s="7"/>
      <c r="I51" s="8"/>
      <c r="J51" s="7"/>
    </row>
    <row r="52" spans="1:10" ht="15.75" x14ac:dyDescent="0.25">
      <c r="A52" s="7" t="s">
        <v>18</v>
      </c>
      <c r="B52" s="212" t="s">
        <v>41</v>
      </c>
      <c r="C52" s="212"/>
      <c r="D52" s="216" t="s">
        <v>19</v>
      </c>
      <c r="E52" s="216"/>
      <c r="F52" s="216"/>
      <c r="G52" s="216"/>
      <c r="H52" s="7"/>
      <c r="I52" s="8"/>
      <c r="J52" s="7"/>
    </row>
    <row r="53" spans="1:10" ht="15.75" x14ac:dyDescent="0.25">
      <c r="A53" s="7"/>
      <c r="B53" s="98"/>
      <c r="C53" s="98"/>
      <c r="D53" s="98"/>
      <c r="E53" s="98"/>
      <c r="F53" s="98"/>
      <c r="G53" s="98"/>
      <c r="H53" s="7"/>
      <c r="I53" s="8"/>
      <c r="J53" s="7"/>
    </row>
    <row r="54" spans="1:10" ht="15.75" x14ac:dyDescent="0.25">
      <c r="A54" s="7"/>
      <c r="B54" s="216" t="s">
        <v>20</v>
      </c>
      <c r="C54" s="216"/>
      <c r="D54" s="214"/>
      <c r="E54" s="214"/>
      <c r="F54" s="7" t="s">
        <v>21</v>
      </c>
      <c r="G54" s="215"/>
      <c r="H54" s="215"/>
      <c r="I54" s="8"/>
      <c r="J54" s="7"/>
    </row>
    <row r="55" spans="1:10" ht="15.75" x14ac:dyDescent="0.25">
      <c r="A55" s="7"/>
      <c r="B55" s="7"/>
      <c r="C55" s="7"/>
      <c r="D55" s="7"/>
      <c r="E55" s="7"/>
      <c r="F55" s="7"/>
      <c r="G55" s="7"/>
      <c r="H55" s="7"/>
      <c r="I55" s="8"/>
      <c r="J55" s="7"/>
    </row>
    <row r="56" spans="1:10" ht="15.75" x14ac:dyDescent="0.25">
      <c r="A56" s="7" t="s">
        <v>22</v>
      </c>
      <c r="B56" s="212" t="s">
        <v>23</v>
      </c>
      <c r="C56" s="212"/>
      <c r="D56" s="212"/>
      <c r="E56" s="7"/>
      <c r="F56" s="7"/>
      <c r="G56" s="7"/>
      <c r="H56" s="7"/>
      <c r="I56" s="8"/>
      <c r="J56" s="7"/>
    </row>
    <row r="57" spans="1:10" ht="15.75" x14ac:dyDescent="0.25">
      <c r="A57" s="7"/>
      <c r="B57" s="216" t="s">
        <v>24</v>
      </c>
      <c r="C57" s="216"/>
      <c r="D57" s="216"/>
      <c r="E57" s="216"/>
      <c r="F57" s="26">
        <f>$E$50</f>
        <v>312500</v>
      </c>
      <c r="G57" s="7"/>
      <c r="H57" s="7"/>
      <c r="I57" s="8"/>
      <c r="J57" s="7"/>
    </row>
    <row r="58" spans="1:10" ht="15.75" x14ac:dyDescent="0.25">
      <c r="A58" s="7"/>
      <c r="B58" s="98"/>
      <c r="C58" s="98"/>
      <c r="D58" s="98"/>
      <c r="E58" s="98"/>
      <c r="F58" s="15"/>
      <c r="G58" s="7"/>
      <c r="H58" s="7"/>
      <c r="I58" s="8"/>
      <c r="J58" s="7"/>
    </row>
    <row r="59" spans="1:10" ht="15.75" x14ac:dyDescent="0.25">
      <c r="A59" s="7"/>
      <c r="B59" s="7" t="s">
        <v>25</v>
      </c>
      <c r="C59" s="7"/>
      <c r="D59" s="214"/>
      <c r="E59" s="214"/>
      <c r="F59" s="7" t="s">
        <v>21</v>
      </c>
      <c r="G59" s="214"/>
      <c r="H59" s="214"/>
      <c r="I59" s="8"/>
      <c r="J59" s="7"/>
    </row>
    <row r="60" spans="1:10" ht="15.75" x14ac:dyDescent="0.25">
      <c r="A60" s="7"/>
      <c r="B60" s="7"/>
      <c r="C60" s="7"/>
      <c r="D60" s="7"/>
      <c r="E60" s="7"/>
      <c r="F60" s="7"/>
      <c r="G60" s="7"/>
      <c r="H60" s="7"/>
      <c r="I60" s="8"/>
      <c r="J60" s="7"/>
    </row>
    <row r="61" spans="1:10" ht="15.75" x14ac:dyDescent="0.25">
      <c r="A61" s="7" t="s">
        <v>26</v>
      </c>
      <c r="B61" s="212" t="s">
        <v>27</v>
      </c>
      <c r="C61" s="212"/>
      <c r="D61" s="212"/>
      <c r="E61" s="212"/>
      <c r="F61" s="7"/>
      <c r="G61" s="7"/>
      <c r="H61" s="7"/>
      <c r="I61" s="8"/>
      <c r="J61" s="7"/>
    </row>
    <row r="62" spans="1:10" ht="15.75" x14ac:dyDescent="0.25">
      <c r="A62" s="7"/>
      <c r="B62" s="216" t="s">
        <v>28</v>
      </c>
      <c r="C62" s="216"/>
      <c r="D62" s="216"/>
      <c r="E62" s="216"/>
      <c r="F62" s="26">
        <f>$E$50</f>
        <v>312500</v>
      </c>
      <c r="G62" s="7"/>
      <c r="H62" s="7"/>
      <c r="I62" s="8"/>
      <c r="J62" s="7"/>
    </row>
    <row r="63" spans="1:10" ht="15.75" x14ac:dyDescent="0.25">
      <c r="A63" s="7"/>
      <c r="B63" s="7"/>
      <c r="C63" s="7"/>
      <c r="D63" s="7"/>
      <c r="E63" s="7"/>
      <c r="F63" s="7"/>
      <c r="G63" s="7"/>
      <c r="H63" s="7"/>
      <c r="I63" s="8"/>
      <c r="J63" s="7"/>
    </row>
    <row r="64" spans="1:10" ht="15.75" x14ac:dyDescent="0.25">
      <c r="A64" s="7"/>
      <c r="B64" s="7" t="s">
        <v>29</v>
      </c>
      <c r="C64" s="215"/>
      <c r="D64" s="215"/>
      <c r="E64" s="7"/>
      <c r="F64" s="7" t="s">
        <v>21</v>
      </c>
      <c r="G64" s="214"/>
      <c r="H64" s="214"/>
      <c r="I64" s="8"/>
      <c r="J64" s="7"/>
    </row>
    <row r="65" spans="1:10" ht="15.75" x14ac:dyDescent="0.25">
      <c r="A65" s="7"/>
      <c r="B65" s="7"/>
      <c r="C65" s="7"/>
      <c r="D65" s="7"/>
      <c r="E65" s="7"/>
      <c r="F65" s="7"/>
      <c r="G65" s="7"/>
      <c r="H65" s="7"/>
      <c r="I65" s="8"/>
      <c r="J65" s="7"/>
    </row>
    <row r="66" spans="1:10" ht="15.75" x14ac:dyDescent="0.25">
      <c r="A66" s="7"/>
      <c r="B66" s="7"/>
      <c r="C66" s="7"/>
      <c r="D66" s="7"/>
      <c r="E66" s="7"/>
      <c r="F66" s="7"/>
      <c r="G66" s="7"/>
      <c r="H66" s="7"/>
      <c r="I66" s="8"/>
      <c r="J66" s="7"/>
    </row>
    <row r="67" spans="1:10" ht="15.75" x14ac:dyDescent="0.25">
      <c r="A67" s="7"/>
      <c r="B67" s="7"/>
      <c r="C67" s="7"/>
      <c r="D67" s="7"/>
      <c r="E67" s="7"/>
      <c r="F67" s="7"/>
      <c r="G67" s="7"/>
      <c r="H67" s="7"/>
      <c r="I67" s="8"/>
      <c r="J67" s="7"/>
    </row>
    <row r="68" spans="1:10" ht="15.75" x14ac:dyDescent="0.25">
      <c r="A68" s="7"/>
      <c r="B68" s="7"/>
      <c r="C68" s="7"/>
      <c r="D68" s="7"/>
      <c r="E68" s="7"/>
      <c r="F68" s="7"/>
      <c r="G68" s="7"/>
      <c r="H68" s="7"/>
      <c r="I68" s="8"/>
      <c r="J68" s="7"/>
    </row>
    <row r="69" spans="1:10" ht="15.75" x14ac:dyDescent="0.25">
      <c r="A69" s="7"/>
      <c r="B69" s="7"/>
      <c r="C69" s="7"/>
      <c r="D69" s="7"/>
      <c r="E69" s="7"/>
      <c r="F69" s="7"/>
      <c r="G69" s="7"/>
      <c r="H69" s="7"/>
      <c r="I69" s="8"/>
      <c r="J69" s="7"/>
    </row>
    <row r="70" spans="1:10" ht="15.75" x14ac:dyDescent="0.25">
      <c r="A70" s="7"/>
      <c r="B70" s="7"/>
      <c r="C70" s="7"/>
      <c r="D70" s="7"/>
      <c r="E70" s="7"/>
      <c r="F70" s="7"/>
      <c r="G70" s="7"/>
      <c r="H70" s="7"/>
      <c r="I70" s="8"/>
      <c r="J70" s="7"/>
    </row>
    <row r="71" spans="1:10" ht="15.75" x14ac:dyDescent="0.25">
      <c r="A71" s="7"/>
      <c r="B71" s="7"/>
      <c r="C71" s="7"/>
      <c r="D71" s="7"/>
      <c r="E71" s="7"/>
      <c r="F71" s="7"/>
      <c r="G71" s="7"/>
      <c r="H71" s="7"/>
      <c r="I71" s="8"/>
      <c r="J71" s="7"/>
    </row>
    <row r="72" spans="1:10" ht="15.75" x14ac:dyDescent="0.25">
      <c r="A72" s="7"/>
      <c r="B72" s="7"/>
      <c r="C72" s="7"/>
      <c r="D72" s="7"/>
      <c r="E72" s="7"/>
      <c r="F72" s="7"/>
      <c r="G72" s="7"/>
      <c r="H72" s="7"/>
      <c r="I72" s="8"/>
      <c r="J72" s="7"/>
    </row>
    <row r="73" spans="1:10" ht="15.75" x14ac:dyDescent="0.25">
      <c r="A73" s="7"/>
      <c r="B73" s="7"/>
      <c r="C73" s="7"/>
      <c r="D73" s="7"/>
      <c r="E73" s="7"/>
      <c r="F73" s="7"/>
      <c r="G73" s="7"/>
      <c r="H73" s="7"/>
      <c r="I73" s="8"/>
      <c r="J73" s="7"/>
    </row>
    <row r="74" spans="1:10" ht="15.75" x14ac:dyDescent="0.25">
      <c r="A74" s="7"/>
      <c r="B74" s="7"/>
      <c r="C74" s="7"/>
      <c r="D74" s="7"/>
      <c r="E74" s="7"/>
      <c r="F74" s="7"/>
      <c r="G74" s="7"/>
      <c r="H74" s="7"/>
      <c r="I74" s="8"/>
      <c r="J74" s="7"/>
    </row>
    <row r="75" spans="1:10" ht="15.75" x14ac:dyDescent="0.25">
      <c r="A75" s="7"/>
      <c r="B75" s="7"/>
      <c r="C75" s="7"/>
      <c r="D75" s="7"/>
      <c r="E75" s="7"/>
      <c r="F75" s="7"/>
      <c r="G75" s="7"/>
      <c r="H75" s="7"/>
      <c r="I75" s="8"/>
      <c r="J75" s="7"/>
    </row>
    <row r="76" spans="1:10" ht="15.75" x14ac:dyDescent="0.25">
      <c r="A76" s="7"/>
      <c r="B76" s="7"/>
      <c r="C76" s="7"/>
      <c r="D76" s="7"/>
      <c r="E76" s="7"/>
      <c r="F76" s="7"/>
      <c r="G76" s="7"/>
      <c r="H76" s="7"/>
      <c r="I76" s="8"/>
      <c r="J76" s="7"/>
    </row>
    <row r="77" spans="1:10" ht="15.75" x14ac:dyDescent="0.25">
      <c r="A77" s="7"/>
      <c r="B77" s="7"/>
      <c r="C77" s="7"/>
      <c r="D77" s="7"/>
      <c r="E77" s="7"/>
      <c r="F77" s="7"/>
      <c r="G77" s="7"/>
      <c r="H77" s="7"/>
      <c r="I77" s="8"/>
      <c r="J77" s="7"/>
    </row>
    <row r="78" spans="1:10" ht="15.75" x14ac:dyDescent="0.25">
      <c r="A78" s="7"/>
      <c r="B78" s="7"/>
      <c r="C78" s="7"/>
      <c r="D78" s="7"/>
      <c r="E78" s="7"/>
      <c r="F78" s="7"/>
      <c r="G78" s="7"/>
      <c r="H78" s="7"/>
      <c r="I78" s="8"/>
      <c r="J78" s="7"/>
    </row>
    <row r="79" spans="1:10" ht="15.75" x14ac:dyDescent="0.25">
      <c r="A79" s="7"/>
      <c r="B79" s="7"/>
      <c r="C79" s="7"/>
      <c r="D79" s="7"/>
      <c r="E79" s="7"/>
      <c r="F79" s="7"/>
      <c r="G79" s="7"/>
      <c r="H79" s="7"/>
      <c r="I79" s="8"/>
      <c r="J79" s="7"/>
    </row>
    <row r="80" spans="1:10" ht="15.75" x14ac:dyDescent="0.25">
      <c r="A80" s="7"/>
      <c r="B80" s="7"/>
      <c r="C80" s="7"/>
      <c r="D80" s="7"/>
      <c r="E80" s="7"/>
      <c r="F80" s="7"/>
      <c r="G80" s="7"/>
      <c r="H80" s="7"/>
      <c r="I80" s="8"/>
      <c r="J80" s="7"/>
    </row>
    <row r="81" spans="1:10" ht="15.75" x14ac:dyDescent="0.25">
      <c r="A81" s="7"/>
      <c r="B81" s="7"/>
      <c r="C81" s="7"/>
      <c r="D81" s="7"/>
      <c r="E81" s="7"/>
      <c r="F81" s="7"/>
      <c r="G81" s="7"/>
      <c r="H81" s="7"/>
      <c r="I81" s="8"/>
      <c r="J81" s="7"/>
    </row>
    <row r="82" spans="1:10" ht="15.75" x14ac:dyDescent="0.25">
      <c r="A82" s="7"/>
      <c r="B82" s="7"/>
      <c r="C82" s="7"/>
      <c r="D82" s="7"/>
      <c r="E82" s="7"/>
      <c r="F82" s="7"/>
      <c r="G82" s="7"/>
      <c r="H82" s="7"/>
      <c r="I82" s="8"/>
      <c r="J82" s="7"/>
    </row>
    <row r="83" spans="1:10" ht="15.75" x14ac:dyDescent="0.25">
      <c r="A83" s="7"/>
      <c r="B83" s="7"/>
      <c r="C83" s="7"/>
      <c r="D83" s="7"/>
      <c r="E83" s="7"/>
      <c r="F83" s="7"/>
      <c r="G83" s="7"/>
      <c r="H83" s="7"/>
      <c r="I83" s="8"/>
      <c r="J83" s="7"/>
    </row>
    <row r="84" spans="1:10" ht="15.75" x14ac:dyDescent="0.25">
      <c r="A84" s="7"/>
      <c r="B84" s="7"/>
      <c r="C84" s="7"/>
      <c r="D84" s="7"/>
      <c r="E84" s="7"/>
      <c r="F84" s="7"/>
      <c r="G84" s="7"/>
      <c r="H84" s="7"/>
      <c r="I84" s="8"/>
      <c r="J84" s="7"/>
    </row>
    <row r="85" spans="1:10" ht="15.75" x14ac:dyDescent="0.25">
      <c r="A85" s="7"/>
      <c r="B85" s="7"/>
      <c r="C85" s="7"/>
      <c r="D85" s="7"/>
      <c r="E85" s="7"/>
      <c r="F85" s="7"/>
      <c r="G85" s="7"/>
      <c r="H85" s="7"/>
      <c r="I85" s="8"/>
      <c r="J85" s="7"/>
    </row>
    <row r="86" spans="1:10" ht="15.75" x14ac:dyDescent="0.25">
      <c r="A86" s="7"/>
      <c r="B86" s="7"/>
      <c r="C86" s="7"/>
      <c r="D86" s="7"/>
      <c r="E86" s="7"/>
      <c r="F86" s="7"/>
      <c r="G86" s="7"/>
      <c r="H86" s="7"/>
      <c r="I86" s="8"/>
      <c r="J86" s="7"/>
    </row>
    <row r="87" spans="1:10" ht="15.75" x14ac:dyDescent="0.25">
      <c r="A87" s="7"/>
      <c r="B87" s="7"/>
      <c r="C87" s="7"/>
      <c r="D87" s="7"/>
      <c r="E87" s="7"/>
      <c r="F87" s="7"/>
      <c r="G87" s="7"/>
      <c r="H87" s="7"/>
      <c r="I87" s="8"/>
      <c r="J87" s="7"/>
    </row>
    <row r="88" spans="1:10" ht="15.75" x14ac:dyDescent="0.25">
      <c r="A88" s="7"/>
      <c r="B88" s="7"/>
      <c r="C88" s="7"/>
      <c r="D88" s="7"/>
      <c r="E88" s="7"/>
      <c r="F88" s="7"/>
      <c r="G88" s="7"/>
      <c r="H88" s="7"/>
      <c r="I88" s="8"/>
      <c r="J88" s="7"/>
    </row>
    <row r="89" spans="1:10" ht="15.75" x14ac:dyDescent="0.25">
      <c r="A89" s="7"/>
      <c r="B89" s="7"/>
      <c r="C89" s="7"/>
      <c r="D89" s="7"/>
      <c r="E89" s="7"/>
      <c r="F89" s="7"/>
      <c r="G89" s="7"/>
      <c r="H89" s="7"/>
      <c r="I89" s="8"/>
      <c r="J89" s="7"/>
    </row>
    <row r="90" spans="1:10" ht="15.75" x14ac:dyDescent="0.25">
      <c r="A90" s="7"/>
      <c r="B90" s="7"/>
      <c r="C90" s="7"/>
      <c r="D90" s="7"/>
      <c r="E90" s="7"/>
      <c r="F90" s="7"/>
      <c r="G90" s="7"/>
      <c r="H90" s="7"/>
      <c r="I90" s="8"/>
      <c r="J90" s="7"/>
    </row>
    <row r="91" spans="1:10" ht="15.75" x14ac:dyDescent="0.25">
      <c r="A91" s="7"/>
      <c r="B91" s="7"/>
      <c r="C91" s="7"/>
      <c r="D91" s="7"/>
      <c r="E91" s="7"/>
      <c r="F91" s="7"/>
      <c r="G91" s="7"/>
      <c r="H91" s="7"/>
      <c r="I91" s="8"/>
      <c r="J91" s="7"/>
    </row>
    <row r="92" spans="1:10" ht="15.75" x14ac:dyDescent="0.25">
      <c r="A92" s="7"/>
      <c r="B92" s="7"/>
      <c r="C92" s="7"/>
      <c r="D92" s="7"/>
      <c r="E92" s="7"/>
      <c r="F92" s="7"/>
      <c r="G92" s="7"/>
      <c r="H92" s="7"/>
      <c r="I92" s="8"/>
      <c r="J92" s="7"/>
    </row>
    <row r="93" spans="1:10" ht="15.75" x14ac:dyDescent="0.25">
      <c r="A93" s="7"/>
      <c r="B93" s="7"/>
      <c r="C93" s="7"/>
      <c r="D93" s="7"/>
      <c r="E93" s="7"/>
      <c r="F93" s="7"/>
      <c r="G93" s="7"/>
      <c r="H93" s="7"/>
      <c r="I93" s="8"/>
      <c r="J93" s="7"/>
    </row>
    <row r="94" spans="1:10" ht="15.75" x14ac:dyDescent="0.25">
      <c r="A94" s="7"/>
      <c r="B94" s="7"/>
      <c r="C94" s="7"/>
      <c r="D94" s="7"/>
      <c r="E94" s="7"/>
      <c r="F94" s="7"/>
      <c r="G94" s="7"/>
      <c r="H94" s="7"/>
      <c r="I94" s="8"/>
      <c r="J94" s="7"/>
    </row>
    <row r="95" spans="1:10" ht="15.75" x14ac:dyDescent="0.25">
      <c r="A95" s="7"/>
      <c r="B95" s="7"/>
      <c r="C95" s="7"/>
      <c r="D95" s="7"/>
      <c r="E95" s="7"/>
      <c r="F95" s="7"/>
      <c r="G95" s="7"/>
      <c r="H95" s="7"/>
      <c r="I95" s="8"/>
      <c r="J95" s="7"/>
    </row>
    <row r="96" spans="1:10" ht="15.75" x14ac:dyDescent="0.25">
      <c r="A96" s="7"/>
      <c r="B96" s="7"/>
      <c r="C96" s="7"/>
      <c r="D96" s="7"/>
      <c r="E96" s="7"/>
      <c r="F96" s="7"/>
      <c r="G96" s="7"/>
      <c r="H96" s="7"/>
      <c r="I96" s="8"/>
      <c r="J96" s="7"/>
    </row>
    <row r="97" spans="1:10" ht="15.75" x14ac:dyDescent="0.25">
      <c r="A97" s="7"/>
      <c r="B97" s="7"/>
      <c r="C97" s="7"/>
      <c r="D97" s="7"/>
      <c r="E97" s="7"/>
      <c r="F97" s="7"/>
      <c r="G97" s="7"/>
      <c r="H97" s="7"/>
      <c r="I97" s="8"/>
      <c r="J97" s="7"/>
    </row>
    <row r="98" spans="1:10" ht="15.75" x14ac:dyDescent="0.25">
      <c r="A98" s="7"/>
      <c r="B98" s="7"/>
      <c r="C98" s="7"/>
      <c r="D98" s="7"/>
      <c r="E98" s="7"/>
      <c r="F98" s="7"/>
      <c r="G98" s="7"/>
      <c r="H98" s="7"/>
      <c r="I98" s="8"/>
      <c r="J98" s="7"/>
    </row>
    <row r="99" spans="1:10" ht="15.75" x14ac:dyDescent="0.25">
      <c r="A99" s="7"/>
      <c r="B99" s="7"/>
      <c r="C99" s="7"/>
      <c r="D99" s="7"/>
      <c r="E99" s="7"/>
      <c r="F99" s="7"/>
      <c r="G99" s="7"/>
      <c r="H99" s="7"/>
      <c r="I99" s="8"/>
      <c r="J99" s="7"/>
    </row>
    <row r="100" spans="1:10" ht="15.75" x14ac:dyDescent="0.25">
      <c r="A100" s="7"/>
      <c r="B100" s="7"/>
      <c r="C100" s="7"/>
      <c r="D100" s="7"/>
      <c r="E100" s="7"/>
      <c r="F100" s="7"/>
      <c r="G100" s="7"/>
      <c r="H100" s="7"/>
      <c r="I100" s="8"/>
      <c r="J100" s="7"/>
    </row>
    <row r="101" spans="1:10" ht="15.75" x14ac:dyDescent="0.25">
      <c r="A101" s="7"/>
      <c r="B101" s="7"/>
      <c r="C101" s="7"/>
      <c r="D101" s="7"/>
      <c r="E101" s="7"/>
      <c r="F101" s="7"/>
      <c r="G101" s="7"/>
      <c r="H101" s="7"/>
      <c r="I101" s="8"/>
      <c r="J101" s="7"/>
    </row>
    <row r="102" spans="1:10" ht="15.75" x14ac:dyDescent="0.25">
      <c r="A102" s="7"/>
      <c r="B102" s="7"/>
      <c r="C102" s="7"/>
      <c r="D102" s="7"/>
      <c r="E102" s="7"/>
      <c r="F102" s="7"/>
      <c r="G102" s="7"/>
      <c r="H102" s="7"/>
      <c r="I102" s="8"/>
      <c r="J102" s="7"/>
    </row>
    <row r="103" spans="1:10" ht="15.75" x14ac:dyDescent="0.25">
      <c r="A103" s="7"/>
      <c r="B103" s="7"/>
      <c r="C103" s="7"/>
      <c r="D103" s="7"/>
      <c r="E103" s="7"/>
      <c r="F103" s="7"/>
      <c r="G103" s="7"/>
      <c r="H103" s="7"/>
      <c r="I103" s="8"/>
      <c r="J103" s="7"/>
    </row>
    <row r="104" spans="1:10" ht="15.75" x14ac:dyDescent="0.25">
      <c r="A104" s="7"/>
      <c r="B104" s="7"/>
      <c r="C104" s="7"/>
      <c r="D104" s="7"/>
      <c r="E104" s="7"/>
      <c r="F104" s="7"/>
      <c r="G104" s="7"/>
      <c r="H104" s="7"/>
      <c r="I104" s="8"/>
      <c r="J104" s="7"/>
    </row>
    <row r="105" spans="1:10" ht="15.75" x14ac:dyDescent="0.25">
      <c r="A105" s="7"/>
      <c r="B105" s="7"/>
      <c r="C105" s="7"/>
      <c r="D105" s="7"/>
      <c r="E105" s="7"/>
      <c r="F105" s="7"/>
      <c r="G105" s="7"/>
      <c r="H105" s="7"/>
      <c r="I105" s="8"/>
      <c r="J105" s="7"/>
    </row>
    <row r="106" spans="1:10" ht="15.75" x14ac:dyDescent="0.25">
      <c r="A106" s="7"/>
      <c r="B106" s="7"/>
      <c r="C106" s="7"/>
      <c r="D106" s="7"/>
      <c r="E106" s="7"/>
      <c r="F106" s="7"/>
      <c r="G106" s="7"/>
      <c r="H106" s="7"/>
      <c r="I106" s="8"/>
      <c r="J106" s="7"/>
    </row>
    <row r="107" spans="1:10" ht="15.75" x14ac:dyDescent="0.25">
      <c r="A107" s="7"/>
      <c r="B107" s="7"/>
      <c r="C107" s="7"/>
      <c r="D107" s="7"/>
      <c r="E107" s="7"/>
      <c r="F107" s="7"/>
      <c r="G107" s="7"/>
      <c r="H107" s="7"/>
      <c r="I107" s="8"/>
      <c r="J107" s="7"/>
    </row>
    <row r="108" spans="1:10" ht="15.75" x14ac:dyDescent="0.25">
      <c r="A108" s="7"/>
      <c r="B108" s="7"/>
      <c r="C108" s="7"/>
      <c r="D108" s="7"/>
      <c r="E108" s="7"/>
      <c r="F108" s="7"/>
      <c r="G108" s="7"/>
      <c r="H108" s="7"/>
      <c r="I108" s="8"/>
      <c r="J108" s="7"/>
    </row>
    <row r="109" spans="1:10" ht="15.75" x14ac:dyDescent="0.25">
      <c r="A109" s="7"/>
      <c r="B109" s="7"/>
      <c r="C109" s="7"/>
      <c r="D109" s="7"/>
      <c r="E109" s="7"/>
      <c r="F109" s="7"/>
      <c r="G109" s="7"/>
      <c r="H109" s="7"/>
      <c r="I109" s="8"/>
      <c r="J109" s="7"/>
    </row>
    <row r="110" spans="1:10" ht="15.75" x14ac:dyDescent="0.25">
      <c r="A110" s="7"/>
      <c r="B110" s="7"/>
      <c r="C110" s="7"/>
      <c r="D110" s="7"/>
      <c r="E110" s="7"/>
      <c r="F110" s="7"/>
      <c r="G110" s="7"/>
      <c r="H110" s="7"/>
      <c r="I110" s="8"/>
      <c r="J110" s="7"/>
    </row>
    <row r="111" spans="1:10" ht="15.75" x14ac:dyDescent="0.25">
      <c r="A111" s="7"/>
      <c r="B111" s="7"/>
      <c r="C111" s="7"/>
      <c r="D111" s="7"/>
      <c r="E111" s="7"/>
      <c r="F111" s="7"/>
      <c r="G111" s="7"/>
      <c r="H111" s="7"/>
      <c r="I111" s="8"/>
      <c r="J111" s="7"/>
    </row>
    <row r="112" spans="1:10" ht="15.75" x14ac:dyDescent="0.25">
      <c r="A112" s="7"/>
      <c r="B112" s="7"/>
      <c r="C112" s="7"/>
      <c r="D112" s="7"/>
      <c r="E112" s="7"/>
      <c r="F112" s="7"/>
      <c r="G112" s="7"/>
      <c r="H112" s="7"/>
      <c r="I112" s="8"/>
      <c r="J112" s="7"/>
    </row>
    <row r="113" spans="1:10" ht="15.75" x14ac:dyDescent="0.25">
      <c r="A113" s="7"/>
      <c r="B113" s="7"/>
      <c r="C113" s="7"/>
      <c r="D113" s="7"/>
      <c r="E113" s="7"/>
      <c r="F113" s="7"/>
      <c r="G113" s="7"/>
      <c r="H113" s="7"/>
      <c r="I113" s="8"/>
      <c r="J113" s="7"/>
    </row>
    <row r="114" spans="1:10" ht="15.75" x14ac:dyDescent="0.25">
      <c r="A114" s="7"/>
      <c r="B114" s="7"/>
      <c r="C114" s="7"/>
      <c r="D114" s="7"/>
      <c r="E114" s="7"/>
      <c r="F114" s="7"/>
      <c r="G114" s="7"/>
      <c r="H114" s="7"/>
      <c r="I114" s="8"/>
      <c r="J114" s="7"/>
    </row>
    <row r="115" spans="1:10" ht="15.75" x14ac:dyDescent="0.25">
      <c r="A115" s="7"/>
      <c r="B115" s="7"/>
      <c r="C115" s="7"/>
      <c r="D115" s="7"/>
      <c r="E115" s="7"/>
      <c r="F115" s="7"/>
      <c r="G115" s="7"/>
      <c r="H115" s="7"/>
      <c r="I115" s="8"/>
      <c r="J115" s="7"/>
    </row>
    <row r="116" spans="1:10" ht="15.75" x14ac:dyDescent="0.25">
      <c r="A116" s="7"/>
      <c r="B116" s="7"/>
      <c r="C116" s="7"/>
      <c r="D116" s="7"/>
      <c r="E116" s="7"/>
      <c r="F116" s="7"/>
      <c r="G116" s="7"/>
      <c r="H116" s="7"/>
      <c r="I116" s="8"/>
      <c r="J116" s="7"/>
    </row>
  </sheetData>
  <sheetProtection password="E9BA" sheet="1" objects="1" scenarios="1" formatCells="0" formatColumns="0" formatRows="0" insertRows="0" deleteColumns="0" deleteRows="0"/>
  <mergeCells count="31">
    <mergeCell ref="B62:E62"/>
    <mergeCell ref="G64:H64"/>
    <mergeCell ref="C64:D64"/>
    <mergeCell ref="B7:C7"/>
    <mergeCell ref="B1:C1"/>
    <mergeCell ref="B41:C41"/>
    <mergeCell ref="B56:D56"/>
    <mergeCell ref="B57:E57"/>
    <mergeCell ref="D59:E59"/>
    <mergeCell ref="G59:H59"/>
    <mergeCell ref="B61:E61"/>
    <mergeCell ref="B39:C39"/>
    <mergeCell ref="B42:C42"/>
    <mergeCell ref="B52:C52"/>
    <mergeCell ref="B54:C54"/>
    <mergeCell ref="D52:G52"/>
    <mergeCell ref="B44:C44"/>
    <mergeCell ref="B43:C43"/>
    <mergeCell ref="B46:C46"/>
    <mergeCell ref="D54:E54"/>
    <mergeCell ref="G54:H54"/>
    <mergeCell ref="B48:C48"/>
    <mergeCell ref="B50:C50"/>
    <mergeCell ref="C2:E2"/>
    <mergeCell ref="C4:E4"/>
    <mergeCell ref="I2:J2"/>
    <mergeCell ref="B37:C37"/>
    <mergeCell ref="B34:C34"/>
    <mergeCell ref="B35:C35"/>
    <mergeCell ref="C5:E5"/>
    <mergeCell ref="B31:C31"/>
  </mergeCells>
  <dataValidations count="5">
    <dataValidation showInputMessage="1" showErrorMessage="1" sqref="D31 J4"/>
    <dataValidation type="list" allowBlank="1" showInputMessage="1" showErrorMessage="1" sqref="H5">
      <formula1>"2009/2010,2010/2011,2011/2012"</formula1>
    </dataValidation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type="list" allowBlank="1" showInputMessage="1" showErrorMessage="1" sqref="D34">
      <formula1>"1,2"</formula1>
    </dataValidation>
    <dataValidation type="list" allowBlank="1" showInputMessage="1" showErrorMessage="1" sqref="F5">
      <formula1>$B$2:$B$7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Excess Workload Allowance
Claim Form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Info_Lists!$B$2:$B$7</xm:f>
          </x14:formula1>
          <xm:sqref>I4</xm:sqref>
        </x14:dataValidation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I2</xm:sqref>
        </x14:dataValidation>
        <x14:dataValidation type="list" allowBlank="1" showInputMessage="1" showErrorMessage="1">
          <x14:formula1>
            <xm:f>IF($I$4="2008/2009",Courses_List!$A$3:$A$102,IF($I$4="2009/2010",Courses_List!$E$3:$E$102,IF($I$4="2010/2011",Courses_List!$I$3:$I$102,IF($I$4="2011/2012",Courses_List!$M$3:$M$102,IF($I$4="2012/2013",Courses_List!$Q$3:$Q$102,"INVALID")))))</xm:f>
          </x14:formula1>
          <xm:sqref>B9:B28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3399"/>
  </sheetPr>
  <dimension ref="A1:K46"/>
  <sheetViews>
    <sheetView workbookViewId="0">
      <selection activeCell="F13" sqref="F13"/>
    </sheetView>
  </sheetViews>
  <sheetFormatPr defaultRowHeight="15" x14ac:dyDescent="0.25"/>
  <cols>
    <col min="1" max="1" width="2.85546875" bestFit="1" customWidth="1"/>
    <col min="2" max="2" width="19.5703125" bestFit="1" customWidth="1"/>
    <col min="3" max="3" width="5.7109375" customWidth="1"/>
    <col min="4" max="4" width="11.28515625" bestFit="1" customWidth="1"/>
    <col min="5" max="5" width="32.42578125" customWidth="1"/>
    <col min="6" max="6" width="21.140625" customWidth="1"/>
    <col min="8" max="8" width="8.42578125" customWidth="1"/>
    <col min="10" max="10" width="9.85546875" bestFit="1" customWidth="1"/>
    <col min="11" max="11" width="17.28515625" customWidth="1"/>
  </cols>
  <sheetData>
    <row r="1" spans="1:11" x14ac:dyDescent="0.25">
      <c r="A1" s="2" t="s">
        <v>0</v>
      </c>
      <c r="B1" s="113" t="s">
        <v>1</v>
      </c>
      <c r="C1" s="2"/>
      <c r="D1" s="2"/>
      <c r="E1" s="2"/>
      <c r="F1" s="2"/>
      <c r="G1" s="2"/>
      <c r="H1" s="3"/>
      <c r="I1" s="2"/>
      <c r="J1" s="4"/>
      <c r="K1" s="2"/>
    </row>
    <row r="2" spans="1:11" ht="15.75" x14ac:dyDescent="0.25">
      <c r="A2" s="2"/>
      <c r="B2" s="16" t="s">
        <v>2</v>
      </c>
      <c r="C2" s="214" t="s">
        <v>393</v>
      </c>
      <c r="D2" s="214"/>
      <c r="E2" s="214"/>
      <c r="F2" s="16" t="s">
        <v>3</v>
      </c>
      <c r="G2" s="255" t="str">
        <f>IF(LOOKUP($C$2,Staff_List!$A$4:$A$53,Staff_List!$B$4:$B$53)="","",LOOKUP($C$2,Staff_List!$A$4:$A$53,Staff_List!$B$4:$B$53))</f>
        <v>A7581</v>
      </c>
      <c r="H2" s="255"/>
      <c r="I2" s="16" t="s">
        <v>4</v>
      </c>
      <c r="J2" s="224" t="s">
        <v>103</v>
      </c>
      <c r="K2" s="224"/>
    </row>
    <row r="3" spans="1:11" x14ac:dyDescent="0.25">
      <c r="A3" s="2"/>
      <c r="B3" s="21"/>
      <c r="C3" s="2"/>
      <c r="D3" s="2"/>
      <c r="E3" s="2"/>
      <c r="F3" s="2"/>
      <c r="G3" s="3"/>
      <c r="H3" s="2"/>
      <c r="I3" s="2"/>
      <c r="J3" s="2"/>
      <c r="K3" s="44"/>
    </row>
    <row r="4" spans="1:11" x14ac:dyDescent="0.25">
      <c r="A4" s="2"/>
      <c r="B4" s="16" t="s">
        <v>35</v>
      </c>
      <c r="C4" s="224" t="s">
        <v>146</v>
      </c>
      <c r="D4" s="224"/>
      <c r="E4" s="224"/>
      <c r="F4" s="16" t="s">
        <v>5</v>
      </c>
      <c r="G4" s="224" t="s">
        <v>487</v>
      </c>
      <c r="H4" s="224"/>
      <c r="I4" s="16" t="s">
        <v>6</v>
      </c>
      <c r="J4" s="76" t="s">
        <v>107</v>
      </c>
      <c r="K4" s="101"/>
    </row>
    <row r="5" spans="1:1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  <c r="K5" s="46"/>
    </row>
    <row r="6" spans="1:11" x14ac:dyDescent="0.25">
      <c r="A6" s="2"/>
      <c r="B6" s="116"/>
      <c r="C6" s="2"/>
      <c r="D6" s="2"/>
      <c r="E6" s="2"/>
      <c r="F6" s="2"/>
      <c r="G6" s="2"/>
      <c r="H6" s="2"/>
      <c r="I6" s="3"/>
      <c r="J6" s="2"/>
      <c r="K6" s="4"/>
    </row>
    <row r="7" spans="1:11" ht="15.75" x14ac:dyDescent="0.25">
      <c r="A7" s="7" t="s">
        <v>7</v>
      </c>
      <c r="B7" s="152" t="s">
        <v>30</v>
      </c>
      <c r="C7" s="7"/>
      <c r="D7" s="7"/>
      <c r="E7" s="7"/>
      <c r="F7" s="7"/>
      <c r="G7" s="7"/>
      <c r="H7" s="7"/>
      <c r="I7" s="8"/>
      <c r="J7" s="7"/>
      <c r="K7" s="4"/>
    </row>
    <row r="8" spans="1:11" ht="27.75" customHeight="1" x14ac:dyDescent="0.25">
      <c r="A8" s="2"/>
      <c r="B8" s="2"/>
      <c r="C8" s="19" t="s">
        <v>31</v>
      </c>
      <c r="D8" s="32" t="s">
        <v>32</v>
      </c>
      <c r="E8" s="33" t="s">
        <v>33</v>
      </c>
      <c r="F8" s="37" t="s">
        <v>37</v>
      </c>
      <c r="G8" s="28"/>
      <c r="H8" s="28"/>
      <c r="I8" s="28"/>
      <c r="J8" s="9"/>
      <c r="K8" s="10"/>
    </row>
    <row r="9" spans="1:11" ht="15.75" x14ac:dyDescent="0.25">
      <c r="A9" s="2"/>
      <c r="B9" s="2"/>
      <c r="C9" s="31">
        <f>IF(ISTEXT($D9),1,"")</f>
        <v>1</v>
      </c>
      <c r="D9" s="202" t="s">
        <v>551</v>
      </c>
      <c r="E9" s="203" t="s">
        <v>552</v>
      </c>
      <c r="F9" s="11" t="s">
        <v>39</v>
      </c>
      <c r="G9" s="7"/>
      <c r="H9" s="7"/>
      <c r="I9" s="7"/>
      <c r="J9" s="8"/>
      <c r="K9" s="12"/>
    </row>
    <row r="10" spans="1:11" ht="15.75" x14ac:dyDescent="0.25">
      <c r="A10" s="2"/>
      <c r="B10" s="2"/>
      <c r="C10" s="31">
        <f>IF(ISTEXT($D10),2,"")</f>
        <v>2</v>
      </c>
      <c r="D10" s="202" t="s">
        <v>553</v>
      </c>
      <c r="E10" s="203" t="s">
        <v>554</v>
      </c>
      <c r="F10" s="11" t="s">
        <v>39</v>
      </c>
      <c r="G10" s="7"/>
      <c r="H10" s="7"/>
      <c r="I10" s="7"/>
      <c r="J10" s="8"/>
      <c r="K10" s="12"/>
    </row>
    <row r="11" spans="1:11" ht="15.75" x14ac:dyDescent="0.25">
      <c r="A11" s="2"/>
      <c r="B11" s="2"/>
      <c r="C11" s="31">
        <f>IF(ISTEXT($D11),3,"")</f>
        <v>3</v>
      </c>
      <c r="D11" s="202" t="s">
        <v>555</v>
      </c>
      <c r="E11" s="203" t="s">
        <v>556</v>
      </c>
      <c r="F11" s="11" t="s">
        <v>39</v>
      </c>
      <c r="G11" s="7"/>
      <c r="H11" s="7"/>
      <c r="I11" s="7"/>
      <c r="J11" s="8"/>
      <c r="K11" s="12"/>
    </row>
    <row r="12" spans="1:11" ht="15.75" x14ac:dyDescent="0.25">
      <c r="A12" s="2"/>
      <c r="B12" s="2"/>
      <c r="C12" s="31">
        <f>IF(ISTEXT($D12),4,"")</f>
        <v>4</v>
      </c>
      <c r="D12" s="202" t="s">
        <v>557</v>
      </c>
      <c r="E12" s="203" t="s">
        <v>558</v>
      </c>
      <c r="F12" s="11" t="s">
        <v>39</v>
      </c>
      <c r="G12" s="7"/>
      <c r="H12" s="7"/>
      <c r="I12" s="7"/>
      <c r="J12" s="8"/>
      <c r="K12" s="12"/>
    </row>
    <row r="13" spans="1:11" ht="15.75" x14ac:dyDescent="0.25">
      <c r="A13" s="2"/>
      <c r="B13" s="2"/>
      <c r="C13" s="31">
        <f>IF(ISTEXT($D13),5,"")</f>
        <v>5</v>
      </c>
      <c r="D13" s="202" t="s">
        <v>559</v>
      </c>
      <c r="E13" s="203" t="s">
        <v>560</v>
      </c>
      <c r="F13" s="11" t="s">
        <v>39</v>
      </c>
      <c r="G13" s="7"/>
      <c r="H13" s="7"/>
      <c r="I13" s="7"/>
      <c r="J13" s="8"/>
      <c r="K13" s="12"/>
    </row>
    <row r="14" spans="1:11" ht="15.75" x14ac:dyDescent="0.25">
      <c r="A14" s="2"/>
      <c r="B14" s="2"/>
      <c r="C14" s="31" t="str">
        <f>IF(ISTEXT($D14),6,"")</f>
        <v/>
      </c>
      <c r="D14" s="29"/>
      <c r="E14" s="11"/>
      <c r="F14" s="11"/>
      <c r="G14" s="7"/>
      <c r="H14" s="7"/>
      <c r="I14" s="7"/>
      <c r="J14" s="8"/>
      <c r="K14" s="12"/>
    </row>
    <row r="15" spans="1:11" ht="15.75" x14ac:dyDescent="0.25">
      <c r="A15" s="2"/>
      <c r="B15" s="2"/>
      <c r="C15" s="31" t="str">
        <f>IF(ISTEXT($D15),7,"")</f>
        <v/>
      </c>
      <c r="D15" s="29"/>
      <c r="E15" s="11"/>
      <c r="F15" s="11"/>
      <c r="G15" s="7"/>
      <c r="H15" s="7"/>
      <c r="I15" s="7"/>
      <c r="J15" s="8"/>
      <c r="K15" s="12"/>
    </row>
    <row r="16" spans="1:11" ht="15.75" x14ac:dyDescent="0.25">
      <c r="A16" s="2"/>
      <c r="B16" s="2"/>
      <c r="C16" s="31" t="str">
        <f>IF(ISTEXT($D16),8,"")</f>
        <v/>
      </c>
      <c r="D16" s="29"/>
      <c r="E16" s="11"/>
      <c r="F16" s="11"/>
      <c r="G16" s="7"/>
      <c r="H16" s="7"/>
      <c r="I16" s="7"/>
      <c r="J16" s="8"/>
      <c r="K16" s="12"/>
    </row>
    <row r="17" spans="1:11" ht="15.75" x14ac:dyDescent="0.25">
      <c r="A17" s="2"/>
      <c r="B17" s="2"/>
      <c r="C17" s="31" t="str">
        <f>IF(ISTEXT($D17),9,"")</f>
        <v/>
      </c>
      <c r="D17" s="29"/>
      <c r="E17" s="11"/>
      <c r="F17" s="11"/>
      <c r="G17" s="7"/>
      <c r="H17" s="7"/>
      <c r="I17" s="7"/>
      <c r="J17" s="8"/>
      <c r="K17" s="12"/>
    </row>
    <row r="18" spans="1:11" ht="15.75" x14ac:dyDescent="0.25">
      <c r="A18" s="2"/>
      <c r="B18" s="2"/>
      <c r="C18" s="31" t="str">
        <f>IF(ISTEXT($D18),10,"")</f>
        <v/>
      </c>
      <c r="D18" s="29"/>
      <c r="E18" s="11"/>
      <c r="F18" s="11"/>
      <c r="G18" s="7"/>
      <c r="H18" s="7"/>
      <c r="I18" s="7"/>
      <c r="J18" s="8"/>
      <c r="K18" s="12"/>
    </row>
    <row r="19" spans="1:11" ht="15.75" x14ac:dyDescent="0.25">
      <c r="A19" s="2"/>
      <c r="B19" s="2"/>
      <c r="C19" s="31" t="str">
        <f>IF(ISTEXT($D19),11,"")</f>
        <v/>
      </c>
      <c r="D19" s="29"/>
      <c r="E19" s="11"/>
      <c r="F19" s="11"/>
      <c r="G19" s="7"/>
      <c r="H19" s="7"/>
      <c r="I19" s="7"/>
      <c r="J19" s="8"/>
      <c r="K19" s="12"/>
    </row>
    <row r="20" spans="1:11" ht="15.75" x14ac:dyDescent="0.25">
      <c r="A20" s="2"/>
      <c r="B20" s="2"/>
      <c r="C20" s="31" t="str">
        <f>IF(ISTEXT($D20),12,"")</f>
        <v/>
      </c>
      <c r="D20" s="29"/>
      <c r="E20" s="11"/>
      <c r="F20" s="11"/>
      <c r="G20" s="7"/>
      <c r="H20" s="7"/>
      <c r="I20" s="7"/>
      <c r="J20" s="8"/>
      <c r="K20" s="12"/>
    </row>
    <row r="21" spans="1:11" ht="15.75" x14ac:dyDescent="0.25">
      <c r="A21" s="2"/>
      <c r="B21" s="2"/>
      <c r="C21" s="31" t="str">
        <f>IF(ISTEXT($D21),13,"")</f>
        <v/>
      </c>
      <c r="D21" s="29"/>
      <c r="E21" s="11"/>
      <c r="F21" s="11"/>
      <c r="G21" s="7"/>
      <c r="H21" s="7"/>
      <c r="I21" s="7"/>
      <c r="J21" s="8"/>
      <c r="K21" s="12"/>
    </row>
    <row r="22" spans="1:11" ht="15.75" x14ac:dyDescent="0.25">
      <c r="A22" s="2"/>
      <c r="B22" s="2"/>
      <c r="C22" s="31" t="str">
        <f>IF(ISTEXT($D22),14,"")</f>
        <v/>
      </c>
      <c r="D22" s="29"/>
      <c r="E22" s="11"/>
      <c r="F22" s="11"/>
      <c r="G22" s="7"/>
      <c r="H22" s="7"/>
      <c r="I22" s="7"/>
      <c r="J22" s="8"/>
      <c r="K22" s="12"/>
    </row>
    <row r="23" spans="1:11" ht="15.75" x14ac:dyDescent="0.25">
      <c r="A23" s="2"/>
      <c r="B23" s="2"/>
      <c r="C23" s="31" t="str">
        <f>IF(ISTEXT($D23),15,"")</f>
        <v/>
      </c>
      <c r="D23" s="29"/>
      <c r="E23" s="11"/>
      <c r="F23" s="11"/>
      <c r="G23" s="7"/>
      <c r="H23" s="7"/>
      <c r="I23" s="7"/>
      <c r="J23" s="8"/>
      <c r="K23" s="12"/>
    </row>
    <row r="24" spans="1:11" ht="15.75" x14ac:dyDescent="0.25">
      <c r="A24" s="2"/>
      <c r="B24" s="2"/>
      <c r="C24" s="60"/>
      <c r="D24" s="58"/>
      <c r="E24" s="59"/>
      <c r="F24" s="59"/>
      <c r="G24" s="7"/>
      <c r="H24" s="7"/>
      <c r="I24" s="7"/>
      <c r="J24" s="8"/>
      <c r="K24" s="12"/>
    </row>
    <row r="25" spans="1:11" ht="15.75" x14ac:dyDescent="0.25">
      <c r="A25" s="2"/>
      <c r="B25" s="2"/>
      <c r="C25" s="256" t="s">
        <v>109</v>
      </c>
      <c r="D25" s="256"/>
      <c r="E25" s="256"/>
      <c r="F25" s="57"/>
      <c r="G25" s="7"/>
      <c r="H25" s="7"/>
      <c r="I25" s="7"/>
      <c r="J25" s="8"/>
      <c r="K25" s="12"/>
    </row>
    <row r="26" spans="1:11" ht="15.75" x14ac:dyDescent="0.25">
      <c r="A26" s="2"/>
      <c r="B26" s="2"/>
      <c r="C26" s="256" t="s">
        <v>110</v>
      </c>
      <c r="D26" s="256"/>
      <c r="E26" s="256"/>
      <c r="F26" s="57"/>
      <c r="G26" s="7"/>
      <c r="H26" s="7"/>
      <c r="I26" s="7"/>
      <c r="J26" s="8"/>
      <c r="K26" s="12"/>
    </row>
    <row r="27" spans="1:11" ht="15.75" x14ac:dyDescent="0.25">
      <c r="A27" s="2"/>
      <c r="B27" s="2"/>
      <c r="C27" s="256" t="s">
        <v>111</v>
      </c>
      <c r="D27" s="256"/>
      <c r="E27" s="256"/>
      <c r="F27" s="57"/>
      <c r="G27" s="7"/>
      <c r="H27" s="7"/>
      <c r="I27" s="7"/>
      <c r="J27" s="8"/>
      <c r="K27" s="12"/>
    </row>
    <row r="28" spans="1:11" ht="15.75" x14ac:dyDescent="0.25">
      <c r="A28" s="2"/>
      <c r="B28" s="30"/>
      <c r="C28" s="7"/>
      <c r="D28" s="7"/>
      <c r="E28" s="7"/>
      <c r="F28" s="7"/>
      <c r="G28" s="7"/>
      <c r="H28" s="7"/>
      <c r="I28" s="7"/>
      <c r="J28" s="8"/>
      <c r="K28" s="12"/>
    </row>
    <row r="29" spans="1:11" ht="15.75" x14ac:dyDescent="0.25">
      <c r="A29" s="2"/>
      <c r="B29" s="2"/>
      <c r="C29" s="212" t="s">
        <v>38</v>
      </c>
      <c r="D29" s="212"/>
      <c r="E29" s="212"/>
      <c r="F29" s="36">
        <f>IF($J$4="2008/2009",(IF(OR(LEFT($G$4,1)="P",LEFT($G$4,1)="R"),IF(COUNTIF($F$9:$F$23,"Field Trip")&gt;0,1,0)*100000,IF(LEFT($G$4,1)="S",IF(COUNTIF($F$9:$F$23,"Field Trip")&gt;0,1,0)*80000,IF(OR(LEFT($G$4,1)="L",LEFT($G$4,1)="L",LEFT($G$4,1)="A"),IF(COUNTIF($F$9:$F$23,"Field Trip")&gt;0,1,0)*60000,"#ERROR"))))/2,IF(OR(LEFT($G$4,1)="P",LEFT($G$4,1)="R"),IF(COUNTIF($F$9:$F$23,"Field Trip")&gt;0,1,0)*100000,IF(LEFT($G$4,1)="S",IF(COUNTIF($F$9:$F$23,"Field Trip")&gt;0,1,0)*80000,IF(OR(LEFT($G$4,1)="L",LEFT($G$4,1)="L",LEFT($G$4,1)="A"),IF(COUNTIF($F$9:$F$23,"Field Trip")&gt;0,1,0)*60000,"#ERROR"))))</f>
        <v>0</v>
      </c>
      <c r="G29" s="7"/>
      <c r="H29" s="7"/>
      <c r="I29" s="7"/>
      <c r="J29" s="8"/>
      <c r="K29" s="2"/>
    </row>
    <row r="30" spans="1:11" ht="15.75" x14ac:dyDescent="0.25">
      <c r="A30" s="2"/>
      <c r="B30" s="2"/>
      <c r="C30" s="212" t="s">
        <v>39</v>
      </c>
      <c r="D30" s="212"/>
      <c r="E30" s="212"/>
      <c r="F30" s="36">
        <f>IF($J$4="2008/2009",(IF(OR(LEFT($G$4,1)="P",LEFT($G$4,1)="R"),IF(COUNTIF($F$9:$F$23,"Industrial Supervision")&gt;0,1,0)*100000,IF(LEFT($G$4,1)="S",IF(COUNTIF($F$9:$F$23,"Industrial Supervision")&gt;0,1,0)*80000,IF(OR(LEFT($G$4,1)="L",LEFT($G$4,1)="L",LEFT($G$4,1)="A"),IF(COUNTIF($F$9:$F$23,"Industrial Supervision")&gt;0,1,0)*60000,"#ERROR"))))/2,IF(OR(LEFT($G$4,1)="P",LEFT($G$4,1)="R"),IF(COUNTIF($F$9:$F$23,"Industrial Supervision")&gt;0,1,0)*100000,IF(LEFT($G$4,1)="S",IF(COUNTIF($F$9:$F$23,"Industrial Supervision")&gt;0,1,0)*80000,IF(OR(LEFT($G$4,1)="L",LEFT($G$4,1)="L",LEFT($G$4,1)="A"),IF(COUNTIF($F$9:$F$23,"Industrial Supervision")&gt;0,1,0)*60000,"#ERROR"))))</f>
        <v>80000</v>
      </c>
      <c r="G30" s="7"/>
      <c r="H30" s="7"/>
      <c r="I30" s="7"/>
      <c r="J30" s="8"/>
      <c r="K30" s="2"/>
    </row>
    <row r="31" spans="1:11" ht="15.75" x14ac:dyDescent="0.25">
      <c r="A31" s="2"/>
      <c r="B31" s="2"/>
      <c r="C31" s="212" t="s">
        <v>40</v>
      </c>
      <c r="D31" s="212"/>
      <c r="E31" s="212"/>
      <c r="F31" s="36">
        <f>IF($J$4="2008/2009",(IF(OR(LEFT($G$4,1)="P",LEFT($G$4,1)="R"),IF(COUNTIF($F$9:$F$23,"Teaching Practice")&gt;0,1,0)*100000,IF(LEFT($G$4,1)="S",IF(COUNTIF($F$9:$F$23,"Teaching Practice")&gt;0,1,0)*80000,IF(OR(LEFT($G$4,1)="L",LEFT($G$4,1)="L",LEFT($G$4,1)="A"),IF(COUNTIF($F$9:$F$23,"Teaching Practice")&gt;0,1,0)*60000,"#ERROR"))))/2,IF(OR(LEFT($G$4,1)="P",LEFT($G$4,1)="R"),IF(COUNTIF($F$9:$F$23,"Teaching Practice")&gt;0,1,0)*100000,IF(LEFT($G$4,1)="S",IF(COUNTIF($F$9:$F$23,"Teaching Practice")&gt;0,1,0)*80000,IF(OR(LEFT($G$4,1)="L",LEFT($G$4,1)="L",LEFT($G$4,1)="A"),IF(COUNTIF($F$9:$F$23,"Teaching Practice")&gt;0,1,0)*60000,"#ERROR"))))</f>
        <v>0</v>
      </c>
      <c r="G31" s="7"/>
      <c r="H31" s="7"/>
      <c r="I31" s="7"/>
      <c r="J31" s="8"/>
      <c r="K31" s="2"/>
    </row>
    <row r="32" spans="1:11" ht="15.75" x14ac:dyDescent="0.25">
      <c r="A32" s="2" t="s">
        <v>9</v>
      </c>
      <c r="B32" s="212" t="s">
        <v>180</v>
      </c>
      <c r="C32" s="212"/>
      <c r="D32" s="153"/>
      <c r="E32" s="69"/>
      <c r="F32" s="26">
        <f>SUM(F29:F31)</f>
        <v>80000</v>
      </c>
      <c r="G32" s="7"/>
      <c r="H32" s="7"/>
      <c r="I32" s="7"/>
      <c r="J32" s="8"/>
      <c r="K32" s="2"/>
    </row>
    <row r="33" spans="1:11" ht="15.75" x14ac:dyDescent="0.25">
      <c r="A33" s="2"/>
      <c r="B33" s="30"/>
      <c r="C33" s="7"/>
      <c r="D33" s="7"/>
      <c r="E33" s="7"/>
      <c r="F33" s="7"/>
      <c r="G33" s="7"/>
      <c r="H33" s="7"/>
      <c r="I33" s="7"/>
      <c r="J33" s="8"/>
      <c r="K33" s="2"/>
    </row>
    <row r="34" spans="1:11" ht="15.75" x14ac:dyDescent="0.25">
      <c r="A34" s="7" t="s">
        <v>10</v>
      </c>
      <c r="B34" s="264" t="s">
        <v>41</v>
      </c>
      <c r="C34" s="264"/>
      <c r="D34" s="264"/>
      <c r="E34" s="216" t="s">
        <v>19</v>
      </c>
      <c r="F34" s="216"/>
      <c r="G34" s="98"/>
      <c r="H34" s="7"/>
      <c r="I34" s="7"/>
      <c r="J34" s="8"/>
      <c r="K34" s="2"/>
    </row>
    <row r="35" spans="1:11" ht="15.75" x14ac:dyDescent="0.25">
      <c r="A35" s="7"/>
      <c r="B35" s="98"/>
      <c r="C35" s="98"/>
      <c r="D35" s="98"/>
      <c r="E35" s="98"/>
      <c r="F35" s="98"/>
      <c r="G35" s="98"/>
      <c r="H35" s="7"/>
      <c r="I35" s="2"/>
      <c r="J35" s="2"/>
      <c r="K35" s="2"/>
    </row>
    <row r="36" spans="1:11" ht="15.75" x14ac:dyDescent="0.25">
      <c r="A36" s="7"/>
      <c r="B36" s="216" t="s">
        <v>20</v>
      </c>
      <c r="C36" s="216"/>
      <c r="D36" s="216"/>
      <c r="E36" s="98"/>
      <c r="F36" s="7" t="s">
        <v>21</v>
      </c>
      <c r="G36" s="254"/>
      <c r="H36" s="254"/>
      <c r="I36" s="2"/>
      <c r="J36" s="2"/>
      <c r="K36" s="2"/>
    </row>
    <row r="37" spans="1:11" ht="15.75" x14ac:dyDescent="0.25">
      <c r="A37" s="7"/>
      <c r="B37" s="7"/>
      <c r="C37" s="7"/>
      <c r="D37" s="7"/>
      <c r="E37" s="7"/>
      <c r="F37" s="7"/>
      <c r="G37" s="7"/>
      <c r="H37" s="7"/>
      <c r="I37" s="2"/>
      <c r="J37" s="2"/>
      <c r="K37" s="2"/>
    </row>
    <row r="38" spans="1:11" ht="15.75" x14ac:dyDescent="0.25">
      <c r="A38" s="7" t="s">
        <v>11</v>
      </c>
      <c r="B38" s="212" t="s">
        <v>23</v>
      </c>
      <c r="C38" s="212"/>
      <c r="D38" s="212"/>
      <c r="E38" s="212"/>
      <c r="F38" s="7"/>
      <c r="G38" s="7"/>
      <c r="H38" s="7"/>
      <c r="I38" s="2"/>
      <c r="J38" s="2"/>
      <c r="K38" s="2"/>
    </row>
    <row r="39" spans="1:11" ht="15.75" x14ac:dyDescent="0.25">
      <c r="A39" s="7"/>
      <c r="B39" s="216" t="s">
        <v>24</v>
      </c>
      <c r="C39" s="216"/>
      <c r="D39" s="216"/>
      <c r="E39" s="216"/>
      <c r="F39" s="26">
        <f>$F$32</f>
        <v>80000</v>
      </c>
      <c r="G39" s="7"/>
      <c r="H39" s="7"/>
      <c r="I39" s="2"/>
      <c r="J39" s="2"/>
      <c r="K39" s="2"/>
    </row>
    <row r="40" spans="1:11" ht="15.75" x14ac:dyDescent="0.25">
      <c r="A40" s="7"/>
      <c r="B40" s="98"/>
      <c r="C40" s="98"/>
      <c r="D40" s="98"/>
      <c r="E40" s="98"/>
      <c r="F40" s="15"/>
      <c r="G40" s="7"/>
      <c r="H40" s="7"/>
      <c r="I40" s="2"/>
      <c r="J40" s="2"/>
      <c r="K40" s="2"/>
    </row>
    <row r="41" spans="1:11" ht="15.75" x14ac:dyDescent="0.25">
      <c r="A41" s="7"/>
      <c r="B41" s="216" t="s">
        <v>25</v>
      </c>
      <c r="C41" s="216"/>
      <c r="D41" s="216"/>
      <c r="E41" s="216"/>
      <c r="F41" s="7" t="s">
        <v>21</v>
      </c>
      <c r="G41" s="216"/>
      <c r="H41" s="216"/>
      <c r="I41" s="2"/>
      <c r="J41" s="2"/>
      <c r="K41" s="2"/>
    </row>
    <row r="42" spans="1:11" ht="15.75" x14ac:dyDescent="0.25">
      <c r="A42" s="7"/>
      <c r="B42" s="7"/>
      <c r="C42" s="7"/>
      <c r="D42" s="7"/>
      <c r="E42" s="7"/>
      <c r="F42" s="7"/>
      <c r="G42" s="7"/>
      <c r="H42" s="7"/>
      <c r="I42" s="2"/>
      <c r="J42" s="2"/>
      <c r="K42" s="2"/>
    </row>
    <row r="43" spans="1:11" ht="15.75" x14ac:dyDescent="0.25">
      <c r="A43" s="7" t="s">
        <v>12</v>
      </c>
      <c r="B43" s="212" t="s">
        <v>27</v>
      </c>
      <c r="C43" s="212"/>
      <c r="D43" s="212"/>
      <c r="E43" s="212"/>
      <c r="F43" s="7"/>
      <c r="G43" s="7"/>
      <c r="H43" s="7"/>
      <c r="I43" s="2"/>
      <c r="J43" s="2"/>
      <c r="K43" s="2"/>
    </row>
    <row r="44" spans="1:11" ht="15.75" x14ac:dyDescent="0.25">
      <c r="A44" s="7"/>
      <c r="B44" s="216" t="s">
        <v>28</v>
      </c>
      <c r="C44" s="216"/>
      <c r="D44" s="216"/>
      <c r="E44" s="216"/>
      <c r="F44" s="26">
        <f>$F$32</f>
        <v>80000</v>
      </c>
      <c r="G44" s="7"/>
      <c r="H44" s="7"/>
      <c r="I44" s="2"/>
      <c r="J44" s="2"/>
      <c r="K44" s="2"/>
    </row>
    <row r="45" spans="1:11" ht="15.75" x14ac:dyDescent="0.25">
      <c r="A45" s="7"/>
      <c r="B45" s="7"/>
      <c r="C45" s="7"/>
      <c r="D45" s="7"/>
      <c r="E45" s="7"/>
      <c r="F45" s="7"/>
      <c r="G45" s="7"/>
      <c r="H45" s="7"/>
      <c r="I45" s="2"/>
      <c r="J45" s="2"/>
      <c r="K45" s="2"/>
    </row>
    <row r="46" spans="1:11" ht="15.75" x14ac:dyDescent="0.25">
      <c r="A46" s="7"/>
      <c r="B46" s="7" t="s">
        <v>29</v>
      </c>
      <c r="C46" s="216"/>
      <c r="D46" s="216"/>
      <c r="E46" s="216"/>
      <c r="F46" s="7" t="s">
        <v>21</v>
      </c>
      <c r="G46" s="216"/>
      <c r="H46" s="216"/>
      <c r="I46" s="2"/>
      <c r="J46" s="2"/>
      <c r="K46" s="2"/>
    </row>
  </sheetData>
  <sheetProtection password="E9BA" sheet="1" objects="1" scenarios="1" formatCells="0" formatColumns="0" formatRows="0" insertRows="0" deleteColumns="0" deleteRows="0"/>
  <mergeCells count="26">
    <mergeCell ref="C5:E5"/>
    <mergeCell ref="C2:E2"/>
    <mergeCell ref="G2:H2"/>
    <mergeCell ref="J2:K2"/>
    <mergeCell ref="C4:E4"/>
    <mergeCell ref="G4:H4"/>
    <mergeCell ref="C31:E31"/>
    <mergeCell ref="B32:C32"/>
    <mergeCell ref="B34:D34"/>
    <mergeCell ref="E34:F34"/>
    <mergeCell ref="B36:D36"/>
    <mergeCell ref="C25:E25"/>
    <mergeCell ref="C26:E26"/>
    <mergeCell ref="C27:E27"/>
    <mergeCell ref="C29:E29"/>
    <mergeCell ref="C30:E30"/>
    <mergeCell ref="G36:H36"/>
    <mergeCell ref="C46:E46"/>
    <mergeCell ref="G46:H46"/>
    <mergeCell ref="B39:E39"/>
    <mergeCell ref="B41:C41"/>
    <mergeCell ref="D41:E41"/>
    <mergeCell ref="G41:H41"/>
    <mergeCell ref="B43:E43"/>
    <mergeCell ref="B44:E44"/>
    <mergeCell ref="B38:E38"/>
  </mergeCells>
  <dataValidations count="4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F25:F27"/>
    <dataValidation type="list" showInputMessage="1" showErrorMessage="1" sqref="F9:F24">
      <formula1>"Field Trip,Industrial Supervision,Teaching Practice"</formula1>
    </dataValidation>
    <dataValidation type="list" allowBlank="1" showInputMessage="1" showErrorMessage="1" sqref="F5">
      <formula1>$B$2:$B$13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verticalDpi="0" r:id="rId1"/>
  <headerFooter>
    <oddHeader>&amp;C&amp;16UNIVERSITY OF LAGOS&amp;11
&amp;14Field Trip, Industrial Supervision and Teaching Practice&amp;11
&amp;14Claim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allowBlank="1" showInputMessage="1" showErrorMessage="1">
          <x14:formula1>
            <xm:f>Info_Lists!$B$2:$B$7</xm:f>
          </x14:formula1>
          <xm:sqref>J4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J2:K2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3399"/>
  </sheetPr>
  <dimension ref="A1:J25"/>
  <sheetViews>
    <sheetView workbookViewId="0">
      <selection activeCell="D8" sqref="D8"/>
    </sheetView>
  </sheetViews>
  <sheetFormatPr defaultRowHeight="15" x14ac:dyDescent="0.25"/>
  <cols>
    <col min="1" max="1" width="2.85546875" bestFit="1" customWidth="1"/>
    <col min="2" max="2" width="19.5703125" bestFit="1" customWidth="1"/>
    <col min="3" max="3" width="4.7109375" bestFit="1" customWidth="1"/>
    <col min="4" max="4" width="36.5703125" customWidth="1"/>
    <col min="5" max="5" width="21.42578125" customWidth="1"/>
    <col min="6" max="6" width="19.140625" customWidth="1"/>
    <col min="8" max="8" width="9.85546875" bestFit="1" customWidth="1"/>
    <col min="9" max="9" width="11.5703125" bestFit="1" customWidth="1"/>
    <col min="10" max="10" width="10.85546875" customWidth="1"/>
  </cols>
  <sheetData>
    <row r="1" spans="1:10" x14ac:dyDescent="0.25">
      <c r="A1" s="2" t="s">
        <v>0</v>
      </c>
      <c r="B1" s="34" t="s">
        <v>1</v>
      </c>
      <c r="C1" s="2"/>
      <c r="D1" s="2"/>
      <c r="E1" s="2"/>
      <c r="F1" s="2"/>
      <c r="G1" s="3"/>
      <c r="H1" s="2"/>
      <c r="I1" s="4"/>
      <c r="J1" s="2"/>
    </row>
    <row r="2" spans="1:10" ht="15.75" x14ac:dyDescent="0.25">
      <c r="A2" s="2"/>
      <c r="B2" s="16" t="s">
        <v>2</v>
      </c>
      <c r="C2" s="224" t="s">
        <v>393</v>
      </c>
      <c r="D2" s="224"/>
      <c r="E2" s="16" t="s">
        <v>3</v>
      </c>
      <c r="F2" s="84" t="str">
        <f>IF(LOOKUP($C$2,Staff_List!$A$4:$A$53,Staff_List!$B$4:$B$53)="","",LOOKUP($C$2,Staff_List!$A$4:$A$53,Staff_List!$B$4:$B$53))</f>
        <v>A7581</v>
      </c>
      <c r="G2" s="67"/>
      <c r="H2" s="257"/>
      <c r="I2" s="257"/>
    </row>
    <row r="3" spans="1:10" x14ac:dyDescent="0.25">
      <c r="A3" s="2"/>
      <c r="B3" s="2"/>
      <c r="C3" s="2"/>
      <c r="D3" s="2"/>
      <c r="E3" s="2"/>
      <c r="F3" s="3"/>
      <c r="G3" s="2"/>
      <c r="H3" s="2"/>
      <c r="I3" s="44"/>
    </row>
    <row r="4" spans="1:10" x14ac:dyDescent="0.25">
      <c r="A4" s="2"/>
      <c r="B4" s="16" t="s">
        <v>173</v>
      </c>
      <c r="C4" s="224" t="s">
        <v>103</v>
      </c>
      <c r="D4" s="224"/>
      <c r="E4" s="16" t="s">
        <v>5</v>
      </c>
      <c r="F4" s="83" t="s">
        <v>487</v>
      </c>
      <c r="G4" s="16" t="s">
        <v>6</v>
      </c>
      <c r="H4" s="76" t="s">
        <v>107</v>
      </c>
      <c r="I4" s="85"/>
    </row>
    <row r="5" spans="1:10" x14ac:dyDescent="0.25">
      <c r="A5" s="2"/>
      <c r="B5" s="27"/>
      <c r="C5" s="2"/>
      <c r="D5" s="2"/>
      <c r="E5" s="2"/>
      <c r="F5" s="2"/>
      <c r="G5" s="2"/>
      <c r="H5" s="3"/>
      <c r="J5" s="46"/>
    </row>
    <row r="6" spans="1:10" ht="15.75" x14ac:dyDescent="0.25">
      <c r="A6" s="7" t="s">
        <v>7</v>
      </c>
      <c r="B6" s="35" t="s">
        <v>43</v>
      </c>
      <c r="C6" s="259"/>
      <c r="D6" s="259"/>
      <c r="E6" s="7"/>
      <c r="F6" s="7"/>
      <c r="G6" s="7"/>
      <c r="H6" s="8"/>
      <c r="J6" s="2"/>
    </row>
    <row r="7" spans="1:10" ht="15.75" x14ac:dyDescent="0.25">
      <c r="A7" s="2"/>
      <c r="B7" s="2"/>
      <c r="C7" s="19" t="s">
        <v>31</v>
      </c>
      <c r="D7" s="33" t="s">
        <v>44</v>
      </c>
      <c r="E7" s="18" t="s">
        <v>45</v>
      </c>
      <c r="F7" s="28"/>
      <c r="G7" s="28"/>
      <c r="H7" s="28"/>
      <c r="J7" s="2"/>
    </row>
    <row r="8" spans="1:10" ht="15.75" x14ac:dyDescent="0.25">
      <c r="A8" s="2"/>
      <c r="B8" s="2"/>
      <c r="C8" s="31">
        <f>IF(ISTEXT($D8),1,"")</f>
        <v>1</v>
      </c>
      <c r="D8" s="38" t="s">
        <v>87</v>
      </c>
      <c r="E8" s="61">
        <f>IF($D8="","",IF($H$4="2008/2009",IF(OR($D8="Deputy Vice Chancellor",$D8="Librarian"),750000,IF(OR($D8="Provost",$D8="Dean",$D8="Director"),500000,IF(OR($D8="Deputy Provost",$D8="Deputy Dean"),350000,IF(OR($D8="Head of Department",$D8="Sub Dean"),250000,150000))))/2,IF(OR($D8="Deputy Vice Chancellor",$D8="Librarian"),750000,IF(OR($D8="Provost",$D8="Dean",$D8="Director"),500000,IF(OR($D8="Deputy Provost",$D8="Deputy Dean"),350000,IF(OR($D8="Head of Department",$D8="Sub Dean"),250000,150000))))))</f>
        <v>250000</v>
      </c>
      <c r="F8" s="7"/>
      <c r="G8" s="7"/>
      <c r="H8" s="7"/>
      <c r="J8" s="2"/>
    </row>
    <row r="9" spans="1:10" ht="15.75" x14ac:dyDescent="0.25">
      <c r="A9" s="2"/>
      <c r="B9" s="2"/>
      <c r="C9" s="31" t="str">
        <f>IF(ISTEXT($D9),2,"")</f>
        <v/>
      </c>
      <c r="D9" s="38"/>
      <c r="E9" s="61" t="str">
        <f>IF($D9="","",IF($H$4="2008/2009",IF(OR($D9="Deputy Vice Chancellor",$D9="Librarian"),750000,IF(OR($D9="Provost",$D9="Dean",$D9="Director"),500000,IF(OR($D9="Deputy Provost",$D9="Deputy Dean"),350000,IF(OR($D9="Head of Department",$D9="Sub Dean"),250000,150000))))/2,IF(OR($D9="Deputy Vice Chancellor",$D9="Librarian"),750000,IF(OR($D9="Provost",$D9="Dean",$D9="Director"),500000,IF(OR($D9="Deputy Provost",$D9="Deputy Dean"),350000,IF(OR($D9="Head of Department",$D9="Sub Dean"),250000,150000))))))</f>
        <v/>
      </c>
      <c r="F9" s="7"/>
      <c r="G9" s="7"/>
      <c r="H9" s="7"/>
      <c r="J9" s="2"/>
    </row>
    <row r="10" spans="1:10" ht="15.75" x14ac:dyDescent="0.25">
      <c r="A10" s="2"/>
      <c r="B10" s="2"/>
      <c r="C10" s="31" t="str">
        <f>IF(ISTEXT($D10),3,"")</f>
        <v/>
      </c>
      <c r="D10" s="38"/>
      <c r="E10" s="61" t="str">
        <f>IF($D10="","",IF($H$4="2008/2009",IF(OR($D10="Deputy Vice Chancellor",$D10="Librarian"),750000,IF(OR($D10="Provost",$D10="Dean",$D10="Director"),500000,IF(OR($D10="Deputy Provost",$D10="Deputy Dean"),350000,IF(OR($D10="Head of Department",$D10="Sub Dean"),250000,150000))))/2,IF(OR($D10="Deputy Vice Chancellor",$D10="Librarian"),750000,IF(OR($D10="Provost",$D10="Dean",$D10="Director"),500000,IF(OR($D10="Deputy Provost",$D10="Deputy Dean"),350000,IF(OR($D10="Head of Department",$D10="Sub Dean"),250000,150000))))))</f>
        <v/>
      </c>
      <c r="F10" s="7"/>
      <c r="G10" s="7"/>
      <c r="H10" s="7"/>
      <c r="J10" s="2"/>
    </row>
    <row r="11" spans="1:10" ht="15.75" x14ac:dyDescent="0.25">
      <c r="A11" s="2"/>
      <c r="B11" s="2"/>
      <c r="C11" s="31" t="str">
        <f>IF(ISTEXT($D11),4,"")</f>
        <v/>
      </c>
      <c r="D11" s="38"/>
      <c r="E11" s="61" t="str">
        <f>IF($D11="","",IF($H$4="2008/2009",IF(OR($D11="Deputy Vice Chancellor",$D11="Librarian"),750000,IF(OR($D11="Provost",$D11="Dean",$D11="Director"),500000,IF(OR($D11="Deputy Provost",$D11="Deputy Dean"),350000,IF(OR($D11="Head of Department",$D11="Sub Dean"),250000,150000))))/2,IF(OR($D11="Deputy Vice Chancellor",$D11="Librarian"),750000,IF(OR($D11="Provost",$D11="Dean",$D11="Director"),500000,IF(OR($D11="Deputy Provost",$D11="Deputy Dean"),350000,IF(OR($D11="Head of Department",$D11="Sub Dean"),250000,150000))))))</f>
        <v/>
      </c>
      <c r="F11" s="7"/>
      <c r="G11" s="7"/>
      <c r="H11" s="7"/>
      <c r="J11" s="2"/>
    </row>
    <row r="12" spans="1:10" ht="15.75" x14ac:dyDescent="0.25">
      <c r="A12" s="2"/>
      <c r="B12" s="2"/>
      <c r="C12" s="31" t="str">
        <f>IF(ISTEXT($D12),5,"")</f>
        <v/>
      </c>
      <c r="D12" s="38"/>
      <c r="E12" s="61" t="str">
        <f>IF($D12="","",IF($H$4="2008/2009",IF(OR($D12="Deputy Vice Chancellor",$D12="Librarian"),750000,IF(OR($D12="Provost",$D12="Dean",$D12="Director"),500000,IF(OR($D12="Deputy Provost",$D12="Deputy Dean"),350000,IF(OR($D12="Head of Department",$D12="Sub Dean"),250000,150000))))/2,IF(OR($D12="Deputy Vice Chancellor",$D12="Librarian"),750000,IF(OR($D12="Provost",$D12="Dean",$D12="Director"),500000,IF(OR($D12="Deputy Provost",$D12="Deputy Dean"),350000,IF(OR($D12="Head of Department",$D12="Sub Dean"),250000,150000))))))</f>
        <v/>
      </c>
      <c r="F12" s="7"/>
      <c r="G12" s="7"/>
      <c r="H12" s="7"/>
      <c r="J12" s="2"/>
    </row>
    <row r="13" spans="1:10" ht="15.75" x14ac:dyDescent="0.25">
      <c r="A13" t="s">
        <v>9</v>
      </c>
      <c r="B13" s="264" t="s">
        <v>181</v>
      </c>
      <c r="C13" s="264"/>
      <c r="D13" s="264"/>
      <c r="E13" s="70">
        <f>SUM(E8:E11)</f>
        <v>250000</v>
      </c>
    </row>
    <row r="15" spans="1:10" ht="15.75" x14ac:dyDescent="0.25">
      <c r="A15" s="7" t="s">
        <v>10</v>
      </c>
      <c r="B15" s="264" t="s">
        <v>41</v>
      </c>
      <c r="C15" s="264"/>
      <c r="D15" s="264"/>
      <c r="E15" s="216" t="s">
        <v>19</v>
      </c>
      <c r="F15" s="216"/>
      <c r="G15" s="216"/>
    </row>
    <row r="16" spans="1:10" ht="15.75" x14ac:dyDescent="0.25">
      <c r="A16" s="7"/>
      <c r="B16" s="82"/>
      <c r="C16" s="82"/>
      <c r="D16" s="82"/>
      <c r="E16" s="82"/>
      <c r="F16" s="82"/>
    </row>
    <row r="17" spans="1:10" ht="15.75" x14ac:dyDescent="0.25">
      <c r="A17" s="7"/>
      <c r="B17" s="216" t="s">
        <v>20</v>
      </c>
      <c r="C17" s="216"/>
      <c r="D17" s="216"/>
      <c r="E17" s="82"/>
      <c r="F17" s="7" t="s">
        <v>21</v>
      </c>
    </row>
    <row r="18" spans="1:10" ht="15.75" x14ac:dyDescent="0.25">
      <c r="A18" s="7"/>
      <c r="B18" s="7"/>
      <c r="C18" s="7"/>
      <c r="D18" s="7"/>
      <c r="E18" s="7"/>
      <c r="F18" s="7"/>
      <c r="G18" s="7"/>
      <c r="H18" s="7"/>
      <c r="I18" s="2"/>
      <c r="J18" s="2"/>
    </row>
    <row r="19" spans="1:10" ht="15.75" x14ac:dyDescent="0.25">
      <c r="A19" s="7" t="s">
        <v>11</v>
      </c>
      <c r="B19" s="264" t="s">
        <v>174</v>
      </c>
      <c r="C19" s="264"/>
      <c r="D19" s="264"/>
      <c r="E19" s="264"/>
      <c r="F19" s="7"/>
      <c r="G19" s="7"/>
      <c r="H19" s="7"/>
      <c r="I19" s="2"/>
      <c r="J19" s="2"/>
    </row>
    <row r="20" spans="1:10" ht="15.75" x14ac:dyDescent="0.25">
      <c r="A20" s="7"/>
      <c r="B20" s="216" t="s">
        <v>24</v>
      </c>
      <c r="C20" s="216"/>
      <c r="D20" s="216"/>
      <c r="E20" s="216"/>
      <c r="F20" s="26">
        <f>IF($E13=0,"",$E13)</f>
        <v>250000</v>
      </c>
      <c r="G20" s="7"/>
      <c r="H20" s="7"/>
      <c r="I20" s="2"/>
      <c r="J20" s="2"/>
    </row>
    <row r="21" spans="1:10" ht="15.75" x14ac:dyDescent="0.25">
      <c r="A21" s="7"/>
      <c r="B21" s="7"/>
      <c r="C21" s="7"/>
      <c r="D21" s="7"/>
      <c r="E21" s="7"/>
      <c r="F21" s="7"/>
    </row>
    <row r="22" spans="1:10" ht="15.75" x14ac:dyDescent="0.25">
      <c r="A22" s="7" t="s">
        <v>12</v>
      </c>
      <c r="B22" s="264" t="s">
        <v>27</v>
      </c>
      <c r="C22" s="264"/>
      <c r="D22" s="264"/>
      <c r="E22" s="264"/>
      <c r="F22" s="7"/>
    </row>
    <row r="23" spans="1:10" ht="15.75" x14ac:dyDescent="0.25">
      <c r="A23" s="7"/>
      <c r="B23" s="216" t="s">
        <v>28</v>
      </c>
      <c r="C23" s="216"/>
      <c r="D23" s="216"/>
      <c r="E23" s="216"/>
      <c r="F23" s="26">
        <f>IF($E13=0,"",$E13)</f>
        <v>250000</v>
      </c>
    </row>
    <row r="24" spans="1:10" ht="15.75" x14ac:dyDescent="0.25">
      <c r="A24" s="7"/>
      <c r="B24" s="7"/>
      <c r="C24" s="7"/>
      <c r="D24" s="7"/>
      <c r="E24" s="7"/>
      <c r="F24" s="7"/>
    </row>
    <row r="25" spans="1:10" ht="15.75" x14ac:dyDescent="0.25">
      <c r="A25" s="7"/>
      <c r="B25" s="7" t="s">
        <v>29</v>
      </c>
      <c r="C25" s="216"/>
      <c r="D25" s="216"/>
      <c r="E25" s="216"/>
      <c r="F25" s="7" t="s">
        <v>21</v>
      </c>
    </row>
  </sheetData>
  <sheetProtection password="E9BA" sheet="1" objects="1" scenarios="1" formatCells="0" formatColumns="0" formatRows="0" insertColumns="0" insertRows="0" deleteColumns="0" deleteRows="0"/>
  <mergeCells count="13">
    <mergeCell ref="C25:E25"/>
    <mergeCell ref="C2:D2"/>
    <mergeCell ref="H2:I2"/>
    <mergeCell ref="C4:D4"/>
    <mergeCell ref="C6:D6"/>
    <mergeCell ref="B13:D13"/>
    <mergeCell ref="B15:D15"/>
    <mergeCell ref="E15:G15"/>
    <mergeCell ref="B17:D17"/>
    <mergeCell ref="B19:E19"/>
    <mergeCell ref="B20:E20"/>
    <mergeCell ref="B22:E22"/>
    <mergeCell ref="B23:E23"/>
  </mergeCells>
  <dataValidations count="3">
    <dataValidation type="list" showInputMessage="1" showErrorMessage="1" sqref="F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I4"/>
    <dataValidation type="list" allowBlank="1" showInputMessage="1" showErrorMessage="1" sqref="C4:D4">
      <formula1>$C$2:$C$13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Faculty/Directorate Responsibility Allowance 
Claim Form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Staff_List!$A$2:$A$53</xm:f>
          </x14:formula1>
          <xm:sqref>C2:D2</xm:sqref>
        </x14:dataValidation>
        <x14:dataValidation type="list" allowBlank="1" showInputMessage="1" showErrorMessage="1">
          <x14:formula1>
            <xm:f>Info_Lists!$B$2:$B$7</xm:f>
          </x14:formula1>
          <xm:sqref>H4</xm:sqref>
        </x14:dataValidation>
        <x14:dataValidation type="list" allowBlank="1" showInputMessage="1" showErrorMessage="1">
          <x14:formula1>
            <xm:f>Info_Lists!$F$2:$F$20</xm:f>
          </x14:formula1>
          <xm:sqref>D8:D12</xm:sqref>
        </x14:dataValidation>
        <x14:dataValidation type="list" allowBlank="1" showInputMessage="1" showErrorMessage="1">
          <x14:formula1>
            <xm:f>Info_Lists!$C$2:$C$14</xm:f>
          </x14:formula1>
          <xm:sqref>H2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</sheetPr>
  <dimension ref="A1:I81"/>
  <sheetViews>
    <sheetView workbookViewId="0">
      <selection activeCell="G22" sqref="G22:H22"/>
    </sheetView>
  </sheetViews>
  <sheetFormatPr defaultRowHeight="15" x14ac:dyDescent="0.25"/>
  <cols>
    <col min="1" max="1" width="7.85546875" customWidth="1"/>
    <col min="2" max="2" width="25.7109375" customWidth="1"/>
    <col min="3" max="3" width="1.7109375" customWidth="1"/>
    <col min="4" max="4" width="15.7109375" customWidth="1"/>
    <col min="5" max="5" width="15.85546875" customWidth="1"/>
    <col min="6" max="6" width="15.42578125" bestFit="1" customWidth="1"/>
    <col min="7" max="8" width="21.85546875" customWidth="1"/>
    <col min="9" max="9" width="1.7109375" customWidth="1"/>
  </cols>
  <sheetData>
    <row r="1" spans="1:9" ht="15.75" x14ac:dyDescent="0.25">
      <c r="A1" s="155" t="s">
        <v>348</v>
      </c>
      <c r="B1" s="2"/>
      <c r="C1" s="2"/>
      <c r="D1" s="245" t="s">
        <v>373</v>
      </c>
      <c r="E1" s="245"/>
      <c r="F1" s="21"/>
      <c r="G1" s="2"/>
      <c r="H1" s="2"/>
      <c r="I1" s="2"/>
    </row>
    <row r="2" spans="1:9" ht="15.75" x14ac:dyDescent="0.25">
      <c r="A2" s="155" t="s">
        <v>349</v>
      </c>
      <c r="B2" s="2"/>
      <c r="C2" s="2"/>
      <c r="D2" s="246" t="str">
        <f>'Excess_Workload (5)'!$C$4</f>
        <v>Estate Management</v>
      </c>
      <c r="E2" s="246"/>
      <c r="F2" s="246"/>
      <c r="G2" s="2"/>
      <c r="H2" s="2"/>
      <c r="I2" s="2"/>
    </row>
    <row r="3" spans="1:9" ht="15.75" x14ac:dyDescent="0.25">
      <c r="A3" s="155" t="s">
        <v>350</v>
      </c>
      <c r="B3" s="2"/>
      <c r="C3" s="2"/>
      <c r="D3" s="246" t="str">
        <f>'Excess_Workload (5)'!$C$2</f>
        <v>Dr. A.C. Otegbulu</v>
      </c>
      <c r="E3" s="246"/>
      <c r="F3" s="63"/>
      <c r="G3" s="2"/>
      <c r="H3" s="2"/>
      <c r="I3" s="2"/>
    </row>
    <row r="4" spans="1:9" ht="15.75" x14ac:dyDescent="0.25">
      <c r="A4" s="155" t="s">
        <v>351</v>
      </c>
      <c r="B4" s="2"/>
      <c r="C4" s="2"/>
      <c r="D4" s="246" t="str">
        <f>'Excess_Workload (5)'!$G$4</f>
        <v>Senior Lecturer</v>
      </c>
      <c r="E4" s="246"/>
      <c r="F4" s="63"/>
      <c r="G4" s="2"/>
      <c r="H4" s="2"/>
      <c r="I4" s="2"/>
    </row>
    <row r="5" spans="1:9" ht="15.75" x14ac:dyDescent="0.25">
      <c r="A5" s="155" t="s">
        <v>352</v>
      </c>
      <c r="B5" s="2"/>
      <c r="C5" s="2"/>
      <c r="D5" s="63" t="str">
        <f>'Excess_Workload (5)'!$G$2</f>
        <v>A7581</v>
      </c>
      <c r="E5" s="21"/>
      <c r="F5" s="21"/>
      <c r="G5" s="2"/>
      <c r="H5" s="2"/>
      <c r="I5" s="2"/>
    </row>
    <row r="6" spans="1:9" ht="15.75" x14ac:dyDescent="0.25">
      <c r="A6" s="155" t="s">
        <v>353</v>
      </c>
      <c r="B6" s="2"/>
      <c r="C6" s="2"/>
      <c r="D6" s="224" t="s">
        <v>489</v>
      </c>
      <c r="E6" s="224"/>
      <c r="F6" s="2"/>
      <c r="G6" s="2"/>
      <c r="H6" s="2"/>
      <c r="I6" s="2"/>
    </row>
    <row r="7" spans="1:9" ht="15.75" x14ac:dyDescent="0.25">
      <c r="A7" s="155" t="s">
        <v>354</v>
      </c>
      <c r="B7" s="2"/>
      <c r="C7" s="2"/>
      <c r="D7" s="170" t="str">
        <f>'Excess_Workload (5)'!$I$4</f>
        <v>2012/2013</v>
      </c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31.5" x14ac:dyDescent="0.25">
      <c r="A9" s="156" t="s">
        <v>371</v>
      </c>
      <c r="B9" s="157" t="s">
        <v>45</v>
      </c>
      <c r="C9" s="158"/>
      <c r="D9" s="159"/>
      <c r="E9" s="159"/>
      <c r="F9" s="159"/>
      <c r="G9" s="159"/>
      <c r="H9" s="159"/>
      <c r="I9" s="160"/>
    </row>
    <row r="10" spans="1:9" ht="15" customHeight="1" x14ac:dyDescent="0.25">
      <c r="A10" s="228"/>
      <c r="B10" s="229" t="str">
        <f>"Postgraduate        Supervision              Allowance                              ("&amp;"NGN "&amp;IF(OR(LEFT($D$4,1)="P",LEFT($D$4,1)="R"),"25,000.00",IF(LEFT($D$4,1)="S","20,000.00",IF(AND(LEFT($D$4,1)="L",OR(RIGHT($D$4,2)=" I",RIGHT($D$4,2)="II")),"15,000.00","ERROR")))&amp;" Per Student, Per Annum) A maximum of 5 Students"</f>
        <v>Postgraduate        Supervision              Allowance                              (NGN 20,000.00 Per Student, Per Annum) A maximum of 5 Students</v>
      </c>
      <c r="C10" s="171"/>
      <c r="D10" s="172" t="s">
        <v>355</v>
      </c>
      <c r="E10" s="172"/>
      <c r="F10" s="172"/>
      <c r="G10" s="161"/>
      <c r="H10" s="161"/>
      <c r="I10" s="162"/>
    </row>
    <row r="11" spans="1:9" ht="15" customHeight="1" x14ac:dyDescent="0.25">
      <c r="A11" s="228"/>
      <c r="B11" s="230"/>
      <c r="C11" s="173"/>
      <c r="D11" s="233" t="s">
        <v>356</v>
      </c>
      <c r="E11" s="234"/>
      <c r="F11" s="105" t="s">
        <v>357</v>
      </c>
      <c r="G11" s="252" t="s">
        <v>358</v>
      </c>
      <c r="H11" s="252"/>
      <c r="I11" s="164"/>
    </row>
    <row r="12" spans="1:9" ht="15" customHeight="1" x14ac:dyDescent="0.25">
      <c r="A12" s="228"/>
      <c r="B12" s="230"/>
      <c r="C12" s="173"/>
      <c r="D12" s="247" t="str">
        <f>IF('PG_Supervision (5)'!E9="","",'PG_Supervision (5)'!E9)</f>
        <v>Okapaleke Francis. O</v>
      </c>
      <c r="E12" s="248"/>
      <c r="F12" s="174" t="str">
        <f>IF('PG_Supervision (5)'!D9="","",'PG_Supervision (5)'!D9)</f>
        <v>039052050</v>
      </c>
      <c r="G12" s="232"/>
      <c r="H12" s="232"/>
      <c r="I12" s="164"/>
    </row>
    <row r="13" spans="1:9" ht="15" customHeight="1" x14ac:dyDescent="0.25">
      <c r="A13" s="228"/>
      <c r="B13" s="230"/>
      <c r="C13" s="173"/>
      <c r="D13" s="247" t="str">
        <f>IF('PG_Supervision (5)'!E10="","",'PG_Supervision (5)'!E10)</f>
        <v>Oyewunmi Gbenga</v>
      </c>
      <c r="E13" s="248"/>
      <c r="F13" s="174" t="str">
        <f>IF('PG_Supervision (5)'!D10="","",'PG_Supervision (5)'!D10)</f>
        <v>050502059</v>
      </c>
      <c r="G13" s="232"/>
      <c r="H13" s="232"/>
      <c r="I13" s="164"/>
    </row>
    <row r="14" spans="1:9" ht="15" customHeight="1" x14ac:dyDescent="0.25">
      <c r="A14" s="228"/>
      <c r="B14" s="230"/>
      <c r="C14" s="173"/>
      <c r="D14" s="247" t="str">
        <f>IF('PG_Supervision (5)'!E11="","",'PG_Supervision (5)'!E11)</f>
        <v>Ukpong Seun</v>
      </c>
      <c r="E14" s="248"/>
      <c r="F14" s="174" t="str">
        <f>IF('PG_Supervision (5)'!D11="","",'PG_Supervision (5)'!D11)</f>
        <v>129053014</v>
      </c>
      <c r="G14" s="232"/>
      <c r="H14" s="232"/>
      <c r="I14" s="164"/>
    </row>
    <row r="15" spans="1:9" ht="15" customHeight="1" x14ac:dyDescent="0.25">
      <c r="A15" s="228"/>
      <c r="B15" s="230"/>
      <c r="C15" s="173"/>
      <c r="D15" s="247" t="str">
        <f>IF('PG_Supervision (5)'!E12="","",'PG_Supervision (5)'!E12)</f>
        <v>Olubukole Matti</v>
      </c>
      <c r="E15" s="248"/>
      <c r="F15" s="174" t="str">
        <f>IF('PG_Supervision (5)'!D12="","",'PG_Supervision (5)'!D12)</f>
        <v>050502031</v>
      </c>
      <c r="G15" s="232"/>
      <c r="H15" s="232"/>
      <c r="I15" s="164"/>
    </row>
    <row r="16" spans="1:9" ht="15" customHeight="1" x14ac:dyDescent="0.25">
      <c r="A16" s="228"/>
      <c r="B16" s="175">
        <f>'PG_Supervision (5)'!$E$16</f>
        <v>100000</v>
      </c>
      <c r="C16" s="176"/>
      <c r="D16" s="247" t="str">
        <f>IF('PG_Supervision (5)'!E14="","",'PG_Supervision (5)'!E14)</f>
        <v/>
      </c>
      <c r="E16" s="248"/>
      <c r="F16" s="174" t="str">
        <f>IF('PG_Supervision (5)'!D14="","",'PG_Supervision (5)'!D14)</f>
        <v/>
      </c>
      <c r="G16" s="232"/>
      <c r="H16" s="232"/>
      <c r="I16" s="165"/>
    </row>
    <row r="17" spans="1:9" ht="15" customHeight="1" x14ac:dyDescent="0.25">
      <c r="A17" s="228"/>
      <c r="B17" s="229" t="str">
        <f>"Teaching    Practice/Industrial Supervision/ Field Trip Allowances           (NGN "&amp;IF(OR(LEFT($D$4,1)="P",LEFT($D$4,1)="R"),"100,000.00",IF(LEFT($D$4,1)="S","80,000.00",IF(OR(LEFT($D$4,1)="L",LEFT($D$4,1)="L",LEFT($D$4,1)="A"),"60,000.00","#ERROR")))&amp;" Per Annum)"</f>
        <v>Teaching    Practice/Industrial Supervision/ Field Trip Allowances           (NGN 80,000.00 Per Annum)</v>
      </c>
      <c r="C17" s="173"/>
      <c r="D17" s="177" t="s">
        <v>359</v>
      </c>
      <c r="E17" s="177"/>
      <c r="F17" s="177"/>
      <c r="G17" s="166"/>
      <c r="H17" s="166"/>
      <c r="I17" s="164"/>
    </row>
    <row r="18" spans="1:9" x14ac:dyDescent="0.25">
      <c r="A18" s="228"/>
      <c r="B18" s="230"/>
      <c r="C18" s="173"/>
      <c r="D18" s="233" t="s">
        <v>356</v>
      </c>
      <c r="E18" s="234"/>
      <c r="F18" s="105" t="s">
        <v>357</v>
      </c>
      <c r="G18" s="252" t="s">
        <v>360</v>
      </c>
      <c r="H18" s="252"/>
      <c r="I18" s="164"/>
    </row>
    <row r="19" spans="1:9" x14ac:dyDescent="0.25">
      <c r="A19" s="228"/>
      <c r="B19" s="230"/>
      <c r="C19" s="173"/>
      <c r="D19" s="226" t="str">
        <f>IF('TP_IS_FT_Allowance (5)'!E9="","",'TP_IS_FT_Allowance (5)'!E9)</f>
        <v>MUSTAPHA KEHINDE</v>
      </c>
      <c r="E19" s="227"/>
      <c r="F19" s="178" t="str">
        <f>IF('TP_IS_FT_Allowance (5)'!D9="","",'TP_IS_FT_Allowance (5)'!D9)</f>
        <v>100502048</v>
      </c>
      <c r="G19" s="232" t="s">
        <v>572</v>
      </c>
      <c r="H19" s="232"/>
      <c r="I19" s="164"/>
    </row>
    <row r="20" spans="1:9" x14ac:dyDescent="0.25">
      <c r="A20" s="228"/>
      <c r="B20" s="230"/>
      <c r="C20" s="173"/>
      <c r="D20" s="226" t="str">
        <f>IF('TP_IS_FT_Allowance (5)'!E10="","",'TP_IS_FT_Allowance (5)'!E10)</f>
        <v>MURAINA OLUWASEUN</v>
      </c>
      <c r="E20" s="227"/>
      <c r="F20" s="178" t="str">
        <f>IF('TP_IS_FT_Allowance (5)'!D10="","",'TP_IS_FT_Allowance (5)'!D10)</f>
        <v>090502045</v>
      </c>
      <c r="G20" s="232" t="s">
        <v>573</v>
      </c>
      <c r="H20" s="232"/>
      <c r="I20" s="164"/>
    </row>
    <row r="21" spans="1:9" x14ac:dyDescent="0.25">
      <c r="A21" s="228"/>
      <c r="B21" s="230"/>
      <c r="C21" s="173"/>
      <c r="D21" s="226" t="str">
        <f>IF('TP_IS_FT_Allowance (5)'!E11="","",'TP_IS_FT_Allowance (5)'!E11)</f>
        <v>OLOWU ANUOLUWAPO</v>
      </c>
      <c r="E21" s="227"/>
      <c r="F21" s="178" t="str">
        <f>IF('TP_IS_FT_Allowance (5)'!D11="","",'TP_IS_FT_Allowance (5)'!D11)</f>
        <v>090502061</v>
      </c>
      <c r="G21" s="232" t="s">
        <v>573</v>
      </c>
      <c r="H21" s="232"/>
      <c r="I21" s="164"/>
    </row>
    <row r="22" spans="1:9" x14ac:dyDescent="0.25">
      <c r="A22" s="228"/>
      <c r="B22" s="230"/>
      <c r="C22" s="173"/>
      <c r="D22" s="226" t="str">
        <f>IF('TP_IS_FT_Allowance (5)'!E12="","",'TP_IS_FT_Allowance (5)'!E12)</f>
        <v>FALOLA DARE</v>
      </c>
      <c r="E22" s="227"/>
      <c r="F22" s="178" t="str">
        <f>IF('TP_IS_FT_Allowance (5)'!D12="","",'TP_IS_FT_Allowance (5)'!D12)</f>
        <v>100502035</v>
      </c>
      <c r="G22" s="232" t="s">
        <v>574</v>
      </c>
      <c r="H22" s="232"/>
      <c r="I22" s="164"/>
    </row>
    <row r="23" spans="1:9" x14ac:dyDescent="0.25">
      <c r="A23" s="228"/>
      <c r="B23" s="179"/>
      <c r="C23" s="173"/>
      <c r="D23" s="226" t="str">
        <f>IF('TP_IS_FT_Allowance (5)'!E13="","",'TP_IS_FT_Allowance (5)'!E13)</f>
        <v/>
      </c>
      <c r="E23" s="227"/>
      <c r="F23" s="178" t="str">
        <f>IF('TP_IS_FT_Allowance (5)'!D13="","",'TP_IS_FT_Allowance (5)'!D13)</f>
        <v/>
      </c>
      <c r="G23" s="232"/>
      <c r="H23" s="232"/>
      <c r="I23" s="164"/>
    </row>
    <row r="24" spans="1:9" ht="15.75" x14ac:dyDescent="0.25">
      <c r="A24" s="228"/>
      <c r="B24" s="180">
        <f>'TP_IS_FT_Allowance (5)'!$F$32</f>
        <v>80000</v>
      </c>
      <c r="C24" s="173"/>
      <c r="D24" s="226" t="str">
        <f>IF('TP_IS_FT_Allowance (5)'!E14="","",'TP_IS_FT_Allowance (5)'!E14)</f>
        <v/>
      </c>
      <c r="E24" s="227"/>
      <c r="F24" s="178" t="str">
        <f>IF('TP_IS_FT_Allowance (5)'!D14="","",'TP_IS_FT_Allowance (5)'!D14)</f>
        <v/>
      </c>
      <c r="G24" s="232"/>
      <c r="H24" s="232"/>
      <c r="I24" s="164"/>
    </row>
    <row r="25" spans="1:9" x14ac:dyDescent="0.25">
      <c r="A25" s="228"/>
      <c r="B25" s="179"/>
      <c r="C25" s="173"/>
      <c r="D25" s="226" t="str">
        <f>IF('TP_IS_FT_Allowance (5)'!E15="","",'TP_IS_FT_Allowance (5)'!E15)</f>
        <v/>
      </c>
      <c r="E25" s="227"/>
      <c r="F25" s="178" t="str">
        <f>IF('TP_IS_FT_Allowance (5)'!D15="","",'TP_IS_FT_Allowance (5)'!D15)</f>
        <v/>
      </c>
      <c r="G25" s="232"/>
      <c r="H25" s="232"/>
      <c r="I25" s="164"/>
    </row>
    <row r="26" spans="1:9" x14ac:dyDescent="0.25">
      <c r="A26" s="228"/>
      <c r="B26" s="179"/>
      <c r="C26" s="173"/>
      <c r="D26" s="226" t="str">
        <f>IF('TP_IS_FT_Allowance (5)'!E16="","",'TP_IS_FT_Allowance (5)'!E16)</f>
        <v/>
      </c>
      <c r="E26" s="227"/>
      <c r="F26" s="178" t="str">
        <f>IF('TP_IS_FT_Allowance (5)'!D16="","",'TP_IS_FT_Allowance (5)'!D16)</f>
        <v/>
      </c>
      <c r="G26" s="232"/>
      <c r="H26" s="232"/>
      <c r="I26" s="164"/>
    </row>
    <row r="27" spans="1:9" x14ac:dyDescent="0.25">
      <c r="A27" s="228"/>
      <c r="B27" s="179"/>
      <c r="C27" s="173"/>
      <c r="D27" s="226" t="str">
        <f>IF('TP_IS_FT_Allowance (5)'!E17="","",'TP_IS_FT_Allowance (5)'!E17)</f>
        <v/>
      </c>
      <c r="E27" s="227"/>
      <c r="F27" s="178" t="str">
        <f>IF('TP_IS_FT_Allowance (5)'!D17="","",'TP_IS_FT_Allowance (5)'!D17)</f>
        <v/>
      </c>
      <c r="G27" s="232"/>
      <c r="H27" s="232"/>
      <c r="I27" s="164"/>
    </row>
    <row r="28" spans="1:9" x14ac:dyDescent="0.25">
      <c r="A28" s="228"/>
      <c r="B28" s="179"/>
      <c r="C28" s="173"/>
      <c r="D28" s="226" t="str">
        <f>IF('TP_IS_FT_Allowance (5)'!E18="","",'TP_IS_FT_Allowance (5)'!E18)</f>
        <v/>
      </c>
      <c r="E28" s="227"/>
      <c r="F28" s="178" t="str">
        <f>IF('TP_IS_FT_Allowance (5)'!D18="","",'TP_IS_FT_Allowance (5)'!D18)</f>
        <v/>
      </c>
      <c r="G28" s="232"/>
      <c r="H28" s="232"/>
      <c r="I28" s="164"/>
    </row>
    <row r="29" spans="1:9" x14ac:dyDescent="0.25">
      <c r="A29" s="228"/>
      <c r="B29" s="179"/>
      <c r="C29" s="173"/>
      <c r="D29" s="226" t="str">
        <f>IF('TP_IS_FT_Allowance (5)'!E19="","",'TP_IS_FT_Allowance (5)'!E19)</f>
        <v/>
      </c>
      <c r="E29" s="227"/>
      <c r="F29" s="178" t="str">
        <f>IF('TP_IS_FT_Allowance (5)'!D19="","",'TP_IS_FT_Allowance (5)'!D19)</f>
        <v/>
      </c>
      <c r="G29" s="232"/>
      <c r="H29" s="232"/>
      <c r="I29" s="164"/>
    </row>
    <row r="30" spans="1:9" x14ac:dyDescent="0.25">
      <c r="A30" s="228"/>
      <c r="B30" s="179"/>
      <c r="C30" s="173"/>
      <c r="D30" s="226" t="str">
        <f>IF('TP_IS_FT_Allowance (5)'!E20="","",'TP_IS_FT_Allowance (5)'!E20)</f>
        <v/>
      </c>
      <c r="E30" s="227"/>
      <c r="F30" s="178" t="str">
        <f>IF('TP_IS_FT_Allowance (5)'!D20="","",'TP_IS_FT_Allowance (5)'!D20)</f>
        <v/>
      </c>
      <c r="G30" s="232"/>
      <c r="H30" s="232"/>
      <c r="I30" s="164"/>
    </row>
    <row r="31" spans="1:9" x14ac:dyDescent="0.25">
      <c r="A31" s="228"/>
      <c r="B31" s="179"/>
      <c r="C31" s="173"/>
      <c r="D31" s="226" t="str">
        <f>IF('TP_IS_FT_Allowance (5)'!E21="","",'TP_IS_FT_Allowance (5)'!E21)</f>
        <v/>
      </c>
      <c r="E31" s="227"/>
      <c r="F31" s="178" t="str">
        <f>IF('TP_IS_FT_Allowance (5)'!D21="","",'TP_IS_FT_Allowance (5)'!D21)</f>
        <v/>
      </c>
      <c r="G31" s="232"/>
      <c r="H31" s="232"/>
      <c r="I31" s="164"/>
    </row>
    <row r="32" spans="1:9" x14ac:dyDescent="0.25">
      <c r="A32" s="228"/>
      <c r="B32" s="179"/>
      <c r="C32" s="173"/>
      <c r="D32" s="226" t="str">
        <f>IF('TP_IS_FT_Allowance (5)'!E22="","",'TP_IS_FT_Allowance (5)'!E22)</f>
        <v/>
      </c>
      <c r="E32" s="227"/>
      <c r="F32" s="178" t="str">
        <f>IF('TP_IS_FT_Allowance (5)'!D22="","",'TP_IS_FT_Allowance (5)'!D22)</f>
        <v/>
      </c>
      <c r="G32" s="232"/>
      <c r="H32" s="232"/>
      <c r="I32" s="164"/>
    </row>
    <row r="33" spans="1:9" x14ac:dyDescent="0.25">
      <c r="A33" s="228"/>
      <c r="B33" s="181"/>
      <c r="C33" s="173"/>
      <c r="D33" s="226" t="str">
        <f>IF('TP_IS_FT_Allowance (5)'!E23="","",'TP_IS_FT_Allowance (5)'!E23)</f>
        <v/>
      </c>
      <c r="E33" s="227"/>
      <c r="F33" s="178" t="str">
        <f>IF('TP_IS_FT_Allowance (5)'!D23="","",'TP_IS_FT_Allowance (5)'!D23)</f>
        <v/>
      </c>
      <c r="G33" s="251"/>
      <c r="H33" s="251"/>
      <c r="I33" s="164"/>
    </row>
    <row r="34" spans="1:9" ht="30" x14ac:dyDescent="0.25">
      <c r="A34" s="228"/>
      <c r="B34" s="196" t="s">
        <v>361</v>
      </c>
      <c r="C34" s="198"/>
      <c r="D34" s="263" t="s">
        <v>362</v>
      </c>
      <c r="E34" s="263"/>
      <c r="F34" s="263"/>
      <c r="G34" s="263"/>
      <c r="H34" s="161"/>
      <c r="I34" s="162"/>
    </row>
    <row r="35" spans="1:9" ht="54.75" customHeight="1" x14ac:dyDescent="0.25">
      <c r="A35" s="228"/>
      <c r="B35" s="65"/>
      <c r="C35" s="169"/>
      <c r="D35" s="261" t="s">
        <v>374</v>
      </c>
      <c r="E35" s="261"/>
      <c r="F35" s="261"/>
      <c r="G35" s="261"/>
      <c r="H35" s="261"/>
      <c r="I35" s="165"/>
    </row>
    <row r="36" spans="1:9" ht="15" customHeight="1" x14ac:dyDescent="0.25">
      <c r="A36" s="228"/>
      <c r="B36" s="229" t="s">
        <v>366</v>
      </c>
      <c r="C36" s="183"/>
      <c r="D36" s="172" t="s">
        <v>363</v>
      </c>
      <c r="E36" s="172"/>
      <c r="F36" s="172"/>
      <c r="G36" s="172"/>
      <c r="H36" s="161"/>
      <c r="I36" s="162"/>
    </row>
    <row r="37" spans="1:9" x14ac:dyDescent="0.25">
      <c r="A37" s="228"/>
      <c r="B37" s="230"/>
      <c r="C37" s="184"/>
      <c r="D37" s="233" t="s">
        <v>364</v>
      </c>
      <c r="E37" s="234"/>
      <c r="F37" s="234"/>
      <c r="G37" s="235"/>
      <c r="H37" s="163" t="s">
        <v>365</v>
      </c>
      <c r="I37" s="164"/>
    </row>
    <row r="38" spans="1:9" x14ac:dyDescent="0.25">
      <c r="A38" s="228"/>
      <c r="B38" s="192" t="str">
        <f>IF($D38="","","NGN "&amp;IF(OR($D38="Deputy Vice Chancellor",$D38="Librarian"),"750,000.00",IF(OR($D38="Provost",$D38="Dean",$D38="Director"),"500,000.00",IF(OR($D38="Deputy Provost",$D38="Deputy Dean"),"350,000.00",IF(OR($D38="Head of Department",$D38="Sub Dean"),"250,000.00","150,000.00"))))&amp;" Per Annum")</f>
        <v>NGN 250,000.00 Per Annum</v>
      </c>
      <c r="C38" s="184"/>
      <c r="D38" s="236" t="str">
        <f>IF('Responsibility (5)'!D8="","",'Responsibility (5)'!D8)</f>
        <v>Head of Department</v>
      </c>
      <c r="E38" s="237"/>
      <c r="F38" s="237"/>
      <c r="G38" s="238"/>
      <c r="H38" s="65"/>
      <c r="I38" s="164"/>
    </row>
    <row r="39" spans="1:9" x14ac:dyDescent="0.25">
      <c r="A39" s="228"/>
      <c r="B39" s="192" t="str">
        <f>IF($D39="","","NGN "&amp;IF(OR($D39="Deputy Vice Chancellor",$D39="Librarian"),"750,000.00",IF(OR($D39="Provost",$D39="Dean",$D39="Director"),"500,000.00",IF(OR($D39="Deputy Provost",$D39="Deputy Dean"),"350,000.00",IF(OR($D39="Head of Department",$D39="Sub Dean"),"250,000.00","150,000.00"))))&amp;" Per Annum")</f>
        <v/>
      </c>
      <c r="C39" s="184"/>
      <c r="D39" s="236" t="str">
        <f>IF('Responsibility (5)'!D9="","",'Responsibility (5)'!D9)</f>
        <v/>
      </c>
      <c r="E39" s="237"/>
      <c r="F39" s="237"/>
      <c r="G39" s="238"/>
      <c r="H39" s="65"/>
      <c r="I39" s="164"/>
    </row>
    <row r="40" spans="1:9" x14ac:dyDescent="0.25">
      <c r="A40" s="228"/>
      <c r="B40" s="192" t="str">
        <f>IF($D40="","","NGN "&amp;IF(OR($D40="Deputy Vice Chancellor",$D40="Librarian"),"750,000.00",IF(OR($D40="Provost",$D40="Dean",$D40="Director"),"500,000.00",IF(OR($D40="Deputy Provost",$D40="Deputy Dean"),"350,000.00",IF(OR($D40="Head of Department",$D40="Sub Dean"),"250,000.00","150,000.00"))))&amp;" Per Annum")</f>
        <v/>
      </c>
      <c r="C40" s="184"/>
      <c r="D40" s="236" t="str">
        <f>IF('Responsibility (5)'!D10="","",'Responsibility (5)'!D10)</f>
        <v/>
      </c>
      <c r="E40" s="237"/>
      <c r="F40" s="237"/>
      <c r="G40" s="238"/>
      <c r="H40" s="65"/>
      <c r="I40" s="164"/>
    </row>
    <row r="41" spans="1:9" x14ac:dyDescent="0.25">
      <c r="A41" s="228"/>
      <c r="B41" s="192" t="str">
        <f>IF($D41="","","NGN "&amp;IF(OR($D41="Deputy Vice Chancellor",$D41="Librarian"),"750,000.00",IF(OR($D41="Provost",$D41="Dean",$D41="Director"),"500,000.00",IF(OR($D41="Deputy Provost",$D41="Deputy Dean"),"350,000.00",IF(OR($D41="Head of Department",$D41="Sub Dean"),"250,000.00","150,000.00"))))&amp;" Per Annum")</f>
        <v/>
      </c>
      <c r="C41" s="184"/>
      <c r="D41" s="236" t="str">
        <f>IF('Responsibility (5)'!D11="","",'Responsibility (5)'!D11)</f>
        <v/>
      </c>
      <c r="E41" s="237"/>
      <c r="F41" s="237"/>
      <c r="G41" s="238"/>
      <c r="H41" s="65"/>
      <c r="I41" s="164"/>
    </row>
    <row r="42" spans="1:9" x14ac:dyDescent="0.25">
      <c r="A42" s="228"/>
      <c r="B42" s="192" t="str">
        <f>IF($D42="","","NGN "&amp;IF(OR($D42="Deputy Vice Chancellor",$D42="Librarian"),"750,000.00",IF(OR($D42="Provost",$D42="Dean",$D42="Director"),"500,000.00",IF(OR($D42="Deputy Provost",$D42="Deputy Dean"),"350,000.00",IF(OR($D42="Head of Department",$D42="Sub Dean"),"250,000.00","150,000.00"))))&amp;" Per Annum")</f>
        <v/>
      </c>
      <c r="C42" s="184"/>
      <c r="D42" s="236" t="str">
        <f>IF('Responsibility (5)'!D12="","",'Responsibility (5)'!D12)</f>
        <v/>
      </c>
      <c r="E42" s="237"/>
      <c r="F42" s="237"/>
      <c r="G42" s="238"/>
      <c r="H42" s="65"/>
      <c r="I42" s="164"/>
    </row>
    <row r="43" spans="1:9" x14ac:dyDescent="0.25">
      <c r="A43" s="228"/>
      <c r="B43" s="179"/>
      <c r="C43" s="184"/>
      <c r="D43" s="239" t="str">
        <f>IF(Responsibility!D11="","",Responsibility!D11)</f>
        <v/>
      </c>
      <c r="E43" s="240"/>
      <c r="F43" s="240"/>
      <c r="G43" s="241"/>
      <c r="H43" s="191"/>
      <c r="I43" s="164"/>
    </row>
    <row r="44" spans="1:9" x14ac:dyDescent="0.25">
      <c r="A44" s="228"/>
      <c r="B44" s="186">
        <f>'Responsibility (5)'!$E$13</f>
        <v>250000</v>
      </c>
      <c r="C44" s="187"/>
      <c r="D44" s="239" t="str">
        <f>IF(Responsibility!D12="","",Responsibility!D12)</f>
        <v/>
      </c>
      <c r="E44" s="240"/>
      <c r="F44" s="240"/>
      <c r="G44" s="241"/>
      <c r="H44" s="191"/>
      <c r="I44" s="165"/>
    </row>
    <row r="45" spans="1:9" ht="15" customHeight="1" x14ac:dyDescent="0.25">
      <c r="A45" s="228"/>
      <c r="B45" s="229" t="str">
        <f>"Excess    Workload Allowance (NGN "&amp;IF(OR(LEFT($D$4,1)="U",LEFT($D$4,1)="P",LEFT($D$4,1)="R",LEFT($D$4,1)="S"),"3,500.00","2,000.00")&amp;" Per Hour)"</f>
        <v>Excess    Workload Allowance (NGN 3,500.00 Per Hour)</v>
      </c>
      <c r="C45" s="183"/>
      <c r="D45" s="172" t="s">
        <v>367</v>
      </c>
      <c r="E45" s="172"/>
      <c r="F45" s="172"/>
      <c r="G45" s="172"/>
      <c r="H45" s="172"/>
      <c r="I45" s="162"/>
    </row>
    <row r="46" spans="1:9" ht="30" x14ac:dyDescent="0.25">
      <c r="A46" s="228"/>
      <c r="B46" s="230"/>
      <c r="C46" s="184"/>
      <c r="D46" s="105" t="s">
        <v>189</v>
      </c>
      <c r="E46" s="105" t="s">
        <v>368</v>
      </c>
      <c r="F46" s="188" t="s">
        <v>369</v>
      </c>
      <c r="G46" s="242" t="s">
        <v>370</v>
      </c>
      <c r="H46" s="243"/>
      <c r="I46" s="164"/>
    </row>
    <row r="47" spans="1:9" x14ac:dyDescent="0.25">
      <c r="A47" s="228"/>
      <c r="B47" s="179"/>
      <c r="C47" s="184"/>
      <c r="D47" s="189" t="str">
        <f>IF('Excess_Workload (5)'!B9="","",'Excess_Workload (5)'!B9)</f>
        <v>ESM411</v>
      </c>
      <c r="E47" s="189">
        <f>IF('Excess_Workload (5)'!C9="","",'Excess_Workload (5)'!C9)</f>
        <v>3</v>
      </c>
      <c r="F47" s="189">
        <f>IF('Excess_Workload (5)'!E9="","",'Excess_Workload (5)'!E9)</f>
        <v>2</v>
      </c>
      <c r="G47" s="244">
        <f>IF('Excess_Workload (5)'!D9="","",'Excess_Workload (5)'!D9)</f>
        <v>123</v>
      </c>
      <c r="H47" s="244"/>
      <c r="I47" s="164"/>
    </row>
    <row r="48" spans="1:9" x14ac:dyDescent="0.25">
      <c r="A48" s="228"/>
      <c r="B48" s="179"/>
      <c r="C48" s="184"/>
      <c r="D48" s="189" t="str">
        <f>IF('Excess_Workload (5)'!B10="","",'Excess_Workload (5)'!B10)</f>
        <v>ESM531</v>
      </c>
      <c r="E48" s="189">
        <f>IF('Excess_Workload (5)'!C10="","",'Excess_Workload (5)'!C10)</f>
        <v>2</v>
      </c>
      <c r="F48" s="189">
        <f>IF('Excess_Workload (5)'!E10="","",'Excess_Workload (5)'!E10)</f>
        <v>2</v>
      </c>
      <c r="G48" s="244">
        <f>IF('Excess_Workload (5)'!D10="","",'Excess_Workload (5)'!D10)</f>
        <v>113</v>
      </c>
      <c r="H48" s="244"/>
      <c r="I48" s="164"/>
    </row>
    <row r="49" spans="1:9" x14ac:dyDescent="0.25">
      <c r="A49" s="228"/>
      <c r="B49" s="190">
        <f>'Excess_Workload (5)'!$E$50</f>
        <v>170250</v>
      </c>
      <c r="C49" s="184"/>
      <c r="D49" s="189" t="str">
        <f>IF('Excess_Workload (5)'!B11="","",'Excess_Workload (5)'!B11)</f>
        <v>ESM532</v>
      </c>
      <c r="E49" s="189">
        <f>IF('Excess_Workload (5)'!C11="","",'Excess_Workload (5)'!C11)</f>
        <v>2</v>
      </c>
      <c r="F49" s="189">
        <f>IF('Excess_Workload (5)'!E11="","",'Excess_Workload (5)'!E11)</f>
        <v>2</v>
      </c>
      <c r="G49" s="244">
        <f>IF('Excess_Workload (5)'!D11="","",'Excess_Workload (5)'!D11)</f>
        <v>102</v>
      </c>
      <c r="H49" s="244"/>
      <c r="I49" s="164"/>
    </row>
    <row r="50" spans="1:9" x14ac:dyDescent="0.25">
      <c r="A50" s="228"/>
      <c r="B50" s="179"/>
      <c r="C50" s="184"/>
      <c r="D50" s="189" t="str">
        <f>IF('Excess_Workload (5)'!B12="","",'Excess_Workload (5)'!B12)</f>
        <v/>
      </c>
      <c r="E50" s="189" t="str">
        <f>IF('Excess_Workload (5)'!C12="","",'Excess_Workload (5)'!C12)</f>
        <v/>
      </c>
      <c r="F50" s="189" t="str">
        <f>IF('Excess_Workload (5)'!E12="","",'Excess_Workload (5)'!E12)</f>
        <v/>
      </c>
      <c r="G50" s="244" t="str">
        <f>IF('Excess_Workload (5)'!D12="","",'Excess_Workload (5)'!D12)</f>
        <v/>
      </c>
      <c r="H50" s="244"/>
      <c r="I50" s="164"/>
    </row>
    <row r="51" spans="1:9" x14ac:dyDescent="0.25">
      <c r="A51" s="228"/>
      <c r="B51" s="179"/>
      <c r="C51" s="184"/>
      <c r="D51" s="189" t="str">
        <f>IF('Excess_Workload (5)'!B13="","",'Excess_Workload (5)'!B13)</f>
        <v/>
      </c>
      <c r="E51" s="189" t="str">
        <f>IF('Excess_Workload (5)'!C13="","",'Excess_Workload (5)'!C13)</f>
        <v/>
      </c>
      <c r="F51" s="189" t="str">
        <f>IF('Excess_Workload (5)'!E13="","",'Excess_Workload (5)'!E13)</f>
        <v/>
      </c>
      <c r="G51" s="244" t="str">
        <f>IF('Excess_Workload (5)'!D13="","",'Excess_Workload (5)'!D13)</f>
        <v/>
      </c>
      <c r="H51" s="244"/>
      <c r="I51" s="164"/>
    </row>
    <row r="52" spans="1:9" x14ac:dyDescent="0.25">
      <c r="A52" s="228"/>
      <c r="B52" s="179"/>
      <c r="C52" s="184"/>
      <c r="D52" s="189" t="str">
        <f>IF('Excess_Workload (5)'!B14="","",'Excess_Workload (5)'!B14)</f>
        <v/>
      </c>
      <c r="E52" s="189" t="str">
        <f>IF('Excess_Workload (5)'!C14="","",'Excess_Workload (5)'!C14)</f>
        <v/>
      </c>
      <c r="F52" s="189" t="str">
        <f>IF('Excess_Workload (5)'!E14="","",'Excess_Workload (5)'!E14)</f>
        <v/>
      </c>
      <c r="G52" s="244" t="str">
        <f>IF('Excess_Workload (5)'!D14="","",'Excess_Workload (5)'!D14)</f>
        <v/>
      </c>
      <c r="H52" s="244"/>
      <c r="I52" s="164"/>
    </row>
    <row r="53" spans="1:9" x14ac:dyDescent="0.25">
      <c r="A53" s="228"/>
      <c r="B53" s="179"/>
      <c r="C53" s="184"/>
      <c r="D53" s="189" t="str">
        <f>IF('Excess_Workload (5)'!B15="","",'Excess_Workload (5)'!B15)</f>
        <v/>
      </c>
      <c r="E53" s="189" t="str">
        <f>IF('Excess_Workload (5)'!C15="","",'Excess_Workload (5)'!C15)</f>
        <v/>
      </c>
      <c r="F53" s="189" t="str">
        <f>IF('Excess_Workload (5)'!E15="","",'Excess_Workload (5)'!E15)</f>
        <v/>
      </c>
      <c r="G53" s="244" t="str">
        <f>IF('Excess_Workload (5)'!D15="","",'Excess_Workload (5)'!D15)</f>
        <v/>
      </c>
      <c r="H53" s="244"/>
      <c r="I53" s="164"/>
    </row>
    <row r="54" spans="1:9" x14ac:dyDescent="0.25">
      <c r="A54" s="228"/>
      <c r="B54" s="179"/>
      <c r="C54" s="184"/>
      <c r="D54" s="189" t="str">
        <f>IF('Excess_Workload (5)'!B16="","",'Excess_Workload (5)'!B16)</f>
        <v/>
      </c>
      <c r="E54" s="189" t="str">
        <f>IF('Excess_Workload (5)'!C16="","",'Excess_Workload (5)'!C16)</f>
        <v/>
      </c>
      <c r="F54" s="189" t="str">
        <f>IF('Excess_Workload (5)'!E16="","",'Excess_Workload (5)'!E16)</f>
        <v/>
      </c>
      <c r="G54" s="244" t="str">
        <f>IF('Excess_Workload (5)'!D16="","",'Excess_Workload (5)'!D16)</f>
        <v/>
      </c>
      <c r="H54" s="244"/>
      <c r="I54" s="164"/>
    </row>
    <row r="55" spans="1:9" x14ac:dyDescent="0.25">
      <c r="A55" s="228"/>
      <c r="B55" s="179"/>
      <c r="C55" s="184"/>
      <c r="D55" s="189" t="str">
        <f>IF('Excess_Workload (5)'!B17="","",'Excess_Workload (5)'!B17)</f>
        <v/>
      </c>
      <c r="E55" s="189" t="str">
        <f>IF('Excess_Workload (5)'!C17="","",'Excess_Workload (5)'!C17)</f>
        <v/>
      </c>
      <c r="F55" s="189" t="str">
        <f>IF('Excess_Workload (5)'!E17="","",'Excess_Workload (5)'!E17)</f>
        <v/>
      </c>
      <c r="G55" s="244" t="str">
        <f>IF('Excess_Workload (5)'!D17="","",'Excess_Workload (5)'!D17)</f>
        <v/>
      </c>
      <c r="H55" s="244"/>
      <c r="I55" s="164"/>
    </row>
    <row r="56" spans="1:9" x14ac:dyDescent="0.25">
      <c r="A56" s="228"/>
      <c r="B56" s="179"/>
      <c r="C56" s="184"/>
      <c r="D56" s="189" t="str">
        <f>IF('Excess_Workload (5)'!B18="","",'Excess_Workload (5)'!B18)</f>
        <v/>
      </c>
      <c r="E56" s="189" t="str">
        <f>IF('Excess_Workload (5)'!C18="","",'Excess_Workload (5)'!C18)</f>
        <v/>
      </c>
      <c r="F56" s="189" t="str">
        <f>IF('Excess_Workload (5)'!E18="","",'Excess_Workload (5)'!E18)</f>
        <v/>
      </c>
      <c r="G56" s="244" t="str">
        <f>IF('Excess_Workload (5)'!D18="","",'Excess_Workload (5)'!D18)</f>
        <v/>
      </c>
      <c r="H56" s="244"/>
      <c r="I56" s="164"/>
    </row>
    <row r="57" spans="1:9" x14ac:dyDescent="0.25">
      <c r="A57" s="228"/>
      <c r="B57" s="179"/>
      <c r="C57" s="184"/>
      <c r="D57" s="189" t="str">
        <f>IF('Excess_Workload (5)'!B19="","",'Excess_Workload (5)'!B19)</f>
        <v/>
      </c>
      <c r="E57" s="189" t="str">
        <f>IF('Excess_Workload (5)'!C19="","",'Excess_Workload (5)'!C19)</f>
        <v/>
      </c>
      <c r="F57" s="189" t="str">
        <f>IF('Excess_Workload (5)'!E19="","",'Excess_Workload (5)'!E19)</f>
        <v/>
      </c>
      <c r="G57" s="244" t="str">
        <f>IF('Excess_Workload (5)'!D19="","",'Excess_Workload (5)'!D19)</f>
        <v/>
      </c>
      <c r="H57" s="244"/>
      <c r="I57" s="164"/>
    </row>
    <row r="58" spans="1:9" x14ac:dyDescent="0.25">
      <c r="A58" s="228"/>
      <c r="B58" s="181"/>
      <c r="C58" s="187"/>
      <c r="D58" s="189" t="str">
        <f>IF('Excess_Workload (5)'!B20="","",'Excess_Workload (5)'!B20)</f>
        <v/>
      </c>
      <c r="E58" s="189" t="str">
        <f>IF('Excess_Workload (5)'!C20="","",'Excess_Workload (5)'!C20)</f>
        <v/>
      </c>
      <c r="F58" s="189" t="str">
        <f>IF('Excess_Workload (5)'!E20="","",'Excess_Workload (5)'!E20)</f>
        <v/>
      </c>
      <c r="G58" s="244" t="str">
        <f>IF('Excess_Workload (5)'!D20="","",'Excess_Workload (5)'!D20)</f>
        <v/>
      </c>
      <c r="H58" s="244"/>
      <c r="I58" s="165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 t="s">
        <v>372</v>
      </c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</sheetData>
  <sheetProtection password="E9BA" sheet="1" scenarios="1" formatCells="0" formatColumns="0" formatRows="0" insertRows="0" deleteRows="0"/>
  <mergeCells count="81">
    <mergeCell ref="A45:A58"/>
    <mergeCell ref="B45:B46"/>
    <mergeCell ref="G46:H46"/>
    <mergeCell ref="G47:H47"/>
    <mergeCell ref="G48:H48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54:H54"/>
    <mergeCell ref="D33:E33"/>
    <mergeCell ref="G33:H33"/>
    <mergeCell ref="A34:A35"/>
    <mergeCell ref="D34:G34"/>
    <mergeCell ref="D35:H35"/>
    <mergeCell ref="A17:A33"/>
    <mergeCell ref="B17:B22"/>
    <mergeCell ref="D30:E30"/>
    <mergeCell ref="G30:H30"/>
    <mergeCell ref="D31:E31"/>
    <mergeCell ref="G31:H31"/>
    <mergeCell ref="D32:E32"/>
    <mergeCell ref="G32:H32"/>
    <mergeCell ref="D27:E27"/>
    <mergeCell ref="G27:H27"/>
    <mergeCell ref="D28:E28"/>
    <mergeCell ref="A36:A44"/>
    <mergeCell ref="B36:B37"/>
    <mergeCell ref="D37:G37"/>
    <mergeCell ref="D38:G38"/>
    <mergeCell ref="D39:G39"/>
    <mergeCell ref="D40:G40"/>
    <mergeCell ref="D41:G41"/>
    <mergeCell ref="D42:G42"/>
    <mergeCell ref="D43:G43"/>
    <mergeCell ref="D44:G44"/>
    <mergeCell ref="G28:H28"/>
    <mergeCell ref="D29:E29"/>
    <mergeCell ref="G29:H29"/>
    <mergeCell ref="D24:E24"/>
    <mergeCell ref="G24:H24"/>
    <mergeCell ref="D25:E25"/>
    <mergeCell ref="G25:H25"/>
    <mergeCell ref="D26:E26"/>
    <mergeCell ref="G26:H26"/>
    <mergeCell ref="D23:E23"/>
    <mergeCell ref="G23:H23"/>
    <mergeCell ref="G15:H15"/>
    <mergeCell ref="D16:E16"/>
    <mergeCell ref="G16:H16"/>
    <mergeCell ref="D18:E18"/>
    <mergeCell ref="G18:H18"/>
    <mergeCell ref="D19:E19"/>
    <mergeCell ref="G19:H19"/>
    <mergeCell ref="D20:E20"/>
    <mergeCell ref="G20:H20"/>
    <mergeCell ref="D21:E21"/>
    <mergeCell ref="G21:H21"/>
    <mergeCell ref="D22:E22"/>
    <mergeCell ref="G22:H22"/>
    <mergeCell ref="G14:H14"/>
    <mergeCell ref="D1:E1"/>
    <mergeCell ref="D2:F2"/>
    <mergeCell ref="D3:E3"/>
    <mergeCell ref="D4:E4"/>
    <mergeCell ref="D6:E6"/>
    <mergeCell ref="G11:H11"/>
    <mergeCell ref="D12:E12"/>
    <mergeCell ref="G12:H12"/>
    <mergeCell ref="D13:E13"/>
    <mergeCell ref="G13:H13"/>
    <mergeCell ref="A10:A16"/>
    <mergeCell ref="B10:B15"/>
    <mergeCell ref="D11:E11"/>
    <mergeCell ref="D15:E15"/>
    <mergeCell ref="D14:E14"/>
  </mergeCells>
  <dataValidations count="1">
    <dataValidation type="list" allowBlank="1" showInputMessage="1" showErrorMessage="1" sqref="D35:H35">
      <formula1>"Not Applicable,Photocopy Herewith Attached"</formula1>
    </dataValidation>
  </dataValidations>
  <pageMargins left="0.70866141732283472" right="0.70866141732283472" top="1.5354330708661419" bottom="0.74803149606299213" header="0.31496062992125984" footer="0.31496062992125984"/>
  <pageSetup paperSize="9" orientation="landscape" verticalDpi="0" r:id="rId1"/>
  <headerFooter>
    <oddHeader>&amp;C&amp;"Times New Roman,Regular"&amp;22IMPLEMENTATION MONITORING COMMITTEE
EARNED ALLOWANCES FORM&amp;"-,Regular"&amp;11
&amp;"Times New Roman,Bold"&amp;12(To be completed by Academic Staff Only)</oddHeader>
    <oddFooter>&amp;C&amp;P of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808000"/>
  </sheetPr>
  <dimension ref="A1:O116"/>
  <sheetViews>
    <sheetView zoomScale="115" zoomScaleNormal="115" workbookViewId="0">
      <selection activeCell="B12" sqref="B12"/>
    </sheetView>
  </sheetViews>
  <sheetFormatPr defaultRowHeight="15" x14ac:dyDescent="0.25"/>
  <cols>
    <col min="1" max="1" width="3" style="2" bestFit="1" customWidth="1"/>
    <col min="2" max="2" width="13" style="2" customWidth="1"/>
    <col min="3" max="3" width="21.7109375" style="2" customWidth="1"/>
    <col min="4" max="4" width="7.7109375" style="2" bestFit="1" customWidth="1"/>
    <col min="5" max="5" width="18.42578125" style="2" customWidth="1"/>
    <col min="6" max="6" width="18.42578125" style="2" bestFit="1" customWidth="1"/>
    <col min="7" max="7" width="16.85546875" style="2" bestFit="1" customWidth="1"/>
    <col min="8" max="8" width="10.5703125" style="2" customWidth="1"/>
    <col min="9" max="9" width="10.5703125" style="3" customWidth="1"/>
    <col min="10" max="10" width="9.85546875" style="2" customWidth="1"/>
    <col min="11" max="11" width="10" style="4" customWidth="1"/>
    <col min="12" max="16384" width="9.140625" style="2"/>
  </cols>
  <sheetData>
    <row r="1" spans="1:15" x14ac:dyDescent="0.25">
      <c r="A1" s="2" t="s">
        <v>0</v>
      </c>
      <c r="B1" s="225" t="s">
        <v>1</v>
      </c>
      <c r="C1" s="225"/>
      <c r="H1" s="3"/>
      <c r="I1" s="2"/>
      <c r="J1" s="4"/>
      <c r="K1" s="2"/>
    </row>
    <row r="2" spans="1:15" ht="15.75" x14ac:dyDescent="0.25">
      <c r="B2" s="16" t="s">
        <v>2</v>
      </c>
      <c r="C2" s="214" t="s">
        <v>393</v>
      </c>
      <c r="D2" s="214"/>
      <c r="E2" s="214"/>
      <c r="F2" s="16" t="s">
        <v>3</v>
      </c>
      <c r="G2" s="100" t="str">
        <f>IF(LOOKUP($C$2,Staff_List!$A$4:$A$53,Staff_List!$B$4:$B$53)="","",LOOKUP($C$2,Staff_List!$A$4:$A$53,Staff_List!$B$4:$B$53))</f>
        <v>A7581</v>
      </c>
      <c r="H2" s="16" t="s">
        <v>4</v>
      </c>
      <c r="I2" s="224" t="s">
        <v>103</v>
      </c>
      <c r="J2" s="224"/>
      <c r="K2" s="85"/>
      <c r="L2" s="5"/>
      <c r="M2" s="5"/>
      <c r="N2" s="6"/>
      <c r="O2" s="6"/>
    </row>
    <row r="3" spans="1:15" x14ac:dyDescent="0.25">
      <c r="G3" s="3"/>
      <c r="I3" s="2"/>
      <c r="J3" s="44"/>
      <c r="K3" s="44"/>
    </row>
    <row r="4" spans="1:15" x14ac:dyDescent="0.25">
      <c r="B4" s="16" t="s">
        <v>35</v>
      </c>
      <c r="C4" s="224" t="s">
        <v>146</v>
      </c>
      <c r="D4" s="224"/>
      <c r="E4" s="224"/>
      <c r="F4" s="16" t="s">
        <v>5</v>
      </c>
      <c r="G4" s="99" t="s">
        <v>487</v>
      </c>
      <c r="H4" s="16" t="s">
        <v>6</v>
      </c>
      <c r="I4" s="76" t="s">
        <v>108</v>
      </c>
      <c r="J4" s="101"/>
      <c r="K4" s="85"/>
      <c r="L4" s="5"/>
      <c r="M4" s="6"/>
      <c r="N4" s="6"/>
    </row>
    <row r="5" spans="1:15" customFormat="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</row>
    <row r="6" spans="1:15" x14ac:dyDescent="0.25">
      <c r="K6" s="44"/>
    </row>
    <row r="7" spans="1:15" ht="15.75" x14ac:dyDescent="0.25">
      <c r="A7" s="7" t="s">
        <v>7</v>
      </c>
      <c r="B7" s="211" t="s">
        <v>8</v>
      </c>
      <c r="C7" s="211"/>
      <c r="D7" s="7"/>
      <c r="E7" s="7"/>
      <c r="F7" s="7"/>
      <c r="G7" s="7"/>
      <c r="H7" s="7"/>
      <c r="I7" s="8"/>
      <c r="J7" s="7"/>
    </row>
    <row r="8" spans="1:15" ht="50.25" customHeight="1" x14ac:dyDescent="0.25">
      <c r="B8" s="18" t="str">
        <f>IF($I$2="Library","","Course Code")</f>
        <v>Course Code</v>
      </c>
      <c r="C8" s="18" t="str">
        <f>IF($I$2="Library","Credit Unit (hrs)        (a)","Credit weight     (a)")</f>
        <v>Credit weight     (a)</v>
      </c>
      <c r="D8" s="18" t="str">
        <f>IF($I$2="Library","Students Enrolment  (b)","Students Enrolment (b)")</f>
        <v>Students Enrolment (b)</v>
      </c>
      <c r="E8" s="18" t="str">
        <f>IF($I$2="Library","No. of Librarians Available               (n)","No. of Lecturer     (n)")</f>
        <v>No. of Lecturer     (n)</v>
      </c>
      <c r="F8" s="18" t="str">
        <f>IF($I$2="Library","Librarians Required     (r)","Ratio of Teaching (r) ")</f>
        <v xml:space="preserve">Ratio of Teaching (r) </v>
      </c>
      <c r="G8" s="18" t="str">
        <f>IF($I$2="Library","Librarians Load      M = r - n","Students Load          M = b x r")</f>
        <v>Students Load          M = b x r</v>
      </c>
      <c r="H8" s="18" t="str">
        <f>IF($I$2="Library","Excess Workload Units","Credits Load        H = a x L")</f>
        <v>Credits Load        H = a x L</v>
      </c>
      <c r="I8" s="9"/>
      <c r="J8" s="10"/>
      <c r="K8" s="2"/>
    </row>
    <row r="9" spans="1:15" ht="15.75" customHeight="1" x14ac:dyDescent="0.25">
      <c r="B9" s="208" t="s">
        <v>467</v>
      </c>
      <c r="C9" s="17">
        <f>IF($B9="","",IF($I$4="2008/2009",VLOOKUP($B9,Courses_List!$A$3:$T$102,2,FALSE),IF($I$4="2009/2010",VLOOKUP($B9,Courses_List!$E$3:$F$102,2,FALSE),IF($I$4="2010/2011",VLOOKUP($B9,Courses_List!$I$3:$J$102,2,FALSE),IF($I$4="2011/2012",VLOOKUP($B9,Courses_List!$M$3:$N$102,2,FALSE),IF($I$4="2012/2013",VLOOKUP($B9,Courses_List!$Q$3:$R$102,2,FALSE),"INVALID"))))))</f>
        <v>3</v>
      </c>
      <c r="D9" s="17">
        <f>IF($B9="","",IF($I$4="2008/2009",VLOOKUP($B9,Courses_List!$A$3:$C$102,3,FALSE),IF($I$4="2009/2010",VLOOKUP($B9,Courses_List!$E$3:$G$102,3,FALSE),IF($I$4="2010/2011",VLOOKUP($B9,Courses_List!$I$3:$K$102,3,FALSE),IF($I$4="2011/2012",VLOOKUP($B9,Courses_List!$M$3:$O$102,3,FALSE),IF($I$4="2012/2013",VLOOKUP($B9,Courses_List!$Q$3:$S$102,3,FALSE),"INVALID"))))))</f>
        <v>123</v>
      </c>
      <c r="E9" s="17">
        <f>IF($B9="","",IF($I$4="2008/2009",VLOOKUP($B9,Courses_List!$A$3:$D$102,4,FALSE),IF($I$4="2009/2010",VLOOKUP($B9,Courses_List!$E$3:$H$102,4,FALSE),IF($I$4="2010/2011",VLOOKUP($B9,Courses_List!$I$3:$L$102,4,FALSE),IF($I$4="2011/2012",VLOOKUP($B9,Courses_List!$M$3:$P$102,4,FALSE),IF($I$4="2012/2013",VLOOKUP($B9,Courses_List!$Q$3:$T$102,4,FALSE),"INVALID"))))))</f>
        <v>2</v>
      </c>
      <c r="F9" s="78">
        <f>IF($E9="","",1/$E9)</f>
        <v>0.5</v>
      </c>
      <c r="G9" s="17">
        <f>IF(OR($D9="",$E9="",$F9=""),"",$D9*$F9)</f>
        <v>61.5</v>
      </c>
      <c r="H9" s="17">
        <f>IF(OR($B9="",$C9=""),"",MID($B9,4,1)*$C9)</f>
        <v>12</v>
      </c>
      <c r="I9" s="8"/>
      <c r="J9" s="12"/>
      <c r="K9" s="2"/>
    </row>
    <row r="10" spans="1:15" ht="15.75" x14ac:dyDescent="0.25">
      <c r="B10" s="208" t="s">
        <v>476</v>
      </c>
      <c r="C10" s="17">
        <f>IF($B10="","",IF($I$4="2008/2009",VLOOKUP($B10,Courses_List!$A$3:$T$102,2,FALSE),IF($I$4="2009/2010",VLOOKUP($B10,Courses_List!$E$3:$F$102,2,FALSE),IF($I$4="2010/2011",VLOOKUP($B10,Courses_List!$I$3:$J$102,2,FALSE),IF($I$4="2011/2012",VLOOKUP($B10,Courses_List!$M$3:$N$102,2,FALSE),IF($I$4="2012/2013",VLOOKUP($B10,Courses_List!$Q$3:$R$102,2,FALSE),"INVALID"))))))</f>
        <v>2</v>
      </c>
      <c r="D10" s="17">
        <f>IF($B10="","",IF($I$4="2008/2009",VLOOKUP($B10,Courses_List!$A$3:$C$102,3,FALSE),IF($I$4="2009/2010",VLOOKUP($B10,Courses_List!$E$3:$G$102,3,FALSE),IF($I$4="2010/2011",VLOOKUP($B10,Courses_List!$I$3:$K$102,3,FALSE),IF($I$4="2011/2012",VLOOKUP($B10,Courses_List!$M$3:$O$102,3,FALSE),IF($I$4="2012/2013",VLOOKUP($B10,Courses_List!$Q$3:$S$102,3,FALSE),"INVALID"))))))</f>
        <v>113</v>
      </c>
      <c r="E10" s="17">
        <f>IF($B10="","",IF($I$4="2008/2009",VLOOKUP($B10,Courses_List!$A$3:$D$102,4,FALSE),IF($I$4="2009/2010",VLOOKUP($B10,Courses_List!$E$3:$H$102,4,FALSE),IF($I$4="2010/2011",VLOOKUP($B10,Courses_List!$I$3:$L$102,4,FALSE),IF($I$4="2011/2012",VLOOKUP($B10,Courses_List!$M$3:$P$102,4,FALSE),IF($I$4="2012/2013",VLOOKUP($B10,Courses_List!$Q$3:$T$102,4,FALSE),"INVALID"))))))</f>
        <v>2</v>
      </c>
      <c r="F10" s="78">
        <f>IF($E10="","",1/$E10)</f>
        <v>0.5</v>
      </c>
      <c r="G10" s="17">
        <f t="shared" ref="G10:G28" si="0">IF(OR($D10="",$E10="",$F10=""),"",$D10*$F10)</f>
        <v>56.5</v>
      </c>
      <c r="H10" s="17">
        <f t="shared" ref="H10:H28" si="1">IF(OR($B10="",$C10=""),"",MID($B10,4,1)*$C10)</f>
        <v>10</v>
      </c>
      <c r="I10" s="8"/>
      <c r="J10" s="12"/>
      <c r="K10" s="2"/>
    </row>
    <row r="11" spans="1:15" ht="15.75" x14ac:dyDescent="0.25">
      <c r="B11" s="208" t="s">
        <v>451</v>
      </c>
      <c r="C11" s="17">
        <f>IF($B11="","",IF($I$4="2008/2009",VLOOKUP($B11,Courses_List!$A$3:$T$102,2,FALSE),IF($I$4="2009/2010",VLOOKUP($B11,Courses_List!$E$3:$F$102,2,FALSE),IF($I$4="2010/2011",VLOOKUP($B11,Courses_List!$I$3:$J$102,2,FALSE),IF($I$4="2011/2012",VLOOKUP($B11,Courses_List!$M$3:$N$102,2,FALSE),IF($I$4="2012/2013",VLOOKUP($B11,Courses_List!$Q$3:$R$102,2,FALSE),"INVALID"))))))</f>
        <v>2</v>
      </c>
      <c r="D11" s="17">
        <f>IF($B11="","",IF($I$4="2008/2009",VLOOKUP($B11,Courses_List!$A$3:$C$102,3,FALSE),IF($I$4="2009/2010",VLOOKUP($B11,Courses_List!$E$3:$G$102,3,FALSE),IF($I$4="2010/2011",VLOOKUP($B11,Courses_List!$I$3:$K$102,3,FALSE),IF($I$4="2011/2012",VLOOKUP($B11,Courses_List!$M$3:$O$102,3,FALSE),IF($I$4="2012/2013",VLOOKUP($B11,Courses_List!$Q$3:$S$102,3,FALSE),"INVALID"))))))</f>
        <v>102</v>
      </c>
      <c r="E11" s="17">
        <f>IF($B11="","",IF($I$4="2008/2009",VLOOKUP($B11,Courses_List!$A$3:$D$102,4,FALSE),IF($I$4="2009/2010",VLOOKUP($B11,Courses_List!$E$3:$H$102,4,FALSE),IF($I$4="2010/2011",VLOOKUP($B11,Courses_List!$I$3:$L$102,4,FALSE),IF($I$4="2011/2012",VLOOKUP($B11,Courses_List!$M$3:$P$102,4,FALSE),IF($I$4="2012/2013",VLOOKUP($B11,Courses_List!$Q$3:$T$102,4,FALSE),"INVALID"))))))</f>
        <v>2</v>
      </c>
      <c r="F11" s="78">
        <f>IF($E11="","",1/$E11)</f>
        <v>0.5</v>
      </c>
      <c r="G11" s="17">
        <f t="shared" si="0"/>
        <v>51</v>
      </c>
      <c r="H11" s="17">
        <f t="shared" si="1"/>
        <v>10</v>
      </c>
      <c r="I11" s="8"/>
      <c r="J11" s="12"/>
      <c r="K11" s="2"/>
    </row>
    <row r="12" spans="1:15" ht="15.75" x14ac:dyDescent="0.25">
      <c r="B12" s="208"/>
      <c r="C12" s="17" t="str">
        <f>IF($B12="","",IF($I$4="2008/2009",VLOOKUP($B12,Courses_List!$A$3:$T$102,2,FALSE),IF($I$4="2009/2010",VLOOKUP($B12,Courses_List!$E$3:$F$102,2,FALSE),IF($I$4="2010/2011",VLOOKUP($B12,Courses_List!$I$3:$J$102,2,FALSE),IF($I$4="2011/2012",VLOOKUP($B12,Courses_List!$M$3:$N$102,2,FALSE),IF($I$4="2012/2013",VLOOKUP($B12,Courses_List!$Q$3:$R$102,2,FALSE),"INVALID"))))))</f>
        <v/>
      </c>
      <c r="D12" s="17" t="str">
        <f>IF($B12="","",IF($I$4="2008/2009",VLOOKUP($B12,Courses_List!$A$3:$C$102,3,FALSE),IF($I$4="2009/2010",VLOOKUP($B12,Courses_List!$E$3:$G$102,3,FALSE),IF($I$4="2010/2011",VLOOKUP($B12,Courses_List!$I$3:$K$102,3,FALSE),IF($I$4="2011/2012",VLOOKUP($B12,Courses_List!$M$3:$O$102,3,FALSE),IF($I$4="2012/2013",VLOOKUP($B12,Courses_List!$Q$3:$S$102,3,FALSE),"INVALID"))))))</f>
        <v/>
      </c>
      <c r="E12" s="17" t="str">
        <f>IF($B12="","",IF($I$4="2008/2009",VLOOKUP($B12,Courses_List!$A$3:$D$102,4,FALSE),IF($I$4="2009/2010",VLOOKUP($B12,Courses_List!$E$3:$H$102,4,FALSE),IF($I$4="2010/2011",VLOOKUP($B12,Courses_List!$I$3:$L$102,4,FALSE),IF($I$4="2011/2012",VLOOKUP($B12,Courses_List!$M$3:$P$102,4,FALSE),IF($I$4="2012/2013",VLOOKUP($B12,Courses_List!$Q$3:$T$102,4,FALSE),"INVALID"))))))</f>
        <v/>
      </c>
      <c r="F12" s="78" t="str">
        <f>IF($E12="","",1/$E12)</f>
        <v/>
      </c>
      <c r="G12" s="17" t="str">
        <f t="shared" si="0"/>
        <v/>
      </c>
      <c r="H12" s="17" t="str">
        <f t="shared" si="1"/>
        <v/>
      </c>
      <c r="I12" s="8"/>
      <c r="J12" s="12"/>
      <c r="K12" s="2"/>
    </row>
    <row r="13" spans="1:15" ht="15.75" x14ac:dyDescent="0.25">
      <c r="B13" s="77"/>
      <c r="C13" s="17" t="str">
        <f>IF($B13="","",IF($I$4="2008/2009",VLOOKUP($B13,Courses_List!$A$3:$T$102,2,FALSE),IF($I$4="2009/2010",VLOOKUP($B13,Courses_List!$E$3:$F$102,2,FALSE),IF($I$4="2010/2011",VLOOKUP($B13,Courses_List!$I$3:$J$102,2,FALSE),IF($I$4="2011/2012",VLOOKUP($B13,Courses_List!$M$3:$N$102,2,FALSE),IF($I$4="2012/2013",VLOOKUP($B13,Courses_List!$Q$3:$R$102,2,FALSE),"INVALID"))))))</f>
        <v/>
      </c>
      <c r="D13" s="17" t="str">
        <f>IF($B13="","",IF($I$4="2008/2009",VLOOKUP($B13,Courses_List!$A$3:$C$102,3,FALSE),IF($I$4="2009/2010",VLOOKUP($B13,Courses_List!$E$3:$G$102,3,FALSE),IF($I$4="2010/2011",VLOOKUP($B13,Courses_List!$I$3:$K$102,3,FALSE),IF($I$4="2011/2012",VLOOKUP($B13,Courses_List!$M$3:$O$102,3,FALSE),IF($I$4="2012/2013",VLOOKUP($B13,Courses_List!$Q$3:$S$102,3,FALSE),"INVALID"))))))</f>
        <v/>
      </c>
      <c r="E13" s="17" t="str">
        <f>IF($B13="","",IF($I$4="2008/2009",VLOOKUP($B13,Courses_List!$A$3:$D$102,4,FALSE),IF($I$4="2009/2010",VLOOKUP($B13,Courses_List!$E$3:$H$102,4,FALSE),IF($I$4="2010/2011",VLOOKUP($B13,Courses_List!$I$3:$L$102,4,FALSE),IF($I$4="2011/2012",VLOOKUP($B13,Courses_List!$M$3:$P$102,4,FALSE),IF($I$4="2012/2013",VLOOKUP($B13,Courses_List!$Q$3:$T$102,4,FALSE),"INVALID"))))))</f>
        <v/>
      </c>
      <c r="F13" s="78" t="str">
        <f>IF($E13="","",1/$E13)</f>
        <v/>
      </c>
      <c r="G13" s="17" t="str">
        <f t="shared" si="0"/>
        <v/>
      </c>
      <c r="H13" s="17" t="str">
        <f t="shared" si="1"/>
        <v/>
      </c>
      <c r="I13" s="8"/>
      <c r="J13" s="12"/>
      <c r="K13" s="2"/>
    </row>
    <row r="14" spans="1:15" ht="15.75" x14ac:dyDescent="0.25">
      <c r="B14" s="77"/>
      <c r="C14" s="17" t="str">
        <f>IF($B14="","",IF($I$4="2008/2009",VLOOKUP($B14,Courses_List!$A$3:$T$102,2,FALSE),IF($I$4="2009/2010",VLOOKUP($B14,Courses_List!$E$3:$F$102,2,FALSE),IF($I$4="2010/2011",VLOOKUP($B14,Courses_List!$I$3:$J$102,2,FALSE),IF($I$4="2011/2012",VLOOKUP($B14,Courses_List!$M$3:$N$102,2,FALSE),IF($I$4="2012/2013",VLOOKUP($B14,Courses_List!$Q$3:$R$102,2,FALSE),"INVALID"))))))</f>
        <v/>
      </c>
      <c r="D14" s="17" t="str">
        <f>IF($B14="","",IF($I$4="2008/2009",VLOOKUP($B14,Courses_List!$A$3:$C$102,3,FALSE),IF($I$4="2009/2010",VLOOKUP($B14,Courses_List!$E$3:$G$102,3,FALSE),IF($I$4="2010/2011",VLOOKUP($B14,Courses_List!$I$3:$K$102,3,FALSE),IF($I$4="2011/2012",VLOOKUP($B14,Courses_List!$M$3:$O$102,3,FALSE),IF($I$4="2012/2013",VLOOKUP($B14,Courses_List!$Q$3:$S$102,3,FALSE),"INVALID"))))))</f>
        <v/>
      </c>
      <c r="E14" s="17" t="str">
        <f>IF($B14="","",IF($I$4="2008/2009",VLOOKUP($B14,Courses_List!$A$3:$D$102,4,FALSE),IF($I$4="2009/2010",VLOOKUP($B14,Courses_List!$E$3:$H$102,4,FALSE),IF($I$4="2010/2011",VLOOKUP($B14,Courses_List!$I$3:$L$102,4,FALSE),IF($I$4="2011/2012",VLOOKUP($B14,Courses_List!$M$3:$P$102,4,FALSE),IF($I$4="2012/2013",VLOOKUP($B14,Courses_List!$Q$3:$T$102,4,FALSE),"INVALID"))))))</f>
        <v/>
      </c>
      <c r="F14" s="78" t="str">
        <f>IF($I$2="Library",IF(OR($C14="",$D14="",$E14=""),"",ROUND($D14/400,0)),IF($E14="","",1/$E14))</f>
        <v/>
      </c>
      <c r="G14" s="17" t="str">
        <f>IF($F14="","",IF($I$2="Library",$F14-$E14,IF(OR($D14="",$E14="",$F14=""),"",$D14*$F14)))</f>
        <v/>
      </c>
      <c r="H14" s="17" t="str">
        <f>IF($I$2="Library",IF(OR($C14="",$D14="",$E14=""),"",$C14*$E14*400*1.3/400),IF(OR($B14="",$C14=""),"",MID($B14,4,1)*$C14))</f>
        <v/>
      </c>
      <c r="I14" s="8"/>
      <c r="J14" s="12"/>
      <c r="K14" s="2"/>
    </row>
    <row r="15" spans="1:15" ht="15.75" x14ac:dyDescent="0.25">
      <c r="B15" s="77"/>
      <c r="C15" s="17" t="str">
        <f>IF($B15="","",IF($I$4="2008/2009",VLOOKUP($B15,Courses_List!$A$3:$T$102,2,FALSE),IF($I$4="2009/2010",VLOOKUP($B15,Courses_List!$E$3:$F$102,2,FALSE),IF($I$4="2010/2011",VLOOKUP($B15,Courses_List!$I$3:$J$102,2,FALSE),IF($I$4="2011/2012",VLOOKUP($B15,Courses_List!$M$3:$N$102,2,FALSE),IF($I$4="2012/2013",VLOOKUP($B15,Courses_List!$Q$3:$R$102,2,FALSE),"INVALID"))))))</f>
        <v/>
      </c>
      <c r="D15" s="17" t="str">
        <f>IF($B15="","",IF($I$4="2008/2009",VLOOKUP($B15,Courses_List!$A$3:$C$102,3,FALSE),IF($I$4="2009/2010",VLOOKUP($B15,Courses_List!$E$3:$G$102,3,FALSE),IF($I$4="2010/2011",VLOOKUP($B15,Courses_List!$I$3:$K$102,3,FALSE),IF($I$4="2011/2012",VLOOKUP($B15,Courses_List!$M$3:$O$102,3,FALSE),IF($I$4="2012/2013",VLOOKUP($B15,Courses_List!$Q$3:$S$102,3,FALSE),"INVALID"))))))</f>
        <v/>
      </c>
      <c r="E15" s="17" t="str">
        <f>IF($B15="","",IF($I$4="2008/2009",VLOOKUP($B15,Courses_List!$A$3:$D$102,4,FALSE),IF($I$4="2009/2010",VLOOKUP($B15,Courses_List!$E$3:$H$102,4,FALSE),IF($I$4="2010/2011",VLOOKUP($B15,Courses_List!$I$3:$L$102,4,FALSE),IF($I$4="2011/2012",VLOOKUP($B15,Courses_List!$M$3:$P$102,4,FALSE),IF($I$4="2012/2013",VLOOKUP($B15,Courses_List!$Q$3:$T$102,4,FALSE),"INVALID"))))))</f>
        <v/>
      </c>
      <c r="F15" s="78" t="str">
        <f t="shared" ref="F15:F28" si="2">IF($E15="","",1/$E15)</f>
        <v/>
      </c>
      <c r="G15" s="17" t="str">
        <f t="shared" si="0"/>
        <v/>
      </c>
      <c r="H15" s="17" t="str">
        <f t="shared" si="1"/>
        <v/>
      </c>
      <c r="I15" s="8"/>
      <c r="J15" s="12"/>
      <c r="K15" s="2"/>
    </row>
    <row r="16" spans="1:15" ht="15.75" x14ac:dyDescent="0.25">
      <c r="B16" s="77"/>
      <c r="C16" s="17" t="str">
        <f>IF($B16="","",IF($I$4="2008/2009",VLOOKUP($B16,Courses_List!$A$3:$T$102,2,FALSE),IF($I$4="2009/2010",VLOOKUP($B16,Courses_List!$E$3:$F$102,2,FALSE),IF($I$4="2010/2011",VLOOKUP($B16,Courses_List!$I$3:$J$102,2,FALSE),IF($I$4="2011/2012",VLOOKUP($B16,Courses_List!$M$3:$N$102,2,FALSE),IF($I$4="2012/2013",VLOOKUP($B16,Courses_List!$Q$3:$R$102,2,FALSE),"INVALID"))))))</f>
        <v/>
      </c>
      <c r="D16" s="17" t="str">
        <f>IF($B16="","",IF($I$4="2008/2009",VLOOKUP($B16,Courses_List!$A$3:$C$102,3,FALSE),IF($I$4="2009/2010",VLOOKUP($B16,Courses_List!$E$3:$G$102,3,FALSE),IF($I$4="2010/2011",VLOOKUP($B16,Courses_List!$I$3:$K$102,3,FALSE),IF($I$4="2011/2012",VLOOKUP($B16,Courses_List!$M$3:$O$102,3,FALSE),IF($I$4="2012/2013",VLOOKUP($B16,Courses_List!$Q$3:$S$102,3,FALSE),"INVALID"))))))</f>
        <v/>
      </c>
      <c r="E16" s="17" t="str">
        <f>IF($B16="","",IF($I$4="2008/2009",VLOOKUP($B16,Courses_List!$A$3:$D$102,4,FALSE),IF($I$4="2009/2010",VLOOKUP($B16,Courses_List!$E$3:$H$102,4,FALSE),IF($I$4="2010/2011",VLOOKUP($B16,Courses_List!$I$3:$L$102,4,FALSE),IF($I$4="2011/2012",VLOOKUP($B16,Courses_List!$M$3:$P$102,4,FALSE),IF($I$4="2012/2013",VLOOKUP($B16,Courses_List!$Q$3:$T$102,4,FALSE),"INVALID"))))))</f>
        <v/>
      </c>
      <c r="F16" s="78" t="str">
        <f t="shared" si="2"/>
        <v/>
      </c>
      <c r="G16" s="17" t="str">
        <f t="shared" si="0"/>
        <v/>
      </c>
      <c r="H16" s="17" t="str">
        <f t="shared" si="1"/>
        <v/>
      </c>
      <c r="I16" s="8"/>
      <c r="J16" s="12"/>
      <c r="K16" s="2"/>
    </row>
    <row r="17" spans="2:11" ht="15.75" x14ac:dyDescent="0.25">
      <c r="B17" s="77"/>
      <c r="C17" s="17" t="str">
        <f>IF($B17="","",IF($I$4="2008/2009",VLOOKUP($B17,Courses_List!$A$3:$T$102,2,FALSE),IF($I$4="2009/2010",VLOOKUP($B17,Courses_List!$E$3:$F$102,2,FALSE),IF($I$4="2010/2011",VLOOKUP($B17,Courses_List!$I$3:$J$102,2,FALSE),IF($I$4="2011/2012",VLOOKUP($B17,Courses_List!$M$3:$N$102,2,FALSE),IF($I$4="2012/2013",VLOOKUP($B17,Courses_List!$Q$3:$R$102,2,FALSE),"INVALID"))))))</f>
        <v/>
      </c>
      <c r="D17" s="17" t="str">
        <f>IF($B17="","",IF($I$4="2008/2009",VLOOKUP($B17,Courses_List!$A$3:$C$102,3,FALSE),IF($I$4="2009/2010",VLOOKUP($B17,Courses_List!$E$3:$G$102,3,FALSE),IF($I$4="2010/2011",VLOOKUP($B17,Courses_List!$I$3:$K$102,3,FALSE),IF($I$4="2011/2012",VLOOKUP($B17,Courses_List!$M$3:$O$102,3,FALSE),IF($I$4="2012/2013",VLOOKUP($B17,Courses_List!$Q$3:$S$102,3,FALSE),"INVALID"))))))</f>
        <v/>
      </c>
      <c r="E17" s="17" t="str">
        <f>IF($B17="","",IF($I$4="2008/2009",VLOOKUP($B17,Courses_List!$A$3:$D$102,4,FALSE),IF($I$4="2009/2010",VLOOKUP($B17,Courses_List!$E$3:$H$102,4,FALSE),IF($I$4="2010/2011",VLOOKUP($B17,Courses_List!$I$3:$L$102,4,FALSE),IF($I$4="2011/2012",VLOOKUP($B17,Courses_List!$M$3:$P$102,4,FALSE),IF($I$4="2012/2013",VLOOKUP($B17,Courses_List!$Q$3:$T$102,4,FALSE),"INVALID"))))))</f>
        <v/>
      </c>
      <c r="F17" s="78" t="str">
        <f t="shared" si="2"/>
        <v/>
      </c>
      <c r="G17" s="17" t="str">
        <f t="shared" si="0"/>
        <v/>
      </c>
      <c r="H17" s="17" t="str">
        <f t="shared" si="1"/>
        <v/>
      </c>
      <c r="I17" s="8"/>
      <c r="J17" s="12"/>
      <c r="K17" s="2"/>
    </row>
    <row r="18" spans="2:11" ht="15.75" x14ac:dyDescent="0.25">
      <c r="B18" s="77"/>
      <c r="C18" s="17" t="str">
        <f>IF($B18="","",IF($I$4="2008/2009",VLOOKUP($B18,Courses_List!$A$3:$T$102,2,FALSE),IF($I$4="2009/2010",VLOOKUP($B18,Courses_List!$E$3:$F$102,2,FALSE),IF($I$4="2010/2011",VLOOKUP($B18,Courses_List!$I$3:$J$102,2,FALSE),IF($I$4="2011/2012",VLOOKUP($B18,Courses_List!$M$3:$N$102,2,FALSE),IF($I$4="2012/2013",VLOOKUP($B18,Courses_List!$Q$3:$R$102,2,FALSE),"INVALID"))))))</f>
        <v/>
      </c>
      <c r="D18" s="17" t="str">
        <f>IF($B18="","",IF($I$4="2008/2009",VLOOKUP($B18,Courses_List!$A$3:$C$102,3,FALSE),IF($I$4="2009/2010",VLOOKUP($B18,Courses_List!$E$3:$G$102,3,FALSE),IF($I$4="2010/2011",VLOOKUP($B18,Courses_List!$I$3:$K$102,3,FALSE),IF($I$4="2011/2012",VLOOKUP($B18,Courses_List!$M$3:$O$102,3,FALSE),IF($I$4="2012/2013",VLOOKUP($B18,Courses_List!$Q$3:$S$102,3,FALSE),"INVALID"))))))</f>
        <v/>
      </c>
      <c r="E18" s="17" t="str">
        <f>IF($B18="","",IF($I$4="2008/2009",VLOOKUP($B18,Courses_List!$A$3:$D$102,4,FALSE),IF($I$4="2009/2010",VLOOKUP($B18,Courses_List!$E$3:$H$102,4,FALSE),IF($I$4="2010/2011",VLOOKUP($B18,Courses_List!$I$3:$L$102,4,FALSE),IF($I$4="2011/2012",VLOOKUP($B18,Courses_List!$M$3:$P$102,4,FALSE),IF($I$4="2012/2013",VLOOKUP($B18,Courses_List!$Q$3:$T$102,4,FALSE),"INVALID"))))))</f>
        <v/>
      </c>
      <c r="F18" s="78" t="str">
        <f t="shared" si="2"/>
        <v/>
      </c>
      <c r="G18" s="17" t="str">
        <f t="shared" si="0"/>
        <v/>
      </c>
      <c r="H18" s="17" t="str">
        <f t="shared" si="1"/>
        <v/>
      </c>
      <c r="I18" s="8"/>
      <c r="J18" s="12"/>
      <c r="K18" s="2"/>
    </row>
    <row r="19" spans="2:11" ht="15.75" customHeight="1" x14ac:dyDescent="0.25">
      <c r="B19" s="77"/>
      <c r="C19" s="17" t="str">
        <f>IF($B19="","",IF($I$4="2008/2009",VLOOKUP($B19,Courses_List!$A$3:$T$102,2,FALSE),IF($I$4="2009/2010",VLOOKUP($B19,Courses_List!$E$3:$F$102,2,FALSE),IF($I$4="2010/2011",VLOOKUP($B19,Courses_List!$I$3:$J$102,2,FALSE),IF($I$4="2011/2012",VLOOKUP($B19,Courses_List!$M$3:$N$102,2,FALSE),IF($I$4="2012/2013",VLOOKUP($B19,Courses_List!$Q$3:$R$102,2,FALSE),"INVALID"))))))</f>
        <v/>
      </c>
      <c r="D19" s="17" t="str">
        <f>IF($B19="","",IF($I$4="2008/2009",VLOOKUP($B19,Courses_List!$A$3:$C$102,3,FALSE),IF($I$4="2009/2010",VLOOKUP($B19,Courses_List!$E$3:$G$102,3,FALSE),IF($I$4="2010/2011",VLOOKUP($B19,Courses_List!$I$3:$K$102,3,FALSE),IF($I$4="2011/2012",VLOOKUP($B19,Courses_List!$M$3:$O$102,3,FALSE),IF($I$4="2012/2013",VLOOKUP($B19,Courses_List!$Q$3:$S$102,3,FALSE),"INVALID"))))))</f>
        <v/>
      </c>
      <c r="E19" s="17" t="str">
        <f>IF($B19="","",IF($I$4="2008/2009",VLOOKUP($B19,Courses_List!$A$3:$D$102,4,FALSE),IF($I$4="2009/2010",VLOOKUP($B19,Courses_List!$E$3:$H$102,4,FALSE),IF($I$4="2010/2011",VLOOKUP($B19,Courses_List!$I$3:$L$102,4,FALSE),IF($I$4="2011/2012",VLOOKUP($B19,Courses_List!$M$3:$P$102,4,FALSE),IF($I$4="2012/2013",VLOOKUP($B19,Courses_List!$Q$3:$T$102,4,FALSE),"INVALID"))))))</f>
        <v/>
      </c>
      <c r="F19" s="78" t="str">
        <f t="shared" si="2"/>
        <v/>
      </c>
      <c r="G19" s="17" t="str">
        <f t="shared" si="0"/>
        <v/>
      </c>
      <c r="H19" s="17" t="str">
        <f t="shared" si="1"/>
        <v/>
      </c>
      <c r="I19" s="8"/>
      <c r="J19" s="12"/>
      <c r="K19" s="2"/>
    </row>
    <row r="20" spans="2:11" ht="15.75" x14ac:dyDescent="0.25">
      <c r="B20" s="77"/>
      <c r="C20" s="17" t="str">
        <f>IF($B20="","",IF($I$4="2008/2009",VLOOKUP($B20,Courses_List!$A$3:$T$102,2,FALSE),IF($I$4="2009/2010",VLOOKUP($B20,Courses_List!$E$3:$F$102,2,FALSE),IF($I$4="2010/2011",VLOOKUP($B20,Courses_List!$I$3:$J$102,2,FALSE),IF($I$4="2011/2012",VLOOKUP($B20,Courses_List!$M$3:$N$102,2,FALSE),IF($I$4="2012/2013",VLOOKUP($B20,Courses_List!$Q$3:$R$102,2,FALSE),"INVALID"))))))</f>
        <v/>
      </c>
      <c r="D20" s="17" t="str">
        <f>IF($B20="","",IF($I$4="2008/2009",VLOOKUP($B20,Courses_List!$A$3:$C$102,3,FALSE),IF($I$4="2009/2010",VLOOKUP($B20,Courses_List!$E$3:$G$102,3,FALSE),IF($I$4="2010/2011",VLOOKUP($B20,Courses_List!$I$3:$K$102,3,FALSE),IF($I$4="2011/2012",VLOOKUP($B20,Courses_List!$M$3:$O$102,3,FALSE),IF($I$4="2012/2013",VLOOKUP($B20,Courses_List!$Q$3:$S$102,3,FALSE),"INVALID"))))))</f>
        <v/>
      </c>
      <c r="E20" s="17" t="str">
        <f>IF($B20="","",IF($I$4="2008/2009",VLOOKUP($B20,Courses_List!$A$3:$D$102,4,FALSE),IF($I$4="2009/2010",VLOOKUP($B20,Courses_List!$E$3:$H$102,4,FALSE),IF($I$4="2010/2011",VLOOKUP($B20,Courses_List!$I$3:$L$102,4,FALSE),IF($I$4="2011/2012",VLOOKUP($B20,Courses_List!$M$3:$P$102,4,FALSE),IF($I$4="2012/2013",VLOOKUP($B20,Courses_List!$Q$3:$T$102,4,FALSE),"INVALID"))))))</f>
        <v/>
      </c>
      <c r="F20" s="78" t="str">
        <f t="shared" si="2"/>
        <v/>
      </c>
      <c r="G20" s="17" t="str">
        <f t="shared" si="0"/>
        <v/>
      </c>
      <c r="H20" s="17" t="str">
        <f t="shared" si="1"/>
        <v/>
      </c>
      <c r="I20" s="8"/>
      <c r="J20" s="12"/>
      <c r="K20" s="2"/>
    </row>
    <row r="21" spans="2:11" ht="15.75" x14ac:dyDescent="0.25">
      <c r="B21" s="77"/>
      <c r="C21" s="17" t="str">
        <f>IF($B21="","",IF($I$4="2008/2009",VLOOKUP($B21,Courses_List!$A$3:$T$102,2,FALSE),IF($I$4="2009/2010",VLOOKUP($B21,Courses_List!$E$3:$F$102,2,FALSE),IF($I$4="2010/2011",VLOOKUP($B21,Courses_List!$I$3:$J$102,2,FALSE),IF($I$4="2011/2012",VLOOKUP($B21,Courses_List!$M$3:$N$102,2,FALSE),IF($I$4="2012/2013",VLOOKUP($B21,Courses_List!$Q$3:$R$102,2,FALSE),"INVALID"))))))</f>
        <v/>
      </c>
      <c r="D21" s="17" t="str">
        <f>IF($B21="","",IF($I$4="2008/2009",VLOOKUP($B21,Courses_List!$A$3:$C$102,3,FALSE),IF($I$4="2009/2010",VLOOKUP($B21,Courses_List!$E$3:$G$102,3,FALSE),IF($I$4="2010/2011",VLOOKUP($B21,Courses_List!$I$3:$K$102,3,FALSE),IF($I$4="2011/2012",VLOOKUP($B21,Courses_List!$M$3:$O$102,3,FALSE),IF($I$4="2012/2013",VLOOKUP($B21,Courses_List!$Q$3:$S$102,3,FALSE),"INVALID"))))))</f>
        <v/>
      </c>
      <c r="E21" s="17" t="str">
        <f>IF($B21="","",IF($I$4="2008/2009",VLOOKUP($B21,Courses_List!$A$3:$D$102,4,FALSE),IF($I$4="2009/2010",VLOOKUP($B21,Courses_List!$E$3:$H$102,4,FALSE),IF($I$4="2010/2011",VLOOKUP($B21,Courses_List!$I$3:$L$102,4,FALSE),IF($I$4="2011/2012",VLOOKUP($B21,Courses_List!$M$3:$P$102,4,FALSE),IF($I$4="2012/2013",VLOOKUP($B21,Courses_List!$Q$3:$T$102,4,FALSE),"INVALID"))))))</f>
        <v/>
      </c>
      <c r="F21" s="78" t="str">
        <f t="shared" si="2"/>
        <v/>
      </c>
      <c r="G21" s="17" t="str">
        <f t="shared" si="0"/>
        <v/>
      </c>
      <c r="H21" s="17" t="str">
        <f t="shared" si="1"/>
        <v/>
      </c>
      <c r="I21" s="8"/>
      <c r="J21" s="12"/>
      <c r="K21" s="2"/>
    </row>
    <row r="22" spans="2:11" ht="15.75" x14ac:dyDescent="0.25">
      <c r="B22" s="77"/>
      <c r="C22" s="17" t="str">
        <f>IF($B22="","",IF($I$4="2008/2009",VLOOKUP($B22,Courses_List!$A$3:$T$102,2,FALSE),IF($I$4="2009/2010",VLOOKUP($B22,Courses_List!$E$3:$F$102,2,FALSE),IF($I$4="2010/2011",VLOOKUP($B22,Courses_List!$I$3:$J$102,2,FALSE),IF($I$4="2011/2012",VLOOKUP($B22,Courses_List!$M$3:$N$102,2,FALSE),IF($I$4="2012/2013",VLOOKUP($B22,Courses_List!$Q$3:$R$102,2,FALSE),"INVALID"))))))</f>
        <v/>
      </c>
      <c r="D22" s="17" t="str">
        <f>IF($B22="","",IF($I$4="2008/2009",VLOOKUP($B22,Courses_List!$A$3:$C$102,3,FALSE),IF($I$4="2009/2010",VLOOKUP($B22,Courses_List!$E$3:$G$102,3,FALSE),IF($I$4="2010/2011",VLOOKUP($B22,Courses_List!$I$3:$K$102,3,FALSE),IF($I$4="2011/2012",VLOOKUP($B22,Courses_List!$M$3:$O$102,3,FALSE),IF($I$4="2012/2013",VLOOKUP($B22,Courses_List!$Q$3:$S$102,3,FALSE),"INVALID"))))))</f>
        <v/>
      </c>
      <c r="E22" s="17" t="str">
        <f>IF($B22="","",IF($I$4="2008/2009",VLOOKUP($B22,Courses_List!$A$3:$D$102,4,FALSE),IF($I$4="2009/2010",VLOOKUP($B22,Courses_List!$E$3:$H$102,4,FALSE),IF($I$4="2010/2011",VLOOKUP($B22,Courses_List!$I$3:$L$102,4,FALSE),IF($I$4="2011/2012",VLOOKUP($B22,Courses_List!$M$3:$P$102,4,FALSE),IF($I$4="2012/2013",VLOOKUP($B22,Courses_List!$Q$3:$T$102,4,FALSE),"INVALID"))))))</f>
        <v/>
      </c>
      <c r="F22" s="78" t="str">
        <f t="shared" si="2"/>
        <v/>
      </c>
      <c r="G22" s="17" t="str">
        <f t="shared" si="0"/>
        <v/>
      </c>
      <c r="H22" s="17" t="str">
        <f t="shared" si="1"/>
        <v/>
      </c>
      <c r="I22" s="8"/>
      <c r="J22" s="12"/>
      <c r="K22" s="2"/>
    </row>
    <row r="23" spans="2:11" ht="15.75" x14ac:dyDescent="0.25">
      <c r="B23" s="77"/>
      <c r="C23" s="17" t="str">
        <f>IF($B23="","",IF($I$4="2008/2009",VLOOKUP($B23,Courses_List!$A$3:$T$102,2,FALSE),IF($I$4="2009/2010",VLOOKUP($B23,Courses_List!$E$3:$F$102,2,FALSE),IF($I$4="2010/2011",VLOOKUP($B23,Courses_List!$I$3:$J$102,2,FALSE),IF($I$4="2011/2012",VLOOKUP($B23,Courses_List!$M$3:$N$102,2,FALSE),IF($I$4="2012/2013",VLOOKUP($B23,Courses_List!$Q$3:$R$102,2,FALSE),"INVALID"))))))</f>
        <v/>
      </c>
      <c r="D23" s="17" t="str">
        <f>IF($B23="","",IF($I$4="2008/2009",VLOOKUP($B23,Courses_List!$A$3:$C$102,3,FALSE),IF($I$4="2009/2010",VLOOKUP($B23,Courses_List!$E$3:$G$102,3,FALSE),IF($I$4="2010/2011",VLOOKUP($B23,Courses_List!$I$3:$K$102,3,FALSE),IF($I$4="2011/2012",VLOOKUP($B23,Courses_List!$M$3:$O$102,3,FALSE),IF($I$4="2012/2013",VLOOKUP($B23,Courses_List!$Q$3:$S$102,3,FALSE),"INVALID"))))))</f>
        <v/>
      </c>
      <c r="E23" s="17" t="str">
        <f>IF($B23="","",IF($I$4="2008/2009",VLOOKUP($B23,Courses_List!$A$3:$D$102,4,FALSE),IF($I$4="2009/2010",VLOOKUP($B23,Courses_List!$E$3:$H$102,4,FALSE),IF($I$4="2010/2011",VLOOKUP($B23,Courses_List!$I$3:$L$102,4,FALSE),IF($I$4="2011/2012",VLOOKUP($B23,Courses_List!$M$3:$P$102,4,FALSE),IF($I$4="2012/2013",VLOOKUP($B23,Courses_List!$Q$3:$T$102,4,FALSE),"INVALID"))))))</f>
        <v/>
      </c>
      <c r="F23" s="78" t="str">
        <f t="shared" si="2"/>
        <v/>
      </c>
      <c r="G23" s="17" t="str">
        <f t="shared" si="0"/>
        <v/>
      </c>
      <c r="H23" s="17" t="str">
        <f t="shared" si="1"/>
        <v/>
      </c>
      <c r="I23" s="8"/>
      <c r="J23" s="12"/>
      <c r="K23" s="2"/>
    </row>
    <row r="24" spans="2:11" ht="15.75" x14ac:dyDescent="0.25">
      <c r="B24" s="77"/>
      <c r="C24" s="17" t="str">
        <f>IF($B24="","",IF($I$4="2008/2009",VLOOKUP($B24,Courses_List!$A$3:$T$102,2,FALSE),IF($I$4="2009/2010",VLOOKUP($B24,Courses_List!$E$3:$F$102,2,FALSE),IF($I$4="2010/2011",VLOOKUP($B24,Courses_List!$I$3:$J$102,2,FALSE),IF($I$4="2011/2012",VLOOKUP($B24,Courses_List!$M$3:$N$102,2,FALSE),IF($I$4="2012/2013",VLOOKUP($B24,Courses_List!$Q$3:$R$102,2,FALSE),"INVALID"))))))</f>
        <v/>
      </c>
      <c r="D24" s="17" t="str">
        <f>IF($B24="","",IF($I$4="2008/2009",VLOOKUP($B24,Courses_List!$A$3:$C$102,3,FALSE),IF($I$4="2009/2010",VLOOKUP($B24,Courses_List!$E$3:$G$102,3,FALSE),IF($I$4="2010/2011",VLOOKUP($B24,Courses_List!$I$3:$K$102,3,FALSE),IF($I$4="2011/2012",VLOOKUP($B24,Courses_List!$M$3:$O$102,3,FALSE),IF($I$4="2012/2013",VLOOKUP($B24,Courses_List!$Q$3:$S$102,3,FALSE),"INVALID"))))))</f>
        <v/>
      </c>
      <c r="E24" s="17" t="str">
        <f>IF($B24="","",IF($I$4="2008/2009",VLOOKUP($B24,Courses_List!$A$3:$D$102,4,FALSE),IF($I$4="2009/2010",VLOOKUP($B24,Courses_List!$E$3:$H$102,4,FALSE),IF($I$4="2010/2011",VLOOKUP($B24,Courses_List!$I$3:$L$102,4,FALSE),IF($I$4="2011/2012",VLOOKUP($B24,Courses_List!$M$3:$P$102,4,FALSE),IF($I$4="2012/2013",VLOOKUP($B24,Courses_List!$Q$3:$T$102,4,FALSE),"INVALID"))))))</f>
        <v/>
      </c>
      <c r="F24" s="78" t="str">
        <f t="shared" si="2"/>
        <v/>
      </c>
      <c r="G24" s="17" t="str">
        <f t="shared" si="0"/>
        <v/>
      </c>
      <c r="H24" s="17" t="str">
        <f t="shared" si="1"/>
        <v/>
      </c>
      <c r="I24" s="8"/>
      <c r="J24" s="12"/>
      <c r="K24" s="2"/>
    </row>
    <row r="25" spans="2:11" ht="15.75" x14ac:dyDescent="0.25">
      <c r="B25" s="77"/>
      <c r="C25" s="17" t="str">
        <f>IF($B25="","",IF($I$4="2008/2009",VLOOKUP($B25,Courses_List!$A$3:$T$102,2,FALSE),IF($I$4="2009/2010",VLOOKUP($B25,Courses_List!$E$3:$F$102,2,FALSE),IF($I$4="2010/2011",VLOOKUP($B25,Courses_List!$I$3:$J$102,2,FALSE),IF($I$4="2011/2012",VLOOKUP($B25,Courses_List!$M$3:$N$102,2,FALSE),IF($I$4="2012/2013",VLOOKUP($B25,Courses_List!$Q$3:$R$102,2,FALSE),"INVALID"))))))</f>
        <v/>
      </c>
      <c r="D25" s="17" t="str">
        <f>IF($B25="","",IF($I$4="2008/2009",VLOOKUP($B25,Courses_List!$A$3:$C$102,3,FALSE),IF($I$4="2009/2010",VLOOKUP($B25,Courses_List!$E$3:$G$102,3,FALSE),IF($I$4="2010/2011",VLOOKUP($B25,Courses_List!$I$3:$K$102,3,FALSE),IF($I$4="2011/2012",VLOOKUP($B25,Courses_List!$M$3:$O$102,3,FALSE),IF($I$4="2012/2013",VLOOKUP($B25,Courses_List!$Q$3:$S$102,3,FALSE),"INVALID"))))))</f>
        <v/>
      </c>
      <c r="E25" s="17" t="str">
        <f>IF($B25="","",IF($I$4="2008/2009",VLOOKUP($B25,Courses_List!$A$3:$D$102,4,FALSE),IF($I$4="2009/2010",VLOOKUP($B25,Courses_List!$E$3:$H$102,4,FALSE),IF($I$4="2010/2011",VLOOKUP($B25,Courses_List!$I$3:$L$102,4,FALSE),IF($I$4="2011/2012",VLOOKUP($B25,Courses_List!$M$3:$P$102,4,FALSE),IF($I$4="2012/2013",VLOOKUP($B25,Courses_List!$Q$3:$T$102,4,FALSE),"INVALID"))))))</f>
        <v/>
      </c>
      <c r="F25" s="78" t="str">
        <f t="shared" si="2"/>
        <v/>
      </c>
      <c r="G25" s="17" t="str">
        <f t="shared" si="0"/>
        <v/>
      </c>
      <c r="H25" s="17" t="str">
        <f t="shared" si="1"/>
        <v/>
      </c>
      <c r="I25" s="8"/>
      <c r="J25" s="12"/>
      <c r="K25" s="2"/>
    </row>
    <row r="26" spans="2:11" ht="15.75" x14ac:dyDescent="0.25">
      <c r="B26" s="77"/>
      <c r="C26" s="17" t="str">
        <f>IF($B26="","",IF($I$4="2008/2009",VLOOKUP($B26,Courses_List!$A$3:$T$102,2,FALSE),IF($I$4="2009/2010",VLOOKUP($B26,Courses_List!$E$3:$F$102,2,FALSE),IF($I$4="2010/2011",VLOOKUP($B26,Courses_List!$I$3:$J$102,2,FALSE),IF($I$4="2011/2012",VLOOKUP($B26,Courses_List!$M$3:$N$102,2,FALSE),IF($I$4="2012/2013",VLOOKUP($B26,Courses_List!$Q$3:$R$102,2,FALSE),"INVALID"))))))</f>
        <v/>
      </c>
      <c r="D26" s="17" t="str">
        <f>IF($B26="","",IF($I$4="2008/2009",VLOOKUP($B26,Courses_List!$A$3:$C$102,3,FALSE),IF($I$4="2009/2010",VLOOKUP($B26,Courses_List!$E$3:$G$102,3,FALSE),IF($I$4="2010/2011",VLOOKUP($B26,Courses_List!$I$3:$K$102,3,FALSE),IF($I$4="2011/2012",VLOOKUP($B26,Courses_List!$M$3:$O$102,3,FALSE),IF($I$4="2012/2013",VLOOKUP($B26,Courses_List!$Q$3:$S$102,3,FALSE),"INVALID"))))))</f>
        <v/>
      </c>
      <c r="E26" s="17" t="str">
        <f>IF($B26="","",IF($I$4="2008/2009",VLOOKUP($B26,Courses_List!$A$3:$D$102,4,FALSE),IF($I$4="2009/2010",VLOOKUP($B26,Courses_List!$E$3:$H$102,4,FALSE),IF($I$4="2010/2011",VLOOKUP($B26,Courses_List!$I$3:$L$102,4,FALSE),IF($I$4="2011/2012",VLOOKUP($B26,Courses_List!$M$3:$P$102,4,FALSE),IF($I$4="2012/2013",VLOOKUP($B26,Courses_List!$Q$3:$T$102,4,FALSE),"INVALID"))))))</f>
        <v/>
      </c>
      <c r="F26" s="78" t="str">
        <f t="shared" si="2"/>
        <v/>
      </c>
      <c r="G26" s="17" t="str">
        <f t="shared" si="0"/>
        <v/>
      </c>
      <c r="H26" s="17" t="str">
        <f t="shared" si="1"/>
        <v/>
      </c>
      <c r="I26" s="8"/>
      <c r="J26" s="12"/>
      <c r="K26" s="2"/>
    </row>
    <row r="27" spans="2:11" ht="15.75" x14ac:dyDescent="0.25">
      <c r="B27" s="77"/>
      <c r="C27" s="17" t="str">
        <f>IF($B27="","",IF($I$4="2008/2009",VLOOKUP($B27,Courses_List!$A$3:$T$102,2,FALSE),IF($I$4="2009/2010",VLOOKUP($B27,Courses_List!$E$3:$F$102,2,FALSE),IF($I$4="2010/2011",VLOOKUP($B27,Courses_List!$I$3:$J$102,2,FALSE),IF($I$4="2011/2012",VLOOKUP($B27,Courses_List!$M$3:$N$102,2,FALSE),IF($I$4="2012/2013",VLOOKUP($B27,Courses_List!$Q$3:$R$102,2,FALSE),"INVALID"))))))</f>
        <v/>
      </c>
      <c r="D27" s="17" t="str">
        <f>IF($B27="","",IF($I$4="2008/2009",VLOOKUP($B27,Courses_List!$A$3:$C$102,3,FALSE),IF($I$4="2009/2010",VLOOKUP($B27,Courses_List!$E$3:$G$102,3,FALSE),IF($I$4="2010/2011",VLOOKUP($B27,Courses_List!$I$3:$K$102,3,FALSE),IF($I$4="2011/2012",VLOOKUP($B27,Courses_List!$M$3:$O$102,3,FALSE),IF($I$4="2012/2013",VLOOKUP($B27,Courses_List!$Q$3:$S$102,3,FALSE),"INVALID"))))))</f>
        <v/>
      </c>
      <c r="E27" s="17" t="str">
        <f>IF($B27="","",IF($I$4="2008/2009",VLOOKUP($B27,Courses_List!$A$3:$D$102,4,FALSE),IF($I$4="2009/2010",VLOOKUP($B27,Courses_List!$E$3:$H$102,4,FALSE),IF($I$4="2010/2011",VLOOKUP($B27,Courses_List!$I$3:$L$102,4,FALSE),IF($I$4="2011/2012",VLOOKUP($B27,Courses_List!$M$3:$P$102,4,FALSE),IF($I$4="2012/2013",VLOOKUP($B27,Courses_List!$Q$3:$T$102,4,FALSE),"INVALID"))))))</f>
        <v/>
      </c>
      <c r="F27" s="78" t="str">
        <f t="shared" si="2"/>
        <v/>
      </c>
      <c r="G27" s="17" t="str">
        <f t="shared" si="0"/>
        <v/>
      </c>
      <c r="H27" s="17" t="str">
        <f t="shared" si="1"/>
        <v/>
      </c>
      <c r="I27" s="8"/>
      <c r="J27" s="12"/>
      <c r="K27" s="2"/>
    </row>
    <row r="28" spans="2:11" ht="15.75" x14ac:dyDescent="0.25">
      <c r="B28" s="77"/>
      <c r="C28" s="17" t="str">
        <f>IF($B28="","",IF($I$4="2008/2009",VLOOKUP($B28,Courses_List!$A$3:$T$102,2,FALSE),IF($I$4="2009/2010",VLOOKUP($B28,Courses_List!$E$3:$F$102,2,FALSE),IF($I$4="2010/2011",VLOOKUP($B28,Courses_List!$I$3:$J$102,2,FALSE),IF($I$4="2011/2012",VLOOKUP($B28,Courses_List!$M$3:$N$102,2,FALSE),IF($I$4="2012/2013",VLOOKUP($B28,Courses_List!$Q$3:$R$102,2,FALSE),"INVALID"))))))</f>
        <v/>
      </c>
      <c r="D28" s="17" t="str">
        <f>IF($B28="","",IF($I$4="2008/2009",VLOOKUP($B28,Courses_List!$A$3:$C$102,3,FALSE),IF($I$4="2009/2010",VLOOKUP($B28,Courses_List!$E$3:$G$102,3,FALSE),IF($I$4="2010/2011",VLOOKUP($B28,Courses_List!$I$3:$K$102,3,FALSE),IF($I$4="2011/2012",VLOOKUP($B28,Courses_List!$M$3:$O$102,3,FALSE),IF($I$4="2012/2013",VLOOKUP($B28,Courses_List!$Q$3:$S$102,3,FALSE),"INVALID"))))))</f>
        <v/>
      </c>
      <c r="E28" s="17" t="str">
        <f>IF($B28="","",IF($I$4="2008/2009",VLOOKUP($B28,Courses_List!$A$3:$D$102,4,FALSE),IF($I$4="2009/2010",VLOOKUP($B28,Courses_List!$E$3:$H$102,4,FALSE),IF($I$4="2010/2011",VLOOKUP($B28,Courses_List!$I$3:$L$102,4,FALSE),IF($I$4="2011/2012",VLOOKUP($B28,Courses_List!$M$3:$P$102,4,FALSE),IF($I$4="2012/2013",VLOOKUP($B28,Courses_List!$Q$3:$T$102,4,FALSE),"INVALID"))))))</f>
        <v/>
      </c>
      <c r="F28" s="78" t="str">
        <f t="shared" si="2"/>
        <v/>
      </c>
      <c r="G28" s="17" t="str">
        <f t="shared" si="0"/>
        <v/>
      </c>
      <c r="H28" s="17" t="str">
        <f t="shared" si="1"/>
        <v/>
      </c>
      <c r="I28" s="8"/>
      <c r="J28" s="12"/>
      <c r="K28" s="2"/>
    </row>
    <row r="29" spans="2:11" ht="15.75" x14ac:dyDescent="0.25">
      <c r="B29" s="1"/>
      <c r="C29" s="19">
        <f>SUM(C9:C28)</f>
        <v>7</v>
      </c>
      <c r="D29" s="142" t="str">
        <f>IF($I$2="Library",SUM(D9:D28),"")</f>
        <v/>
      </c>
      <c r="E29" s="142" t="str">
        <f>IF($I$2="Library",SUM(E9:E28),"")</f>
        <v/>
      </c>
      <c r="F29" s="142"/>
      <c r="G29" s="19">
        <f>SUM(G9:G28)</f>
        <v>169</v>
      </c>
      <c r="H29" s="17">
        <f>SUM(H9:H28)</f>
        <v>32</v>
      </c>
      <c r="I29" s="8"/>
      <c r="J29" s="8"/>
      <c r="K29" s="2"/>
    </row>
    <row r="30" spans="2:11" ht="15.75" x14ac:dyDescent="0.25">
      <c r="B30" s="7"/>
      <c r="C30" s="7"/>
      <c r="D30" s="13"/>
      <c r="E30" s="7"/>
      <c r="F30" s="7"/>
      <c r="G30" s="7"/>
      <c r="H30" s="13"/>
      <c r="I30" s="7"/>
      <c r="J30" s="8"/>
      <c r="K30" s="8"/>
    </row>
    <row r="31" spans="2:11" ht="15.75" x14ac:dyDescent="0.25">
      <c r="B31" s="212" t="s">
        <v>17</v>
      </c>
      <c r="C31" s="212"/>
      <c r="D31" s="150" t="str">
        <f>IF(LEFT($I$2,4)="CMUL","10:1",IF(OR($I$2="Engineering",$I$2="Environmental Sciences"),"15:1",IF( $I$2="Sciences","20:1",IF($I$2="Library","400:1","30:1"))))</f>
        <v>15:1</v>
      </c>
      <c r="E31" s="7"/>
      <c r="F31" s="7"/>
      <c r="G31" s="7"/>
      <c r="H31" s="13"/>
      <c r="I31" s="7"/>
      <c r="J31" s="8"/>
      <c r="K31" s="8"/>
    </row>
    <row r="32" spans="2:11" ht="15.75" x14ac:dyDescent="0.25">
      <c r="B32" s="152" t="str">
        <f>IF($I$2="Library", "","K = 15 x R")</f>
        <v>K = 15 x R</v>
      </c>
      <c r="C32" s="152"/>
      <c r="D32" s="13"/>
      <c r="E32" s="20">
        <f>IF($I$2="Library","",15*LEFT($D31,2))</f>
        <v>225</v>
      </c>
      <c r="F32" s="137"/>
      <c r="G32" s="7"/>
      <c r="H32" s="13"/>
      <c r="I32" s="7"/>
      <c r="J32" s="8"/>
      <c r="K32" s="8"/>
    </row>
    <row r="33" spans="1:10" x14ac:dyDescent="0.25">
      <c r="B33" s="21"/>
      <c r="C33" s="21"/>
      <c r="E33" s="21"/>
    </row>
    <row r="34" spans="1:10" ht="15.75" x14ac:dyDescent="0.25">
      <c r="B34" s="212" t="str">
        <f>IF($I$2="Library","","No. of Semesters:")</f>
        <v>No. of Semesters:</v>
      </c>
      <c r="C34" s="212"/>
      <c r="D34" s="14">
        <v>2</v>
      </c>
      <c r="E34" s="22"/>
      <c r="F34" s="7"/>
      <c r="G34" s="7"/>
      <c r="H34" s="7"/>
      <c r="I34" s="8"/>
      <c r="J34" s="7"/>
    </row>
    <row r="35" spans="1:10" ht="15.75" x14ac:dyDescent="0.25">
      <c r="B35" s="212" t="str">
        <f>IF($I$2="Library","","Normal Students Credits (NSC):")</f>
        <v>Normal Students Credits (NSC):</v>
      </c>
      <c r="C35" s="212"/>
      <c r="D35" s="8"/>
      <c r="E35" s="68">
        <f>IF($I$2="Library","",$D$34*$E$32/4)</f>
        <v>112.5</v>
      </c>
      <c r="F35" s="7"/>
      <c r="G35" s="7"/>
      <c r="H35" s="7"/>
      <c r="I35" s="8"/>
      <c r="J35" s="7"/>
    </row>
    <row r="36" spans="1:10" ht="15.75" x14ac:dyDescent="0.25">
      <c r="A36" s="7"/>
      <c r="B36" s="22"/>
      <c r="C36" s="22"/>
      <c r="D36" s="7"/>
      <c r="E36" s="42"/>
      <c r="F36" s="7"/>
      <c r="G36" s="7"/>
      <c r="H36" s="7"/>
      <c r="I36" s="8"/>
      <c r="J36" s="7"/>
    </row>
    <row r="37" spans="1:10" ht="15.75" x14ac:dyDescent="0.25">
      <c r="A37" s="7" t="s">
        <v>9</v>
      </c>
      <c r="B37" s="212" t="str">
        <f>IF($I$2="Library", "EWLU (Excess Work Load Units) Required:","HC (Hour Component):")</f>
        <v>HC (Hour Component):</v>
      </c>
      <c r="C37" s="212"/>
      <c r="D37" s="7"/>
      <c r="E37" s="24">
        <f>IF($I$2="Library","",$H$29)</f>
        <v>32</v>
      </c>
      <c r="F37" s="7"/>
      <c r="G37" s="7"/>
      <c r="H37" s="7"/>
      <c r="I37" s="8"/>
      <c r="J37" s="7"/>
    </row>
    <row r="38" spans="1:10" ht="15.75" x14ac:dyDescent="0.25">
      <c r="A38" s="7"/>
      <c r="B38" s="151"/>
      <c r="C38" s="151"/>
      <c r="D38" s="7"/>
      <c r="E38" s="42"/>
      <c r="F38" s="7"/>
      <c r="G38" s="7"/>
      <c r="H38" s="7"/>
      <c r="I38" s="8"/>
      <c r="J38" s="7"/>
    </row>
    <row r="39" spans="1:10" ht="15.75" x14ac:dyDescent="0.25">
      <c r="A39" s="7" t="s">
        <v>10</v>
      </c>
      <c r="B39" s="212" t="str">
        <f>IF($I$2="Library","","CLC (Credit Load Component):")</f>
        <v>CLC (Credit Load Component):</v>
      </c>
      <c r="C39" s="212"/>
      <c r="D39" s="7"/>
      <c r="E39" s="24">
        <f>IF($I$2="Library",ROUND($D$29*8*1.3/400,2),$C$29*15)</f>
        <v>105</v>
      </c>
      <c r="F39" s="7"/>
      <c r="G39" s="7"/>
      <c r="H39" s="7"/>
      <c r="I39" s="8"/>
      <c r="J39" s="7"/>
    </row>
    <row r="40" spans="1:10" ht="15.75" x14ac:dyDescent="0.25">
      <c r="A40" s="7"/>
      <c r="B40" s="22"/>
      <c r="C40" s="22"/>
      <c r="D40" s="7"/>
      <c r="E40" s="42"/>
      <c r="F40" s="7"/>
      <c r="G40" s="7"/>
      <c r="H40" s="7"/>
      <c r="I40" s="8"/>
      <c r="J40" s="7"/>
    </row>
    <row r="41" spans="1:10" ht="15.75" x14ac:dyDescent="0.25">
      <c r="A41" s="7" t="s">
        <v>11</v>
      </c>
      <c r="B41" s="212" t="str">
        <f>IF($I$2="Library", "EWLU (Excess Work Load Units) Available:","PSC (Project Supervision Component):")</f>
        <v>PSC (Project Supervision Component):</v>
      </c>
      <c r="C41" s="212"/>
      <c r="D41" s="7"/>
      <c r="E41" s="42"/>
      <c r="F41" s="7"/>
      <c r="G41" s="7"/>
      <c r="H41" s="7"/>
      <c r="I41" s="8"/>
      <c r="J41" s="7"/>
    </row>
    <row r="42" spans="1:10" ht="15.75" x14ac:dyDescent="0.25">
      <c r="A42" s="7"/>
      <c r="B42" s="265" t="str">
        <f>IF($I$2="Library","","No. of Students:")</f>
        <v>No. of Students:</v>
      </c>
      <c r="C42" s="265"/>
      <c r="D42" s="14">
        <v>5</v>
      </c>
      <c r="E42" s="42"/>
      <c r="F42" s="7"/>
      <c r="G42" s="7"/>
      <c r="H42" s="7"/>
      <c r="I42" s="8"/>
      <c r="J42" s="7"/>
    </row>
    <row r="43" spans="1:10" ht="15.75" x14ac:dyDescent="0.25">
      <c r="A43" s="7"/>
      <c r="B43" s="265" t="str">
        <f>IF($I$2="Library","","Project Credit Unit(s):")</f>
        <v>Project Credit Unit(s):</v>
      </c>
      <c r="C43" s="265"/>
      <c r="D43" s="14">
        <v>4</v>
      </c>
      <c r="E43" s="42"/>
      <c r="F43" s="7"/>
      <c r="G43" s="7"/>
      <c r="H43" s="7"/>
      <c r="I43" s="8"/>
      <c r="J43" s="7"/>
    </row>
    <row r="44" spans="1:10" ht="15.75" x14ac:dyDescent="0.25">
      <c r="A44" s="7"/>
      <c r="B44" s="265" t="str">
        <f>IF($I$2="Library","","PSC:")</f>
        <v>PSC:</v>
      </c>
      <c r="C44" s="265"/>
      <c r="D44" s="7"/>
      <c r="E44" s="24">
        <f>IF($I$2="Library",ROUND($E$29*8*1.3,2),IF(AND($D$42&gt;=6,$D$42&lt;=10),1*$D$43*15,IF($D$42&gt;10,1.5*$D$43*15,0)))</f>
        <v>0</v>
      </c>
      <c r="F44" s="7"/>
      <c r="G44" s="7"/>
      <c r="H44" s="7"/>
      <c r="I44" s="8"/>
      <c r="J44" s="7"/>
    </row>
    <row r="45" spans="1:10" ht="15.75" x14ac:dyDescent="0.25">
      <c r="A45" s="7"/>
      <c r="B45" s="22"/>
      <c r="C45" s="22"/>
      <c r="D45" s="7"/>
      <c r="E45" s="23"/>
      <c r="F45" s="7"/>
      <c r="G45" s="7"/>
      <c r="H45" s="7"/>
      <c r="I45" s="8"/>
      <c r="J45" s="7"/>
    </row>
    <row r="46" spans="1:10" ht="15.75" x14ac:dyDescent="0.25">
      <c r="A46" s="7" t="s">
        <v>12</v>
      </c>
      <c r="B46" s="212" t="str">
        <f>IF($I$2="Library","","MR (Marking Ratio):")</f>
        <v>MR (Marking Ratio):</v>
      </c>
      <c r="C46" s="212"/>
      <c r="D46" s="7"/>
      <c r="E46" s="24">
        <f>IF($I$2="Library","",IF($C29=0,0,$G$29/$C$29))</f>
        <v>24.142857142857142</v>
      </c>
      <c r="F46" s="7"/>
      <c r="G46" s="7"/>
      <c r="H46" s="7"/>
      <c r="I46" s="8"/>
      <c r="J46" s="7"/>
    </row>
    <row r="47" spans="1:10" ht="15.75" x14ac:dyDescent="0.25">
      <c r="A47" s="7"/>
      <c r="B47" s="22"/>
      <c r="C47" s="22"/>
      <c r="D47" s="7"/>
      <c r="E47" s="23"/>
      <c r="F47" s="7"/>
      <c r="G47" s="7"/>
      <c r="H47" s="7"/>
      <c r="I47" s="8"/>
      <c r="J47" s="7"/>
    </row>
    <row r="48" spans="1:10" ht="15.75" x14ac:dyDescent="0.25">
      <c r="A48" s="7" t="s">
        <v>13</v>
      </c>
      <c r="B48" s="212" t="s">
        <v>15</v>
      </c>
      <c r="C48" s="212"/>
      <c r="D48" s="7"/>
      <c r="E48" s="68">
        <f>IF($I$2="Library",$E$39-$E$44,IF(SUM(E37:E46)-$E$35&lt;0,0,SUM(E37:E46)-$E$35))</f>
        <v>48.642857142857139</v>
      </c>
      <c r="F48" s="7"/>
      <c r="G48" s="7"/>
      <c r="H48" s="7"/>
      <c r="I48" s="8"/>
      <c r="J48" s="7"/>
    </row>
    <row r="49" spans="1:10" ht="15.75" x14ac:dyDescent="0.25">
      <c r="A49" s="7"/>
      <c r="B49" s="22"/>
      <c r="C49" s="22"/>
      <c r="D49" s="7"/>
      <c r="E49" s="25"/>
      <c r="F49" s="7"/>
      <c r="G49" s="7"/>
      <c r="H49" s="7"/>
      <c r="I49" s="8"/>
      <c r="J49" s="7"/>
    </row>
    <row r="50" spans="1:10" ht="15.75" x14ac:dyDescent="0.25">
      <c r="A50" s="7" t="s">
        <v>14</v>
      </c>
      <c r="B50" s="212" t="s">
        <v>16</v>
      </c>
      <c r="C50" s="212"/>
      <c r="D50" s="7"/>
      <c r="E50" s="26">
        <f>IF(OR(LEFT($G$4,1)="U",LEFT($G$4,1)="P",LEFT($G$4,1)="R",LEFT($G$4,1)="S"),$E$48*3500,$E$48*2000)</f>
        <v>170250</v>
      </c>
      <c r="F50" s="7"/>
      <c r="G50" s="7"/>
      <c r="H50" s="7"/>
      <c r="I50" s="8"/>
      <c r="J50" s="7"/>
    </row>
    <row r="51" spans="1:10" ht="15.75" x14ac:dyDescent="0.25">
      <c r="A51" s="7"/>
      <c r="B51" s="22"/>
      <c r="C51" s="22"/>
      <c r="D51" s="7"/>
      <c r="E51" s="7"/>
      <c r="F51" s="7"/>
      <c r="G51" s="7"/>
      <c r="H51" s="7"/>
      <c r="I51" s="8"/>
      <c r="J51" s="7"/>
    </row>
    <row r="52" spans="1:10" ht="15.75" x14ac:dyDescent="0.25">
      <c r="A52" s="7" t="s">
        <v>18</v>
      </c>
      <c r="B52" s="212" t="s">
        <v>41</v>
      </c>
      <c r="C52" s="212"/>
      <c r="D52" s="216" t="s">
        <v>19</v>
      </c>
      <c r="E52" s="216"/>
      <c r="F52" s="216"/>
      <c r="G52" s="216"/>
      <c r="H52" s="7"/>
      <c r="I52" s="8"/>
      <c r="J52" s="7"/>
    </row>
    <row r="53" spans="1:10" ht="15.75" x14ac:dyDescent="0.25">
      <c r="A53" s="7"/>
      <c r="B53" s="98"/>
      <c r="C53" s="98"/>
      <c r="D53" s="98"/>
      <c r="E53" s="98"/>
      <c r="F53" s="98"/>
      <c r="G53" s="98"/>
      <c r="H53" s="7"/>
      <c r="I53" s="8"/>
      <c r="J53" s="7"/>
    </row>
    <row r="54" spans="1:10" ht="15.75" x14ac:dyDescent="0.25">
      <c r="A54" s="7"/>
      <c r="B54" s="216" t="s">
        <v>20</v>
      </c>
      <c r="C54" s="216"/>
      <c r="D54" s="214"/>
      <c r="E54" s="214"/>
      <c r="F54" s="7" t="s">
        <v>21</v>
      </c>
      <c r="G54" s="215"/>
      <c r="H54" s="215"/>
      <c r="I54" s="8"/>
      <c r="J54" s="7"/>
    </row>
    <row r="55" spans="1:10" ht="15.75" x14ac:dyDescent="0.25">
      <c r="A55" s="7"/>
      <c r="B55" s="7"/>
      <c r="C55" s="7"/>
      <c r="D55" s="7"/>
      <c r="E55" s="7"/>
      <c r="F55" s="7"/>
      <c r="G55" s="7"/>
      <c r="H55" s="7"/>
      <c r="I55" s="8"/>
      <c r="J55" s="7"/>
    </row>
    <row r="56" spans="1:10" ht="15.75" x14ac:dyDescent="0.25">
      <c r="A56" s="7" t="s">
        <v>22</v>
      </c>
      <c r="B56" s="212" t="s">
        <v>23</v>
      </c>
      <c r="C56" s="212"/>
      <c r="D56" s="212"/>
      <c r="E56" s="7"/>
      <c r="F56" s="7"/>
      <c r="G56" s="7"/>
      <c r="H56" s="7"/>
      <c r="I56" s="8"/>
      <c r="J56" s="7"/>
    </row>
    <row r="57" spans="1:10" ht="15.75" x14ac:dyDescent="0.25">
      <c r="A57" s="7"/>
      <c r="B57" s="216" t="s">
        <v>24</v>
      </c>
      <c r="C57" s="216"/>
      <c r="D57" s="216"/>
      <c r="E57" s="216"/>
      <c r="F57" s="26">
        <f>$E$50</f>
        <v>170250</v>
      </c>
      <c r="G57" s="7"/>
      <c r="H57" s="7"/>
      <c r="I57" s="8"/>
      <c r="J57" s="7"/>
    </row>
    <row r="58" spans="1:10" ht="15.75" x14ac:dyDescent="0.25">
      <c r="A58" s="7"/>
      <c r="B58" s="98"/>
      <c r="C58" s="98"/>
      <c r="D58" s="98"/>
      <c r="E58" s="98"/>
      <c r="F58" s="15"/>
      <c r="G58" s="7"/>
      <c r="H58" s="7"/>
      <c r="I58" s="8"/>
      <c r="J58" s="7"/>
    </row>
    <row r="59" spans="1:10" ht="15.75" x14ac:dyDescent="0.25">
      <c r="A59" s="7"/>
      <c r="B59" s="7" t="s">
        <v>25</v>
      </c>
      <c r="C59" s="7"/>
      <c r="D59" s="214"/>
      <c r="E59" s="214"/>
      <c r="F59" s="7" t="s">
        <v>21</v>
      </c>
      <c r="G59" s="214"/>
      <c r="H59" s="214"/>
      <c r="I59" s="8"/>
      <c r="J59" s="7"/>
    </row>
    <row r="60" spans="1:10" ht="15.75" x14ac:dyDescent="0.25">
      <c r="A60" s="7"/>
      <c r="B60" s="7"/>
      <c r="C60" s="7"/>
      <c r="D60" s="7"/>
      <c r="E60" s="7"/>
      <c r="F60" s="7"/>
      <c r="G60" s="7"/>
      <c r="H60" s="7"/>
      <c r="I60" s="8"/>
      <c r="J60" s="7"/>
    </row>
    <row r="61" spans="1:10" ht="15.75" x14ac:dyDescent="0.25">
      <c r="A61" s="7" t="s">
        <v>26</v>
      </c>
      <c r="B61" s="212" t="s">
        <v>27</v>
      </c>
      <c r="C61" s="212"/>
      <c r="D61" s="212"/>
      <c r="E61" s="212"/>
      <c r="F61" s="7"/>
      <c r="G61" s="7"/>
      <c r="H61" s="7"/>
      <c r="I61" s="8"/>
      <c r="J61" s="7"/>
    </row>
    <row r="62" spans="1:10" ht="15.75" x14ac:dyDescent="0.25">
      <c r="A62" s="7"/>
      <c r="B62" s="216" t="s">
        <v>28</v>
      </c>
      <c r="C62" s="216"/>
      <c r="D62" s="216"/>
      <c r="E62" s="216"/>
      <c r="F62" s="26">
        <f>$E$50</f>
        <v>170250</v>
      </c>
      <c r="G62" s="7"/>
      <c r="H62" s="7"/>
      <c r="I62" s="8"/>
      <c r="J62" s="7"/>
    </row>
    <row r="63" spans="1:10" ht="15.75" x14ac:dyDescent="0.25">
      <c r="A63" s="7"/>
      <c r="B63" s="7"/>
      <c r="C63" s="7"/>
      <c r="D63" s="7"/>
      <c r="E63" s="7"/>
      <c r="F63" s="7"/>
      <c r="G63" s="7"/>
      <c r="H63" s="7"/>
      <c r="I63" s="8"/>
      <c r="J63" s="7"/>
    </row>
    <row r="64" spans="1:10" ht="15.75" x14ac:dyDescent="0.25">
      <c r="A64" s="7"/>
      <c r="B64" s="7" t="s">
        <v>29</v>
      </c>
      <c r="C64" s="215"/>
      <c r="D64" s="215"/>
      <c r="E64" s="7"/>
      <c r="F64" s="7" t="s">
        <v>21</v>
      </c>
      <c r="G64" s="214"/>
      <c r="H64" s="214"/>
      <c r="I64" s="8"/>
      <c r="J64" s="7"/>
    </row>
    <row r="65" spans="1:10" ht="15.75" x14ac:dyDescent="0.25">
      <c r="A65" s="7"/>
      <c r="B65" s="7"/>
      <c r="C65" s="7"/>
      <c r="D65" s="7"/>
      <c r="E65" s="7"/>
      <c r="F65" s="7"/>
      <c r="G65" s="7"/>
      <c r="H65" s="7"/>
      <c r="I65" s="8"/>
      <c r="J65" s="7"/>
    </row>
    <row r="66" spans="1:10" ht="15.75" x14ac:dyDescent="0.25">
      <c r="A66" s="7"/>
      <c r="B66" s="7"/>
      <c r="C66" s="7"/>
      <c r="D66" s="7"/>
      <c r="E66" s="7"/>
      <c r="F66" s="7"/>
      <c r="G66" s="7"/>
      <c r="H66" s="7"/>
      <c r="I66" s="8"/>
      <c r="J66" s="7"/>
    </row>
    <row r="67" spans="1:10" ht="15.75" x14ac:dyDescent="0.25">
      <c r="A67" s="7"/>
      <c r="B67" s="7"/>
      <c r="C67" s="7"/>
      <c r="D67" s="7"/>
      <c r="E67" s="7"/>
      <c r="F67" s="7"/>
      <c r="G67" s="7"/>
      <c r="H67" s="7"/>
      <c r="I67" s="8"/>
      <c r="J67" s="7"/>
    </row>
    <row r="68" spans="1:10" ht="15.75" x14ac:dyDescent="0.25">
      <c r="A68" s="7"/>
      <c r="B68" s="7"/>
      <c r="C68" s="7"/>
      <c r="D68" s="7"/>
      <c r="E68" s="7"/>
      <c r="F68" s="7"/>
      <c r="G68" s="7"/>
      <c r="H68" s="7"/>
      <c r="I68" s="8"/>
      <c r="J68" s="7"/>
    </row>
    <row r="69" spans="1:10" ht="15.75" x14ac:dyDescent="0.25">
      <c r="A69" s="7"/>
      <c r="B69" s="7"/>
      <c r="C69" s="7"/>
      <c r="D69" s="7"/>
      <c r="E69" s="7"/>
      <c r="F69" s="7"/>
      <c r="G69" s="7"/>
      <c r="H69" s="7"/>
      <c r="I69" s="8"/>
      <c r="J69" s="7"/>
    </row>
    <row r="70" spans="1:10" ht="15.75" x14ac:dyDescent="0.25">
      <c r="A70" s="7"/>
      <c r="B70" s="7"/>
      <c r="C70" s="7"/>
      <c r="D70" s="7"/>
      <c r="E70" s="7"/>
      <c r="F70" s="7"/>
      <c r="G70" s="7"/>
      <c r="H70" s="7"/>
      <c r="I70" s="8"/>
      <c r="J70" s="7"/>
    </row>
    <row r="71" spans="1:10" ht="15.75" x14ac:dyDescent="0.25">
      <c r="A71" s="7"/>
      <c r="B71" s="7"/>
      <c r="C71" s="7"/>
      <c r="D71" s="7"/>
      <c r="E71" s="7"/>
      <c r="F71" s="7"/>
      <c r="G71" s="7"/>
      <c r="H71" s="7"/>
      <c r="I71" s="8"/>
      <c r="J71" s="7"/>
    </row>
    <row r="72" spans="1:10" ht="15.75" x14ac:dyDescent="0.25">
      <c r="A72" s="7"/>
      <c r="B72" s="7"/>
      <c r="C72" s="7"/>
      <c r="D72" s="7"/>
      <c r="E72" s="7"/>
      <c r="F72" s="7"/>
      <c r="G72" s="7"/>
      <c r="H72" s="7"/>
      <c r="I72" s="8"/>
      <c r="J72" s="7"/>
    </row>
    <row r="73" spans="1:10" ht="15.75" x14ac:dyDescent="0.25">
      <c r="A73" s="7"/>
      <c r="B73" s="7"/>
      <c r="C73" s="7"/>
      <c r="D73" s="7"/>
      <c r="E73" s="7"/>
      <c r="F73" s="7"/>
      <c r="G73" s="7"/>
      <c r="H73" s="7"/>
      <c r="I73" s="8"/>
      <c r="J73" s="7"/>
    </row>
    <row r="74" spans="1:10" ht="15.75" x14ac:dyDescent="0.25">
      <c r="A74" s="7"/>
      <c r="B74" s="7"/>
      <c r="C74" s="7"/>
      <c r="D74" s="7"/>
      <c r="E74" s="7"/>
      <c r="F74" s="7"/>
      <c r="G74" s="7"/>
      <c r="H74" s="7"/>
      <c r="I74" s="8"/>
      <c r="J74" s="7"/>
    </row>
    <row r="75" spans="1:10" ht="15.75" x14ac:dyDescent="0.25">
      <c r="A75" s="7"/>
      <c r="B75" s="7"/>
      <c r="C75" s="7"/>
      <c r="D75" s="7"/>
      <c r="E75" s="7"/>
      <c r="F75" s="7"/>
      <c r="G75" s="7"/>
      <c r="H75" s="7"/>
      <c r="I75" s="8"/>
      <c r="J75" s="7"/>
    </row>
    <row r="76" spans="1:10" ht="15.75" x14ac:dyDescent="0.25">
      <c r="A76" s="7"/>
      <c r="B76" s="7"/>
      <c r="C76" s="7"/>
      <c r="D76" s="7"/>
      <c r="E76" s="7"/>
      <c r="F76" s="7"/>
      <c r="G76" s="7"/>
      <c r="H76" s="7"/>
      <c r="I76" s="8"/>
      <c r="J76" s="7"/>
    </row>
    <row r="77" spans="1:10" ht="15.75" x14ac:dyDescent="0.25">
      <c r="A77" s="7"/>
      <c r="B77" s="7"/>
      <c r="C77" s="7"/>
      <c r="D77" s="7"/>
      <c r="E77" s="7"/>
      <c r="F77" s="7"/>
      <c r="G77" s="7"/>
      <c r="H77" s="7"/>
      <c r="I77" s="8"/>
      <c r="J77" s="7"/>
    </row>
    <row r="78" spans="1:10" ht="15.75" x14ac:dyDescent="0.25">
      <c r="A78" s="7"/>
      <c r="B78" s="7"/>
      <c r="C78" s="7"/>
      <c r="D78" s="7"/>
      <c r="E78" s="7"/>
      <c r="F78" s="7"/>
      <c r="G78" s="7"/>
      <c r="H78" s="7"/>
      <c r="I78" s="8"/>
      <c r="J78" s="7"/>
    </row>
    <row r="79" spans="1:10" ht="15.75" x14ac:dyDescent="0.25">
      <c r="A79" s="7"/>
      <c r="B79" s="7"/>
      <c r="C79" s="7"/>
      <c r="D79" s="7"/>
      <c r="E79" s="7"/>
      <c r="F79" s="7"/>
      <c r="G79" s="7"/>
      <c r="H79" s="7"/>
      <c r="I79" s="8"/>
      <c r="J79" s="7"/>
    </row>
    <row r="80" spans="1:10" ht="15.75" x14ac:dyDescent="0.25">
      <c r="A80" s="7"/>
      <c r="B80" s="7"/>
      <c r="C80" s="7"/>
      <c r="D80" s="7"/>
      <c r="E80" s="7"/>
      <c r="F80" s="7"/>
      <c r="G80" s="7"/>
      <c r="H80" s="7"/>
      <c r="I80" s="8"/>
      <c r="J80" s="7"/>
    </row>
    <row r="81" spans="1:10" ht="15.75" x14ac:dyDescent="0.25">
      <c r="A81" s="7"/>
      <c r="B81" s="7"/>
      <c r="C81" s="7"/>
      <c r="D81" s="7"/>
      <c r="E81" s="7"/>
      <c r="F81" s="7"/>
      <c r="G81" s="7"/>
      <c r="H81" s="7"/>
      <c r="I81" s="8"/>
      <c r="J81" s="7"/>
    </row>
    <row r="82" spans="1:10" ht="15.75" x14ac:dyDescent="0.25">
      <c r="A82" s="7"/>
      <c r="B82" s="7"/>
      <c r="C82" s="7"/>
      <c r="D82" s="7"/>
      <c r="E82" s="7"/>
      <c r="F82" s="7"/>
      <c r="G82" s="7"/>
      <c r="H82" s="7"/>
      <c r="I82" s="8"/>
      <c r="J82" s="7"/>
    </row>
    <row r="83" spans="1:10" ht="15.75" x14ac:dyDescent="0.25">
      <c r="A83" s="7"/>
      <c r="B83" s="7"/>
      <c r="C83" s="7"/>
      <c r="D83" s="7"/>
      <c r="E83" s="7"/>
      <c r="F83" s="7"/>
      <c r="G83" s="7"/>
      <c r="H83" s="7"/>
      <c r="I83" s="8"/>
      <c r="J83" s="7"/>
    </row>
    <row r="84" spans="1:10" ht="15.75" x14ac:dyDescent="0.25">
      <c r="A84" s="7"/>
      <c r="B84" s="7"/>
      <c r="C84" s="7"/>
      <c r="D84" s="7"/>
      <c r="E84" s="7"/>
      <c r="F84" s="7"/>
      <c r="G84" s="7"/>
      <c r="H84" s="7"/>
      <c r="I84" s="8"/>
      <c r="J84" s="7"/>
    </row>
    <row r="85" spans="1:10" ht="15.75" x14ac:dyDescent="0.25">
      <c r="A85" s="7"/>
      <c r="B85" s="7"/>
      <c r="C85" s="7"/>
      <c r="D85" s="7"/>
      <c r="E85" s="7"/>
      <c r="F85" s="7"/>
      <c r="G85" s="7"/>
      <c r="H85" s="7"/>
      <c r="I85" s="8"/>
      <c r="J85" s="7"/>
    </row>
    <row r="86" spans="1:10" ht="15.75" x14ac:dyDescent="0.25">
      <c r="A86" s="7"/>
      <c r="B86" s="7"/>
      <c r="C86" s="7"/>
      <c r="D86" s="7"/>
      <c r="E86" s="7"/>
      <c r="F86" s="7"/>
      <c r="G86" s="7"/>
      <c r="H86" s="7"/>
      <c r="I86" s="8"/>
      <c r="J86" s="7"/>
    </row>
    <row r="87" spans="1:10" ht="15.75" x14ac:dyDescent="0.25">
      <c r="A87" s="7"/>
      <c r="B87" s="7"/>
      <c r="C87" s="7"/>
      <c r="D87" s="7"/>
      <c r="E87" s="7"/>
      <c r="F87" s="7"/>
      <c r="G87" s="7"/>
      <c r="H87" s="7"/>
      <c r="I87" s="8"/>
      <c r="J87" s="7"/>
    </row>
    <row r="88" spans="1:10" ht="15.75" x14ac:dyDescent="0.25">
      <c r="A88" s="7"/>
      <c r="B88" s="7"/>
      <c r="C88" s="7"/>
      <c r="D88" s="7"/>
      <c r="E88" s="7"/>
      <c r="F88" s="7"/>
      <c r="G88" s="7"/>
      <c r="H88" s="7"/>
      <c r="I88" s="8"/>
      <c r="J88" s="7"/>
    </row>
    <row r="89" spans="1:10" ht="15.75" x14ac:dyDescent="0.25">
      <c r="A89" s="7"/>
      <c r="B89" s="7"/>
      <c r="C89" s="7"/>
      <c r="D89" s="7"/>
      <c r="E89" s="7"/>
      <c r="F89" s="7"/>
      <c r="G89" s="7"/>
      <c r="H89" s="7"/>
      <c r="I89" s="8"/>
      <c r="J89" s="7"/>
    </row>
    <row r="90" spans="1:10" ht="15.75" x14ac:dyDescent="0.25">
      <c r="A90" s="7"/>
      <c r="B90" s="7"/>
      <c r="C90" s="7"/>
      <c r="D90" s="7"/>
      <c r="E90" s="7"/>
      <c r="F90" s="7"/>
      <c r="G90" s="7"/>
      <c r="H90" s="7"/>
      <c r="I90" s="8"/>
      <c r="J90" s="7"/>
    </row>
    <row r="91" spans="1:10" ht="15.75" x14ac:dyDescent="0.25">
      <c r="A91" s="7"/>
      <c r="B91" s="7"/>
      <c r="C91" s="7"/>
      <c r="D91" s="7"/>
      <c r="E91" s="7"/>
      <c r="F91" s="7"/>
      <c r="G91" s="7"/>
      <c r="H91" s="7"/>
      <c r="I91" s="8"/>
      <c r="J91" s="7"/>
    </row>
    <row r="92" spans="1:10" ht="15.75" x14ac:dyDescent="0.25">
      <c r="A92" s="7"/>
      <c r="B92" s="7"/>
      <c r="C92" s="7"/>
      <c r="D92" s="7"/>
      <c r="E92" s="7"/>
      <c r="F92" s="7"/>
      <c r="G92" s="7"/>
      <c r="H92" s="7"/>
      <c r="I92" s="8"/>
      <c r="J92" s="7"/>
    </row>
    <row r="93" spans="1:10" ht="15.75" x14ac:dyDescent="0.25">
      <c r="A93" s="7"/>
      <c r="B93" s="7"/>
      <c r="C93" s="7"/>
      <c r="D93" s="7"/>
      <c r="E93" s="7"/>
      <c r="F93" s="7"/>
      <c r="G93" s="7"/>
      <c r="H93" s="7"/>
      <c r="I93" s="8"/>
      <c r="J93" s="7"/>
    </row>
    <row r="94" spans="1:10" ht="15.75" x14ac:dyDescent="0.25">
      <c r="A94" s="7"/>
      <c r="B94" s="7"/>
      <c r="C94" s="7"/>
      <c r="D94" s="7"/>
      <c r="E94" s="7"/>
      <c r="F94" s="7"/>
      <c r="G94" s="7"/>
      <c r="H94" s="7"/>
      <c r="I94" s="8"/>
      <c r="J94" s="7"/>
    </row>
    <row r="95" spans="1:10" ht="15.75" x14ac:dyDescent="0.25">
      <c r="A95" s="7"/>
      <c r="B95" s="7"/>
      <c r="C95" s="7"/>
      <c r="D95" s="7"/>
      <c r="E95" s="7"/>
      <c r="F95" s="7"/>
      <c r="G95" s="7"/>
      <c r="H95" s="7"/>
      <c r="I95" s="8"/>
      <c r="J95" s="7"/>
    </row>
    <row r="96" spans="1:10" ht="15.75" x14ac:dyDescent="0.25">
      <c r="A96" s="7"/>
      <c r="B96" s="7"/>
      <c r="C96" s="7"/>
      <c r="D96" s="7"/>
      <c r="E96" s="7"/>
      <c r="F96" s="7"/>
      <c r="G96" s="7"/>
      <c r="H96" s="7"/>
      <c r="I96" s="8"/>
      <c r="J96" s="7"/>
    </row>
    <row r="97" spans="1:10" ht="15.75" x14ac:dyDescent="0.25">
      <c r="A97" s="7"/>
      <c r="B97" s="7"/>
      <c r="C97" s="7"/>
      <c r="D97" s="7"/>
      <c r="E97" s="7"/>
      <c r="F97" s="7"/>
      <c r="G97" s="7"/>
      <c r="H97" s="7"/>
      <c r="I97" s="8"/>
      <c r="J97" s="7"/>
    </row>
    <row r="98" spans="1:10" ht="15.75" x14ac:dyDescent="0.25">
      <c r="A98" s="7"/>
      <c r="B98" s="7"/>
      <c r="C98" s="7"/>
      <c r="D98" s="7"/>
      <c r="E98" s="7"/>
      <c r="F98" s="7"/>
      <c r="G98" s="7"/>
      <c r="H98" s="7"/>
      <c r="I98" s="8"/>
      <c r="J98" s="7"/>
    </row>
    <row r="99" spans="1:10" ht="15.75" x14ac:dyDescent="0.25">
      <c r="A99" s="7"/>
      <c r="B99" s="7"/>
      <c r="C99" s="7"/>
      <c r="D99" s="7"/>
      <c r="E99" s="7"/>
      <c r="F99" s="7"/>
      <c r="G99" s="7"/>
      <c r="H99" s="7"/>
      <c r="I99" s="8"/>
      <c r="J99" s="7"/>
    </row>
    <row r="100" spans="1:10" ht="15.75" x14ac:dyDescent="0.25">
      <c r="A100" s="7"/>
      <c r="B100" s="7"/>
      <c r="C100" s="7"/>
      <c r="D100" s="7"/>
      <c r="E100" s="7"/>
      <c r="F100" s="7"/>
      <c r="G100" s="7"/>
      <c r="H100" s="7"/>
      <c r="I100" s="8"/>
      <c r="J100" s="7"/>
    </row>
    <row r="101" spans="1:10" ht="15.75" x14ac:dyDescent="0.25">
      <c r="A101" s="7"/>
      <c r="B101" s="7"/>
      <c r="C101" s="7"/>
      <c r="D101" s="7"/>
      <c r="E101" s="7"/>
      <c r="F101" s="7"/>
      <c r="G101" s="7"/>
      <c r="H101" s="7"/>
      <c r="I101" s="8"/>
      <c r="J101" s="7"/>
    </row>
    <row r="102" spans="1:10" ht="15.75" x14ac:dyDescent="0.25">
      <c r="A102" s="7"/>
      <c r="B102" s="7"/>
      <c r="C102" s="7"/>
      <c r="D102" s="7"/>
      <c r="E102" s="7"/>
      <c r="F102" s="7"/>
      <c r="G102" s="7"/>
      <c r="H102" s="7"/>
      <c r="I102" s="8"/>
      <c r="J102" s="7"/>
    </row>
    <row r="103" spans="1:10" ht="15.75" x14ac:dyDescent="0.25">
      <c r="A103" s="7"/>
      <c r="B103" s="7"/>
      <c r="C103" s="7"/>
      <c r="D103" s="7"/>
      <c r="E103" s="7"/>
      <c r="F103" s="7"/>
      <c r="G103" s="7"/>
      <c r="H103" s="7"/>
      <c r="I103" s="8"/>
      <c r="J103" s="7"/>
    </row>
    <row r="104" spans="1:10" ht="15.75" x14ac:dyDescent="0.25">
      <c r="A104" s="7"/>
      <c r="B104" s="7"/>
      <c r="C104" s="7"/>
      <c r="D104" s="7"/>
      <c r="E104" s="7"/>
      <c r="F104" s="7"/>
      <c r="G104" s="7"/>
      <c r="H104" s="7"/>
      <c r="I104" s="8"/>
      <c r="J104" s="7"/>
    </row>
    <row r="105" spans="1:10" ht="15.75" x14ac:dyDescent="0.25">
      <c r="A105" s="7"/>
      <c r="B105" s="7"/>
      <c r="C105" s="7"/>
      <c r="D105" s="7"/>
      <c r="E105" s="7"/>
      <c r="F105" s="7"/>
      <c r="G105" s="7"/>
      <c r="H105" s="7"/>
      <c r="I105" s="8"/>
      <c r="J105" s="7"/>
    </row>
    <row r="106" spans="1:10" ht="15.75" x14ac:dyDescent="0.25">
      <c r="A106" s="7"/>
      <c r="B106" s="7"/>
      <c r="C106" s="7"/>
      <c r="D106" s="7"/>
      <c r="E106" s="7"/>
      <c r="F106" s="7"/>
      <c r="G106" s="7"/>
      <c r="H106" s="7"/>
      <c r="I106" s="8"/>
      <c r="J106" s="7"/>
    </row>
    <row r="107" spans="1:10" ht="15.75" x14ac:dyDescent="0.25">
      <c r="A107" s="7"/>
      <c r="B107" s="7"/>
      <c r="C107" s="7"/>
      <c r="D107" s="7"/>
      <c r="E107" s="7"/>
      <c r="F107" s="7"/>
      <c r="G107" s="7"/>
      <c r="H107" s="7"/>
      <c r="I107" s="8"/>
      <c r="J107" s="7"/>
    </row>
    <row r="108" spans="1:10" ht="15.75" x14ac:dyDescent="0.25">
      <c r="A108" s="7"/>
      <c r="B108" s="7"/>
      <c r="C108" s="7"/>
      <c r="D108" s="7"/>
      <c r="E108" s="7"/>
      <c r="F108" s="7"/>
      <c r="G108" s="7"/>
      <c r="H108" s="7"/>
      <c r="I108" s="8"/>
      <c r="J108" s="7"/>
    </row>
    <row r="109" spans="1:10" ht="15.75" x14ac:dyDescent="0.25">
      <c r="A109" s="7"/>
      <c r="B109" s="7"/>
      <c r="C109" s="7"/>
      <c r="D109" s="7"/>
      <c r="E109" s="7"/>
      <c r="F109" s="7"/>
      <c r="G109" s="7"/>
      <c r="H109" s="7"/>
      <c r="I109" s="8"/>
      <c r="J109" s="7"/>
    </row>
    <row r="110" spans="1:10" ht="15.75" x14ac:dyDescent="0.25">
      <c r="A110" s="7"/>
      <c r="B110" s="7"/>
      <c r="C110" s="7"/>
      <c r="D110" s="7"/>
      <c r="E110" s="7"/>
      <c r="F110" s="7"/>
      <c r="G110" s="7"/>
      <c r="H110" s="7"/>
      <c r="I110" s="8"/>
      <c r="J110" s="7"/>
    </row>
    <row r="111" spans="1:10" ht="15.75" x14ac:dyDescent="0.25">
      <c r="A111" s="7"/>
      <c r="B111" s="7"/>
      <c r="C111" s="7"/>
      <c r="D111" s="7"/>
      <c r="E111" s="7"/>
      <c r="F111" s="7"/>
      <c r="G111" s="7"/>
      <c r="H111" s="7"/>
      <c r="I111" s="8"/>
      <c r="J111" s="7"/>
    </row>
    <row r="112" spans="1:10" ht="15.75" x14ac:dyDescent="0.25">
      <c r="A112" s="7"/>
      <c r="B112" s="7"/>
      <c r="C112" s="7"/>
      <c r="D112" s="7"/>
      <c r="E112" s="7"/>
      <c r="F112" s="7"/>
      <c r="G112" s="7"/>
      <c r="H112" s="7"/>
      <c r="I112" s="8"/>
      <c r="J112" s="7"/>
    </row>
    <row r="113" spans="1:10" ht="15.75" x14ac:dyDescent="0.25">
      <c r="A113" s="7"/>
      <c r="B113" s="7"/>
      <c r="C113" s="7"/>
      <c r="D113" s="7"/>
      <c r="E113" s="7"/>
      <c r="F113" s="7"/>
      <c r="G113" s="7"/>
      <c r="H113" s="7"/>
      <c r="I113" s="8"/>
      <c r="J113" s="7"/>
    </row>
    <row r="114" spans="1:10" ht="15.75" x14ac:dyDescent="0.25">
      <c r="A114" s="7"/>
      <c r="B114" s="7"/>
      <c r="C114" s="7"/>
      <c r="D114" s="7"/>
      <c r="E114" s="7"/>
      <c r="F114" s="7"/>
      <c r="G114" s="7"/>
      <c r="H114" s="7"/>
      <c r="I114" s="8"/>
      <c r="J114" s="7"/>
    </row>
    <row r="115" spans="1:10" ht="15.75" x14ac:dyDescent="0.25">
      <c r="A115" s="7"/>
      <c r="B115" s="7"/>
      <c r="C115" s="7"/>
      <c r="D115" s="7"/>
      <c r="E115" s="7"/>
      <c r="F115" s="7"/>
      <c r="G115" s="7"/>
      <c r="H115" s="7"/>
      <c r="I115" s="8"/>
      <c r="J115" s="7"/>
    </row>
    <row r="116" spans="1:10" ht="15.75" x14ac:dyDescent="0.25">
      <c r="A116" s="7"/>
      <c r="B116" s="7"/>
      <c r="C116" s="7"/>
      <c r="D116" s="7"/>
      <c r="E116" s="7"/>
      <c r="F116" s="7"/>
      <c r="G116" s="7"/>
      <c r="H116" s="7"/>
      <c r="I116" s="8"/>
      <c r="J116" s="7"/>
    </row>
  </sheetData>
  <sheetProtection password="E9BA" sheet="1" objects="1" scenarios="1" formatCells="0" formatColumns="0" formatRows="0" insertRows="0" deleteColumns="0" deleteRows="0"/>
  <mergeCells count="31">
    <mergeCell ref="B31:C31"/>
    <mergeCell ref="B7:C7"/>
    <mergeCell ref="B1:C1"/>
    <mergeCell ref="C2:E2"/>
    <mergeCell ref="I2:J2"/>
    <mergeCell ref="C4:E4"/>
    <mergeCell ref="C5:E5"/>
    <mergeCell ref="B50:C50"/>
    <mergeCell ref="B52:C52"/>
    <mergeCell ref="D52:G52"/>
    <mergeCell ref="B54:C54"/>
    <mergeCell ref="D54:E54"/>
    <mergeCell ref="G54:H54"/>
    <mergeCell ref="B48:C48"/>
    <mergeCell ref="B34:C34"/>
    <mergeCell ref="B35:C35"/>
    <mergeCell ref="B37:C37"/>
    <mergeCell ref="B39:C39"/>
    <mergeCell ref="B41:C41"/>
    <mergeCell ref="B42:C42"/>
    <mergeCell ref="B43:C43"/>
    <mergeCell ref="B44:C44"/>
    <mergeCell ref="B46:C46"/>
    <mergeCell ref="C64:D64"/>
    <mergeCell ref="G64:H64"/>
    <mergeCell ref="B56:D56"/>
    <mergeCell ref="B57:E57"/>
    <mergeCell ref="D59:E59"/>
    <mergeCell ref="G59:H59"/>
    <mergeCell ref="B61:E61"/>
    <mergeCell ref="B62:E62"/>
  </mergeCells>
  <dataValidations count="5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J4 D31"/>
    <dataValidation type="list" allowBlank="1" showInputMessage="1" showErrorMessage="1" sqref="H5">
      <formula1>"2009/2010,2010/2011,2011/2012"</formula1>
    </dataValidation>
    <dataValidation type="list" allowBlank="1" showInputMessage="1" showErrorMessage="1" sqref="D34">
      <formula1>"1,2"</formula1>
    </dataValidation>
    <dataValidation type="list" allowBlank="1" showInputMessage="1" showErrorMessage="1" sqref="F5">
      <formula1>$B$2:$B$7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Excess Workload Allowance
Claim Form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allowBlank="1" showInputMessage="1" showErrorMessage="1">
          <x14:formula1>
            <xm:f>Info_Lists!$B$2:$B$7</xm:f>
          </x14:formula1>
          <xm:sqref>I4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I2</xm:sqref>
        </x14:dataValidation>
        <x14:dataValidation type="list" allowBlank="1" showInputMessage="1" showErrorMessage="1">
          <x14:formula1>
            <xm:f>IF($I$4="2008/2009",Courses_List!$A$3:$A$102,IF($I$4="2009/2010",Courses_List!$E$3:$E$102,IF($I$4="2010/2011",Courses_List!$I$3:$I$102,IF($I$4="2011/2012",Courses_List!$M$3:$M$102,IF($I$4="2012/2013",Courses_List!$Q$3:$Q$102,"INVALID")))))</xm:f>
          </x14:formula1>
          <xm:sqref>B9:B28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808000"/>
  </sheetPr>
  <dimension ref="A1:K46"/>
  <sheetViews>
    <sheetView workbookViewId="0">
      <selection activeCell="F12" sqref="F12"/>
    </sheetView>
  </sheetViews>
  <sheetFormatPr defaultRowHeight="15" x14ac:dyDescent="0.25"/>
  <cols>
    <col min="1" max="1" width="2.85546875" bestFit="1" customWidth="1"/>
    <col min="2" max="2" width="19.5703125" bestFit="1" customWidth="1"/>
    <col min="3" max="3" width="5.7109375" customWidth="1"/>
    <col min="4" max="4" width="11.28515625" bestFit="1" customWidth="1"/>
    <col min="5" max="5" width="32.42578125" customWidth="1"/>
    <col min="6" max="6" width="21.140625" customWidth="1"/>
    <col min="8" max="8" width="8.42578125" customWidth="1"/>
    <col min="10" max="10" width="9.85546875" bestFit="1" customWidth="1"/>
    <col min="11" max="11" width="17.28515625" customWidth="1"/>
  </cols>
  <sheetData>
    <row r="1" spans="1:11" x14ac:dyDescent="0.25">
      <c r="A1" s="2" t="s">
        <v>0</v>
      </c>
      <c r="B1" s="113" t="s">
        <v>1</v>
      </c>
      <c r="C1" s="2"/>
      <c r="D1" s="2"/>
      <c r="E1" s="2"/>
      <c r="F1" s="2"/>
      <c r="G1" s="2"/>
      <c r="H1" s="3"/>
      <c r="I1" s="2"/>
      <c r="J1" s="4"/>
      <c r="K1" s="2"/>
    </row>
    <row r="2" spans="1:11" ht="15.75" x14ac:dyDescent="0.25">
      <c r="A2" s="2"/>
      <c r="B2" s="16" t="s">
        <v>2</v>
      </c>
      <c r="C2" s="214" t="s">
        <v>393</v>
      </c>
      <c r="D2" s="214"/>
      <c r="E2" s="214"/>
      <c r="F2" s="16" t="s">
        <v>3</v>
      </c>
      <c r="G2" s="255" t="str">
        <f>IF(LOOKUP($C$2,Staff_List!$A$4:$A$53,Staff_List!$B$4:$B$53)="","",LOOKUP($C$2,Staff_List!$A$4:$A$53,Staff_List!$B$4:$B$53))</f>
        <v>A7581</v>
      </c>
      <c r="H2" s="255"/>
      <c r="I2" s="16" t="s">
        <v>4</v>
      </c>
      <c r="J2" s="224" t="s">
        <v>103</v>
      </c>
      <c r="K2" s="224"/>
    </row>
    <row r="3" spans="1:11" x14ac:dyDescent="0.25">
      <c r="A3" s="2"/>
      <c r="B3" s="21"/>
      <c r="C3" s="2"/>
      <c r="D3" s="2"/>
      <c r="E3" s="2"/>
      <c r="F3" s="2"/>
      <c r="G3" s="3"/>
      <c r="H3" s="2"/>
      <c r="I3" s="2"/>
      <c r="J3" s="2"/>
      <c r="K3" s="44"/>
    </row>
    <row r="4" spans="1:11" x14ac:dyDescent="0.25">
      <c r="A4" s="2"/>
      <c r="B4" s="16" t="s">
        <v>35</v>
      </c>
      <c r="C4" s="224" t="s">
        <v>146</v>
      </c>
      <c r="D4" s="224"/>
      <c r="E4" s="224"/>
      <c r="F4" s="16" t="s">
        <v>5</v>
      </c>
      <c r="G4" s="224" t="s">
        <v>487</v>
      </c>
      <c r="H4" s="224"/>
      <c r="I4" s="16" t="s">
        <v>6</v>
      </c>
      <c r="J4" s="76" t="s">
        <v>108</v>
      </c>
      <c r="K4" s="101"/>
    </row>
    <row r="5" spans="1:1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  <c r="K5" s="46"/>
    </row>
    <row r="6" spans="1:11" x14ac:dyDescent="0.25">
      <c r="A6" s="2"/>
      <c r="B6" s="116"/>
      <c r="C6" s="2"/>
      <c r="D6" s="2"/>
      <c r="E6" s="2"/>
      <c r="F6" s="2"/>
      <c r="G6" s="2"/>
      <c r="H6" s="2"/>
      <c r="I6" s="3"/>
      <c r="J6" s="2"/>
      <c r="K6" s="4"/>
    </row>
    <row r="7" spans="1:11" ht="15.75" x14ac:dyDescent="0.25">
      <c r="A7" s="7" t="s">
        <v>7</v>
      </c>
      <c r="B7" s="152" t="s">
        <v>30</v>
      </c>
      <c r="C7" s="7"/>
      <c r="D7" s="7"/>
      <c r="E7" s="7"/>
      <c r="F7" s="7"/>
      <c r="G7" s="7"/>
      <c r="H7" s="7"/>
      <c r="I7" s="8"/>
      <c r="J7" s="7"/>
      <c r="K7" s="4"/>
    </row>
    <row r="8" spans="1:11" ht="27.75" customHeight="1" x14ac:dyDescent="0.25">
      <c r="A8" s="2"/>
      <c r="B8" s="2"/>
      <c r="C8" s="19" t="s">
        <v>31</v>
      </c>
      <c r="D8" s="32" t="s">
        <v>32</v>
      </c>
      <c r="E8" s="33" t="s">
        <v>33</v>
      </c>
      <c r="F8" s="37" t="s">
        <v>37</v>
      </c>
      <c r="G8" s="28"/>
      <c r="H8" s="28"/>
      <c r="I8" s="28"/>
      <c r="J8" s="9"/>
      <c r="K8" s="10"/>
    </row>
    <row r="9" spans="1:11" ht="15.75" x14ac:dyDescent="0.25">
      <c r="A9" s="2"/>
      <c r="B9" s="2"/>
      <c r="C9" s="31">
        <f>IF(ISTEXT($D9),1,"")</f>
        <v>1</v>
      </c>
      <c r="D9" s="202" t="s">
        <v>564</v>
      </c>
      <c r="E9" s="203" t="s">
        <v>565</v>
      </c>
      <c r="F9" s="11" t="s">
        <v>39</v>
      </c>
      <c r="G9" s="7"/>
      <c r="H9" s="7"/>
      <c r="I9" s="7"/>
      <c r="J9" s="8"/>
      <c r="K9" s="12"/>
    </row>
    <row r="10" spans="1:11" ht="15.75" x14ac:dyDescent="0.25">
      <c r="A10" s="2"/>
      <c r="B10" s="2"/>
      <c r="C10" s="31">
        <f>IF(ISTEXT($D10),2,"")</f>
        <v>2</v>
      </c>
      <c r="D10" s="202" t="s">
        <v>566</v>
      </c>
      <c r="E10" s="203" t="s">
        <v>567</v>
      </c>
      <c r="F10" s="11" t="s">
        <v>39</v>
      </c>
      <c r="G10" s="7"/>
      <c r="H10" s="7"/>
      <c r="I10" s="7"/>
      <c r="J10" s="8"/>
      <c r="K10" s="12"/>
    </row>
    <row r="11" spans="1:11" ht="15.75" x14ac:dyDescent="0.25">
      <c r="A11" s="2"/>
      <c r="B11" s="2"/>
      <c r="C11" s="31">
        <f>IF(ISTEXT($D11),3,"")</f>
        <v>3</v>
      </c>
      <c r="D11" s="202" t="s">
        <v>568</v>
      </c>
      <c r="E11" s="203" t="s">
        <v>569</v>
      </c>
      <c r="F11" s="11" t="s">
        <v>39</v>
      </c>
      <c r="G11" s="7"/>
      <c r="H11" s="7"/>
      <c r="I11" s="7"/>
      <c r="J11" s="8"/>
      <c r="K11" s="12"/>
    </row>
    <row r="12" spans="1:11" ht="15.75" x14ac:dyDescent="0.25">
      <c r="A12" s="2"/>
      <c r="B12" s="2"/>
      <c r="C12" s="31">
        <f>IF(ISTEXT($D12),4,"")</f>
        <v>4</v>
      </c>
      <c r="D12" s="202" t="s">
        <v>570</v>
      </c>
      <c r="E12" s="203" t="s">
        <v>571</v>
      </c>
      <c r="F12" s="11" t="s">
        <v>39</v>
      </c>
      <c r="G12" s="7"/>
      <c r="H12" s="7"/>
      <c r="I12" s="7"/>
      <c r="J12" s="8"/>
      <c r="K12" s="12"/>
    </row>
    <row r="13" spans="1:11" ht="15.75" x14ac:dyDescent="0.25">
      <c r="A13" s="2"/>
      <c r="B13" s="2"/>
      <c r="C13" s="31" t="str">
        <f>IF(ISTEXT($D13),5,"")</f>
        <v/>
      </c>
      <c r="D13" s="202"/>
      <c r="E13" s="203"/>
      <c r="F13" s="11"/>
      <c r="G13" s="7"/>
      <c r="H13" s="7"/>
      <c r="I13" s="7"/>
      <c r="J13" s="8"/>
      <c r="K13" s="12"/>
    </row>
    <row r="14" spans="1:11" ht="15.75" x14ac:dyDescent="0.25">
      <c r="A14" s="2"/>
      <c r="B14" s="2"/>
      <c r="C14" s="31" t="str">
        <f>IF(ISTEXT($D14),6,"")</f>
        <v/>
      </c>
      <c r="D14" s="202"/>
      <c r="E14" s="203"/>
      <c r="F14" s="11"/>
      <c r="G14" s="7"/>
      <c r="H14" s="7"/>
      <c r="I14" s="7"/>
      <c r="J14" s="8"/>
      <c r="K14" s="12"/>
    </row>
    <row r="15" spans="1:11" ht="15.75" x14ac:dyDescent="0.25">
      <c r="A15" s="2"/>
      <c r="B15" s="2"/>
      <c r="C15" s="31" t="str">
        <f>IF(ISTEXT($D15),7,"")</f>
        <v/>
      </c>
      <c r="D15" s="202"/>
      <c r="E15" s="203"/>
      <c r="F15" s="11"/>
      <c r="G15" s="7"/>
      <c r="H15" s="7"/>
      <c r="I15" s="7"/>
      <c r="J15" s="8"/>
      <c r="K15" s="12"/>
    </row>
    <row r="16" spans="1:11" ht="15.75" x14ac:dyDescent="0.25">
      <c r="A16" s="2"/>
      <c r="B16" s="2"/>
      <c r="C16" s="31" t="str">
        <f>IF(ISTEXT($D16),8,"")</f>
        <v/>
      </c>
      <c r="D16" s="202"/>
      <c r="E16" s="203"/>
      <c r="F16" s="11"/>
      <c r="G16" s="7"/>
      <c r="H16" s="7"/>
      <c r="I16" s="7"/>
      <c r="J16" s="8"/>
      <c r="K16" s="12"/>
    </row>
    <row r="17" spans="1:11" ht="15.75" x14ac:dyDescent="0.25">
      <c r="A17" s="2"/>
      <c r="B17" s="2"/>
      <c r="C17" s="31" t="str">
        <f>IF(ISTEXT($D17),9,"")</f>
        <v/>
      </c>
      <c r="D17" s="29"/>
      <c r="E17" s="11"/>
      <c r="F17" s="11"/>
      <c r="G17" s="7"/>
      <c r="H17" s="7"/>
      <c r="I17" s="7"/>
      <c r="J17" s="8"/>
      <c r="K17" s="12"/>
    </row>
    <row r="18" spans="1:11" ht="15.75" x14ac:dyDescent="0.25">
      <c r="A18" s="2"/>
      <c r="B18" s="2"/>
      <c r="C18" s="31" t="str">
        <f>IF(ISTEXT($D18),10,"")</f>
        <v/>
      </c>
      <c r="D18" s="29"/>
      <c r="E18" s="11"/>
      <c r="F18" s="11"/>
      <c r="G18" s="7"/>
      <c r="H18" s="7"/>
      <c r="I18" s="7"/>
      <c r="J18" s="8"/>
      <c r="K18" s="12"/>
    </row>
    <row r="19" spans="1:11" ht="15.75" x14ac:dyDescent="0.25">
      <c r="A19" s="2"/>
      <c r="B19" s="2"/>
      <c r="C19" s="31" t="str">
        <f>IF(ISTEXT($D19),11,"")</f>
        <v/>
      </c>
      <c r="D19" s="29"/>
      <c r="E19" s="11"/>
      <c r="F19" s="11"/>
      <c r="G19" s="7"/>
      <c r="H19" s="7"/>
      <c r="I19" s="7"/>
      <c r="J19" s="8"/>
      <c r="K19" s="12"/>
    </row>
    <row r="20" spans="1:11" ht="15.75" x14ac:dyDescent="0.25">
      <c r="A20" s="2"/>
      <c r="B20" s="2"/>
      <c r="C20" s="31" t="str">
        <f>IF(ISTEXT($D20),12,"")</f>
        <v/>
      </c>
      <c r="D20" s="29"/>
      <c r="E20" s="11"/>
      <c r="F20" s="11"/>
      <c r="G20" s="7"/>
      <c r="H20" s="7"/>
      <c r="I20" s="7"/>
      <c r="J20" s="8"/>
      <c r="K20" s="12"/>
    </row>
    <row r="21" spans="1:11" ht="15.75" x14ac:dyDescent="0.25">
      <c r="A21" s="2"/>
      <c r="B21" s="2"/>
      <c r="C21" s="31" t="str">
        <f>IF(ISTEXT($D21),13,"")</f>
        <v/>
      </c>
      <c r="D21" s="29"/>
      <c r="E21" s="11"/>
      <c r="F21" s="11"/>
      <c r="G21" s="7"/>
      <c r="H21" s="7"/>
      <c r="I21" s="7"/>
      <c r="J21" s="8"/>
      <c r="K21" s="12"/>
    </row>
    <row r="22" spans="1:11" ht="15.75" x14ac:dyDescent="0.25">
      <c r="A22" s="2"/>
      <c r="B22" s="2"/>
      <c r="C22" s="31" t="str">
        <f>IF(ISTEXT($D22),14,"")</f>
        <v/>
      </c>
      <c r="D22" s="29"/>
      <c r="E22" s="11"/>
      <c r="F22" s="11"/>
      <c r="G22" s="7"/>
      <c r="H22" s="7"/>
      <c r="I22" s="7"/>
      <c r="J22" s="8"/>
      <c r="K22" s="12"/>
    </row>
    <row r="23" spans="1:11" ht="15.75" x14ac:dyDescent="0.25">
      <c r="A23" s="2"/>
      <c r="B23" s="2"/>
      <c r="C23" s="31" t="str">
        <f>IF(ISTEXT($D23),15,"")</f>
        <v/>
      </c>
      <c r="D23" s="29"/>
      <c r="E23" s="11"/>
      <c r="F23" s="11"/>
      <c r="G23" s="7"/>
      <c r="H23" s="7"/>
      <c r="I23" s="7"/>
      <c r="J23" s="8"/>
      <c r="K23" s="12"/>
    </row>
    <row r="24" spans="1:11" ht="15.75" x14ac:dyDescent="0.25">
      <c r="A24" s="2"/>
      <c r="B24" s="2"/>
      <c r="C24" s="60"/>
      <c r="D24" s="58"/>
      <c r="E24" s="59"/>
      <c r="F24" s="59"/>
      <c r="G24" s="7"/>
      <c r="H24" s="7"/>
      <c r="I24" s="7"/>
      <c r="J24" s="8"/>
      <c r="K24" s="12"/>
    </row>
    <row r="25" spans="1:11" ht="15.75" x14ac:dyDescent="0.25">
      <c r="A25" s="2"/>
      <c r="B25" s="2"/>
      <c r="C25" s="256" t="s">
        <v>109</v>
      </c>
      <c r="D25" s="256"/>
      <c r="E25" s="256"/>
      <c r="F25" s="57"/>
      <c r="G25" s="7"/>
      <c r="H25" s="7"/>
      <c r="I25" s="7"/>
      <c r="J25" s="8"/>
      <c r="K25" s="12"/>
    </row>
    <row r="26" spans="1:11" ht="15.75" x14ac:dyDescent="0.25">
      <c r="A26" s="2"/>
      <c r="B26" s="2"/>
      <c r="C26" s="256" t="s">
        <v>110</v>
      </c>
      <c r="D26" s="256"/>
      <c r="E26" s="256"/>
      <c r="F26" s="57"/>
      <c r="G26" s="7"/>
      <c r="H26" s="7"/>
      <c r="I26" s="7"/>
      <c r="J26" s="8"/>
      <c r="K26" s="12"/>
    </row>
    <row r="27" spans="1:11" ht="15.75" x14ac:dyDescent="0.25">
      <c r="A27" s="2"/>
      <c r="B27" s="2"/>
      <c r="C27" s="256" t="s">
        <v>111</v>
      </c>
      <c r="D27" s="256"/>
      <c r="E27" s="256"/>
      <c r="F27" s="57"/>
      <c r="G27" s="7"/>
      <c r="H27" s="7"/>
      <c r="I27" s="7"/>
      <c r="J27" s="8"/>
      <c r="K27" s="12"/>
    </row>
    <row r="28" spans="1:11" ht="15.75" x14ac:dyDescent="0.25">
      <c r="A28" s="2"/>
      <c r="B28" s="30"/>
      <c r="C28" s="22"/>
      <c r="D28" s="22"/>
      <c r="E28" s="22"/>
      <c r="F28" s="7"/>
      <c r="G28" s="7"/>
      <c r="H28" s="7"/>
      <c r="I28" s="7"/>
      <c r="J28" s="8"/>
      <c r="K28" s="12"/>
    </row>
    <row r="29" spans="1:11" ht="15.75" x14ac:dyDescent="0.25">
      <c r="A29" s="2"/>
      <c r="B29" s="2"/>
      <c r="C29" s="212" t="s">
        <v>38</v>
      </c>
      <c r="D29" s="212"/>
      <c r="E29" s="212"/>
      <c r="F29" s="36">
        <f>IF($J$4="2008/2009",(IF(OR(LEFT($G$4,1)="P",LEFT($G$4,1)="R"),IF(COUNTIF($F$9:$F$23,"Field Trip")&gt;0,1,0)*100000,IF(LEFT($G$4,1)="S",IF(COUNTIF($F$9:$F$23,"Field Trip")&gt;0,1,0)*80000,IF(OR(LEFT($G$4,1)="L",LEFT($G$4,1)="L",LEFT($G$4,1)="A"),IF(COUNTIF($F$9:$F$23,"Field Trip")&gt;0,1,0)*60000,"#ERROR"))))/2,IF(OR(LEFT($G$4,1)="P",LEFT($G$4,1)="R"),IF(COUNTIF($F$9:$F$23,"Field Trip")&gt;0,1,0)*100000,IF(LEFT($G$4,1)="S",IF(COUNTIF($F$9:$F$23,"Field Trip")&gt;0,1,0)*80000,IF(OR(LEFT($G$4,1)="L",LEFT($G$4,1)="L",LEFT($G$4,1)="A"),IF(COUNTIF($F$9:$F$23,"Field Trip")&gt;0,1,0)*60000,"#ERROR"))))</f>
        <v>0</v>
      </c>
      <c r="G29" s="7"/>
      <c r="H29" s="7"/>
      <c r="I29" s="7"/>
      <c r="J29" s="8"/>
      <c r="K29" s="2"/>
    </row>
    <row r="30" spans="1:11" ht="15.75" x14ac:dyDescent="0.25">
      <c r="A30" s="2"/>
      <c r="B30" s="2"/>
      <c r="C30" s="212" t="s">
        <v>39</v>
      </c>
      <c r="D30" s="212"/>
      <c r="E30" s="212"/>
      <c r="F30" s="36">
        <f>IF($J$4="2008/2009",(IF(OR(LEFT($G$4,1)="P",LEFT($G$4,1)="R"),IF(COUNTIF($F$9:$F$23,"Industrial Supervision")&gt;0,1,0)*100000,IF(LEFT($G$4,1)="S",IF(COUNTIF($F$9:$F$23,"Industrial Supervision")&gt;0,1,0)*80000,IF(OR(LEFT($G$4,1)="L",LEFT($G$4,1)="L",LEFT($G$4,1)="A"),IF(COUNTIF($F$9:$F$23,"Industrial Supervision")&gt;0,1,0)*60000,"#ERROR"))))/2,IF(OR(LEFT($G$4,1)="P",LEFT($G$4,1)="R"),IF(COUNTIF($F$9:$F$23,"Industrial Supervision")&gt;0,1,0)*100000,IF(LEFT($G$4,1)="S",IF(COUNTIF($F$9:$F$23,"Industrial Supervision")&gt;0,1,0)*80000,IF(OR(LEFT($G$4,1)="L",LEFT($G$4,1)="L",LEFT($G$4,1)="A"),IF(COUNTIF($F$9:$F$23,"Industrial Supervision")&gt;0,1,0)*60000,"#ERROR"))))</f>
        <v>80000</v>
      </c>
      <c r="G30" s="7"/>
      <c r="H30" s="7"/>
      <c r="I30" s="7"/>
      <c r="J30" s="8"/>
      <c r="K30" s="2"/>
    </row>
    <row r="31" spans="1:11" ht="15.75" x14ac:dyDescent="0.25">
      <c r="A31" s="2"/>
      <c r="B31" s="2"/>
      <c r="C31" s="212" t="s">
        <v>40</v>
      </c>
      <c r="D31" s="212"/>
      <c r="E31" s="212"/>
      <c r="F31" s="36">
        <f>IF($J$4="2008/2009",(IF(OR(LEFT($G$4,1)="P",LEFT($G$4,1)="R"),IF(COUNTIF($F$9:$F$23,"Teaching Practice")&gt;0,1,0)*100000,IF(LEFT($G$4,1)="S",IF(COUNTIF($F$9:$F$23,"Teaching Practice")&gt;0,1,0)*80000,IF(OR(LEFT($G$4,1)="L",LEFT($G$4,1)="L",LEFT($G$4,1)="A"),IF(COUNTIF($F$9:$F$23,"Teaching Practice")&gt;0,1,0)*60000,"#ERROR"))))/2,IF(OR(LEFT($G$4,1)="P",LEFT($G$4,1)="R"),IF(COUNTIF($F$9:$F$23,"Teaching Practice")&gt;0,1,0)*100000,IF(LEFT($G$4,1)="S",IF(COUNTIF($F$9:$F$23,"Teaching Practice")&gt;0,1,0)*80000,IF(OR(LEFT($G$4,1)="L",LEFT($G$4,1)="L",LEFT($G$4,1)="A"),IF(COUNTIF($F$9:$F$23,"Teaching Practice")&gt;0,1,0)*60000,"#ERROR"))))</f>
        <v>0</v>
      </c>
      <c r="G31" s="7"/>
      <c r="H31" s="7"/>
      <c r="I31" s="7"/>
      <c r="J31" s="8"/>
      <c r="K31" s="2"/>
    </row>
    <row r="32" spans="1:11" ht="15.75" x14ac:dyDescent="0.25">
      <c r="A32" s="2" t="s">
        <v>9</v>
      </c>
      <c r="B32" s="264" t="s">
        <v>180</v>
      </c>
      <c r="C32" s="264"/>
      <c r="D32" s="153"/>
      <c r="E32" s="69"/>
      <c r="F32" s="26">
        <f>SUM(F29:F31)</f>
        <v>80000</v>
      </c>
      <c r="G32" s="7"/>
      <c r="H32" s="7"/>
      <c r="I32" s="7"/>
      <c r="J32" s="8"/>
      <c r="K32" s="2"/>
    </row>
    <row r="33" spans="1:11" ht="15.75" x14ac:dyDescent="0.25">
      <c r="A33" s="2"/>
      <c r="B33" s="30"/>
      <c r="C33" s="7"/>
      <c r="D33" s="7"/>
      <c r="E33" s="7"/>
      <c r="F33" s="7"/>
      <c r="G33" s="7"/>
      <c r="H33" s="7"/>
      <c r="I33" s="7"/>
      <c r="J33" s="8"/>
      <c r="K33" s="2"/>
    </row>
    <row r="34" spans="1:11" ht="15.75" x14ac:dyDescent="0.25">
      <c r="A34" s="7" t="s">
        <v>10</v>
      </c>
      <c r="B34" s="212" t="s">
        <v>41</v>
      </c>
      <c r="C34" s="212"/>
      <c r="D34" s="212"/>
      <c r="E34" s="216" t="s">
        <v>19</v>
      </c>
      <c r="F34" s="216"/>
      <c r="G34" s="98"/>
      <c r="H34" s="7"/>
      <c r="I34" s="7"/>
      <c r="J34" s="8"/>
      <c r="K34" s="2"/>
    </row>
    <row r="35" spans="1:11" ht="15.75" x14ac:dyDescent="0.25">
      <c r="A35" s="7"/>
      <c r="B35" s="98"/>
      <c r="C35" s="98"/>
      <c r="D35" s="98"/>
      <c r="E35" s="98"/>
      <c r="F35" s="98"/>
      <c r="G35" s="98"/>
      <c r="H35" s="7"/>
      <c r="I35" s="2"/>
      <c r="J35" s="2"/>
      <c r="K35" s="2"/>
    </row>
    <row r="36" spans="1:11" ht="15.75" x14ac:dyDescent="0.25">
      <c r="A36" s="7"/>
      <c r="B36" s="216" t="s">
        <v>20</v>
      </c>
      <c r="C36" s="216"/>
      <c r="D36" s="216"/>
      <c r="E36" s="98"/>
      <c r="F36" s="7" t="s">
        <v>21</v>
      </c>
      <c r="G36" s="254"/>
      <c r="H36" s="254"/>
      <c r="I36" s="2"/>
      <c r="J36" s="2"/>
      <c r="K36" s="2"/>
    </row>
    <row r="37" spans="1:11" ht="15.75" x14ac:dyDescent="0.25">
      <c r="A37" s="7"/>
      <c r="B37" s="7"/>
      <c r="C37" s="7"/>
      <c r="D37" s="7"/>
      <c r="E37" s="7"/>
      <c r="F37" s="7"/>
      <c r="G37" s="7"/>
      <c r="H37" s="7"/>
      <c r="I37" s="2"/>
      <c r="J37" s="2"/>
      <c r="K37" s="2"/>
    </row>
    <row r="38" spans="1:11" ht="15.75" x14ac:dyDescent="0.25">
      <c r="A38" s="7" t="s">
        <v>11</v>
      </c>
      <c r="B38" s="212" t="s">
        <v>23</v>
      </c>
      <c r="C38" s="212"/>
      <c r="D38" s="212"/>
      <c r="E38" s="212"/>
      <c r="F38" s="7"/>
      <c r="G38" s="7"/>
      <c r="H38" s="7"/>
      <c r="I38" s="2"/>
      <c r="J38" s="2"/>
      <c r="K38" s="2"/>
    </row>
    <row r="39" spans="1:11" ht="15.75" x14ac:dyDescent="0.25">
      <c r="A39" s="7"/>
      <c r="B39" s="216" t="s">
        <v>24</v>
      </c>
      <c r="C39" s="216"/>
      <c r="D39" s="216"/>
      <c r="E39" s="216"/>
      <c r="F39" s="26">
        <f>$F$32</f>
        <v>80000</v>
      </c>
      <c r="G39" s="7"/>
      <c r="H39" s="7"/>
      <c r="I39" s="2"/>
      <c r="J39" s="2"/>
      <c r="K39" s="2"/>
    </row>
    <row r="40" spans="1:11" ht="15.75" x14ac:dyDescent="0.25">
      <c r="A40" s="7"/>
      <c r="B40" s="98"/>
      <c r="C40" s="98"/>
      <c r="D40" s="98"/>
      <c r="E40" s="98"/>
      <c r="F40" s="15"/>
      <c r="G40" s="7"/>
      <c r="H40" s="7"/>
      <c r="I40" s="2"/>
      <c r="J40" s="2"/>
      <c r="K40" s="2"/>
    </row>
    <row r="41" spans="1:11" ht="15.75" x14ac:dyDescent="0.25">
      <c r="A41" s="7"/>
      <c r="B41" s="216" t="s">
        <v>25</v>
      </c>
      <c r="C41" s="216"/>
      <c r="D41" s="216"/>
      <c r="E41" s="216"/>
      <c r="F41" s="7" t="s">
        <v>21</v>
      </c>
      <c r="G41" s="216"/>
      <c r="H41" s="216"/>
      <c r="I41" s="2"/>
      <c r="J41" s="2"/>
      <c r="K41" s="2"/>
    </row>
    <row r="42" spans="1:11" ht="15.75" x14ac:dyDescent="0.25">
      <c r="A42" s="7"/>
      <c r="B42" s="7"/>
      <c r="C42" s="7"/>
      <c r="D42" s="7"/>
      <c r="E42" s="7"/>
      <c r="F42" s="7"/>
      <c r="G42" s="7"/>
      <c r="H42" s="7"/>
      <c r="I42" s="2"/>
      <c r="J42" s="2"/>
      <c r="K42" s="2"/>
    </row>
    <row r="43" spans="1:11" ht="15.75" x14ac:dyDescent="0.25">
      <c r="A43" s="7" t="s">
        <v>12</v>
      </c>
      <c r="B43" s="212" t="s">
        <v>27</v>
      </c>
      <c r="C43" s="212"/>
      <c r="D43" s="212"/>
      <c r="E43" s="212"/>
      <c r="F43" s="7"/>
      <c r="G43" s="7"/>
      <c r="H43" s="7"/>
      <c r="I43" s="2"/>
      <c r="J43" s="2"/>
      <c r="K43" s="2"/>
    </row>
    <row r="44" spans="1:11" ht="15.75" x14ac:dyDescent="0.25">
      <c r="A44" s="7"/>
      <c r="B44" s="216" t="s">
        <v>28</v>
      </c>
      <c r="C44" s="216"/>
      <c r="D44" s="216"/>
      <c r="E44" s="216"/>
      <c r="F44" s="26">
        <f>$F$32</f>
        <v>80000</v>
      </c>
      <c r="G44" s="7"/>
      <c r="H44" s="7"/>
      <c r="I44" s="2"/>
      <c r="J44" s="2"/>
      <c r="K44" s="2"/>
    </row>
    <row r="45" spans="1:11" ht="15.75" x14ac:dyDescent="0.25">
      <c r="A45" s="7"/>
      <c r="B45" s="7"/>
      <c r="C45" s="7"/>
      <c r="D45" s="7"/>
      <c r="E45" s="7"/>
      <c r="F45" s="7"/>
      <c r="G45" s="7"/>
      <c r="H45" s="7"/>
      <c r="I45" s="2"/>
      <c r="J45" s="2"/>
      <c r="K45" s="2"/>
    </row>
    <row r="46" spans="1:11" ht="15.75" x14ac:dyDescent="0.25">
      <c r="A46" s="7"/>
      <c r="B46" s="7" t="s">
        <v>29</v>
      </c>
      <c r="C46" s="216"/>
      <c r="D46" s="216"/>
      <c r="E46" s="216"/>
      <c r="F46" s="7" t="s">
        <v>21</v>
      </c>
      <c r="G46" s="216"/>
      <c r="H46" s="216"/>
      <c r="I46" s="2"/>
      <c r="J46" s="2"/>
      <c r="K46" s="2"/>
    </row>
  </sheetData>
  <sheetProtection password="E9BA" sheet="1" objects="1" scenarios="1" formatCells="0" formatColumns="0" formatRows="0" insertRows="0" deleteColumns="0" deleteRows="0"/>
  <mergeCells count="26">
    <mergeCell ref="C5:E5"/>
    <mergeCell ref="C2:E2"/>
    <mergeCell ref="G2:H2"/>
    <mergeCell ref="J2:K2"/>
    <mergeCell ref="C4:E4"/>
    <mergeCell ref="G4:H4"/>
    <mergeCell ref="C31:E31"/>
    <mergeCell ref="B32:C32"/>
    <mergeCell ref="B34:D34"/>
    <mergeCell ref="E34:F34"/>
    <mergeCell ref="B36:D36"/>
    <mergeCell ref="C25:E25"/>
    <mergeCell ref="C26:E26"/>
    <mergeCell ref="C27:E27"/>
    <mergeCell ref="C29:E29"/>
    <mergeCell ref="C30:E30"/>
    <mergeCell ref="G36:H36"/>
    <mergeCell ref="C46:E46"/>
    <mergeCell ref="G46:H46"/>
    <mergeCell ref="B39:E39"/>
    <mergeCell ref="B41:C41"/>
    <mergeCell ref="D41:E41"/>
    <mergeCell ref="G41:H41"/>
    <mergeCell ref="B43:E43"/>
    <mergeCell ref="B44:E44"/>
    <mergeCell ref="B38:E38"/>
  </mergeCells>
  <dataValidations count="4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F25:F27"/>
    <dataValidation type="list" showInputMessage="1" showErrorMessage="1" sqref="F9:F24">
      <formula1>"Field Trip,Industrial Supervision,Teaching Practice"</formula1>
    </dataValidation>
    <dataValidation type="list" allowBlank="1" showInputMessage="1" showErrorMessage="1" sqref="F5">
      <formula1>$B$2:$B$13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verticalDpi="0" r:id="rId1"/>
  <headerFooter>
    <oddHeader>&amp;C&amp;16UNIVERSITY OF LAGOS&amp;11
&amp;14Field Trip, Industrial Supervision and Teaching Practice&amp;11
&amp;14Claim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allowBlank="1" showInputMessage="1" showErrorMessage="1">
          <x14:formula1>
            <xm:f>Info_Lists!$B$2:$B$7</xm:f>
          </x14:formula1>
          <xm:sqref>J4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J2:K2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808000"/>
  </sheetPr>
  <dimension ref="A1:K30"/>
  <sheetViews>
    <sheetView topLeftCell="A3" workbookViewId="0">
      <selection activeCell="D14" sqref="D14"/>
    </sheetView>
  </sheetViews>
  <sheetFormatPr defaultRowHeight="15" x14ac:dyDescent="0.25"/>
  <cols>
    <col min="1" max="1" width="2.85546875" style="2" bestFit="1" customWidth="1"/>
    <col min="2" max="2" width="14.85546875" style="2" customWidth="1"/>
    <col min="3" max="3" width="4.7109375" style="2" bestFit="1" customWidth="1"/>
    <col min="4" max="4" width="12" style="2" customWidth="1"/>
    <col min="5" max="5" width="37.7109375" style="2" customWidth="1"/>
    <col min="6" max="6" width="15.42578125" style="2" bestFit="1" customWidth="1"/>
    <col min="7" max="9" width="9.140625" style="2"/>
    <col min="10" max="10" width="9.85546875" style="2" bestFit="1" customWidth="1"/>
    <col min="11" max="11" width="14.85546875" style="2" customWidth="1"/>
    <col min="12" max="16384" width="9.140625" style="2"/>
  </cols>
  <sheetData>
    <row r="1" spans="1:11" x14ac:dyDescent="0.25">
      <c r="A1" s="2" t="s">
        <v>0</v>
      </c>
      <c r="B1" s="113" t="s">
        <v>1</v>
      </c>
      <c r="H1" s="3"/>
      <c r="J1" s="4"/>
    </row>
    <row r="2" spans="1:11" ht="15.75" x14ac:dyDescent="0.25">
      <c r="B2" s="16" t="s">
        <v>2</v>
      </c>
      <c r="C2" s="214" t="s">
        <v>393</v>
      </c>
      <c r="D2" s="214"/>
      <c r="E2" s="214"/>
      <c r="F2" s="16" t="s">
        <v>3</v>
      </c>
      <c r="G2" s="255" t="str">
        <f>IF(LOOKUP($C$2,Staff_List!$A$4:$A$53,Staff_List!$B$4:$B$53)="","",LOOKUP($C$2,Staff_List!$A$4:$A$53,Staff_List!$B$4:$B$53))</f>
        <v>A7581</v>
      </c>
      <c r="H2" s="255"/>
      <c r="I2" s="16" t="s">
        <v>4</v>
      </c>
      <c r="J2" s="224" t="s">
        <v>103</v>
      </c>
      <c r="K2" s="224"/>
    </row>
    <row r="3" spans="1:11" x14ac:dyDescent="0.25">
      <c r="B3" s="21"/>
      <c r="G3" s="3"/>
      <c r="K3" s="44"/>
    </row>
    <row r="4" spans="1:11" x14ac:dyDescent="0.25">
      <c r="B4" s="16" t="s">
        <v>35</v>
      </c>
      <c r="C4" s="224" t="s">
        <v>146</v>
      </c>
      <c r="D4" s="224"/>
      <c r="E4" s="224"/>
      <c r="F4" s="16" t="s">
        <v>5</v>
      </c>
      <c r="G4" s="224" t="s">
        <v>487</v>
      </c>
      <c r="H4" s="224"/>
      <c r="I4" s="16" t="s">
        <v>6</v>
      </c>
      <c r="J4" s="76" t="s">
        <v>108</v>
      </c>
      <c r="K4" s="101"/>
    </row>
    <row r="5" spans="1:11" customFormat="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  <c r="K5" s="2"/>
    </row>
    <row r="6" spans="1:11" x14ac:dyDescent="0.25">
      <c r="B6" s="27"/>
      <c r="I6" s="3"/>
      <c r="K6" s="44"/>
    </row>
    <row r="7" spans="1:11" ht="15.75" x14ac:dyDescent="0.25">
      <c r="A7" s="7" t="s">
        <v>7</v>
      </c>
      <c r="B7" s="212" t="s">
        <v>30</v>
      </c>
      <c r="C7" s="212"/>
      <c r="D7" s="7"/>
      <c r="E7" s="7"/>
      <c r="F7" s="7"/>
      <c r="G7" s="7"/>
      <c r="H7" s="7"/>
      <c r="I7" s="8"/>
      <c r="J7" s="7"/>
      <c r="K7" s="4"/>
    </row>
    <row r="8" spans="1:11" ht="20.25" customHeight="1" x14ac:dyDescent="0.25">
      <c r="C8" s="19" t="s">
        <v>31</v>
      </c>
      <c r="D8" s="32" t="s">
        <v>32</v>
      </c>
      <c r="E8" s="33" t="s">
        <v>33</v>
      </c>
      <c r="F8" s="28"/>
      <c r="G8" s="28"/>
      <c r="H8" s="28"/>
      <c r="I8" s="28"/>
      <c r="J8" s="9"/>
      <c r="K8" s="10"/>
    </row>
    <row r="9" spans="1:11" ht="15.75" customHeight="1" x14ac:dyDescent="0.25">
      <c r="C9" s="31">
        <f>IF(AND(ISTEXT($D9),ISTEXT($E9)),1,"")</f>
        <v>1</v>
      </c>
      <c r="D9" s="202" t="s">
        <v>492</v>
      </c>
      <c r="E9" s="203" t="s">
        <v>493</v>
      </c>
      <c r="F9" s="7"/>
      <c r="G9" s="7"/>
      <c r="H9" s="7"/>
      <c r="I9" s="7"/>
      <c r="J9" s="8"/>
      <c r="K9" s="12"/>
    </row>
    <row r="10" spans="1:11" ht="15.75" x14ac:dyDescent="0.25">
      <c r="C10" s="31">
        <f>IF(AND(ISTEXT($D10),ISTEXT($E10)),2,"")</f>
        <v>2</v>
      </c>
      <c r="D10" s="202" t="s">
        <v>494</v>
      </c>
      <c r="E10" s="203" t="s">
        <v>495</v>
      </c>
      <c r="F10" s="7"/>
      <c r="G10" s="7"/>
      <c r="H10" s="7"/>
      <c r="I10" s="7"/>
      <c r="J10" s="8"/>
      <c r="K10" s="12"/>
    </row>
    <row r="11" spans="1:11" ht="15.75" x14ac:dyDescent="0.25">
      <c r="C11" s="31">
        <f>IF(AND(ISTEXT($D11),ISTEXT($E11)),3,"")</f>
        <v>3</v>
      </c>
      <c r="D11" s="202" t="s">
        <v>496</v>
      </c>
      <c r="E11" s="203" t="s">
        <v>497</v>
      </c>
      <c r="F11" s="7"/>
      <c r="G11" s="7"/>
      <c r="H11" s="7"/>
      <c r="I11" s="7"/>
      <c r="J11" s="8"/>
      <c r="K11" s="12"/>
    </row>
    <row r="12" spans="1:11" ht="15.75" x14ac:dyDescent="0.25">
      <c r="C12" s="31">
        <f>IF(AND(ISTEXT($D12),ISTEXT($E12)),4,"")</f>
        <v>4</v>
      </c>
      <c r="D12" s="202" t="s">
        <v>498</v>
      </c>
      <c r="E12" s="203" t="s">
        <v>499</v>
      </c>
      <c r="F12" s="7"/>
      <c r="G12" s="7"/>
      <c r="H12" s="7"/>
      <c r="I12" s="7"/>
      <c r="J12" s="8"/>
      <c r="K12" s="12"/>
    </row>
    <row r="13" spans="1:11" ht="15.75" x14ac:dyDescent="0.25">
      <c r="C13" s="31"/>
      <c r="D13" s="202" t="s">
        <v>491</v>
      </c>
      <c r="E13" s="203" t="s">
        <v>500</v>
      </c>
      <c r="F13" s="203"/>
      <c r="G13" s="7"/>
      <c r="H13" s="7"/>
      <c r="I13" s="7"/>
      <c r="J13" s="8"/>
      <c r="K13" s="12"/>
    </row>
    <row r="14" spans="1:11" ht="15.75" x14ac:dyDescent="0.25">
      <c r="C14" s="31" t="str">
        <f>IF(AND(ISTEXT($D14),ISTEXT($E14)),5,"")</f>
        <v/>
      </c>
      <c r="D14" s="202"/>
      <c r="E14" s="203"/>
      <c r="F14" s="7"/>
      <c r="G14" s="7"/>
      <c r="H14" s="7"/>
      <c r="I14" s="7"/>
      <c r="J14" s="8"/>
      <c r="K14" s="12"/>
    </row>
    <row r="15" spans="1:11" ht="15.75" x14ac:dyDescent="0.25">
      <c r="B15" s="30"/>
      <c r="C15" s="7"/>
      <c r="D15" s="7"/>
      <c r="E15" s="7"/>
      <c r="F15" s="7"/>
      <c r="G15" s="7"/>
      <c r="H15" s="7"/>
      <c r="I15" s="7"/>
      <c r="J15" s="8"/>
      <c r="K15" s="12"/>
    </row>
    <row r="16" spans="1:11" ht="15.75" x14ac:dyDescent="0.25">
      <c r="A16" s="2" t="s">
        <v>9</v>
      </c>
      <c r="B16" s="212" t="s">
        <v>34</v>
      </c>
      <c r="C16" s="212"/>
      <c r="D16" s="212"/>
      <c r="E16" s="26">
        <f>IF($J$4="2008/2009",(IF(OR(LEFT($G$4,1)="P",LEFT($G$4,1)="R"),25000*(IF(ISTEXT($E9),1,0)+IF(ISTEXT($E10),1,0)+IF(ISTEXT($E11),1,0)+IF(ISTEXT($E12),1,0)+IF(ISTEXT($E13),1,0)),IF(LEFT($G$4,1)="S",20000*(IF(ISTEXT($E9),1,0)+IF(ISTEXT($E10),1,0)+IF(ISTEXT($E11),1,0)+IF(ISTEXT($E12),1,0)+IF(ISTEXT($E13),1,0)),IF(AND(LEFT($G$4,1)="L",OR(RIGHT($G$4,2)=" I",RIGHT($G$4,2)="II")),15000*(IF(ISTEXT($E9),1,0)+IF(ISTEXT($E10),1,0)+IF(ISTEXT($E11),1,0)+IF(ISTEXT($E12),1,0)+IF(ISTEXT($E13),1,0)),0))))/2,IF(OR(LEFT($G$4,1)="P",LEFT($G$4,1)="R"),25000*(IF(ISTEXT($E9),1,0)+IF(ISTEXT($E10),1,0)+IF(ISTEXT($E11),1,0)+IF(ISTEXT($E12),1,0)+IF(ISTEXT($E13),1,0)),IF(LEFT($G$4,1)="S",20000*(IF(ISTEXT($E9),1,0)+IF(ISTEXT($E10),1,0)+IF(ISTEXT($E11),1,0)+IF(ISTEXT($E12),1,0)+IF(ISTEXT($E13),1,0)),IF(AND(LEFT($G$4,1)="L",OR(RIGHT($G$4,2)=" I",RIGHT($G$4,2)="II")),15000*(IF(ISTEXT($E9),1,0)+IF(ISTEXT($E10),1,0)+IF(ISTEXT($E11),1,0)+IF(ISTEXT($E12),1,0)+IF(ISTEXT($E13),1,0)),0))))</f>
        <v>100000</v>
      </c>
      <c r="F16" s="7"/>
      <c r="G16" s="7"/>
      <c r="H16" s="7"/>
      <c r="I16" s="7"/>
      <c r="J16" s="8"/>
      <c r="K16" s="12"/>
    </row>
    <row r="17" spans="1:11" ht="15.75" x14ac:dyDescent="0.25">
      <c r="B17" s="30"/>
      <c r="C17" s="7"/>
      <c r="D17" s="7"/>
      <c r="E17" s="7"/>
      <c r="F17" s="7"/>
      <c r="G17" s="7"/>
      <c r="H17" s="7"/>
      <c r="I17" s="7"/>
      <c r="J17" s="8"/>
      <c r="K17" s="12"/>
    </row>
    <row r="18" spans="1:11" ht="15.75" x14ac:dyDescent="0.25">
      <c r="A18" s="7" t="s">
        <v>10</v>
      </c>
      <c r="B18" s="212" t="s">
        <v>41</v>
      </c>
      <c r="C18" s="212"/>
      <c r="D18" s="212"/>
      <c r="E18" s="98" t="s">
        <v>19</v>
      </c>
      <c r="F18" s="98"/>
      <c r="G18" s="98"/>
      <c r="H18" s="7"/>
      <c r="I18" s="7"/>
      <c r="J18" s="8"/>
      <c r="K18" s="12"/>
    </row>
    <row r="19" spans="1:11" ht="15.75" x14ac:dyDescent="0.25">
      <c r="A19" s="7"/>
      <c r="B19" s="98"/>
      <c r="C19" s="98"/>
      <c r="D19" s="98"/>
      <c r="E19" s="98"/>
      <c r="F19" s="98"/>
      <c r="G19" s="98"/>
      <c r="H19" s="7"/>
    </row>
    <row r="20" spans="1:11" ht="15.75" x14ac:dyDescent="0.25">
      <c r="A20" s="7"/>
      <c r="B20" s="216" t="s">
        <v>20</v>
      </c>
      <c r="C20" s="216"/>
      <c r="D20" s="216"/>
      <c r="E20" s="98"/>
      <c r="F20" s="7" t="s">
        <v>21</v>
      </c>
      <c r="G20" s="254"/>
      <c r="H20" s="254"/>
    </row>
    <row r="21" spans="1:11" ht="15.75" x14ac:dyDescent="0.25">
      <c r="A21" s="7"/>
      <c r="B21" s="7"/>
      <c r="C21" s="7"/>
      <c r="D21" s="7"/>
      <c r="E21" s="7"/>
      <c r="F21" s="7"/>
      <c r="G21" s="7"/>
      <c r="H21" s="7"/>
    </row>
    <row r="22" spans="1:11" ht="15.75" x14ac:dyDescent="0.25">
      <c r="A22" s="7" t="s">
        <v>11</v>
      </c>
      <c r="B22" s="212" t="s">
        <v>23</v>
      </c>
      <c r="C22" s="212"/>
      <c r="D22" s="212"/>
      <c r="E22" s="212"/>
      <c r="F22" s="7"/>
      <c r="G22" s="7"/>
      <c r="H22" s="7"/>
    </row>
    <row r="23" spans="1:11" ht="15.75" x14ac:dyDescent="0.25">
      <c r="A23" s="7"/>
      <c r="B23" s="216" t="s">
        <v>24</v>
      </c>
      <c r="C23" s="216"/>
      <c r="D23" s="216"/>
      <c r="E23" s="216"/>
      <c r="F23" s="26">
        <f>$E$16</f>
        <v>100000</v>
      </c>
      <c r="G23" s="7"/>
      <c r="H23" s="7"/>
    </row>
    <row r="24" spans="1:11" ht="15.75" x14ac:dyDescent="0.25">
      <c r="A24" s="7"/>
      <c r="B24" s="98"/>
      <c r="C24" s="98"/>
      <c r="D24" s="98"/>
      <c r="E24" s="98"/>
      <c r="F24" s="15"/>
      <c r="G24" s="7"/>
      <c r="H24" s="7"/>
    </row>
    <row r="25" spans="1:11" ht="15.75" x14ac:dyDescent="0.25">
      <c r="A25" s="7"/>
      <c r="B25" s="216" t="s">
        <v>25</v>
      </c>
      <c r="C25" s="216"/>
      <c r="D25" s="216"/>
      <c r="E25" s="216"/>
      <c r="F25" s="7" t="s">
        <v>21</v>
      </c>
      <c r="G25" s="216"/>
      <c r="H25" s="216"/>
    </row>
    <row r="26" spans="1:11" ht="15.75" x14ac:dyDescent="0.25">
      <c r="A26" s="7"/>
      <c r="B26" s="7"/>
      <c r="C26" s="7"/>
      <c r="D26" s="7"/>
      <c r="E26" s="7"/>
      <c r="F26" s="7"/>
      <c r="G26" s="7"/>
      <c r="H26" s="7"/>
    </row>
    <row r="27" spans="1:11" ht="15.75" x14ac:dyDescent="0.25">
      <c r="A27" s="7" t="s">
        <v>12</v>
      </c>
      <c r="B27" s="212" t="s">
        <v>27</v>
      </c>
      <c r="C27" s="212"/>
      <c r="D27" s="212"/>
      <c r="E27" s="212"/>
      <c r="F27" s="7"/>
      <c r="G27" s="7"/>
      <c r="H27" s="7"/>
    </row>
    <row r="28" spans="1:11" ht="15.75" x14ac:dyDescent="0.25">
      <c r="A28" s="7"/>
      <c r="B28" s="216" t="s">
        <v>28</v>
      </c>
      <c r="C28" s="216"/>
      <c r="D28" s="216"/>
      <c r="E28" s="216"/>
      <c r="F28" s="26">
        <f>$E$16</f>
        <v>100000</v>
      </c>
      <c r="G28" s="7"/>
      <c r="H28" s="7"/>
    </row>
    <row r="29" spans="1:11" ht="15.75" x14ac:dyDescent="0.25">
      <c r="A29" s="7"/>
      <c r="B29" s="7"/>
      <c r="C29" s="7"/>
      <c r="D29" s="7"/>
      <c r="E29" s="7"/>
      <c r="F29" s="7"/>
      <c r="G29" s="7"/>
      <c r="H29" s="7"/>
    </row>
    <row r="30" spans="1:11" ht="15.75" x14ac:dyDescent="0.25">
      <c r="A30" s="7"/>
      <c r="B30" s="7" t="s">
        <v>29</v>
      </c>
      <c r="C30" s="216"/>
      <c r="D30" s="216"/>
      <c r="E30" s="216"/>
      <c r="F30" s="7" t="s">
        <v>21</v>
      </c>
      <c r="G30" s="216"/>
      <c r="H30" s="216"/>
    </row>
  </sheetData>
  <sheetProtection password="E9BA" sheet="1" objects="1" scenarios="1" formatCells="0" formatColumns="0" formatRows="0" insertRows="0" deleteColumns="0" deleteRows="0"/>
  <mergeCells count="20">
    <mergeCell ref="C5:E5"/>
    <mergeCell ref="C2:E2"/>
    <mergeCell ref="G2:H2"/>
    <mergeCell ref="J2:K2"/>
    <mergeCell ref="C4:E4"/>
    <mergeCell ref="G4:H4"/>
    <mergeCell ref="B7:C7"/>
    <mergeCell ref="C30:E30"/>
    <mergeCell ref="G30:H30"/>
    <mergeCell ref="B16:D16"/>
    <mergeCell ref="B18:D18"/>
    <mergeCell ref="B20:D20"/>
    <mergeCell ref="G20:H20"/>
    <mergeCell ref="B22:E22"/>
    <mergeCell ref="B23:E23"/>
    <mergeCell ref="B25:C25"/>
    <mergeCell ref="D25:E25"/>
    <mergeCell ref="G25:H25"/>
    <mergeCell ref="B27:E27"/>
    <mergeCell ref="B28:E28"/>
  </mergeCells>
  <dataValidations count="3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type="list" allowBlank="1" showInputMessage="1" showErrorMessage="1" sqref="H5">
      <formula1>"2009/2010,2010/2011,2011/2012"</formula1>
    </dataValidation>
    <dataValidation type="list" allowBlank="1" showInputMessage="1" showErrorMessage="1" sqref="F5">
      <formula1>$B$2:$B$14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Postgraduate Supervision Allowance
Claim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allowBlank="1" showInputMessage="1" showErrorMessage="1">
          <x14:formula1>
            <xm:f>Info_Lists!$B$2:$B$7</xm:f>
          </x14:formula1>
          <xm:sqref>J4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J2:K2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808000"/>
  </sheetPr>
  <dimension ref="A1:J26"/>
  <sheetViews>
    <sheetView workbookViewId="0">
      <selection activeCell="D8" sqref="D8"/>
    </sheetView>
  </sheetViews>
  <sheetFormatPr defaultRowHeight="15" x14ac:dyDescent="0.25"/>
  <cols>
    <col min="1" max="1" width="2.85546875" bestFit="1" customWidth="1"/>
    <col min="2" max="2" width="19.5703125" bestFit="1" customWidth="1"/>
    <col min="3" max="3" width="4.7109375" bestFit="1" customWidth="1"/>
    <col min="4" max="4" width="36.5703125" customWidth="1"/>
    <col min="5" max="5" width="21.42578125" customWidth="1"/>
    <col min="6" max="6" width="19.140625" customWidth="1"/>
    <col min="8" max="8" width="9.85546875" bestFit="1" customWidth="1"/>
    <col min="9" max="9" width="11.5703125" bestFit="1" customWidth="1"/>
    <col min="10" max="10" width="10.85546875" customWidth="1"/>
  </cols>
  <sheetData>
    <row r="1" spans="1:10" x14ac:dyDescent="0.25">
      <c r="A1" s="2" t="s">
        <v>0</v>
      </c>
      <c r="B1" s="113" t="s">
        <v>1</v>
      </c>
      <c r="C1" s="2"/>
      <c r="D1" s="2"/>
      <c r="E1" s="2"/>
      <c r="F1" s="2"/>
      <c r="G1" s="3"/>
      <c r="H1" s="2"/>
      <c r="I1" s="4"/>
      <c r="J1" s="2"/>
    </row>
    <row r="2" spans="1:10" ht="15.75" x14ac:dyDescent="0.25">
      <c r="A2" s="2"/>
      <c r="B2" s="16" t="s">
        <v>2</v>
      </c>
      <c r="C2" s="224" t="s">
        <v>393</v>
      </c>
      <c r="D2" s="224"/>
      <c r="E2" s="16" t="s">
        <v>3</v>
      </c>
      <c r="F2" s="100" t="str">
        <f>IF(LOOKUP($C$2,Staff_List!$A$4:$A$53,Staff_List!$B$4:$B$53)="","",LOOKUP($C$2,Staff_List!$A$4:$A$53,Staff_List!$B$4:$B$53))</f>
        <v>A7581</v>
      </c>
      <c r="G2" s="110"/>
      <c r="H2" s="101"/>
      <c r="I2" s="101"/>
    </row>
    <row r="3" spans="1:10" x14ac:dyDescent="0.25">
      <c r="A3" s="2"/>
      <c r="B3" s="21"/>
      <c r="C3" s="2"/>
      <c r="D3" s="2"/>
      <c r="E3" s="2"/>
      <c r="F3" s="3"/>
      <c r="G3" s="2"/>
      <c r="H3" s="2"/>
      <c r="I3" s="44"/>
    </row>
    <row r="4" spans="1:10" x14ac:dyDescent="0.25">
      <c r="A4" s="2"/>
      <c r="B4" s="16" t="s">
        <v>173</v>
      </c>
      <c r="C4" s="224" t="s">
        <v>103</v>
      </c>
      <c r="D4" s="224"/>
      <c r="E4" s="16" t="s">
        <v>5</v>
      </c>
      <c r="F4" s="99" t="s">
        <v>487</v>
      </c>
      <c r="G4" s="16" t="s">
        <v>6</v>
      </c>
      <c r="H4" s="76" t="s">
        <v>108</v>
      </c>
      <c r="I4" s="85"/>
    </row>
    <row r="5" spans="1:10" x14ac:dyDescent="0.25">
      <c r="A5" s="2"/>
      <c r="B5" s="116"/>
      <c r="C5" s="2"/>
      <c r="D5" s="2"/>
      <c r="E5" s="2"/>
      <c r="F5" s="2"/>
      <c r="G5" s="2"/>
      <c r="H5" s="3"/>
      <c r="J5" s="46"/>
    </row>
    <row r="6" spans="1:10" ht="15.75" x14ac:dyDescent="0.25">
      <c r="A6" s="7" t="s">
        <v>7</v>
      </c>
      <c r="B6" s="152" t="s">
        <v>43</v>
      </c>
      <c r="C6" s="259"/>
      <c r="D6" s="259"/>
      <c r="E6" s="7"/>
      <c r="F6" s="7"/>
      <c r="G6" s="7"/>
      <c r="H6" s="8"/>
      <c r="J6" s="2"/>
    </row>
    <row r="7" spans="1:10" ht="15.75" x14ac:dyDescent="0.25">
      <c r="A7" s="2"/>
      <c r="B7" s="2"/>
      <c r="C7" s="19" t="s">
        <v>31</v>
      </c>
      <c r="D7" s="33" t="s">
        <v>44</v>
      </c>
      <c r="E7" s="18" t="s">
        <v>45</v>
      </c>
      <c r="F7" s="28"/>
      <c r="G7" s="28"/>
      <c r="H7" s="28"/>
      <c r="J7" s="2"/>
    </row>
    <row r="8" spans="1:10" ht="15.75" x14ac:dyDescent="0.25">
      <c r="A8" s="2"/>
      <c r="B8" s="2"/>
      <c r="C8" s="31">
        <f>IF(ISTEXT($D8),1,"")</f>
        <v>1</v>
      </c>
      <c r="D8" s="205" t="s">
        <v>87</v>
      </c>
      <c r="E8" s="61">
        <f>IF($D8="","",IF($H$4="2008/2009",IF(OR($D8="Deputy Vice Chancellor",$D8="Librarian"),750000,IF(OR($D8="Provost",$D8="Dean",$D8="Director"),500000,IF(OR($D8="Deputy Provost",$D8="Deputy Dean"),350000,IF(OR($D8="Head of Department",$D8="Sub Dean"),250000,150000))))/2,IF(OR($D8="Deputy Vice Chancellor",$D8="Librarian"),750000,IF(OR($D8="Provost",$D8="Dean",$D8="Director"),500000,IF(OR($D8="Deputy Provost",$D8="Deputy Dean"),350000,IF(OR($D8="Head of Department",$D8="Sub Dean"),250000,150000))))))</f>
        <v>250000</v>
      </c>
      <c r="F8" s="7"/>
      <c r="G8" s="7"/>
      <c r="H8" s="7"/>
      <c r="J8" s="2"/>
    </row>
    <row r="9" spans="1:10" ht="15.75" x14ac:dyDescent="0.25">
      <c r="A9" s="2"/>
      <c r="B9" s="2"/>
      <c r="C9" s="31" t="str">
        <f>IF(ISTEXT($D9),2,"")</f>
        <v/>
      </c>
      <c r="D9" s="38"/>
      <c r="E9" s="61"/>
      <c r="F9" s="7"/>
      <c r="G9" s="7"/>
      <c r="H9" s="7"/>
      <c r="J9" s="2"/>
    </row>
    <row r="10" spans="1:10" ht="15.75" x14ac:dyDescent="0.25">
      <c r="A10" s="2"/>
      <c r="B10" s="2"/>
      <c r="C10" s="31" t="str">
        <f>IF(ISTEXT($D10),3,"")</f>
        <v/>
      </c>
      <c r="D10" s="38"/>
      <c r="E10" s="61" t="str">
        <f>IF($D10="","",IF($H$4="2008/2009",IF(OR($D10="Deputy Vice Chancellor",$D10="Librarian"),750000,IF(OR($D10="Provost",$D10="Dean",$D10="Director"),500000,IF(OR($D10="Deputy Provost",$D10="Deputy Dean"),350000,IF(OR($D10="Head of Department",$D10="Sub Dean"),250000,150000))))/2,IF(OR($D10="Deputy Vice Chancellor",$D10="Librarian"),750000,IF(OR($D10="Provost",$D10="Dean",$D10="Director"),500000,IF(OR($D10="Deputy Provost",$D10="Deputy Dean"),350000,IF(OR($D10="Head of Department",$D10="Sub Dean"),250000,150000))))))</f>
        <v/>
      </c>
      <c r="F10" s="7"/>
      <c r="G10" s="7"/>
      <c r="H10" s="7"/>
      <c r="J10" s="2"/>
    </row>
    <row r="11" spans="1:10" ht="15.75" x14ac:dyDescent="0.25">
      <c r="A11" s="2"/>
      <c r="B11" s="2"/>
      <c r="C11" s="31" t="str">
        <f>IF(ISTEXT($D11),4,"")</f>
        <v/>
      </c>
      <c r="D11" s="38"/>
      <c r="E11" s="61" t="str">
        <f>IF($D11="","",IF($H$4="2008/2009",IF(OR($D11="Deputy Vice Chancellor",$D11="Librarian"),750000,IF(OR($D11="Provost",$D11="Dean",$D11="Director"),500000,IF(OR($D11="Deputy Provost",$D11="Deputy Dean"),350000,IF(OR($D11="Head of Department",$D11="Sub Dean"),250000,150000))))/2,IF(OR($D11="Deputy Vice Chancellor",$D11="Librarian"),750000,IF(OR($D11="Provost",$D11="Dean",$D11="Director"),500000,IF(OR($D11="Deputy Provost",$D11="Deputy Dean"),350000,IF(OR($D11="Head of Department",$D11="Sub Dean"),250000,150000))))))</f>
        <v/>
      </c>
      <c r="F11" s="7"/>
      <c r="G11" s="7"/>
      <c r="H11" s="7"/>
      <c r="J11" s="2"/>
    </row>
    <row r="12" spans="1:10" ht="15.75" x14ac:dyDescent="0.25">
      <c r="A12" s="2"/>
      <c r="B12" s="2"/>
      <c r="C12" s="31" t="str">
        <f>IF(ISTEXT($D12),5,"")</f>
        <v/>
      </c>
      <c r="D12" s="38"/>
      <c r="E12" s="61" t="str">
        <f>IF($D12="","",IF($H$4="2008/2009",IF(OR($D12="Deputy Vice Chancellor",$D12="Librarian"),750000,IF(OR($D12="Provost",$D12="Dean",$D12="Director"),500000,IF(OR($D12="Deputy Provost",$D12="Deputy Dean"),350000,IF(OR($D12="Head of Department",$D12="Sub Dean"),250000,150000))))/2,IF(OR($D12="Deputy Vice Chancellor",$D12="Librarian"),750000,IF(OR($D12="Provost",$D12="Dean",$D12="Director"),500000,IF(OR($D12="Deputy Provost",$D12="Deputy Dean"),350000,IF(OR($D12="Head of Department",$D12="Sub Dean"),250000,150000))))))</f>
        <v/>
      </c>
      <c r="F12" s="7"/>
      <c r="G12" s="7"/>
      <c r="H12" s="7"/>
      <c r="J12" s="2"/>
    </row>
    <row r="13" spans="1:10" ht="15.75" x14ac:dyDescent="0.25">
      <c r="A13" s="2" t="s">
        <v>9</v>
      </c>
      <c r="B13" s="212" t="s">
        <v>181</v>
      </c>
      <c r="C13" s="212"/>
      <c r="D13" s="212"/>
      <c r="E13" s="70">
        <f>SUM(E8:E11)</f>
        <v>250000</v>
      </c>
      <c r="F13" s="2"/>
      <c r="G13" s="2"/>
      <c r="H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</row>
    <row r="15" spans="1:10" ht="15.75" x14ac:dyDescent="0.25">
      <c r="A15" s="7" t="s">
        <v>10</v>
      </c>
      <c r="B15" s="212" t="s">
        <v>41</v>
      </c>
      <c r="C15" s="212"/>
      <c r="D15" s="212"/>
      <c r="E15" s="216" t="s">
        <v>19</v>
      </c>
      <c r="F15" s="216"/>
      <c r="G15" s="216"/>
      <c r="H15" s="2"/>
    </row>
    <row r="16" spans="1:10" ht="15.75" x14ac:dyDescent="0.25">
      <c r="A16" s="7"/>
      <c r="B16" s="98"/>
      <c r="C16" s="98"/>
      <c r="D16" s="98"/>
      <c r="E16" s="98"/>
      <c r="F16" s="98"/>
      <c r="G16" s="2"/>
      <c r="H16" s="2"/>
    </row>
    <row r="17" spans="1:10" ht="15.75" x14ac:dyDescent="0.25">
      <c r="A17" s="7"/>
      <c r="B17" s="216" t="s">
        <v>20</v>
      </c>
      <c r="C17" s="216"/>
      <c r="D17" s="216"/>
      <c r="E17" s="98"/>
      <c r="F17" s="7" t="s">
        <v>21</v>
      </c>
      <c r="G17" s="2"/>
      <c r="H17" s="2"/>
    </row>
    <row r="18" spans="1:10" ht="15.75" x14ac:dyDescent="0.25">
      <c r="A18" s="7"/>
      <c r="B18" s="7"/>
      <c r="C18" s="7"/>
      <c r="D18" s="7"/>
      <c r="E18" s="7"/>
      <c r="F18" s="7"/>
      <c r="G18" s="7"/>
      <c r="H18" s="7"/>
      <c r="I18" s="2"/>
      <c r="J18" s="2"/>
    </row>
    <row r="19" spans="1:10" ht="15.75" x14ac:dyDescent="0.25">
      <c r="A19" s="7" t="s">
        <v>11</v>
      </c>
      <c r="B19" s="212" t="s">
        <v>174</v>
      </c>
      <c r="C19" s="212"/>
      <c r="D19" s="212"/>
      <c r="E19" s="212"/>
      <c r="F19" s="7"/>
      <c r="G19" s="7"/>
      <c r="H19" s="7"/>
      <c r="I19" s="2"/>
      <c r="J19" s="2"/>
    </row>
    <row r="20" spans="1:10" ht="15.75" x14ac:dyDescent="0.25">
      <c r="A20" s="7"/>
      <c r="B20" s="216" t="s">
        <v>24</v>
      </c>
      <c r="C20" s="216"/>
      <c r="D20" s="216"/>
      <c r="E20" s="216"/>
      <c r="F20" s="26">
        <f>IF($E13=0,"",$E13)</f>
        <v>250000</v>
      </c>
      <c r="G20" s="7"/>
      <c r="H20" s="7"/>
      <c r="I20" s="2"/>
      <c r="J20" s="2"/>
    </row>
    <row r="21" spans="1:10" ht="15.75" x14ac:dyDescent="0.25">
      <c r="A21" s="7"/>
      <c r="B21" s="7"/>
      <c r="C21" s="7"/>
      <c r="D21" s="7"/>
      <c r="E21" s="7"/>
      <c r="F21" s="7"/>
      <c r="G21" s="2"/>
      <c r="H21" s="2"/>
    </row>
    <row r="22" spans="1:10" ht="15.75" x14ac:dyDescent="0.25">
      <c r="A22" s="7" t="s">
        <v>12</v>
      </c>
      <c r="B22" s="212" t="s">
        <v>27</v>
      </c>
      <c r="C22" s="212"/>
      <c r="D22" s="212"/>
      <c r="E22" s="212"/>
      <c r="F22" s="7"/>
      <c r="G22" s="2"/>
      <c r="H22" s="2"/>
    </row>
    <row r="23" spans="1:10" ht="15.75" x14ac:dyDescent="0.25">
      <c r="A23" s="7"/>
      <c r="B23" s="216" t="s">
        <v>28</v>
      </c>
      <c r="C23" s="216"/>
      <c r="D23" s="216"/>
      <c r="E23" s="216"/>
      <c r="F23" s="26">
        <f>IF($E13=0,"",$E13)</f>
        <v>250000</v>
      </c>
      <c r="G23" s="2"/>
      <c r="H23" s="2"/>
    </row>
    <row r="24" spans="1:10" ht="15.75" x14ac:dyDescent="0.25">
      <c r="A24" s="7"/>
      <c r="B24" s="7"/>
      <c r="C24" s="7"/>
      <c r="D24" s="7"/>
      <c r="E24" s="7"/>
      <c r="F24" s="7"/>
      <c r="G24" s="2"/>
      <c r="H24" s="2"/>
    </row>
    <row r="25" spans="1:10" ht="15.75" x14ac:dyDescent="0.25">
      <c r="A25" s="7"/>
      <c r="B25" s="7" t="s">
        <v>29</v>
      </c>
      <c r="C25" s="216"/>
      <c r="D25" s="216"/>
      <c r="E25" s="216"/>
      <c r="F25" s="7" t="s">
        <v>21</v>
      </c>
      <c r="G25" s="2"/>
      <c r="H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</row>
  </sheetData>
  <sheetProtection formatCells="0" formatColumns="0" formatRows="0" insertRows="0" deleteColumns="0" deleteRows="0"/>
  <mergeCells count="12">
    <mergeCell ref="C25:E25"/>
    <mergeCell ref="C2:D2"/>
    <mergeCell ref="C4:D4"/>
    <mergeCell ref="C6:D6"/>
    <mergeCell ref="B13:D13"/>
    <mergeCell ref="B15:D15"/>
    <mergeCell ref="E15:G15"/>
    <mergeCell ref="B17:D17"/>
    <mergeCell ref="B19:E19"/>
    <mergeCell ref="B20:E20"/>
    <mergeCell ref="B22:E22"/>
    <mergeCell ref="B23:E23"/>
  </mergeCells>
  <dataValidations count="3">
    <dataValidation type="list" showInputMessage="1" showErrorMessage="1" sqref="F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I4"/>
    <dataValidation type="list" allowBlank="1" showInputMessage="1" showErrorMessage="1" sqref="C4:D4">
      <formula1>$C$2:$C$13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Faculty/Directorate Responsibility Allowance 
Claim Form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Staff_List!$A$2:$A$53</xm:f>
          </x14:formula1>
          <xm:sqref>C2:D2</xm:sqref>
        </x14:dataValidation>
        <x14:dataValidation type="list" allowBlank="1" showInputMessage="1" showErrorMessage="1">
          <x14:formula1>
            <xm:f>Info_Lists!$B$2:$B$7</xm:f>
          </x14:formula1>
          <xm:sqref>H4</xm:sqref>
        </x14:dataValidation>
        <x14:dataValidation type="list" allowBlank="1" showInputMessage="1" showErrorMessage="1">
          <x14:formula1>
            <xm:f>Info_Lists!$F$2:$F$20</xm:f>
          </x14:formula1>
          <xm:sqref>D8:D12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P84"/>
  <sheetViews>
    <sheetView topLeftCell="A37" workbookViewId="0">
      <selection activeCell="B45" sqref="B45:B69"/>
    </sheetView>
  </sheetViews>
  <sheetFormatPr defaultRowHeight="15" x14ac:dyDescent="0.25"/>
  <cols>
    <col min="1" max="1" width="4.28515625" bestFit="1" customWidth="1"/>
    <col min="2" max="2" width="34.7109375" bestFit="1" customWidth="1"/>
    <col min="3" max="3" width="15.28515625" bestFit="1" customWidth="1"/>
    <col min="4" max="4" width="19.140625" bestFit="1" customWidth="1"/>
    <col min="5" max="5" width="10.140625" customWidth="1"/>
    <col min="6" max="7" width="10.140625" bestFit="1" customWidth="1"/>
    <col min="8" max="8" width="18" customWidth="1"/>
    <col min="9" max="9" width="8.28515625" bestFit="1" customWidth="1"/>
    <col min="10" max="10" width="9.85546875" bestFit="1" customWidth="1"/>
    <col min="11" max="11" width="19.140625" bestFit="1" customWidth="1"/>
    <col min="12" max="15" width="12" bestFit="1" customWidth="1"/>
    <col min="17" max="17" width="11.7109375" bestFit="1" customWidth="1"/>
  </cols>
  <sheetData>
    <row r="1" spans="1:16" x14ac:dyDescent="0.25">
      <c r="A1" s="21" t="s">
        <v>0</v>
      </c>
      <c r="B1" s="132" t="s">
        <v>60</v>
      </c>
      <c r="C1" s="56"/>
      <c r="D1" s="2"/>
      <c r="E1" s="2"/>
      <c r="F1" s="2"/>
      <c r="G1" s="2"/>
      <c r="H1" s="2"/>
      <c r="I1" s="3"/>
      <c r="J1" s="2"/>
      <c r="K1" s="2"/>
    </row>
    <row r="2" spans="1:16" x14ac:dyDescent="0.25">
      <c r="A2" s="2"/>
      <c r="B2" s="16" t="s">
        <v>35</v>
      </c>
      <c r="C2" s="224" t="s">
        <v>147</v>
      </c>
      <c r="D2" s="224"/>
      <c r="E2" s="224"/>
      <c r="F2" s="16" t="s">
        <v>4</v>
      </c>
      <c r="G2" s="224" t="s">
        <v>103</v>
      </c>
      <c r="H2" s="224"/>
      <c r="I2" s="67"/>
      <c r="J2" s="102"/>
    </row>
    <row r="3" spans="1:16" x14ac:dyDescent="0.25">
      <c r="A3" s="2"/>
      <c r="B3" s="2"/>
      <c r="C3" s="2"/>
      <c r="D3" s="2"/>
      <c r="E3" s="2"/>
      <c r="F3" s="2"/>
      <c r="G3" s="2"/>
      <c r="H3" s="2"/>
    </row>
    <row r="4" spans="1:16" x14ac:dyDescent="0.25">
      <c r="A4" s="21" t="s">
        <v>7</v>
      </c>
      <c r="B4" s="113" t="s">
        <v>62</v>
      </c>
      <c r="C4" s="113" t="s">
        <v>63</v>
      </c>
      <c r="D4" s="2"/>
      <c r="E4" s="2"/>
      <c r="F4" s="2"/>
      <c r="G4" s="2"/>
      <c r="H4" s="2"/>
    </row>
    <row r="5" spans="1:16" x14ac:dyDescent="0.25">
      <c r="A5" s="2"/>
      <c r="B5" s="63" t="s">
        <v>67</v>
      </c>
      <c r="C5" s="127">
        <v>5</v>
      </c>
      <c r="D5" s="200">
        <f>C9*C5</f>
        <v>750000</v>
      </c>
      <c r="E5" s="128"/>
      <c r="F5" s="128"/>
      <c r="G5" s="2"/>
      <c r="H5" s="2"/>
    </row>
    <row r="6" spans="1:16" x14ac:dyDescent="0.25">
      <c r="A6" s="2"/>
      <c r="B6" s="63" t="s">
        <v>68</v>
      </c>
      <c r="C6" s="127">
        <v>1</v>
      </c>
      <c r="D6" s="200">
        <f>D5*C6</f>
        <v>750000</v>
      </c>
      <c r="E6" s="128"/>
      <c r="F6" s="128"/>
      <c r="G6" s="2"/>
      <c r="H6" s="2"/>
    </row>
    <row r="7" spans="1:16" x14ac:dyDescent="0.25">
      <c r="A7" s="2"/>
      <c r="B7" s="63" t="s">
        <v>69</v>
      </c>
      <c r="C7" s="127">
        <v>5</v>
      </c>
      <c r="D7" s="200">
        <f>D6*C7</f>
        <v>3750000</v>
      </c>
      <c r="E7" s="128"/>
      <c r="F7" s="128"/>
      <c r="G7" s="2"/>
      <c r="H7" s="2"/>
    </row>
    <row r="8" spans="1:16" x14ac:dyDescent="0.25">
      <c r="A8" s="2"/>
      <c r="B8" s="63" t="s">
        <v>70</v>
      </c>
      <c r="C8" s="129"/>
      <c r="D8" s="64">
        <f>$D$7/(ROWS(CA_Prog_1!C8:G17)*COLUMNS(CA_Prog_1!C8:G17)+ROWS(CA_Prog_2!C8:G17)*COLUMNS(CA_Prog_2!C8:G17)+ROWS(CA_Prog_3!C8:G17)*COLUMNS(CA_Prog_3!C8:G17)-(COUNTIF(CA_Prog_1!C8:G17,"-")+COUNTIF(CA_Prog_1!C8:G17,"")+COUNTIF(CA_Prog_1!C8:G17,"Not Applicable"))-(COUNTIF(CA_Prog_2!C8:G17,"-")+COUNTIF(CA_Prog_2!C8:G17,"")+COUNTIF(CA_Prog_2!C8:G17,"Not Applicable"))-(COUNTIF(CA_Prog_3!C8:G17,"-")+COUNTIF(CA_Prog_3!C8:G17,"")+COUNTIF(CA_Prog_3!C8:G17,"Not Applicable")))</f>
        <v>150000</v>
      </c>
      <c r="E8" s="128"/>
      <c r="F8" s="128"/>
      <c r="G8" s="2"/>
      <c r="H8" s="2"/>
    </row>
    <row r="9" spans="1:16" x14ac:dyDescent="0.25">
      <c r="A9" s="2"/>
      <c r="B9" s="62" t="s">
        <v>317</v>
      </c>
      <c r="C9" s="130">
        <v>150000</v>
      </c>
      <c r="D9" s="2" t="s">
        <v>66</v>
      </c>
      <c r="E9" s="2"/>
      <c r="F9" s="2"/>
      <c r="G9" s="2"/>
      <c r="H9" s="2"/>
    </row>
    <row r="10" spans="1:16" x14ac:dyDescent="0.25">
      <c r="A10" s="2"/>
      <c r="B10" s="2"/>
      <c r="C10" s="2"/>
      <c r="D10" s="2"/>
      <c r="E10" s="2"/>
      <c r="F10" s="2"/>
      <c r="G10" s="2"/>
      <c r="H10" s="2"/>
    </row>
    <row r="11" spans="1:16" x14ac:dyDescent="0.25">
      <c r="A11" s="63" t="s">
        <v>31</v>
      </c>
      <c r="B11" s="134" t="s">
        <v>71</v>
      </c>
      <c r="C11" s="125" t="s">
        <v>313</v>
      </c>
      <c r="D11" s="125" t="s">
        <v>61</v>
      </c>
      <c r="E11" s="125" t="s">
        <v>106</v>
      </c>
      <c r="F11" s="125" t="s">
        <v>107</v>
      </c>
      <c r="G11" s="125" t="s">
        <v>108</v>
      </c>
      <c r="H11" s="134" t="s">
        <v>65</v>
      </c>
      <c r="J11" s="52"/>
    </row>
    <row r="12" spans="1:16" s="41" customFormat="1" x14ac:dyDescent="0.25">
      <c r="A12" s="133">
        <f>IF(ISTEXT($B12),1,"")</f>
        <v>1</v>
      </c>
      <c r="B12" s="65" t="s">
        <v>394</v>
      </c>
      <c r="C12" s="135" t="str">
        <f>IF($B12="","",IF((COUNTIF(CA_Prog_1!$C$8:$C$17,$B12)+COUNTIF(CA_Prog_2!$C$8:$C$17,$B12)+COUNTIF(CA_Prog_3!$C$8:$C$17,$B12)+COUNTIF(CA_Prog_4!$C$8:$C$17,$B12)+COUNTIF(CA_Prog_5!$C$8:$C$17,$B12)+COUNTIF(CA_Prog_6!$C$8:$C$17,$B12)+COUNTIF(CA_Prog_7!$C$8:$C$17,$B12)+COUNTIF(CA_Prog_8!$C$8:$C$17,$B12))*$D$8+(COUNTIF(CA_Prog_1!$C$18:$C$25,$B12)+COUNTIF(CA_Prog_2!$C$18:$C$25,$B12)+COUNTIF(CA_Prog_3!$C$18:$C$25,$B12)+COUNTIF(CA_Prog_4!$C$18:$C$25,$B12)+COUNTIF(CA_Prog_5!$C$18:$C$25,$B12)+COUNTIF(CA_Prog_6!$C$18:$C$25,$B12)+COUNTIF(CA_Prog_7!$C$18:$C$25,$B12)+COUNTIF(CA_Prog_8!$C$18:$C$25,$B12))*150000=0,"",(COUNTIF(CA_Prog_1!$C$8:$C$17,$B12)+COUNTIF(CA_Prog_2!$C$8:$C$17,$B12)+COUNTIF(CA_Prog_3!$C$8:$C$17,$B12)+COUNTIF(CA_Prog_4!$C$8:$C$17,$B12)+COUNTIF(CA_Prog_5!$C$8:$C$17,$B12)+COUNTIF(CA_Prog_6!$C$8:$C$17,$B12)+COUNTIF(CA_Prog_7!$C$8:$C$17,$B12)+COUNTIF(CA_Prog_8!$C$8:$C$17,$B12))*$D$8+(COUNTIF(CA_Prog_1!$C$18:$C$25,$B12)+COUNTIF(CA_Prog_2!$C$18:$C$25,$B12)+COUNTIF(CA_Prog_3!$C$18:$C$25,$B12)+COUNTIF(CA_Prog_4!$C$18:$C$25,$B12)+COUNTIF(CA_Prog_5!$C$18:$C$25,$B12)+COUNTIF(CA_Prog_6!$C$18:$C$25,$B12)+COUNTIF(CA_Prog_7!$C$18:$C$25,$B12)+COUNTIF(CA_Prog_8!$C$18:$C$25,$B12))*150000))</f>
        <v/>
      </c>
      <c r="D12" s="135">
        <f>IF($B12="","",IF((COUNTIF(CA_Prog_1!$D$8:$D$17,$B12)+COUNTIF(CA_Prog_2!$D$8:$D$17,$B12)+COUNTIF(CA_Prog_3!$D$8:$D$17,$B12)+COUNTIF(CA_Prog_4!$D$8:$D$17,$B12)+COUNTIF(CA_Prog_5!$D$8:$D$17,$B12)+COUNTIF(CA_Prog_6!$D$8:$D$17,$B12)+COUNTIF(CA_Prog_7!$D$8:$D$17,$B12)+COUNTIF(CA_Prog_8!$D$8:$D$17,$B12))*$D$8+(COUNTIF(CA_Prog_1!$D$18:$D$25,$B12)+COUNTIF(CA_Prog_2!$D$18:$D$25,$B12)+COUNTIF(CA_Prog_3!$D$18:$D$25,$B12)+COUNTIF(CA_Prog_4!$D$18:$D$25,$B12)+COUNTIF(CA_Prog_5!$D$18:$D$25,$B12)+COUNTIF(CA_Prog_6!$D$18:$D$25,$B12)+COUNTIF(CA_Prog_7!$D$18:$D$25,$B12)+COUNTIF(CA_Prog_8!$D$18:$D$25,$B12))*150000=0,"",(COUNTIF(CA_Prog_1!$D$8:$D$17,$B12)+COUNTIF(CA_Prog_2!$D$8:$D$17,$B12)+COUNTIF(CA_Prog_3!$D$8:$D$17,$B12)+COUNTIF(CA_Prog_4!$D$8:$D$17,$B12)+COUNTIF(CA_Prog_5!$D$8:$D$17,$B12)+COUNTIF(CA_Prog_6!$D$8:$D$17,$B12)+COUNTIF(CA_Prog_7!$D$8:$D$17,$B12)+COUNTIF(CA_Prog_8!$D$8:$D$17,$B12))*$D$8+(COUNTIF(CA_Prog_1!$D$18:$D$25,$B12)+COUNTIF(CA_Prog_2!$D$18:$D$25,$B12)+COUNTIF(CA_Prog_3!$D$18:$D$25,$B12)+COUNTIF(CA_Prog_4!$D$18:$D$25,$B12)+COUNTIF(CA_Prog_5!$D$18:$D$25,$B12)+COUNTIF(CA_Prog_6!$D$18:$D$25,$B12)+COUNTIF(CA_Prog_7!$D$18:$D$25,$B12)+COUNTIF(CA_Prog_8!$D$18:$D$25,$B12))*150000))</f>
        <v>150000</v>
      </c>
      <c r="E12" s="135">
        <f>IF($B12="","",IF((COUNTIF(CA_Prog_1!$E$8:$E$17,$B12)+COUNTIF(CA_Prog_2!$E$8:$E$17,$B12)+COUNTIF(CA_Prog_3!$E$8:$E$17,$B12)+COUNTIF(CA_Prog_4!$E$8:$E$17,$B12)+COUNTIF(CA_Prog_5!$E$8:$E$17,$B12)+COUNTIF(CA_Prog_6!$E$8:$E$17,$B12)+COUNTIF(CA_Prog_7!$E$8:$E$17,$B12)+COUNTIF(CA_Prog_8!$E$8:$E$17,$B12))*$D$8+(COUNTIF(CA_Prog_1!$E$18:$E$25,$B12)+COUNTIF(CA_Prog_2!$E$18:$E$25,$B12)+COUNTIF(CA_Prog_3!$E$18:$E$25,$B12)+COUNTIF(CA_Prog_4!$E$18:$E$25,$B12)+COUNTIF(CA_Prog_5!$E$18:$E$25,$B12)+COUNTIF(CA_Prog_6!$E$18:$E$25,$B12)+COUNTIF(CA_Prog_7!$E$18:$E$25,$B12)+COUNTIF(CA_Prog_8!$E$18:$E$25,$B12))*150000=0,"",(COUNTIF(CA_Prog_1!$E$8:$E$17,$B12)+COUNTIF(CA_Prog_2!$E$8:$E$17,$B12)+COUNTIF(CA_Prog_3!$E$8:$E$17,$B12)+COUNTIF(CA_Prog_4!$E$8:$E$17,$B12)+COUNTIF(CA_Prog_5!$E$8:$E$17,$B12)+COUNTIF(CA_Prog_6!$E$8:$E$17,$B12)+COUNTIF(CA_Prog_7!$E$8:$E$17,$B12)+COUNTIF(CA_Prog_8!$E$8:$E$17,$B12))*$D$8+(COUNTIF(CA_Prog_1!$E$18:$E$25,$B12)+COUNTIF(CA_Prog_2!$E$18:$E$25,$B12)+COUNTIF(CA_Prog_3!$E$18:$E$25,$B12)++COUNTIF(CA_Prog_4!$E$18:$E$25,$B12)+COUNTIF(CA_Prog_5!$E$18:$E$25,$B12)+COUNTIF(CA_Prog_6!$E$18:$E$25,$B12)+COUNTIF(CA_Prog_7!$E$18:$E$25,$B12)+COUNTIF(CA_Prog_8!$E$18:$E$25,$B12))*150000))</f>
        <v>150000</v>
      </c>
      <c r="F12" s="135">
        <f>IF($B12="","",IF((COUNTIF(CA_Prog_1!$F$8:$F$17,$B12)+COUNTIF(CA_Prog_2!$F$8:$F$17,$B12)+COUNTIF(CA_Prog_3!$F$8:$F$17,$B12)+COUNTIF(CA_Prog_4!$F$8:$F$17,$B12)+COUNTIF(CA_Prog_5!$F$8:$F$17,$B12)+COUNTIF(CA_Prog_6!$F$8:$F$17,$B12)+COUNTIF(CA_Prog_7!$F$8:$F$17,$B12)+COUNTIF(CA_Prog_8!$F$8:$F$17,$B12))*$D$8+(COUNTIF(CA_Prog_1!$F$18:$F$25,$B12)+COUNTIF(CA_Prog_2!$F$18:$F$25,$B12)+COUNTIF(CA_Prog_3!$F$18:$F$25,$B12)+COUNTIF(CA_Prog_4!$F$18:$F$25,$B12)+COUNTIF(CA_Prog_5!$F$18:$F$25,$B12)+COUNTIF(CA_Prog_6!$F$18:$F$25,$B12)+COUNTIF(CA_Prog_7!$F$18:$F$25,$B12)+COUNTIF(CA_Prog_8!$F$18:$F$25,$B12))*150000=0,"",(COUNTIF(CA_Prog_1!$F$8:$F$17,$B12)+COUNTIF(CA_Prog_2!$F$8:$F$17,$B12)+COUNTIF(CA_Prog_3!$F$8:$F$17,$B12)+COUNTIF(CA_Prog_4!$F$8:$F$17,$B12)+COUNTIF(CA_Prog_5!$F$8:$F$17,$B12)+COUNTIF(CA_Prog_6!$F$8:$F$17,$B12)+COUNTIF(CA_Prog_7!$F$8:$F$17,$B12)+COUNTIF(CA_Prog_8!$F$8:$F$17,$B12))*$D$8+(COUNTIF(CA_Prog_1!$F$18:$F$25,$B12)+COUNTIF(CA_Prog_2!$F$18:$F$25,$B12)+COUNTIF(CA_Prog_3!$F$18:$F$25,$B12)+COUNTIF(CA_Prog_4!$F$18:$F$25,$B12)+COUNTIF(CA_Prog_5!$F$18:$F$25,$B12)+COUNTIF(CA_Prog_6!$F$18:$F$25,$B12)+COUNTIF(CA_Prog_7!$F$18:$F$25,$B12)+COUNTIF(CA_Prog_8!$F$18:$F$25,$B12))*150000))</f>
        <v>150000</v>
      </c>
      <c r="G12" s="135">
        <f>IF($B12="","",IF((COUNTIF(CA_Prog_1!$G$8:$G$17,$B12)+COUNTIF(CA_Prog_2!$G$8:$G$17,$B12)+COUNTIF(CA_Prog_3!$G$8:$G$17,$B12)+COUNTIF(CA_Prog_4!$G$8:$G$17,$B12)+COUNTIF(CA_Prog_5!$G$8:$G$17,$B12)+COUNTIF(CA_Prog_6!$G$8:$G$17,$B12)+COUNTIF(CA_Prog_7!$G$8:$G$17,$B12)+COUNTIF(CA_Prog_8!$G$8:$G$17,$B12))*$D$8+(COUNTIF(CA_Prog_1!$G$18:$G$25,$B12)+COUNTIF(CA_Prog_2!$G$18:$G$25,$B12)+COUNTIF(CA_Prog_3!$G$18:$G$25,$B12)+COUNTIF(CA_Prog_4!$G$18:$G$25,$B12)+COUNTIF(CA_Prog_5!$G$18:$G$25,$B12)+COUNTIF(CA_Prog_6!$G$18:$G$25,$B12)+COUNTIF(CA_Prog_7!$G$18:$G$25,$B12)+COUNTIF(CA_Prog_8!$G$18:$G$25,$B12))*150000=0,"",(COUNTIF(CA_Prog_1!$G$8:$G$17,$B12)+COUNTIF(CA_Prog_2!$G$8:$G$17,$B12)+COUNTIF(CA_Prog_3!$G$8:$G$17,$B12)+COUNTIF(CA_Prog_4!$G$8:$G$17,$B12)+COUNTIF(CA_Prog_5!$G$8:$G$17,$B12)+COUNTIF(CA_Prog_6!$G$8:$G$17,$B12)+COUNTIF(CA_Prog_7!$G$8:$G$17,$B12)+COUNTIF(CA_Prog_8!$G$8:$G$17,$B12))*$D$8+(COUNTIF(CA_Prog_1!$G$18:$G$25,$B12)+COUNTIF(CA_Prog_2!$G$18:$G$25,$B12)+COUNTIF(CA_Prog_3!$G$18:$G$25,$B12)+COUNTIF(CA_Prog_4!$G$18:$G$25,$B12)+COUNTIF(CA_Prog_5!$G$18:$G$25,$B12)+COUNTIF(CA_Prog_6!$G$18:$G$25,$B12)+COUNTIF(CA_Prog_7!$G$18:$G$25,$B12)+COUNTIF(CA_Prog_8!$G$18:$G$25,$B12))*150000))</f>
        <v>150000</v>
      </c>
      <c r="H12" s="136">
        <f>IF(AND($C12="",$D12="",$E12="",$F12="",$G12=""),"",SUM($C12:$G12))</f>
        <v>600000</v>
      </c>
      <c r="I12" s="53"/>
      <c r="J12" s="53"/>
      <c r="K12" s="53"/>
      <c r="L12" s="53"/>
      <c r="M12" s="53"/>
      <c r="N12" s="53"/>
      <c r="P12" s="53"/>
    </row>
    <row r="13" spans="1:16" ht="15.75" x14ac:dyDescent="0.25">
      <c r="A13" s="133">
        <f>IF(ISTEXT($B13),2,"")</f>
        <v>2</v>
      </c>
      <c r="B13" s="205" t="s">
        <v>395</v>
      </c>
      <c r="C13" s="135">
        <f>IF($B13="","",IF((COUNTIF(CA_Prog_1!$C$8:$C$17,$B13)+COUNTIF(CA_Prog_2!$C$8:$C$17,$B13)+COUNTIF(CA_Prog_3!$C$8:$C$17,$B13)+COUNTIF(CA_Prog_4!$C$8:$C$17,$B13)+COUNTIF(CA_Prog_5!$C$8:$C$17,$B13)+COUNTIF(CA_Prog_6!$C$8:$C$17,$B13)+COUNTIF(CA_Prog_7!$C$8:$C$17,$B13)+COUNTIF(CA_Prog_8!$C$8:$C$17,$B13))*$D$8+(COUNTIF(CA_Prog_1!$C$18:$C$25,$B13)+COUNTIF(CA_Prog_2!$C$18:$C$25,$B13)+COUNTIF(CA_Prog_3!$C$18:$C$25,$B13)+COUNTIF(CA_Prog_4!$C$18:$C$25,$B13)+COUNTIF(CA_Prog_5!$C$18:$C$25,$B13)+COUNTIF(CA_Prog_6!$C$18:$C$25,$B13)+COUNTIF(CA_Prog_7!$C$18:$C$25,$B13)+COUNTIF(CA_Prog_8!$C$18:$C$25,$B13))*150000=0,"",(COUNTIF(CA_Prog_1!$C$8:$C$17,$B13)+COUNTIF(CA_Prog_2!$C$8:$C$17,$B13)+COUNTIF(CA_Prog_3!$C$8:$C$17,$B13)+COUNTIF(CA_Prog_4!$C$8:$C$17,$B13)+COUNTIF(CA_Prog_5!$C$8:$C$17,$B13)+COUNTIF(CA_Prog_6!$C$8:$C$17,$B13)+COUNTIF(CA_Prog_7!$C$8:$C$17,$B13)+COUNTIF(CA_Prog_8!$C$8:$C$17,$B13))*$D$8+(COUNTIF(CA_Prog_1!$C$18:$C$25,$B13)+COUNTIF(CA_Prog_2!$C$18:$C$25,$B13)+COUNTIF(CA_Prog_3!$C$18:$C$25,$B13)+COUNTIF(CA_Prog_4!$C$18:$C$25,$B13)+COUNTIF(CA_Prog_5!$C$18:$C$25,$B13)+COUNTIF(CA_Prog_6!$C$18:$C$25,$B13)+COUNTIF(CA_Prog_7!$C$18:$C$25,$B13)+COUNTIF(CA_Prog_8!$C$18:$C$25,$B13))*150000))</f>
        <v>150000</v>
      </c>
      <c r="D13" s="135">
        <f>IF($B13="","",IF((COUNTIF(CA_Prog_1!$D$8:$D$17,$B13)+COUNTIF(CA_Prog_2!$D$8:$D$17,$B13)+COUNTIF(CA_Prog_3!$D$8:$D$17,$B13)+COUNTIF(CA_Prog_4!$D$8:$D$17,$B13)+COUNTIF(CA_Prog_5!$D$8:$D$17,$B13)+COUNTIF(CA_Prog_6!$D$8:$D$17,$B13)+COUNTIF(CA_Prog_7!$D$8:$D$17,$B13)+COUNTIF(CA_Prog_8!$D$8:$D$17,$B13))*$D$8+(COUNTIF(CA_Prog_1!$D$18:$D$25,$B13)+COUNTIF(CA_Prog_2!$D$18:$D$25,$B13)+COUNTIF(CA_Prog_3!$D$18:$D$25,$B13)+COUNTIF(CA_Prog_4!$D$18:$D$25,$B13)+COUNTIF(CA_Prog_5!$D$18:$D$25,$B13)+COUNTIF(CA_Prog_6!$D$18:$D$25,$B13)+COUNTIF(CA_Prog_7!$D$18:$D$25,$B13)+COUNTIF(CA_Prog_8!$D$18:$D$25,$B13))*150000=0,"",(COUNTIF(CA_Prog_1!$D$8:$D$17,$B13)+COUNTIF(CA_Prog_2!$D$8:$D$17,$B13)+COUNTIF(CA_Prog_3!$D$8:$D$17,$B13)+COUNTIF(CA_Prog_4!$D$8:$D$17,$B13)+COUNTIF(CA_Prog_5!$D$8:$D$17,$B13)+COUNTIF(CA_Prog_6!$D$8:$D$17,$B13)+COUNTIF(CA_Prog_7!$D$8:$D$17,$B13)+COUNTIF(CA_Prog_8!$D$8:$D$17,$B13))*$D$8+(COUNTIF(CA_Prog_1!$D$18:$D$25,$B13)+COUNTIF(CA_Prog_2!$D$18:$D$25,$B13)+COUNTIF(CA_Prog_3!$D$18:$D$25,$B13)+COUNTIF(CA_Prog_4!$D$18:$D$25,$B13)+COUNTIF(CA_Prog_5!$D$18:$D$25,$B13)+COUNTIF(CA_Prog_6!$D$18:$D$25,$B13)+COUNTIF(CA_Prog_7!$D$18:$D$25,$B13)+COUNTIF(CA_Prog_8!$D$18:$D$25,$B13))*150000))</f>
        <v>150000</v>
      </c>
      <c r="E13" s="135">
        <f>IF($B13="","",IF((COUNTIF(CA_Prog_1!$E$8:$E$17,$B13)+COUNTIF(CA_Prog_2!$E$8:$E$17,$B13)+COUNTIF(CA_Prog_3!$E$8:$E$17,$B13)+COUNTIF(CA_Prog_4!$E$8:$E$17,$B13)+COUNTIF(CA_Prog_5!$E$8:$E$17,$B13)+COUNTIF(CA_Prog_6!$E$8:$E$17,$B13)+COUNTIF(CA_Prog_7!$E$8:$E$17,$B13)+COUNTIF(CA_Prog_8!$E$8:$E$17,$B13))*$D$8+(COUNTIF(CA_Prog_1!$E$18:$E$25,$B13)+COUNTIF(CA_Prog_2!$E$18:$E$25,$B13)+COUNTIF(CA_Prog_3!$E$18:$E$25,$B13)+COUNTIF(CA_Prog_4!$E$18:$E$25,$B13)+COUNTIF(CA_Prog_5!$E$18:$E$25,$B13)+COUNTIF(CA_Prog_6!$E$18:$E$25,$B13)+COUNTIF(CA_Prog_7!$E$18:$E$25,$B13)+COUNTIF(CA_Prog_8!$E$18:$E$25,$B13))*150000=0,"",(COUNTIF(CA_Prog_1!$E$8:$E$17,$B13)+COUNTIF(CA_Prog_2!$E$8:$E$17,$B13)+COUNTIF(CA_Prog_3!$E$8:$E$17,$B13)+COUNTIF(CA_Prog_4!$E$8:$E$17,$B13)+COUNTIF(CA_Prog_5!$E$8:$E$17,$B13)+COUNTIF(CA_Prog_6!$E$8:$E$17,$B13)+COUNTIF(CA_Prog_7!$E$8:$E$17,$B13)+COUNTIF(CA_Prog_8!$E$8:$E$17,$B13))*$D$8+(COUNTIF(CA_Prog_1!$E$18:$E$25,$B13)+COUNTIF(CA_Prog_2!$E$18:$E$25,$B13)+COUNTIF(CA_Prog_3!$E$18:$E$25,$B13)++COUNTIF(CA_Prog_4!$E$18:$E$25,$B13)+COUNTIF(CA_Prog_5!$E$18:$E$25,$B13)+COUNTIF(CA_Prog_6!$E$18:$E$25,$B13)+COUNTIF(CA_Prog_7!$E$18:$E$25,$B13)+COUNTIF(CA_Prog_8!$E$18:$E$25,$B13))*150000))</f>
        <v>150000</v>
      </c>
      <c r="F13" s="135" t="str">
        <f>IF($B13="","",IF((COUNTIF(CA_Prog_1!$F$8:$F$17,$B13)+COUNTIF(CA_Prog_2!$F$8:$F$17,$B13)+COUNTIF(CA_Prog_3!$F$8:$F$17,$B13)+COUNTIF(CA_Prog_4!$F$8:$F$17,$B13)+COUNTIF(CA_Prog_5!$F$8:$F$17,$B13)+COUNTIF(CA_Prog_6!$F$8:$F$17,$B13)+COUNTIF(CA_Prog_7!$F$8:$F$17,$B13)+COUNTIF(CA_Prog_8!$F$8:$F$17,$B13))*$D$8+(COUNTIF(CA_Prog_1!$F$18:$F$25,$B13)+COUNTIF(CA_Prog_2!$F$18:$F$25,$B13)+COUNTIF(CA_Prog_3!$F$18:$F$25,$B13)+COUNTIF(CA_Prog_4!$F$18:$F$25,$B13)+COUNTIF(CA_Prog_5!$F$18:$F$25,$B13)+COUNTIF(CA_Prog_6!$F$18:$F$25,$B13)+COUNTIF(CA_Prog_7!$F$18:$F$25,$B13)+COUNTIF(CA_Prog_8!$F$18:$F$25,$B13))*150000=0,"",(COUNTIF(CA_Prog_1!$F$8:$F$17,$B13)+COUNTIF(CA_Prog_2!$F$8:$F$17,$B13)+COUNTIF(CA_Prog_3!$F$8:$F$17,$B13)+COUNTIF(CA_Prog_4!$F$8:$F$17,$B13)+COUNTIF(CA_Prog_5!$F$8:$F$17,$B13)+COUNTIF(CA_Prog_6!$F$8:$F$17,$B13)+COUNTIF(CA_Prog_7!$F$8:$F$17,$B13)+COUNTIF(CA_Prog_8!$F$8:$F$17,$B13))*$D$8+(COUNTIF(CA_Prog_1!$F$18:$F$25,$B13)+COUNTIF(CA_Prog_2!$F$18:$F$25,$B13)+COUNTIF(CA_Prog_3!$F$18:$F$25,$B13)+COUNTIF(CA_Prog_4!$F$18:$F$25,$B13)+COUNTIF(CA_Prog_5!$F$18:$F$25,$B13)+COUNTIF(CA_Prog_6!$F$18:$F$25,$B13)+COUNTIF(CA_Prog_7!$F$18:$F$25,$B13)+COUNTIF(CA_Prog_8!$F$18:$F$25,$B13))*150000))</f>
        <v/>
      </c>
      <c r="G13" s="135" t="str">
        <f>IF($B13="","",IF((COUNTIF(CA_Prog_1!$G$8:$G$17,$B13)+COUNTIF(CA_Prog_2!$G$8:$G$17,$B13)+COUNTIF(CA_Prog_3!$G$8:$G$17,$B13)+COUNTIF(CA_Prog_4!$G$8:$G$17,$B13)+COUNTIF(CA_Prog_5!$G$8:$G$17,$B13)+COUNTIF(CA_Prog_6!$G$8:$G$17,$B13)+COUNTIF(CA_Prog_7!$G$8:$G$17,$B13)+COUNTIF(CA_Prog_8!$G$8:$G$17,$B13))*$D$8+(COUNTIF(CA_Prog_1!$G$18:$G$25,$B13)+COUNTIF(CA_Prog_2!$G$18:$G$25,$B13)+COUNTIF(CA_Prog_3!$G$18:$G$25,$B13)+COUNTIF(CA_Prog_4!$G$18:$G$25,$B13)+COUNTIF(CA_Prog_5!$G$18:$G$25,$B13)+COUNTIF(CA_Prog_6!$G$18:$G$25,$B13)+COUNTIF(CA_Prog_7!$G$18:$G$25,$B13)+COUNTIF(CA_Prog_8!$G$18:$G$25,$B13))*150000=0,"",(COUNTIF(CA_Prog_1!$G$8:$G$17,$B13)+COUNTIF(CA_Prog_2!$G$8:$G$17,$B13)+COUNTIF(CA_Prog_3!$G$8:$G$17,$B13)+COUNTIF(CA_Prog_4!$G$8:$G$17,$B13)+COUNTIF(CA_Prog_5!$G$8:$G$17,$B13)+COUNTIF(CA_Prog_6!$G$8:$G$17,$B13)+COUNTIF(CA_Prog_7!$G$8:$G$17,$B13)+COUNTIF(CA_Prog_8!$G$8:$G$17,$B13))*$D$8+(COUNTIF(CA_Prog_1!$G$18:$G$25,$B13)+COUNTIF(CA_Prog_2!$G$18:$G$25,$B13)+COUNTIF(CA_Prog_3!$G$18:$G$25,$B13)+COUNTIF(CA_Prog_4!$G$18:$G$25,$B13)+COUNTIF(CA_Prog_5!$G$18:$G$25,$B13)+COUNTIF(CA_Prog_6!$G$18:$G$25,$B13)+COUNTIF(CA_Prog_7!$G$18:$G$25,$B13)+COUNTIF(CA_Prog_8!$G$18:$G$25,$B13))*150000))</f>
        <v/>
      </c>
      <c r="H13" s="136">
        <f t="shared" ref="H13:H41" si="0">IF(AND($C13="",$D13="",$E13="",$F13="",$G13=""),"",SUM($C13:$G13))</f>
        <v>450000</v>
      </c>
      <c r="I13" s="53"/>
      <c r="J13" s="53"/>
      <c r="K13" s="53"/>
      <c r="L13" s="53"/>
      <c r="M13" s="53"/>
      <c r="N13" s="53"/>
      <c r="P13" s="53"/>
    </row>
    <row r="14" spans="1:16" x14ac:dyDescent="0.25">
      <c r="A14" s="133">
        <f>IF(ISTEXT($B14),3,"")</f>
        <v>3</v>
      </c>
      <c r="B14" s="65" t="s">
        <v>391</v>
      </c>
      <c r="C14" s="135">
        <f>IF($B14="","",IF((COUNTIF(CA_Prog_1!$C$8:$C$17,$B14)+COUNTIF(CA_Prog_2!$C$8:$C$17,$B14)+COUNTIF(CA_Prog_3!$C$8:$C$17,$B14)+COUNTIF(CA_Prog_4!$C$8:$C$17,$B14)+COUNTIF(CA_Prog_5!$C$8:$C$17,$B14)+COUNTIF(CA_Prog_6!$C$8:$C$17,$B14)+COUNTIF(CA_Prog_7!$C$8:$C$17,$B14)+COUNTIF(CA_Prog_8!$C$8:$C$17,$B14))*$D$8+(COUNTIF(CA_Prog_1!$C$18:$C$25,$B14)+COUNTIF(CA_Prog_2!$C$18:$C$25,$B14)+COUNTIF(CA_Prog_3!$C$18:$C$25,$B14)+COUNTIF(CA_Prog_4!$C$18:$C$25,$B14)+COUNTIF(CA_Prog_5!$C$18:$C$25,$B14)+COUNTIF(CA_Prog_6!$C$18:$C$25,$B14)+COUNTIF(CA_Prog_7!$C$18:$C$25,$B14)+COUNTIF(CA_Prog_8!$C$18:$C$25,$B14))*150000=0,"",(COUNTIF(CA_Prog_1!$C$8:$C$17,$B14)+COUNTIF(CA_Prog_2!$C$8:$C$17,$B14)+COUNTIF(CA_Prog_3!$C$8:$C$17,$B14)+COUNTIF(CA_Prog_4!$C$8:$C$17,$B14)+COUNTIF(CA_Prog_5!$C$8:$C$17,$B14)+COUNTIF(CA_Prog_6!$C$8:$C$17,$B14)+COUNTIF(CA_Prog_7!$C$8:$C$17,$B14)+COUNTIF(CA_Prog_8!$C$8:$C$17,$B14))*$D$8+(COUNTIF(CA_Prog_1!$C$18:$C$25,$B14)+COUNTIF(CA_Prog_2!$C$18:$C$25,$B14)+COUNTIF(CA_Prog_3!$C$18:$C$25,$B14)+COUNTIF(CA_Prog_4!$C$18:$C$25,$B14)+COUNTIF(CA_Prog_5!$C$18:$C$25,$B14)+COUNTIF(CA_Prog_6!$C$18:$C$25,$B14)+COUNTIF(CA_Prog_7!$C$18:$C$25,$B14)+COUNTIF(CA_Prog_8!$C$18:$C$25,$B14))*150000))</f>
        <v>150000</v>
      </c>
      <c r="D14" s="135" t="str">
        <f>IF($B14="","",IF((COUNTIF(CA_Prog_1!$D$8:$D$17,$B14)+COUNTIF(CA_Prog_2!$D$8:$D$17,$B14)+COUNTIF(CA_Prog_3!$D$8:$D$17,$B14)+COUNTIF(CA_Prog_4!$D$8:$D$17,$B14)+COUNTIF(CA_Prog_5!$D$8:$D$17,$B14)+COUNTIF(CA_Prog_6!$D$8:$D$17,$B14)+COUNTIF(CA_Prog_7!$D$8:$D$17,$B14)+COUNTIF(CA_Prog_8!$D$8:$D$17,$B14))*$D$8+(COUNTIF(CA_Prog_1!$D$18:$D$25,$B14)+COUNTIF(CA_Prog_2!$D$18:$D$25,$B14)+COUNTIF(CA_Prog_3!$D$18:$D$25,$B14)+COUNTIF(CA_Prog_4!$D$18:$D$25,$B14)+COUNTIF(CA_Prog_5!$D$18:$D$25,$B14)+COUNTIF(CA_Prog_6!$D$18:$D$25,$B14)+COUNTIF(CA_Prog_7!$D$18:$D$25,$B14)+COUNTIF(CA_Prog_8!$D$18:$D$25,$B14))*150000=0,"",(COUNTIF(CA_Prog_1!$D$8:$D$17,$B14)+COUNTIF(CA_Prog_2!$D$8:$D$17,$B14)+COUNTIF(CA_Prog_3!$D$8:$D$17,$B14)+COUNTIF(CA_Prog_4!$D$8:$D$17,$B14)+COUNTIF(CA_Prog_5!$D$8:$D$17,$B14)+COUNTIF(CA_Prog_6!$D$8:$D$17,$B14)+COUNTIF(CA_Prog_7!$D$8:$D$17,$B14)+COUNTIF(CA_Prog_8!$D$8:$D$17,$B14))*$D$8+(COUNTIF(CA_Prog_1!$D$18:$D$25,$B14)+COUNTIF(CA_Prog_2!$D$18:$D$25,$B14)+COUNTIF(CA_Prog_3!$D$18:$D$25,$B14)+COUNTIF(CA_Prog_4!$D$18:$D$25,$B14)+COUNTIF(CA_Prog_5!$D$18:$D$25,$B14)+COUNTIF(CA_Prog_6!$D$18:$D$25,$B14)+COUNTIF(CA_Prog_7!$D$18:$D$25,$B14)+COUNTIF(CA_Prog_8!$D$18:$D$25,$B14))*150000))</f>
        <v/>
      </c>
      <c r="E14" s="135" t="str">
        <f>IF($B14="","",IF((COUNTIF(CA_Prog_1!$E$8:$E$17,$B14)+COUNTIF(CA_Prog_2!$E$8:$E$17,$B14)+COUNTIF(CA_Prog_3!$E$8:$E$17,$B14)+COUNTIF(CA_Prog_4!$E$8:$E$17,$B14)+COUNTIF(CA_Prog_5!$E$8:$E$17,$B14)+COUNTIF(CA_Prog_6!$E$8:$E$17,$B14)+COUNTIF(CA_Prog_7!$E$8:$E$17,$B14)+COUNTIF(CA_Prog_8!$E$8:$E$17,$B14))*$D$8+(COUNTIF(CA_Prog_1!$E$18:$E$25,$B14)+COUNTIF(CA_Prog_2!$E$18:$E$25,$B14)+COUNTIF(CA_Prog_3!$E$18:$E$25,$B14)+COUNTIF(CA_Prog_4!$E$18:$E$25,$B14)+COUNTIF(CA_Prog_5!$E$18:$E$25,$B14)+COUNTIF(CA_Prog_6!$E$18:$E$25,$B14)+COUNTIF(CA_Prog_7!$E$18:$E$25,$B14)+COUNTIF(CA_Prog_8!$E$18:$E$25,$B14))*150000=0,"",(COUNTIF(CA_Prog_1!$E$8:$E$17,$B14)+COUNTIF(CA_Prog_2!$E$8:$E$17,$B14)+COUNTIF(CA_Prog_3!$E$8:$E$17,$B14)+COUNTIF(CA_Prog_4!$E$8:$E$17,$B14)+COUNTIF(CA_Prog_5!$E$8:$E$17,$B14)+COUNTIF(CA_Prog_6!$E$8:$E$17,$B14)+COUNTIF(CA_Prog_7!$E$8:$E$17,$B14)+COUNTIF(CA_Prog_8!$E$8:$E$17,$B14))*$D$8+(COUNTIF(CA_Prog_1!$E$18:$E$25,$B14)+COUNTIF(CA_Prog_2!$E$18:$E$25,$B14)+COUNTIF(CA_Prog_3!$E$18:$E$25,$B14)++COUNTIF(CA_Prog_4!$E$18:$E$25,$B14)+COUNTIF(CA_Prog_5!$E$18:$E$25,$B14)+COUNTIF(CA_Prog_6!$E$18:$E$25,$B14)+COUNTIF(CA_Prog_7!$E$18:$E$25,$B14)+COUNTIF(CA_Prog_8!$E$18:$E$25,$B14))*150000))</f>
        <v/>
      </c>
      <c r="F14" s="135" t="str">
        <f>IF($B14="","",IF((COUNTIF(CA_Prog_1!$F$8:$F$17,$B14)+COUNTIF(CA_Prog_2!$F$8:$F$17,$B14)+COUNTIF(CA_Prog_3!$F$8:$F$17,$B14)+COUNTIF(CA_Prog_4!$F$8:$F$17,$B14)+COUNTIF(CA_Prog_5!$F$8:$F$17,$B14)+COUNTIF(CA_Prog_6!$F$8:$F$17,$B14)+COUNTIF(CA_Prog_7!$F$8:$F$17,$B14)+COUNTIF(CA_Prog_8!$F$8:$F$17,$B14))*$D$8+(COUNTIF(CA_Prog_1!$F$18:$F$25,$B14)+COUNTIF(CA_Prog_2!$F$18:$F$25,$B14)+COUNTIF(CA_Prog_3!$F$18:$F$25,$B14)+COUNTIF(CA_Prog_4!$F$18:$F$25,$B14)+COUNTIF(CA_Prog_5!$F$18:$F$25,$B14)+COUNTIF(CA_Prog_6!$F$18:$F$25,$B14)+COUNTIF(CA_Prog_7!$F$18:$F$25,$B14)+COUNTIF(CA_Prog_8!$F$18:$F$25,$B14))*150000=0,"",(COUNTIF(CA_Prog_1!$F$8:$F$17,$B14)+COUNTIF(CA_Prog_2!$F$8:$F$17,$B14)+COUNTIF(CA_Prog_3!$F$8:$F$17,$B14)+COUNTIF(CA_Prog_4!$F$8:$F$17,$B14)+COUNTIF(CA_Prog_5!$F$8:$F$17,$B14)+COUNTIF(CA_Prog_6!$F$8:$F$17,$B14)+COUNTIF(CA_Prog_7!$F$8:$F$17,$B14)+COUNTIF(CA_Prog_8!$F$8:$F$17,$B14))*$D$8+(COUNTIF(CA_Prog_1!$F$18:$F$25,$B14)+COUNTIF(CA_Prog_2!$F$18:$F$25,$B14)+COUNTIF(CA_Prog_3!$F$18:$F$25,$B14)+COUNTIF(CA_Prog_4!$F$18:$F$25,$B14)+COUNTIF(CA_Prog_5!$F$18:$F$25,$B14)+COUNTIF(CA_Prog_6!$F$18:$F$25,$B14)+COUNTIF(CA_Prog_7!$F$18:$F$25,$B14)+COUNTIF(CA_Prog_8!$F$18:$F$25,$B14))*150000))</f>
        <v/>
      </c>
      <c r="G14" s="135" t="str">
        <f>IF($B14="","",IF((COUNTIF(CA_Prog_1!$G$8:$G$17,$B14)+COUNTIF(CA_Prog_2!$G$8:$G$17,$B14)+COUNTIF(CA_Prog_3!$G$8:$G$17,$B14)+COUNTIF(CA_Prog_4!$G$8:$G$17,$B14)+COUNTIF(CA_Prog_5!$G$8:$G$17,$B14)+COUNTIF(CA_Prog_6!$G$8:$G$17,$B14)+COUNTIF(CA_Prog_7!$G$8:$G$17,$B14)+COUNTIF(CA_Prog_8!$G$8:$G$17,$B14))*$D$8+(COUNTIF(CA_Prog_1!$G$18:$G$25,$B14)+COUNTIF(CA_Prog_2!$G$18:$G$25,$B14)+COUNTIF(CA_Prog_3!$G$18:$G$25,$B14)+COUNTIF(CA_Prog_4!$G$18:$G$25,$B14)+COUNTIF(CA_Prog_5!$G$18:$G$25,$B14)+COUNTIF(CA_Prog_6!$G$18:$G$25,$B14)+COUNTIF(CA_Prog_7!$G$18:$G$25,$B14)+COUNTIF(CA_Prog_8!$G$18:$G$25,$B14))*150000=0,"",(COUNTIF(CA_Prog_1!$G$8:$G$17,$B14)+COUNTIF(CA_Prog_2!$G$8:$G$17,$B14)+COUNTIF(CA_Prog_3!$G$8:$G$17,$B14)+COUNTIF(CA_Prog_4!$G$8:$G$17,$B14)+COUNTIF(CA_Prog_5!$G$8:$G$17,$B14)+COUNTIF(CA_Prog_6!$G$8:$G$17,$B14)+COUNTIF(CA_Prog_7!$G$8:$G$17,$B14)+COUNTIF(CA_Prog_8!$G$8:$G$17,$B14))*$D$8+(COUNTIF(CA_Prog_1!$G$18:$G$25,$B14)+COUNTIF(CA_Prog_2!$G$18:$G$25,$B14)+COUNTIF(CA_Prog_3!$G$18:$G$25,$B14)+COUNTIF(CA_Prog_4!$G$18:$G$25,$B14)+COUNTIF(CA_Prog_5!$G$18:$G$25,$B14)+COUNTIF(CA_Prog_6!$G$18:$G$25,$B14)+COUNTIF(CA_Prog_7!$G$18:$G$25,$B14)+COUNTIF(CA_Prog_8!$G$18:$G$25,$B14))*150000))</f>
        <v/>
      </c>
      <c r="H14" s="136">
        <f t="shared" si="0"/>
        <v>150000</v>
      </c>
      <c r="I14" s="53"/>
      <c r="J14" s="53"/>
      <c r="K14" s="53"/>
      <c r="L14" s="53"/>
      <c r="M14" s="53"/>
      <c r="N14" s="53"/>
      <c r="P14" s="53"/>
    </row>
    <row r="15" spans="1:16" x14ac:dyDescent="0.25">
      <c r="A15" s="133">
        <f>IF(ISTEXT($B15),4,"")</f>
        <v>4</v>
      </c>
      <c r="B15" s="65" t="s">
        <v>393</v>
      </c>
      <c r="C15" s="135" t="str">
        <f>IF($B15="","",IF((COUNTIF(CA_Prog_1!$C$8:$C$17,$B15)+COUNTIF(CA_Prog_2!$C$8:$C$17,$B15)+COUNTIF(CA_Prog_3!$C$8:$C$17,$B15)+COUNTIF(CA_Prog_4!$C$8:$C$17,$B15)+COUNTIF(CA_Prog_5!$C$8:$C$17,$B15)+COUNTIF(CA_Prog_6!$C$8:$C$17,$B15)+COUNTIF(CA_Prog_7!$C$8:$C$17,$B15)+COUNTIF(CA_Prog_8!$C$8:$C$17,$B15))*$D$8+(COUNTIF(CA_Prog_1!$C$18:$C$25,$B15)+COUNTIF(CA_Prog_2!$C$18:$C$25,$B15)+COUNTIF(CA_Prog_3!$C$18:$C$25,$B15)+COUNTIF(CA_Prog_4!$C$18:$C$25,$B15)+COUNTIF(CA_Prog_5!$C$18:$C$25,$B15)+COUNTIF(CA_Prog_6!$C$18:$C$25,$B15)+COUNTIF(CA_Prog_7!$C$18:$C$25,$B15)+COUNTIF(CA_Prog_8!$C$18:$C$25,$B15))*150000=0,"",(COUNTIF(CA_Prog_1!$C$8:$C$17,$B15)+COUNTIF(CA_Prog_2!$C$8:$C$17,$B15)+COUNTIF(CA_Prog_3!$C$8:$C$17,$B15)+COUNTIF(CA_Prog_4!$C$8:$C$17,$B15)+COUNTIF(CA_Prog_5!$C$8:$C$17,$B15)+COUNTIF(CA_Prog_6!$C$8:$C$17,$B15)+COUNTIF(CA_Prog_7!$C$8:$C$17,$B15)+COUNTIF(CA_Prog_8!$C$8:$C$17,$B15))*$D$8+(COUNTIF(CA_Prog_1!$C$18:$C$25,$B15)+COUNTIF(CA_Prog_2!$C$18:$C$25,$B15)+COUNTIF(CA_Prog_3!$C$18:$C$25,$B15)+COUNTIF(CA_Prog_4!$C$18:$C$25,$B15)+COUNTIF(CA_Prog_5!$C$18:$C$25,$B15)+COUNTIF(CA_Prog_6!$C$18:$C$25,$B15)+COUNTIF(CA_Prog_7!$C$18:$C$25,$B15)+COUNTIF(CA_Prog_8!$C$18:$C$25,$B15))*150000))</f>
        <v/>
      </c>
      <c r="D15" s="135" t="str">
        <f>IF($B15="","",IF((COUNTIF(CA_Prog_1!$D$8:$D$17,$B15)+COUNTIF(CA_Prog_2!$D$8:$D$17,$B15)+COUNTIF(CA_Prog_3!$D$8:$D$17,$B15)+COUNTIF(CA_Prog_4!$D$8:$D$17,$B15)+COUNTIF(CA_Prog_5!$D$8:$D$17,$B15)+COUNTIF(CA_Prog_6!$D$8:$D$17,$B15)+COUNTIF(CA_Prog_7!$D$8:$D$17,$B15)+COUNTIF(CA_Prog_8!$D$8:$D$17,$B15))*$D$8+(COUNTIF(CA_Prog_1!$D$18:$D$25,$B15)+COUNTIF(CA_Prog_2!$D$18:$D$25,$B15)+COUNTIF(CA_Prog_3!$D$18:$D$25,$B15)+COUNTIF(CA_Prog_4!$D$18:$D$25,$B15)+COUNTIF(CA_Prog_5!$D$18:$D$25,$B15)+COUNTIF(CA_Prog_6!$D$18:$D$25,$B15)+COUNTIF(CA_Prog_7!$D$18:$D$25,$B15)+COUNTIF(CA_Prog_8!$D$18:$D$25,$B15))*150000=0,"",(COUNTIF(CA_Prog_1!$D$8:$D$17,$B15)+COUNTIF(CA_Prog_2!$D$8:$D$17,$B15)+COUNTIF(CA_Prog_3!$D$8:$D$17,$B15)+COUNTIF(CA_Prog_4!$D$8:$D$17,$B15)+COUNTIF(CA_Prog_5!$D$8:$D$17,$B15)+COUNTIF(CA_Prog_6!$D$8:$D$17,$B15)+COUNTIF(CA_Prog_7!$D$8:$D$17,$B15)+COUNTIF(CA_Prog_8!$D$8:$D$17,$B15))*$D$8+(COUNTIF(CA_Prog_1!$D$18:$D$25,$B15)+COUNTIF(CA_Prog_2!$D$18:$D$25,$B15)+COUNTIF(CA_Prog_3!$D$18:$D$25,$B15)+COUNTIF(CA_Prog_4!$D$18:$D$25,$B15)+COUNTIF(CA_Prog_5!$D$18:$D$25,$B15)+COUNTIF(CA_Prog_6!$D$18:$D$25,$B15)+COUNTIF(CA_Prog_7!$D$18:$D$25,$B15)+COUNTIF(CA_Prog_8!$D$18:$D$25,$B15))*150000))</f>
        <v/>
      </c>
      <c r="E15" s="135" t="str">
        <f>IF($B15="","",IF((COUNTIF(CA_Prog_1!$E$8:$E$17,$B15)+COUNTIF(CA_Prog_2!$E$8:$E$17,$B15)+COUNTIF(CA_Prog_3!$E$8:$E$17,$B15)+COUNTIF(CA_Prog_4!$E$8:$E$17,$B15)+COUNTIF(CA_Prog_5!$E$8:$E$17,$B15)+COUNTIF(CA_Prog_6!$E$8:$E$17,$B15)+COUNTIF(CA_Prog_7!$E$8:$E$17,$B15)+COUNTIF(CA_Prog_8!$E$8:$E$17,$B15))*$D$8+(COUNTIF(CA_Prog_1!$E$18:$E$25,$B15)+COUNTIF(CA_Prog_2!$E$18:$E$25,$B15)+COUNTIF(CA_Prog_3!$E$18:$E$25,$B15)+COUNTIF(CA_Prog_4!$E$18:$E$25,$B15)+COUNTIF(CA_Prog_5!$E$18:$E$25,$B15)+COUNTIF(CA_Prog_6!$E$18:$E$25,$B15)+COUNTIF(CA_Prog_7!$E$18:$E$25,$B15)+COUNTIF(CA_Prog_8!$E$18:$E$25,$B15))*150000=0,"",(COUNTIF(CA_Prog_1!$E$8:$E$17,$B15)+COUNTIF(CA_Prog_2!$E$8:$E$17,$B15)+COUNTIF(CA_Prog_3!$E$8:$E$17,$B15)+COUNTIF(CA_Prog_4!$E$8:$E$17,$B15)+COUNTIF(CA_Prog_5!$E$8:$E$17,$B15)+COUNTIF(CA_Prog_6!$E$8:$E$17,$B15)+COUNTIF(CA_Prog_7!$E$8:$E$17,$B15)+COUNTIF(CA_Prog_8!$E$8:$E$17,$B15))*$D$8+(COUNTIF(CA_Prog_1!$E$18:$E$25,$B15)+COUNTIF(CA_Prog_2!$E$18:$E$25,$B15)+COUNTIF(CA_Prog_3!$E$18:$E$25,$B15)++COUNTIF(CA_Prog_4!$E$18:$E$25,$B15)+COUNTIF(CA_Prog_5!$E$18:$E$25,$B15)+COUNTIF(CA_Prog_6!$E$18:$E$25,$B15)+COUNTIF(CA_Prog_7!$E$18:$E$25,$B15)+COUNTIF(CA_Prog_8!$E$18:$E$25,$B15))*150000))</f>
        <v/>
      </c>
      <c r="F15" s="135" t="str">
        <f>IF($B15="","",IF((COUNTIF(CA_Prog_1!$F$8:$F$17,$B15)+COUNTIF(CA_Prog_2!$F$8:$F$17,$B15)+COUNTIF(CA_Prog_3!$F$8:$F$17,$B15)+COUNTIF(CA_Prog_4!$F$8:$F$17,$B15)+COUNTIF(CA_Prog_5!$F$8:$F$17,$B15)+COUNTIF(CA_Prog_6!$F$8:$F$17,$B15)+COUNTIF(CA_Prog_7!$F$8:$F$17,$B15)+COUNTIF(CA_Prog_8!$F$8:$F$17,$B15))*$D$8+(COUNTIF(CA_Prog_1!$F$18:$F$25,$B15)+COUNTIF(CA_Prog_2!$F$18:$F$25,$B15)+COUNTIF(CA_Prog_3!$F$18:$F$25,$B15)+COUNTIF(CA_Prog_4!$F$18:$F$25,$B15)+COUNTIF(CA_Prog_5!$F$18:$F$25,$B15)+COUNTIF(CA_Prog_6!$F$18:$F$25,$B15)+COUNTIF(CA_Prog_7!$F$18:$F$25,$B15)+COUNTIF(CA_Prog_8!$F$18:$F$25,$B15))*150000=0,"",(COUNTIF(CA_Prog_1!$F$8:$F$17,$B15)+COUNTIF(CA_Prog_2!$F$8:$F$17,$B15)+COUNTIF(CA_Prog_3!$F$8:$F$17,$B15)+COUNTIF(CA_Prog_4!$F$8:$F$17,$B15)+COUNTIF(CA_Prog_5!$F$8:$F$17,$B15)+COUNTIF(CA_Prog_6!$F$8:$F$17,$B15)+COUNTIF(CA_Prog_7!$F$8:$F$17,$B15)+COUNTIF(CA_Prog_8!$F$8:$F$17,$B15))*$D$8+(COUNTIF(CA_Prog_1!$F$18:$F$25,$B15)+COUNTIF(CA_Prog_2!$F$18:$F$25,$B15)+COUNTIF(CA_Prog_3!$F$18:$F$25,$B15)+COUNTIF(CA_Prog_4!$F$18:$F$25,$B15)+COUNTIF(CA_Prog_5!$F$18:$F$25,$B15)+COUNTIF(CA_Prog_6!$F$18:$F$25,$B15)+COUNTIF(CA_Prog_7!$F$18:$F$25,$B15)+COUNTIF(CA_Prog_8!$F$18:$F$25,$B15))*150000))</f>
        <v/>
      </c>
      <c r="G15" s="135" t="str">
        <f>IF($B15="","",IF((COUNTIF(CA_Prog_1!$G$8:$G$17,$B15)+COUNTIF(CA_Prog_2!$G$8:$G$17,$B15)+COUNTIF(CA_Prog_3!$G$8:$G$17,$B15)+COUNTIF(CA_Prog_4!$G$8:$G$17,$B15)+COUNTIF(CA_Prog_5!$G$8:$G$17,$B15)+COUNTIF(CA_Prog_6!$G$8:$G$17,$B15)+COUNTIF(CA_Prog_7!$G$8:$G$17,$B15)+COUNTIF(CA_Prog_8!$G$8:$G$17,$B15))*$D$8+(COUNTIF(CA_Prog_1!$G$18:$G$25,$B15)+COUNTIF(CA_Prog_2!$G$18:$G$25,$B15)+COUNTIF(CA_Prog_3!$G$18:$G$25,$B15)+COUNTIF(CA_Prog_4!$G$18:$G$25,$B15)+COUNTIF(CA_Prog_5!$G$18:$G$25,$B15)+COUNTIF(CA_Prog_6!$G$18:$G$25,$B15)+COUNTIF(CA_Prog_7!$G$18:$G$25,$B15)+COUNTIF(CA_Prog_8!$G$18:$G$25,$B15))*150000=0,"",(COUNTIF(CA_Prog_1!$G$8:$G$17,$B15)+COUNTIF(CA_Prog_2!$G$8:$G$17,$B15)+COUNTIF(CA_Prog_3!$G$8:$G$17,$B15)+COUNTIF(CA_Prog_4!$G$8:$G$17,$B15)+COUNTIF(CA_Prog_5!$G$8:$G$17,$B15)+COUNTIF(CA_Prog_6!$G$8:$G$17,$B15)+COUNTIF(CA_Prog_7!$G$8:$G$17,$B15)+COUNTIF(CA_Prog_8!$G$8:$G$17,$B15))*$D$8+(COUNTIF(CA_Prog_1!$G$18:$G$25,$B15)+COUNTIF(CA_Prog_2!$G$18:$G$25,$B15)+COUNTIF(CA_Prog_3!$G$18:$G$25,$B15)+COUNTIF(CA_Prog_4!$G$18:$G$25,$B15)+COUNTIF(CA_Prog_5!$G$18:$G$25,$B15)+COUNTIF(CA_Prog_6!$G$18:$G$25,$B15)+COUNTIF(CA_Prog_7!$G$18:$G$25,$B15)+COUNTIF(CA_Prog_8!$G$18:$G$25,$B15))*150000))</f>
        <v/>
      </c>
      <c r="H15" s="136" t="str">
        <f t="shared" si="0"/>
        <v/>
      </c>
      <c r="I15" s="53"/>
      <c r="J15" s="53"/>
      <c r="K15" s="53"/>
      <c r="L15" s="53"/>
      <c r="M15" s="53"/>
      <c r="N15" s="53"/>
      <c r="P15" s="53"/>
    </row>
    <row r="16" spans="1:16" x14ac:dyDescent="0.25">
      <c r="A16" s="133">
        <f>IF(ISTEXT($B16),5,"")</f>
        <v>5</v>
      </c>
      <c r="B16" s="65" t="s">
        <v>397</v>
      </c>
      <c r="C16" s="135" t="str">
        <f>IF($B16="","",IF((COUNTIF(CA_Prog_1!$C$8:$C$17,$B16)+COUNTIF(CA_Prog_2!$C$8:$C$17,$B16)+COUNTIF(CA_Prog_3!$C$8:$C$17,$B16)+COUNTIF(CA_Prog_4!$C$8:$C$17,$B16)+COUNTIF(CA_Prog_5!$C$8:$C$17,$B16)+COUNTIF(CA_Prog_6!$C$8:$C$17,$B16)+COUNTIF(CA_Prog_7!$C$8:$C$17,$B16)+COUNTIF(CA_Prog_8!$C$8:$C$17,$B16))*$D$8+(COUNTIF(CA_Prog_1!$C$18:$C$25,$B16)+COUNTIF(CA_Prog_2!$C$18:$C$25,$B16)+COUNTIF(CA_Prog_3!$C$18:$C$25,$B16)+COUNTIF(CA_Prog_4!$C$18:$C$25,$B16)+COUNTIF(CA_Prog_5!$C$18:$C$25,$B16)+COUNTIF(CA_Prog_6!$C$18:$C$25,$B16)+COUNTIF(CA_Prog_7!$C$18:$C$25,$B16)+COUNTIF(CA_Prog_8!$C$18:$C$25,$B16))*150000=0,"",(COUNTIF(CA_Prog_1!$C$8:$C$17,$B16)+COUNTIF(CA_Prog_2!$C$8:$C$17,$B16)+COUNTIF(CA_Prog_3!$C$8:$C$17,$B16)+COUNTIF(CA_Prog_4!$C$8:$C$17,$B16)+COUNTIF(CA_Prog_5!$C$8:$C$17,$B16)+COUNTIF(CA_Prog_6!$C$8:$C$17,$B16)+COUNTIF(CA_Prog_7!$C$8:$C$17,$B16)+COUNTIF(CA_Prog_8!$C$8:$C$17,$B16))*$D$8+(COUNTIF(CA_Prog_1!$C$18:$C$25,$B16)+COUNTIF(CA_Prog_2!$C$18:$C$25,$B16)+COUNTIF(CA_Prog_3!$C$18:$C$25,$B16)+COUNTIF(CA_Prog_4!$C$18:$C$25,$B16)+COUNTIF(CA_Prog_5!$C$18:$C$25,$B16)+COUNTIF(CA_Prog_6!$C$18:$C$25,$B16)+COUNTIF(CA_Prog_7!$C$18:$C$25,$B16)+COUNTIF(CA_Prog_8!$C$18:$C$25,$B16))*150000))</f>
        <v/>
      </c>
      <c r="D16" s="135" t="str">
        <f>IF($B16="","",IF((COUNTIF(CA_Prog_1!$D$8:$D$17,$B16)+COUNTIF(CA_Prog_2!$D$8:$D$17,$B16)+COUNTIF(CA_Prog_3!$D$8:$D$17,$B16)+COUNTIF(CA_Prog_4!$D$8:$D$17,$B16)+COUNTIF(CA_Prog_5!$D$8:$D$17,$B16)+COUNTIF(CA_Prog_6!$D$8:$D$17,$B16)+COUNTIF(CA_Prog_7!$D$8:$D$17,$B16)+COUNTIF(CA_Prog_8!$D$8:$D$17,$B16))*$D$8+(COUNTIF(CA_Prog_1!$D$18:$D$25,$B16)+COUNTIF(CA_Prog_2!$D$18:$D$25,$B16)+COUNTIF(CA_Prog_3!$D$18:$D$25,$B16)+COUNTIF(CA_Prog_4!$D$18:$D$25,$B16)+COUNTIF(CA_Prog_5!$D$18:$D$25,$B16)+COUNTIF(CA_Prog_6!$D$18:$D$25,$B16)+COUNTIF(CA_Prog_7!$D$18:$D$25,$B16)+COUNTIF(CA_Prog_8!$D$18:$D$25,$B16))*150000=0,"",(COUNTIF(CA_Prog_1!$D$8:$D$17,$B16)+COUNTIF(CA_Prog_2!$D$8:$D$17,$B16)+COUNTIF(CA_Prog_3!$D$8:$D$17,$B16)+COUNTIF(CA_Prog_4!$D$8:$D$17,$B16)+COUNTIF(CA_Prog_5!$D$8:$D$17,$B16)+COUNTIF(CA_Prog_6!$D$8:$D$17,$B16)+COUNTIF(CA_Prog_7!$D$8:$D$17,$B16)+COUNTIF(CA_Prog_8!$D$8:$D$17,$B16))*$D$8+(COUNTIF(CA_Prog_1!$D$18:$D$25,$B16)+COUNTIF(CA_Prog_2!$D$18:$D$25,$B16)+COUNTIF(CA_Prog_3!$D$18:$D$25,$B16)+COUNTIF(CA_Prog_4!$D$18:$D$25,$B16)+COUNTIF(CA_Prog_5!$D$18:$D$25,$B16)+COUNTIF(CA_Prog_6!$D$18:$D$25,$B16)+COUNTIF(CA_Prog_7!$D$18:$D$25,$B16)+COUNTIF(CA_Prog_8!$D$18:$D$25,$B16))*150000))</f>
        <v/>
      </c>
      <c r="E16" s="135" t="str">
        <f>IF($B16="","",IF((COUNTIF(CA_Prog_1!$E$8:$E$17,$B16)+COUNTIF(CA_Prog_2!$E$8:$E$17,$B16)+COUNTIF(CA_Prog_3!$E$8:$E$17,$B16)+COUNTIF(CA_Prog_4!$E$8:$E$17,$B16)+COUNTIF(CA_Prog_5!$E$8:$E$17,$B16)+COUNTIF(CA_Prog_6!$E$8:$E$17,$B16)+COUNTIF(CA_Prog_7!$E$8:$E$17,$B16)+COUNTIF(CA_Prog_8!$E$8:$E$17,$B16))*$D$8+(COUNTIF(CA_Prog_1!$E$18:$E$25,$B16)+COUNTIF(CA_Prog_2!$E$18:$E$25,$B16)+COUNTIF(CA_Prog_3!$E$18:$E$25,$B16)+COUNTIF(CA_Prog_4!$E$18:$E$25,$B16)+COUNTIF(CA_Prog_5!$E$18:$E$25,$B16)+COUNTIF(CA_Prog_6!$E$18:$E$25,$B16)+COUNTIF(CA_Prog_7!$E$18:$E$25,$B16)+COUNTIF(CA_Prog_8!$E$18:$E$25,$B16))*150000=0,"",(COUNTIF(CA_Prog_1!$E$8:$E$17,$B16)+COUNTIF(CA_Prog_2!$E$8:$E$17,$B16)+COUNTIF(CA_Prog_3!$E$8:$E$17,$B16)+COUNTIF(CA_Prog_4!$E$8:$E$17,$B16)+COUNTIF(CA_Prog_5!$E$8:$E$17,$B16)+COUNTIF(CA_Prog_6!$E$8:$E$17,$B16)+COUNTIF(CA_Prog_7!$E$8:$E$17,$B16)+COUNTIF(CA_Prog_8!$E$8:$E$17,$B16))*$D$8+(COUNTIF(CA_Prog_1!$E$18:$E$25,$B16)+COUNTIF(CA_Prog_2!$E$18:$E$25,$B16)+COUNTIF(CA_Prog_3!$E$18:$E$25,$B16)++COUNTIF(CA_Prog_4!$E$18:$E$25,$B16)+COUNTIF(CA_Prog_5!$E$18:$E$25,$B16)+COUNTIF(CA_Prog_6!$E$18:$E$25,$B16)+COUNTIF(CA_Prog_7!$E$18:$E$25,$B16)+COUNTIF(CA_Prog_8!$E$18:$E$25,$B16))*150000))</f>
        <v/>
      </c>
      <c r="F16" s="135" t="str">
        <f>IF($B16="","",IF((COUNTIF(CA_Prog_1!$F$8:$F$17,$B16)+COUNTIF(CA_Prog_2!$F$8:$F$17,$B16)+COUNTIF(CA_Prog_3!$F$8:$F$17,$B16)+COUNTIF(CA_Prog_4!$F$8:$F$17,$B16)+COUNTIF(CA_Prog_5!$F$8:$F$17,$B16)+COUNTIF(CA_Prog_6!$F$8:$F$17,$B16)+COUNTIF(CA_Prog_7!$F$8:$F$17,$B16)+COUNTIF(CA_Prog_8!$F$8:$F$17,$B16))*$D$8+(COUNTIF(CA_Prog_1!$F$18:$F$25,$B16)+COUNTIF(CA_Prog_2!$F$18:$F$25,$B16)+COUNTIF(CA_Prog_3!$F$18:$F$25,$B16)+COUNTIF(CA_Prog_4!$F$18:$F$25,$B16)+COUNTIF(CA_Prog_5!$F$18:$F$25,$B16)+COUNTIF(CA_Prog_6!$F$18:$F$25,$B16)+COUNTIF(CA_Prog_7!$F$18:$F$25,$B16)+COUNTIF(CA_Prog_8!$F$18:$F$25,$B16))*150000=0,"",(COUNTIF(CA_Prog_1!$F$8:$F$17,$B16)+COUNTIF(CA_Prog_2!$F$8:$F$17,$B16)+COUNTIF(CA_Prog_3!$F$8:$F$17,$B16)+COUNTIF(CA_Prog_4!$F$8:$F$17,$B16)+COUNTIF(CA_Prog_5!$F$8:$F$17,$B16)+COUNTIF(CA_Prog_6!$F$8:$F$17,$B16)+COUNTIF(CA_Prog_7!$F$8:$F$17,$B16)+COUNTIF(CA_Prog_8!$F$8:$F$17,$B16))*$D$8+(COUNTIF(CA_Prog_1!$F$18:$F$25,$B16)+COUNTIF(CA_Prog_2!$F$18:$F$25,$B16)+COUNTIF(CA_Prog_3!$F$18:$F$25,$B16)+COUNTIF(CA_Prog_4!$F$18:$F$25,$B16)+COUNTIF(CA_Prog_5!$F$18:$F$25,$B16)+COUNTIF(CA_Prog_6!$F$18:$F$25,$B16)+COUNTIF(CA_Prog_7!$F$18:$F$25,$B16)+COUNTIF(CA_Prog_8!$F$18:$F$25,$B16))*150000))</f>
        <v/>
      </c>
      <c r="G16" s="135" t="str">
        <f>IF($B16="","",IF((COUNTIF(CA_Prog_1!$G$8:$G$17,$B16)+COUNTIF(CA_Prog_2!$G$8:$G$17,$B16)+COUNTIF(CA_Prog_3!$G$8:$G$17,$B16)+COUNTIF(CA_Prog_4!$G$8:$G$17,$B16)+COUNTIF(CA_Prog_5!$G$8:$G$17,$B16)+COUNTIF(CA_Prog_6!$G$8:$G$17,$B16)+COUNTIF(CA_Prog_7!$G$8:$G$17,$B16)+COUNTIF(CA_Prog_8!$G$8:$G$17,$B16))*$D$8+(COUNTIF(CA_Prog_1!$G$18:$G$25,$B16)+COUNTIF(CA_Prog_2!$G$18:$G$25,$B16)+COUNTIF(CA_Prog_3!$G$18:$G$25,$B16)+COUNTIF(CA_Prog_4!$G$18:$G$25,$B16)+COUNTIF(CA_Prog_5!$G$18:$G$25,$B16)+COUNTIF(CA_Prog_6!$G$18:$G$25,$B16)+COUNTIF(CA_Prog_7!$G$18:$G$25,$B16)+COUNTIF(CA_Prog_8!$G$18:$G$25,$B16))*150000=0,"",(COUNTIF(CA_Prog_1!$G$8:$G$17,$B16)+COUNTIF(CA_Prog_2!$G$8:$G$17,$B16)+COUNTIF(CA_Prog_3!$G$8:$G$17,$B16)+COUNTIF(CA_Prog_4!$G$8:$G$17,$B16)+COUNTIF(CA_Prog_5!$G$8:$G$17,$B16)+COUNTIF(CA_Prog_6!$G$8:$G$17,$B16)+COUNTIF(CA_Prog_7!$G$8:$G$17,$B16)+COUNTIF(CA_Prog_8!$G$8:$G$17,$B16))*$D$8+(COUNTIF(CA_Prog_1!$G$18:$G$25,$B16)+COUNTIF(CA_Prog_2!$G$18:$G$25,$B16)+COUNTIF(CA_Prog_3!$G$18:$G$25,$B16)+COUNTIF(CA_Prog_4!$G$18:$G$25,$B16)+COUNTIF(CA_Prog_5!$G$18:$G$25,$B16)+COUNTIF(CA_Prog_6!$G$18:$G$25,$B16)+COUNTIF(CA_Prog_7!$G$18:$G$25,$B16)+COUNTIF(CA_Prog_8!$G$18:$G$25,$B16))*150000))</f>
        <v/>
      </c>
      <c r="H16" s="136" t="str">
        <f t="shared" si="0"/>
        <v/>
      </c>
      <c r="I16" s="53"/>
      <c r="J16" s="53"/>
      <c r="K16" s="53"/>
      <c r="L16" s="53"/>
      <c r="M16" s="53"/>
      <c r="N16" s="53"/>
      <c r="P16" s="53"/>
    </row>
    <row r="17" spans="1:16" x14ac:dyDescent="0.25">
      <c r="A17" s="133">
        <f>IF(ISTEXT($B17),6,"")</f>
        <v>6</v>
      </c>
      <c r="B17" s="65" t="s">
        <v>410</v>
      </c>
      <c r="C17" s="135" t="str">
        <f>IF($B17="","",IF((COUNTIF(CA_Prog_1!$C$8:$C$17,$B17)+COUNTIF(CA_Prog_2!$C$8:$C$17,$B17)+COUNTIF(CA_Prog_3!$C$8:$C$17,$B17)+COUNTIF(CA_Prog_4!$C$8:$C$17,$B17)+COUNTIF(CA_Prog_5!$C$8:$C$17,$B17)+COUNTIF(CA_Prog_6!$C$8:$C$17,$B17)+COUNTIF(CA_Prog_7!$C$8:$C$17,$B17)+COUNTIF(CA_Prog_8!$C$8:$C$17,$B17))*$D$8+(COUNTIF(CA_Prog_1!$C$18:$C$25,$B17)+COUNTIF(CA_Prog_2!$C$18:$C$25,$B17)+COUNTIF(CA_Prog_3!$C$18:$C$25,$B17)+COUNTIF(CA_Prog_4!$C$18:$C$25,$B17)+COUNTIF(CA_Prog_5!$C$18:$C$25,$B17)+COUNTIF(CA_Prog_6!$C$18:$C$25,$B17)+COUNTIF(CA_Prog_7!$C$18:$C$25,$B17)+COUNTIF(CA_Prog_8!$C$18:$C$25,$B17))*150000=0,"",(COUNTIF(CA_Prog_1!$C$8:$C$17,$B17)+COUNTIF(CA_Prog_2!$C$8:$C$17,$B17)+COUNTIF(CA_Prog_3!$C$8:$C$17,$B17)+COUNTIF(CA_Prog_4!$C$8:$C$17,$B17)+COUNTIF(CA_Prog_5!$C$8:$C$17,$B17)+COUNTIF(CA_Prog_6!$C$8:$C$17,$B17)+COUNTIF(CA_Prog_7!$C$8:$C$17,$B17)+COUNTIF(CA_Prog_8!$C$8:$C$17,$B17))*$D$8+(COUNTIF(CA_Prog_1!$C$18:$C$25,$B17)+COUNTIF(CA_Prog_2!$C$18:$C$25,$B17)+COUNTIF(CA_Prog_3!$C$18:$C$25,$B17)+COUNTIF(CA_Prog_4!$C$18:$C$25,$B17)+COUNTIF(CA_Prog_5!$C$18:$C$25,$B17)+COUNTIF(CA_Prog_6!$C$18:$C$25,$B17)+COUNTIF(CA_Prog_7!$C$18:$C$25,$B17)+COUNTIF(CA_Prog_8!$C$18:$C$25,$B17))*150000))</f>
        <v/>
      </c>
      <c r="D17" s="135" t="str">
        <f>IF($B17="","",IF((COUNTIF(CA_Prog_1!$D$8:$D$17,$B17)+COUNTIF(CA_Prog_2!$D$8:$D$17,$B17)+COUNTIF(CA_Prog_3!$D$8:$D$17,$B17)+COUNTIF(CA_Prog_4!$D$8:$D$17,$B17)+COUNTIF(CA_Prog_5!$D$8:$D$17,$B17)+COUNTIF(CA_Prog_6!$D$8:$D$17,$B17)+COUNTIF(CA_Prog_7!$D$8:$D$17,$B17)+COUNTIF(CA_Prog_8!$D$8:$D$17,$B17))*$D$8+(COUNTIF(CA_Prog_1!$D$18:$D$25,$B17)+COUNTIF(CA_Prog_2!$D$18:$D$25,$B17)+COUNTIF(CA_Prog_3!$D$18:$D$25,$B17)+COUNTIF(CA_Prog_4!$D$18:$D$25,$B17)+COUNTIF(CA_Prog_5!$D$18:$D$25,$B17)+COUNTIF(CA_Prog_6!$D$18:$D$25,$B17)+COUNTIF(CA_Prog_7!$D$18:$D$25,$B17)+COUNTIF(CA_Prog_8!$D$18:$D$25,$B17))*150000=0,"",(COUNTIF(CA_Prog_1!$D$8:$D$17,$B17)+COUNTIF(CA_Prog_2!$D$8:$D$17,$B17)+COUNTIF(CA_Prog_3!$D$8:$D$17,$B17)+COUNTIF(CA_Prog_4!$D$8:$D$17,$B17)+COUNTIF(CA_Prog_5!$D$8:$D$17,$B17)+COUNTIF(CA_Prog_6!$D$8:$D$17,$B17)+COUNTIF(CA_Prog_7!$D$8:$D$17,$B17)+COUNTIF(CA_Prog_8!$D$8:$D$17,$B17))*$D$8+(COUNTIF(CA_Prog_1!$D$18:$D$25,$B17)+COUNTIF(CA_Prog_2!$D$18:$D$25,$B17)+COUNTIF(CA_Prog_3!$D$18:$D$25,$B17)+COUNTIF(CA_Prog_4!$D$18:$D$25,$B17)+COUNTIF(CA_Prog_5!$D$18:$D$25,$B17)+COUNTIF(CA_Prog_6!$D$18:$D$25,$B17)+COUNTIF(CA_Prog_7!$D$18:$D$25,$B17)+COUNTIF(CA_Prog_8!$D$18:$D$25,$B17))*150000))</f>
        <v/>
      </c>
      <c r="E17" s="135" t="str">
        <f>IF($B17="","",IF((COUNTIF(CA_Prog_1!$E$8:$E$17,$B17)+COUNTIF(CA_Prog_2!$E$8:$E$17,$B17)+COUNTIF(CA_Prog_3!$E$8:$E$17,$B17)+COUNTIF(CA_Prog_4!$E$8:$E$17,$B17)+COUNTIF(CA_Prog_5!$E$8:$E$17,$B17)+COUNTIF(CA_Prog_6!$E$8:$E$17,$B17)+COUNTIF(CA_Prog_7!$E$8:$E$17,$B17)+COUNTIF(CA_Prog_8!$E$8:$E$17,$B17))*$D$8+(COUNTIF(CA_Prog_1!$E$18:$E$25,$B17)+COUNTIF(CA_Prog_2!$E$18:$E$25,$B17)+COUNTIF(CA_Prog_3!$E$18:$E$25,$B17)+COUNTIF(CA_Prog_4!$E$18:$E$25,$B17)+COUNTIF(CA_Prog_5!$E$18:$E$25,$B17)+COUNTIF(CA_Prog_6!$E$18:$E$25,$B17)+COUNTIF(CA_Prog_7!$E$18:$E$25,$B17)+COUNTIF(CA_Prog_8!$E$18:$E$25,$B17))*150000=0,"",(COUNTIF(CA_Prog_1!$E$8:$E$17,$B17)+COUNTIF(CA_Prog_2!$E$8:$E$17,$B17)+COUNTIF(CA_Prog_3!$E$8:$E$17,$B17)+COUNTIF(CA_Prog_4!$E$8:$E$17,$B17)+COUNTIF(CA_Prog_5!$E$8:$E$17,$B17)+COUNTIF(CA_Prog_6!$E$8:$E$17,$B17)+COUNTIF(CA_Prog_7!$E$8:$E$17,$B17)+COUNTIF(CA_Prog_8!$E$8:$E$17,$B17))*$D$8+(COUNTIF(CA_Prog_1!$E$18:$E$25,$B17)+COUNTIF(CA_Prog_2!$E$18:$E$25,$B17)+COUNTIF(CA_Prog_3!$E$18:$E$25,$B17)++COUNTIF(CA_Prog_4!$E$18:$E$25,$B17)+COUNTIF(CA_Prog_5!$E$18:$E$25,$B17)+COUNTIF(CA_Prog_6!$E$18:$E$25,$B17)+COUNTIF(CA_Prog_7!$E$18:$E$25,$B17)+COUNTIF(CA_Prog_8!$E$18:$E$25,$B17))*150000))</f>
        <v/>
      </c>
      <c r="F17" s="135" t="str">
        <f>IF($B17="","",IF((COUNTIF(CA_Prog_1!$F$8:$F$17,$B17)+COUNTIF(CA_Prog_2!$F$8:$F$17,$B17)+COUNTIF(CA_Prog_3!$F$8:$F$17,$B17)+COUNTIF(CA_Prog_4!$F$8:$F$17,$B17)+COUNTIF(CA_Prog_5!$F$8:$F$17,$B17)+COUNTIF(CA_Prog_6!$F$8:$F$17,$B17)+COUNTIF(CA_Prog_7!$F$8:$F$17,$B17)+COUNTIF(CA_Prog_8!$F$8:$F$17,$B17))*$D$8+(COUNTIF(CA_Prog_1!$F$18:$F$25,$B17)+COUNTIF(CA_Prog_2!$F$18:$F$25,$B17)+COUNTIF(CA_Prog_3!$F$18:$F$25,$B17)+COUNTIF(CA_Prog_4!$F$18:$F$25,$B17)+COUNTIF(CA_Prog_5!$F$18:$F$25,$B17)+COUNTIF(CA_Prog_6!$F$18:$F$25,$B17)+COUNTIF(CA_Prog_7!$F$18:$F$25,$B17)+COUNTIF(CA_Prog_8!$F$18:$F$25,$B17))*150000=0,"",(COUNTIF(CA_Prog_1!$F$8:$F$17,$B17)+COUNTIF(CA_Prog_2!$F$8:$F$17,$B17)+COUNTIF(CA_Prog_3!$F$8:$F$17,$B17)+COUNTIF(CA_Prog_4!$F$8:$F$17,$B17)+COUNTIF(CA_Prog_5!$F$8:$F$17,$B17)+COUNTIF(CA_Prog_6!$F$8:$F$17,$B17)+COUNTIF(CA_Prog_7!$F$8:$F$17,$B17)+COUNTIF(CA_Prog_8!$F$8:$F$17,$B17))*$D$8+(COUNTIF(CA_Prog_1!$F$18:$F$25,$B17)+COUNTIF(CA_Prog_2!$F$18:$F$25,$B17)+COUNTIF(CA_Prog_3!$F$18:$F$25,$B17)+COUNTIF(CA_Prog_4!$F$18:$F$25,$B17)+COUNTIF(CA_Prog_5!$F$18:$F$25,$B17)+COUNTIF(CA_Prog_6!$F$18:$F$25,$B17)+COUNTIF(CA_Prog_7!$F$18:$F$25,$B17)+COUNTIF(CA_Prog_8!$F$18:$F$25,$B17))*150000))</f>
        <v/>
      </c>
      <c r="G17" s="135" t="str">
        <f>IF($B17="","",IF((COUNTIF(CA_Prog_1!$G$8:$G$17,$B17)+COUNTIF(CA_Prog_2!$G$8:$G$17,$B17)+COUNTIF(CA_Prog_3!$G$8:$G$17,$B17)+COUNTIF(CA_Prog_4!$G$8:$G$17,$B17)+COUNTIF(CA_Prog_5!$G$8:$G$17,$B17)+COUNTIF(CA_Prog_6!$G$8:$G$17,$B17)+COUNTIF(CA_Prog_7!$G$8:$G$17,$B17)+COUNTIF(CA_Prog_8!$G$8:$G$17,$B17))*$D$8+(COUNTIF(CA_Prog_1!$G$18:$G$25,$B17)+COUNTIF(CA_Prog_2!$G$18:$G$25,$B17)+COUNTIF(CA_Prog_3!$G$18:$G$25,$B17)+COUNTIF(CA_Prog_4!$G$18:$G$25,$B17)+COUNTIF(CA_Prog_5!$G$18:$G$25,$B17)+COUNTIF(CA_Prog_6!$G$18:$G$25,$B17)+COUNTIF(CA_Prog_7!$G$18:$G$25,$B17)+COUNTIF(CA_Prog_8!$G$18:$G$25,$B17))*150000=0,"",(COUNTIF(CA_Prog_1!$G$8:$G$17,$B17)+COUNTIF(CA_Prog_2!$G$8:$G$17,$B17)+COUNTIF(CA_Prog_3!$G$8:$G$17,$B17)+COUNTIF(CA_Prog_4!$G$8:$G$17,$B17)+COUNTIF(CA_Prog_5!$G$8:$G$17,$B17)+COUNTIF(CA_Prog_6!$G$8:$G$17,$B17)+COUNTIF(CA_Prog_7!$G$8:$G$17,$B17)+COUNTIF(CA_Prog_8!$G$8:$G$17,$B17))*$D$8+(COUNTIF(CA_Prog_1!$G$18:$G$25,$B17)+COUNTIF(CA_Prog_2!$G$18:$G$25,$B17)+COUNTIF(CA_Prog_3!$G$18:$G$25,$B17)+COUNTIF(CA_Prog_4!$G$18:$G$25,$B17)+COUNTIF(CA_Prog_5!$G$18:$G$25,$B17)+COUNTIF(CA_Prog_6!$G$18:$G$25,$B17)+COUNTIF(CA_Prog_7!$G$18:$G$25,$B17)+COUNTIF(CA_Prog_8!$G$18:$G$25,$B17))*150000))</f>
        <v/>
      </c>
      <c r="H17" s="136" t="str">
        <f t="shared" si="0"/>
        <v/>
      </c>
      <c r="I17" s="53"/>
      <c r="J17" s="53"/>
      <c r="K17" s="53"/>
      <c r="L17" s="53"/>
      <c r="M17" s="53"/>
      <c r="N17" s="53"/>
      <c r="P17" s="53"/>
    </row>
    <row r="18" spans="1:16" x14ac:dyDescent="0.25">
      <c r="A18" s="133">
        <f>IF(ISTEXT($B18),7,"")</f>
        <v>7</v>
      </c>
      <c r="B18" s="65" t="s">
        <v>412</v>
      </c>
      <c r="C18" s="135" t="str">
        <f>IF($B18="","",IF((COUNTIF(CA_Prog_1!$C$8:$C$17,$B18)+COUNTIF(CA_Prog_2!$C$8:$C$17,$B18)+COUNTIF(CA_Prog_3!$C$8:$C$17,$B18)+COUNTIF(CA_Prog_4!$C$8:$C$17,$B18)+COUNTIF(CA_Prog_5!$C$8:$C$17,$B18)+COUNTIF(CA_Prog_6!$C$8:$C$17,$B18)+COUNTIF(CA_Prog_7!$C$8:$C$17,$B18)+COUNTIF(CA_Prog_8!$C$8:$C$17,$B18))*$D$8+(COUNTIF(CA_Prog_1!$C$18:$C$25,$B18)+COUNTIF(CA_Prog_2!$C$18:$C$25,$B18)+COUNTIF(CA_Prog_3!$C$18:$C$25,$B18)+COUNTIF(CA_Prog_4!$C$18:$C$25,$B18)+COUNTIF(CA_Prog_5!$C$18:$C$25,$B18)+COUNTIF(CA_Prog_6!$C$18:$C$25,$B18)+COUNTIF(CA_Prog_7!$C$18:$C$25,$B18)+COUNTIF(CA_Prog_8!$C$18:$C$25,$B18))*150000=0,"",(COUNTIF(CA_Prog_1!$C$8:$C$17,$B18)+COUNTIF(CA_Prog_2!$C$8:$C$17,$B18)+COUNTIF(CA_Prog_3!$C$8:$C$17,$B18)+COUNTIF(CA_Prog_4!$C$8:$C$17,$B18)+COUNTIF(CA_Prog_5!$C$8:$C$17,$B18)+COUNTIF(CA_Prog_6!$C$8:$C$17,$B18)+COUNTIF(CA_Prog_7!$C$8:$C$17,$B18)+COUNTIF(CA_Prog_8!$C$8:$C$17,$B18))*$D$8+(COUNTIF(CA_Prog_1!$C$18:$C$25,$B18)+COUNTIF(CA_Prog_2!$C$18:$C$25,$B18)+COUNTIF(CA_Prog_3!$C$18:$C$25,$B18)+COUNTIF(CA_Prog_4!$C$18:$C$25,$B18)+COUNTIF(CA_Prog_5!$C$18:$C$25,$B18)+COUNTIF(CA_Prog_6!$C$18:$C$25,$B18)+COUNTIF(CA_Prog_7!$C$18:$C$25,$B18)+COUNTIF(CA_Prog_8!$C$18:$C$25,$B18))*150000))</f>
        <v/>
      </c>
      <c r="D18" s="135" t="str">
        <f>IF($B18="","",IF((COUNTIF(CA_Prog_1!$D$8:$D$17,$B18)+COUNTIF(CA_Prog_2!$D$8:$D$17,$B18)+COUNTIF(CA_Prog_3!$D$8:$D$17,$B18)+COUNTIF(CA_Prog_4!$D$8:$D$17,$B18)+COUNTIF(CA_Prog_5!$D$8:$D$17,$B18)+COUNTIF(CA_Prog_6!$D$8:$D$17,$B18)+COUNTIF(CA_Prog_7!$D$8:$D$17,$B18)+COUNTIF(CA_Prog_8!$D$8:$D$17,$B18))*$D$8+(COUNTIF(CA_Prog_1!$D$18:$D$25,$B18)+COUNTIF(CA_Prog_2!$D$18:$D$25,$B18)+COUNTIF(CA_Prog_3!$D$18:$D$25,$B18)+COUNTIF(CA_Prog_4!$D$18:$D$25,$B18)+COUNTIF(CA_Prog_5!$D$18:$D$25,$B18)+COUNTIF(CA_Prog_6!$D$18:$D$25,$B18)+COUNTIF(CA_Prog_7!$D$18:$D$25,$B18)+COUNTIF(CA_Prog_8!$D$18:$D$25,$B18))*150000=0,"",(COUNTIF(CA_Prog_1!$D$8:$D$17,$B18)+COUNTIF(CA_Prog_2!$D$8:$D$17,$B18)+COUNTIF(CA_Prog_3!$D$8:$D$17,$B18)+COUNTIF(CA_Prog_4!$D$8:$D$17,$B18)+COUNTIF(CA_Prog_5!$D$8:$D$17,$B18)+COUNTIF(CA_Prog_6!$D$8:$D$17,$B18)+COUNTIF(CA_Prog_7!$D$8:$D$17,$B18)+COUNTIF(CA_Prog_8!$D$8:$D$17,$B18))*$D$8+(COUNTIF(CA_Prog_1!$D$18:$D$25,$B18)+COUNTIF(CA_Prog_2!$D$18:$D$25,$B18)+COUNTIF(CA_Prog_3!$D$18:$D$25,$B18)+COUNTIF(CA_Prog_4!$D$18:$D$25,$B18)+COUNTIF(CA_Prog_5!$D$18:$D$25,$B18)+COUNTIF(CA_Prog_6!$D$18:$D$25,$B18)+COUNTIF(CA_Prog_7!$D$18:$D$25,$B18)+COUNTIF(CA_Prog_8!$D$18:$D$25,$B18))*150000))</f>
        <v/>
      </c>
      <c r="E18" s="135" t="str">
        <f>IF($B18="","",IF((COUNTIF(CA_Prog_1!$E$8:$E$17,$B18)+COUNTIF(CA_Prog_2!$E$8:$E$17,$B18)+COUNTIF(CA_Prog_3!$E$8:$E$17,$B18)+COUNTIF(CA_Prog_4!$E$8:$E$17,$B18)+COUNTIF(CA_Prog_5!$E$8:$E$17,$B18)+COUNTIF(CA_Prog_6!$E$8:$E$17,$B18)+COUNTIF(CA_Prog_7!$E$8:$E$17,$B18)+COUNTIF(CA_Prog_8!$E$8:$E$17,$B18))*$D$8+(COUNTIF(CA_Prog_1!$E$18:$E$25,$B18)+COUNTIF(CA_Prog_2!$E$18:$E$25,$B18)+COUNTIF(CA_Prog_3!$E$18:$E$25,$B18)+COUNTIF(CA_Prog_4!$E$18:$E$25,$B18)+COUNTIF(CA_Prog_5!$E$18:$E$25,$B18)+COUNTIF(CA_Prog_6!$E$18:$E$25,$B18)+COUNTIF(CA_Prog_7!$E$18:$E$25,$B18)+COUNTIF(CA_Prog_8!$E$18:$E$25,$B18))*150000=0,"",(COUNTIF(CA_Prog_1!$E$8:$E$17,$B18)+COUNTIF(CA_Prog_2!$E$8:$E$17,$B18)+COUNTIF(CA_Prog_3!$E$8:$E$17,$B18)+COUNTIF(CA_Prog_4!$E$8:$E$17,$B18)+COUNTIF(CA_Prog_5!$E$8:$E$17,$B18)+COUNTIF(CA_Prog_6!$E$8:$E$17,$B18)+COUNTIF(CA_Prog_7!$E$8:$E$17,$B18)+COUNTIF(CA_Prog_8!$E$8:$E$17,$B18))*$D$8+(COUNTIF(CA_Prog_1!$E$18:$E$25,$B18)+COUNTIF(CA_Prog_2!$E$18:$E$25,$B18)+COUNTIF(CA_Prog_3!$E$18:$E$25,$B18)++COUNTIF(CA_Prog_4!$E$18:$E$25,$B18)+COUNTIF(CA_Prog_5!$E$18:$E$25,$B18)+COUNTIF(CA_Prog_6!$E$18:$E$25,$B18)+COUNTIF(CA_Prog_7!$E$18:$E$25,$B18)+COUNTIF(CA_Prog_8!$E$18:$E$25,$B18))*150000))</f>
        <v/>
      </c>
      <c r="F18" s="135" t="str">
        <f>IF($B18="","",IF((COUNTIF(CA_Prog_1!$F$8:$F$17,$B18)+COUNTIF(CA_Prog_2!$F$8:$F$17,$B18)+COUNTIF(CA_Prog_3!$F$8:$F$17,$B18)+COUNTIF(CA_Prog_4!$F$8:$F$17,$B18)+COUNTIF(CA_Prog_5!$F$8:$F$17,$B18)+COUNTIF(CA_Prog_6!$F$8:$F$17,$B18)+COUNTIF(CA_Prog_7!$F$8:$F$17,$B18)+COUNTIF(CA_Prog_8!$F$8:$F$17,$B18))*$D$8+(COUNTIF(CA_Prog_1!$F$18:$F$25,$B18)+COUNTIF(CA_Prog_2!$F$18:$F$25,$B18)+COUNTIF(CA_Prog_3!$F$18:$F$25,$B18)+COUNTIF(CA_Prog_4!$F$18:$F$25,$B18)+COUNTIF(CA_Prog_5!$F$18:$F$25,$B18)+COUNTIF(CA_Prog_6!$F$18:$F$25,$B18)+COUNTIF(CA_Prog_7!$F$18:$F$25,$B18)+COUNTIF(CA_Prog_8!$F$18:$F$25,$B18))*150000=0,"",(COUNTIF(CA_Prog_1!$F$8:$F$17,$B18)+COUNTIF(CA_Prog_2!$F$8:$F$17,$B18)+COUNTIF(CA_Prog_3!$F$8:$F$17,$B18)+COUNTIF(CA_Prog_4!$F$8:$F$17,$B18)+COUNTIF(CA_Prog_5!$F$8:$F$17,$B18)+COUNTIF(CA_Prog_6!$F$8:$F$17,$B18)+COUNTIF(CA_Prog_7!$F$8:$F$17,$B18)+COUNTIF(CA_Prog_8!$F$8:$F$17,$B18))*$D$8+(COUNTIF(CA_Prog_1!$F$18:$F$25,$B18)+COUNTIF(CA_Prog_2!$F$18:$F$25,$B18)+COUNTIF(CA_Prog_3!$F$18:$F$25,$B18)+COUNTIF(CA_Prog_4!$F$18:$F$25,$B18)+COUNTIF(CA_Prog_5!$F$18:$F$25,$B18)+COUNTIF(CA_Prog_6!$F$18:$F$25,$B18)+COUNTIF(CA_Prog_7!$F$18:$F$25,$B18)+COUNTIF(CA_Prog_8!$F$18:$F$25,$B18))*150000))</f>
        <v/>
      </c>
      <c r="G18" s="135" t="str">
        <f>IF($B18="","",IF((COUNTIF(CA_Prog_1!$G$8:$G$17,$B18)+COUNTIF(CA_Prog_2!$G$8:$G$17,$B18)+COUNTIF(CA_Prog_3!$G$8:$G$17,$B18)+COUNTIF(CA_Prog_4!$G$8:$G$17,$B18)+COUNTIF(CA_Prog_5!$G$8:$G$17,$B18)+COUNTIF(CA_Prog_6!$G$8:$G$17,$B18)+COUNTIF(CA_Prog_7!$G$8:$G$17,$B18)+COUNTIF(CA_Prog_8!$G$8:$G$17,$B18))*$D$8+(COUNTIF(CA_Prog_1!$G$18:$G$25,$B18)+COUNTIF(CA_Prog_2!$G$18:$G$25,$B18)+COUNTIF(CA_Prog_3!$G$18:$G$25,$B18)+COUNTIF(CA_Prog_4!$G$18:$G$25,$B18)+COUNTIF(CA_Prog_5!$G$18:$G$25,$B18)+COUNTIF(CA_Prog_6!$G$18:$G$25,$B18)+COUNTIF(CA_Prog_7!$G$18:$G$25,$B18)+COUNTIF(CA_Prog_8!$G$18:$G$25,$B18))*150000=0,"",(COUNTIF(CA_Prog_1!$G$8:$G$17,$B18)+COUNTIF(CA_Prog_2!$G$8:$G$17,$B18)+COUNTIF(CA_Prog_3!$G$8:$G$17,$B18)+COUNTIF(CA_Prog_4!$G$8:$G$17,$B18)+COUNTIF(CA_Prog_5!$G$8:$G$17,$B18)+COUNTIF(CA_Prog_6!$G$8:$G$17,$B18)+COUNTIF(CA_Prog_7!$G$8:$G$17,$B18)+COUNTIF(CA_Prog_8!$G$8:$G$17,$B18))*$D$8+(COUNTIF(CA_Prog_1!$G$18:$G$25,$B18)+COUNTIF(CA_Prog_2!$G$18:$G$25,$B18)+COUNTIF(CA_Prog_3!$G$18:$G$25,$B18)+COUNTIF(CA_Prog_4!$G$18:$G$25,$B18)+COUNTIF(CA_Prog_5!$G$18:$G$25,$B18)+COUNTIF(CA_Prog_6!$G$18:$G$25,$B18)+COUNTIF(CA_Prog_7!$G$18:$G$25,$B18)+COUNTIF(CA_Prog_8!$G$18:$G$25,$B18))*150000))</f>
        <v/>
      </c>
      <c r="H18" s="136" t="str">
        <f t="shared" si="0"/>
        <v/>
      </c>
      <c r="I18" s="53"/>
      <c r="J18" s="53"/>
      <c r="K18" s="53"/>
      <c r="L18" s="53"/>
      <c r="M18" s="53"/>
      <c r="N18" s="53"/>
      <c r="P18" s="53"/>
    </row>
    <row r="19" spans="1:16" x14ac:dyDescent="0.25">
      <c r="A19" s="133">
        <f>IF(ISTEXT($B19),8,"")</f>
        <v>8</v>
      </c>
      <c r="B19" s="210" t="s">
        <v>409</v>
      </c>
      <c r="C19" s="135" t="str">
        <f>IF($B19="","",IF((COUNTIF(CA_Prog_1!$C$8:$C$17,$B19)+COUNTIF(CA_Prog_2!$C$8:$C$17,$B19)+COUNTIF(CA_Prog_3!$C$8:$C$17,$B19)+COUNTIF(CA_Prog_4!$C$8:$C$17,$B19)+COUNTIF(CA_Prog_5!$C$8:$C$17,$B19)+COUNTIF(CA_Prog_6!$C$8:$C$17,$B19)+COUNTIF(CA_Prog_7!$C$8:$C$17,$B19)+COUNTIF(CA_Prog_8!$C$8:$C$17,$B19))*$D$8+(COUNTIF(CA_Prog_1!$C$18:$C$25,$B19)+COUNTIF(CA_Prog_2!$C$18:$C$25,$B19)+COUNTIF(CA_Prog_3!$C$18:$C$25,$B19)+COUNTIF(CA_Prog_4!$C$18:$C$25,$B19)+COUNTIF(CA_Prog_5!$C$18:$C$25,$B19)+COUNTIF(CA_Prog_6!$C$18:$C$25,$B19)+COUNTIF(CA_Prog_7!$C$18:$C$25,$B19)+COUNTIF(CA_Prog_8!$C$18:$C$25,$B19))*150000=0,"",(COUNTIF(CA_Prog_1!$C$8:$C$17,$B19)+COUNTIF(CA_Prog_2!$C$8:$C$17,$B19)+COUNTIF(CA_Prog_3!$C$8:$C$17,$B19)+COUNTIF(CA_Prog_4!$C$8:$C$17,$B19)+COUNTIF(CA_Prog_5!$C$8:$C$17,$B19)+COUNTIF(CA_Prog_6!$C$8:$C$17,$B19)+COUNTIF(CA_Prog_7!$C$8:$C$17,$B19)+COUNTIF(CA_Prog_8!$C$8:$C$17,$B19))*$D$8+(COUNTIF(CA_Prog_1!$C$18:$C$25,$B19)+COUNTIF(CA_Prog_2!$C$18:$C$25,$B19)+COUNTIF(CA_Prog_3!$C$18:$C$25,$B19)+COUNTIF(CA_Prog_4!$C$18:$C$25,$B19)+COUNTIF(CA_Prog_5!$C$18:$C$25,$B19)+COUNTIF(CA_Prog_6!$C$18:$C$25,$B19)+COUNTIF(CA_Prog_7!$C$18:$C$25,$B19)+COUNTIF(CA_Prog_8!$C$18:$C$25,$B19))*150000))</f>
        <v/>
      </c>
      <c r="D19" s="135">
        <f>IF($B19="","",IF((COUNTIF(CA_Prog_1!$D$8:$D$17,$B19)+COUNTIF(CA_Prog_2!$D$8:$D$17,$B19)+COUNTIF(CA_Prog_3!$D$8:$D$17,$B19)+COUNTIF(CA_Prog_4!$D$8:$D$17,$B19)+COUNTIF(CA_Prog_5!$D$8:$D$17,$B19)+COUNTIF(CA_Prog_6!$D$8:$D$17,$B19)+COUNTIF(CA_Prog_7!$D$8:$D$17,$B19)+COUNTIF(CA_Prog_8!$D$8:$D$17,$B19))*$D$8+(COUNTIF(CA_Prog_1!$D$18:$D$25,$B19)+COUNTIF(CA_Prog_2!$D$18:$D$25,$B19)+COUNTIF(CA_Prog_3!$D$18:$D$25,$B19)+COUNTIF(CA_Prog_4!$D$18:$D$25,$B19)+COUNTIF(CA_Prog_5!$D$18:$D$25,$B19)+COUNTIF(CA_Prog_6!$D$18:$D$25,$B19)+COUNTIF(CA_Prog_7!$D$18:$D$25,$B19)+COUNTIF(CA_Prog_8!$D$18:$D$25,$B19))*150000=0,"",(COUNTIF(CA_Prog_1!$D$8:$D$17,$B19)+COUNTIF(CA_Prog_2!$D$8:$D$17,$B19)+COUNTIF(CA_Prog_3!$D$8:$D$17,$B19)+COUNTIF(CA_Prog_4!$D$8:$D$17,$B19)+COUNTIF(CA_Prog_5!$D$8:$D$17,$B19)+COUNTIF(CA_Prog_6!$D$8:$D$17,$B19)+COUNTIF(CA_Prog_7!$D$8:$D$17,$B19)+COUNTIF(CA_Prog_8!$D$8:$D$17,$B19))*$D$8+(COUNTIF(CA_Prog_1!$D$18:$D$25,$B19)+COUNTIF(CA_Prog_2!$D$18:$D$25,$B19)+COUNTIF(CA_Prog_3!$D$18:$D$25,$B19)+COUNTIF(CA_Prog_4!$D$18:$D$25,$B19)+COUNTIF(CA_Prog_5!$D$18:$D$25,$B19)+COUNTIF(CA_Prog_6!$D$18:$D$25,$B19)+COUNTIF(CA_Prog_7!$D$18:$D$25,$B19)+COUNTIF(CA_Prog_8!$D$18:$D$25,$B19))*150000))</f>
        <v>300000</v>
      </c>
      <c r="E19" s="135">
        <f>IF($B19="","",IF((COUNTIF(CA_Prog_1!$E$8:$E$17,$B19)+COUNTIF(CA_Prog_2!$E$8:$E$17,$B19)+COUNTIF(CA_Prog_3!$E$8:$E$17,$B19)+COUNTIF(CA_Prog_4!$E$8:$E$17,$B19)+COUNTIF(CA_Prog_5!$E$8:$E$17,$B19)+COUNTIF(CA_Prog_6!$E$8:$E$17,$B19)+COUNTIF(CA_Prog_7!$E$8:$E$17,$B19)+COUNTIF(CA_Prog_8!$E$8:$E$17,$B19))*$D$8+(COUNTIF(CA_Prog_1!$E$18:$E$25,$B19)+COUNTIF(CA_Prog_2!$E$18:$E$25,$B19)+COUNTIF(CA_Prog_3!$E$18:$E$25,$B19)+COUNTIF(CA_Prog_4!$E$18:$E$25,$B19)+COUNTIF(CA_Prog_5!$E$18:$E$25,$B19)+COUNTIF(CA_Prog_6!$E$18:$E$25,$B19)+COUNTIF(CA_Prog_7!$E$18:$E$25,$B19)+COUNTIF(CA_Prog_8!$E$18:$E$25,$B19))*150000=0,"",(COUNTIF(CA_Prog_1!$E$8:$E$17,$B19)+COUNTIF(CA_Prog_2!$E$8:$E$17,$B19)+COUNTIF(CA_Prog_3!$E$8:$E$17,$B19)+COUNTIF(CA_Prog_4!$E$8:$E$17,$B19)+COUNTIF(CA_Prog_5!$E$8:$E$17,$B19)+COUNTIF(CA_Prog_6!$E$8:$E$17,$B19)+COUNTIF(CA_Prog_7!$E$8:$E$17,$B19)+COUNTIF(CA_Prog_8!$E$8:$E$17,$B19))*$D$8+(COUNTIF(CA_Prog_1!$E$18:$E$25,$B19)+COUNTIF(CA_Prog_2!$E$18:$E$25,$B19)+COUNTIF(CA_Prog_3!$E$18:$E$25,$B19)++COUNTIF(CA_Prog_4!$E$18:$E$25,$B19)+COUNTIF(CA_Prog_5!$E$18:$E$25,$B19)+COUNTIF(CA_Prog_6!$E$18:$E$25,$B19)+COUNTIF(CA_Prog_7!$E$18:$E$25,$B19)+COUNTIF(CA_Prog_8!$E$18:$E$25,$B19))*150000))</f>
        <v>150000</v>
      </c>
      <c r="F19" s="135">
        <f>IF($B19="","",IF((COUNTIF(CA_Prog_1!$F$8:$F$17,$B19)+COUNTIF(CA_Prog_2!$F$8:$F$17,$B19)+COUNTIF(CA_Prog_3!$F$8:$F$17,$B19)+COUNTIF(CA_Prog_4!$F$8:$F$17,$B19)+COUNTIF(CA_Prog_5!$F$8:$F$17,$B19)+COUNTIF(CA_Prog_6!$F$8:$F$17,$B19)+COUNTIF(CA_Prog_7!$F$8:$F$17,$B19)+COUNTIF(CA_Prog_8!$F$8:$F$17,$B19))*$D$8+(COUNTIF(CA_Prog_1!$F$18:$F$25,$B19)+COUNTIF(CA_Prog_2!$F$18:$F$25,$B19)+COUNTIF(CA_Prog_3!$F$18:$F$25,$B19)+COUNTIF(CA_Prog_4!$F$18:$F$25,$B19)+COUNTIF(CA_Prog_5!$F$18:$F$25,$B19)+COUNTIF(CA_Prog_6!$F$18:$F$25,$B19)+COUNTIF(CA_Prog_7!$F$18:$F$25,$B19)+COUNTIF(CA_Prog_8!$F$18:$F$25,$B19))*150000=0,"",(COUNTIF(CA_Prog_1!$F$8:$F$17,$B19)+COUNTIF(CA_Prog_2!$F$8:$F$17,$B19)+COUNTIF(CA_Prog_3!$F$8:$F$17,$B19)+COUNTIF(CA_Prog_4!$F$8:$F$17,$B19)+COUNTIF(CA_Prog_5!$F$8:$F$17,$B19)+COUNTIF(CA_Prog_6!$F$8:$F$17,$B19)+COUNTIF(CA_Prog_7!$F$8:$F$17,$B19)+COUNTIF(CA_Prog_8!$F$8:$F$17,$B19))*$D$8+(COUNTIF(CA_Prog_1!$F$18:$F$25,$B19)+COUNTIF(CA_Prog_2!$F$18:$F$25,$B19)+COUNTIF(CA_Prog_3!$F$18:$F$25,$B19)+COUNTIF(CA_Prog_4!$F$18:$F$25,$B19)+COUNTIF(CA_Prog_5!$F$18:$F$25,$B19)+COUNTIF(CA_Prog_6!$F$18:$F$25,$B19)+COUNTIF(CA_Prog_7!$F$18:$F$25,$B19)+COUNTIF(CA_Prog_8!$F$18:$F$25,$B19))*150000))</f>
        <v>150000</v>
      </c>
      <c r="G19" s="135">
        <f>IF($B19="","",IF((COUNTIF(CA_Prog_1!$G$8:$G$17,$B19)+COUNTIF(CA_Prog_2!$G$8:$G$17,$B19)+COUNTIF(CA_Prog_3!$G$8:$G$17,$B19)+COUNTIF(CA_Prog_4!$G$8:$G$17,$B19)+COUNTIF(CA_Prog_5!$G$8:$G$17,$B19)+COUNTIF(CA_Prog_6!$G$8:$G$17,$B19)+COUNTIF(CA_Prog_7!$G$8:$G$17,$B19)+COUNTIF(CA_Prog_8!$G$8:$G$17,$B19))*$D$8+(COUNTIF(CA_Prog_1!$G$18:$G$25,$B19)+COUNTIF(CA_Prog_2!$G$18:$G$25,$B19)+COUNTIF(CA_Prog_3!$G$18:$G$25,$B19)+COUNTIF(CA_Prog_4!$G$18:$G$25,$B19)+COUNTIF(CA_Prog_5!$G$18:$G$25,$B19)+COUNTIF(CA_Prog_6!$G$18:$G$25,$B19)+COUNTIF(CA_Prog_7!$G$18:$G$25,$B19)+COUNTIF(CA_Prog_8!$G$18:$G$25,$B19))*150000=0,"",(COUNTIF(CA_Prog_1!$G$8:$G$17,$B19)+COUNTIF(CA_Prog_2!$G$8:$G$17,$B19)+COUNTIF(CA_Prog_3!$G$8:$G$17,$B19)+COUNTIF(CA_Prog_4!$G$8:$G$17,$B19)+COUNTIF(CA_Prog_5!$G$8:$G$17,$B19)+COUNTIF(CA_Prog_6!$G$8:$G$17,$B19)+COUNTIF(CA_Prog_7!$G$8:$G$17,$B19)+COUNTIF(CA_Prog_8!$G$8:$G$17,$B19))*$D$8+(COUNTIF(CA_Prog_1!$G$18:$G$25,$B19)+COUNTIF(CA_Prog_2!$G$18:$G$25,$B19)+COUNTIF(CA_Prog_3!$G$18:$G$25,$B19)+COUNTIF(CA_Prog_4!$G$18:$G$25,$B19)+COUNTIF(CA_Prog_5!$G$18:$G$25,$B19)+COUNTIF(CA_Prog_6!$G$18:$G$25,$B19)+COUNTIF(CA_Prog_7!$G$18:$G$25,$B19)+COUNTIF(CA_Prog_8!$G$18:$G$25,$B19))*150000))</f>
        <v>150000</v>
      </c>
      <c r="H19" s="136">
        <f t="shared" si="0"/>
        <v>750000</v>
      </c>
      <c r="I19" s="53"/>
      <c r="J19" s="53"/>
      <c r="K19" s="53"/>
      <c r="L19" s="53"/>
      <c r="M19" s="53"/>
      <c r="N19" s="53"/>
      <c r="P19" s="53"/>
    </row>
    <row r="20" spans="1:16" x14ac:dyDescent="0.25">
      <c r="A20" s="133">
        <f>IF(ISTEXT($B20),9,"")</f>
        <v>9</v>
      </c>
      <c r="B20" s="65" t="s">
        <v>404</v>
      </c>
      <c r="C20" s="135">
        <f>IF($B20="","",IF((COUNTIF(CA_Prog_1!$C$8:$C$17,$B20)+COUNTIF(CA_Prog_2!$C$8:$C$17,$B20)+COUNTIF(CA_Prog_3!$C$8:$C$17,$B20)+COUNTIF(CA_Prog_4!$C$8:$C$17,$B20)+COUNTIF(CA_Prog_5!$C$8:$C$17,$B20)+COUNTIF(CA_Prog_6!$C$8:$C$17,$B20)+COUNTIF(CA_Prog_7!$C$8:$C$17,$B20)+COUNTIF(CA_Prog_8!$C$8:$C$17,$B20))*$D$8+(COUNTIF(CA_Prog_1!$C$18:$C$25,$B20)+COUNTIF(CA_Prog_2!$C$18:$C$25,$B20)+COUNTIF(CA_Prog_3!$C$18:$C$25,$B20)+COUNTIF(CA_Prog_4!$C$18:$C$25,$B20)+COUNTIF(CA_Prog_5!$C$18:$C$25,$B20)+COUNTIF(CA_Prog_6!$C$18:$C$25,$B20)+COUNTIF(CA_Prog_7!$C$18:$C$25,$B20)+COUNTIF(CA_Prog_8!$C$18:$C$25,$B20))*150000=0,"",(COUNTIF(CA_Prog_1!$C$8:$C$17,$B20)+COUNTIF(CA_Prog_2!$C$8:$C$17,$B20)+COUNTIF(CA_Prog_3!$C$8:$C$17,$B20)+COUNTIF(CA_Prog_4!$C$8:$C$17,$B20)+COUNTIF(CA_Prog_5!$C$8:$C$17,$B20)+COUNTIF(CA_Prog_6!$C$8:$C$17,$B20)+COUNTIF(CA_Prog_7!$C$8:$C$17,$B20)+COUNTIF(CA_Prog_8!$C$8:$C$17,$B20))*$D$8+(COUNTIF(CA_Prog_1!$C$18:$C$25,$B20)+COUNTIF(CA_Prog_2!$C$18:$C$25,$B20)+COUNTIF(CA_Prog_3!$C$18:$C$25,$B20)+COUNTIF(CA_Prog_4!$C$18:$C$25,$B20)+COUNTIF(CA_Prog_5!$C$18:$C$25,$B20)+COUNTIF(CA_Prog_6!$C$18:$C$25,$B20)+COUNTIF(CA_Prog_7!$C$18:$C$25,$B20)+COUNTIF(CA_Prog_8!$C$18:$C$25,$B20))*150000))</f>
        <v>150000</v>
      </c>
      <c r="D20" s="135" t="str">
        <f>IF($B20="","",IF((COUNTIF(CA_Prog_1!$D$8:$D$17,$B20)+COUNTIF(CA_Prog_2!$D$8:$D$17,$B20)+COUNTIF(CA_Prog_3!$D$8:$D$17,$B20)+COUNTIF(CA_Prog_4!$D$8:$D$17,$B20)+COUNTIF(CA_Prog_5!$D$8:$D$17,$B20)+COUNTIF(CA_Prog_6!$D$8:$D$17,$B20)+COUNTIF(CA_Prog_7!$D$8:$D$17,$B20)+COUNTIF(CA_Prog_8!$D$8:$D$17,$B20))*$D$8+(COUNTIF(CA_Prog_1!$D$18:$D$25,$B20)+COUNTIF(CA_Prog_2!$D$18:$D$25,$B20)+COUNTIF(CA_Prog_3!$D$18:$D$25,$B20)+COUNTIF(CA_Prog_4!$D$18:$D$25,$B20)+COUNTIF(CA_Prog_5!$D$18:$D$25,$B20)+COUNTIF(CA_Prog_6!$D$18:$D$25,$B20)+COUNTIF(CA_Prog_7!$D$18:$D$25,$B20)+COUNTIF(CA_Prog_8!$D$18:$D$25,$B20))*150000=0,"",(COUNTIF(CA_Prog_1!$D$8:$D$17,$B20)+COUNTIF(CA_Prog_2!$D$8:$D$17,$B20)+COUNTIF(CA_Prog_3!$D$8:$D$17,$B20)+COUNTIF(CA_Prog_4!$D$8:$D$17,$B20)+COUNTIF(CA_Prog_5!$D$8:$D$17,$B20)+COUNTIF(CA_Prog_6!$D$8:$D$17,$B20)+COUNTIF(CA_Prog_7!$D$8:$D$17,$B20)+COUNTIF(CA_Prog_8!$D$8:$D$17,$B20))*$D$8+(COUNTIF(CA_Prog_1!$D$18:$D$25,$B20)+COUNTIF(CA_Prog_2!$D$18:$D$25,$B20)+COUNTIF(CA_Prog_3!$D$18:$D$25,$B20)+COUNTIF(CA_Prog_4!$D$18:$D$25,$B20)+COUNTIF(CA_Prog_5!$D$18:$D$25,$B20)+COUNTIF(CA_Prog_6!$D$18:$D$25,$B20)+COUNTIF(CA_Prog_7!$D$18:$D$25,$B20)+COUNTIF(CA_Prog_8!$D$18:$D$25,$B20))*150000))</f>
        <v/>
      </c>
      <c r="E20" s="135">
        <f>IF($B20="","",IF((COUNTIF(CA_Prog_1!$E$8:$E$17,$B20)+COUNTIF(CA_Prog_2!$E$8:$E$17,$B20)+COUNTIF(CA_Prog_3!$E$8:$E$17,$B20)+COUNTIF(CA_Prog_4!$E$8:$E$17,$B20)+COUNTIF(CA_Prog_5!$E$8:$E$17,$B20)+COUNTIF(CA_Prog_6!$E$8:$E$17,$B20)+COUNTIF(CA_Prog_7!$E$8:$E$17,$B20)+COUNTIF(CA_Prog_8!$E$8:$E$17,$B20))*$D$8+(COUNTIF(CA_Prog_1!$E$18:$E$25,$B20)+COUNTIF(CA_Prog_2!$E$18:$E$25,$B20)+COUNTIF(CA_Prog_3!$E$18:$E$25,$B20)+COUNTIF(CA_Prog_4!$E$18:$E$25,$B20)+COUNTIF(CA_Prog_5!$E$18:$E$25,$B20)+COUNTIF(CA_Prog_6!$E$18:$E$25,$B20)+COUNTIF(CA_Prog_7!$E$18:$E$25,$B20)+COUNTIF(CA_Prog_8!$E$18:$E$25,$B20))*150000=0,"",(COUNTIF(CA_Prog_1!$E$8:$E$17,$B20)+COUNTIF(CA_Prog_2!$E$8:$E$17,$B20)+COUNTIF(CA_Prog_3!$E$8:$E$17,$B20)+COUNTIF(CA_Prog_4!$E$8:$E$17,$B20)+COUNTIF(CA_Prog_5!$E$8:$E$17,$B20)+COUNTIF(CA_Prog_6!$E$8:$E$17,$B20)+COUNTIF(CA_Prog_7!$E$8:$E$17,$B20)+COUNTIF(CA_Prog_8!$E$8:$E$17,$B20))*$D$8+(COUNTIF(CA_Prog_1!$E$18:$E$25,$B20)+COUNTIF(CA_Prog_2!$E$18:$E$25,$B20)+COUNTIF(CA_Prog_3!$E$18:$E$25,$B20)++COUNTIF(CA_Prog_4!$E$18:$E$25,$B20)+COUNTIF(CA_Prog_5!$E$18:$E$25,$B20)+COUNTIF(CA_Prog_6!$E$18:$E$25,$B20)+COUNTIF(CA_Prog_7!$E$18:$E$25,$B20)+COUNTIF(CA_Prog_8!$E$18:$E$25,$B20))*150000))</f>
        <v>300000</v>
      </c>
      <c r="F20" s="135">
        <f>IF($B20="","",IF((COUNTIF(CA_Prog_1!$F$8:$F$17,$B20)+COUNTIF(CA_Prog_2!$F$8:$F$17,$B20)+COUNTIF(CA_Prog_3!$F$8:$F$17,$B20)+COUNTIF(CA_Prog_4!$F$8:$F$17,$B20)+COUNTIF(CA_Prog_5!$F$8:$F$17,$B20)+COUNTIF(CA_Prog_6!$F$8:$F$17,$B20)+COUNTIF(CA_Prog_7!$F$8:$F$17,$B20)+COUNTIF(CA_Prog_8!$F$8:$F$17,$B20))*$D$8+(COUNTIF(CA_Prog_1!$F$18:$F$25,$B20)+COUNTIF(CA_Prog_2!$F$18:$F$25,$B20)+COUNTIF(CA_Prog_3!$F$18:$F$25,$B20)+COUNTIF(CA_Prog_4!$F$18:$F$25,$B20)+COUNTIF(CA_Prog_5!$F$18:$F$25,$B20)+COUNTIF(CA_Prog_6!$F$18:$F$25,$B20)+COUNTIF(CA_Prog_7!$F$18:$F$25,$B20)+COUNTIF(CA_Prog_8!$F$18:$F$25,$B20))*150000=0,"",(COUNTIF(CA_Prog_1!$F$8:$F$17,$B20)+COUNTIF(CA_Prog_2!$F$8:$F$17,$B20)+COUNTIF(CA_Prog_3!$F$8:$F$17,$B20)+COUNTIF(CA_Prog_4!$F$8:$F$17,$B20)+COUNTIF(CA_Prog_5!$F$8:$F$17,$B20)+COUNTIF(CA_Prog_6!$F$8:$F$17,$B20)+COUNTIF(CA_Prog_7!$F$8:$F$17,$B20)+COUNTIF(CA_Prog_8!$F$8:$F$17,$B20))*$D$8+(COUNTIF(CA_Prog_1!$F$18:$F$25,$B20)+COUNTIF(CA_Prog_2!$F$18:$F$25,$B20)+COUNTIF(CA_Prog_3!$F$18:$F$25,$B20)+COUNTIF(CA_Prog_4!$F$18:$F$25,$B20)+COUNTIF(CA_Prog_5!$F$18:$F$25,$B20)+COUNTIF(CA_Prog_6!$F$18:$F$25,$B20)+COUNTIF(CA_Prog_7!$F$18:$F$25,$B20)+COUNTIF(CA_Prog_8!$F$18:$F$25,$B20))*150000))</f>
        <v>150000</v>
      </c>
      <c r="G20" s="135">
        <f>IF($B20="","",IF((COUNTIF(CA_Prog_1!$G$8:$G$17,$B20)+COUNTIF(CA_Prog_2!$G$8:$G$17,$B20)+COUNTIF(CA_Prog_3!$G$8:$G$17,$B20)+COUNTIF(CA_Prog_4!$G$8:$G$17,$B20)+COUNTIF(CA_Prog_5!$G$8:$G$17,$B20)+COUNTIF(CA_Prog_6!$G$8:$G$17,$B20)+COUNTIF(CA_Prog_7!$G$8:$G$17,$B20)+COUNTIF(CA_Prog_8!$G$8:$G$17,$B20))*$D$8+(COUNTIF(CA_Prog_1!$G$18:$G$25,$B20)+COUNTIF(CA_Prog_2!$G$18:$G$25,$B20)+COUNTIF(CA_Prog_3!$G$18:$G$25,$B20)+COUNTIF(CA_Prog_4!$G$18:$G$25,$B20)+COUNTIF(CA_Prog_5!$G$18:$G$25,$B20)+COUNTIF(CA_Prog_6!$G$18:$G$25,$B20)+COUNTIF(CA_Prog_7!$G$18:$G$25,$B20)+COUNTIF(CA_Prog_8!$G$18:$G$25,$B20))*150000=0,"",(COUNTIF(CA_Prog_1!$G$8:$G$17,$B20)+COUNTIF(CA_Prog_2!$G$8:$G$17,$B20)+COUNTIF(CA_Prog_3!$G$8:$G$17,$B20)+COUNTIF(CA_Prog_4!$G$8:$G$17,$B20)+COUNTIF(CA_Prog_5!$G$8:$G$17,$B20)+COUNTIF(CA_Prog_6!$G$8:$G$17,$B20)+COUNTIF(CA_Prog_7!$G$8:$G$17,$B20)+COUNTIF(CA_Prog_8!$G$8:$G$17,$B20))*$D$8+(COUNTIF(CA_Prog_1!$G$18:$G$25,$B20)+COUNTIF(CA_Prog_2!$G$18:$G$25,$B20)+COUNTIF(CA_Prog_3!$G$18:$G$25,$B20)+COUNTIF(CA_Prog_4!$G$18:$G$25,$B20)+COUNTIF(CA_Prog_5!$G$18:$G$25,$B20)+COUNTIF(CA_Prog_6!$G$18:$G$25,$B20)+COUNTIF(CA_Prog_7!$G$18:$G$25,$B20)+COUNTIF(CA_Prog_8!$G$18:$G$25,$B20))*150000))</f>
        <v>150000</v>
      </c>
      <c r="H20" s="136">
        <f t="shared" si="0"/>
        <v>750000</v>
      </c>
      <c r="I20" s="53"/>
      <c r="J20" s="53"/>
      <c r="K20" s="53"/>
      <c r="L20" s="53"/>
      <c r="M20" s="53"/>
      <c r="N20" s="53"/>
      <c r="P20" s="53"/>
    </row>
    <row r="21" spans="1:16" x14ac:dyDescent="0.25">
      <c r="A21" s="133">
        <f>IF(ISTEXT($B21),10,"")</f>
        <v>10</v>
      </c>
      <c r="B21" s="210" t="s">
        <v>407</v>
      </c>
      <c r="C21" s="135">
        <f>IF($B21="","",IF((COUNTIF(CA_Prog_1!$C$8:$C$17,$B21)+COUNTIF(CA_Prog_2!$C$8:$C$17,$B21)+COUNTIF(CA_Prog_3!$C$8:$C$17,$B21)+COUNTIF(CA_Prog_4!$C$8:$C$17,$B21)+COUNTIF(CA_Prog_5!$C$8:$C$17,$B21)+COUNTIF(CA_Prog_6!$C$8:$C$17,$B21)+COUNTIF(CA_Prog_7!$C$8:$C$17,$B21)+COUNTIF(CA_Prog_8!$C$8:$C$17,$B21))*$D$8+(COUNTIF(CA_Prog_1!$C$18:$C$25,$B21)+COUNTIF(CA_Prog_2!$C$18:$C$25,$B21)+COUNTIF(CA_Prog_3!$C$18:$C$25,$B21)+COUNTIF(CA_Prog_4!$C$18:$C$25,$B21)+COUNTIF(CA_Prog_5!$C$18:$C$25,$B21)+COUNTIF(CA_Prog_6!$C$18:$C$25,$B21)+COUNTIF(CA_Prog_7!$C$18:$C$25,$B21)+COUNTIF(CA_Prog_8!$C$18:$C$25,$B21))*150000=0,"",(COUNTIF(CA_Prog_1!$C$8:$C$17,$B21)+COUNTIF(CA_Prog_2!$C$8:$C$17,$B21)+COUNTIF(CA_Prog_3!$C$8:$C$17,$B21)+COUNTIF(CA_Prog_4!$C$8:$C$17,$B21)+COUNTIF(CA_Prog_5!$C$8:$C$17,$B21)+COUNTIF(CA_Prog_6!$C$8:$C$17,$B21)+COUNTIF(CA_Prog_7!$C$8:$C$17,$B21)+COUNTIF(CA_Prog_8!$C$8:$C$17,$B21))*$D$8+(COUNTIF(CA_Prog_1!$C$18:$C$25,$B21)+COUNTIF(CA_Prog_2!$C$18:$C$25,$B21)+COUNTIF(CA_Prog_3!$C$18:$C$25,$B21)+COUNTIF(CA_Prog_4!$C$18:$C$25,$B21)+COUNTIF(CA_Prog_5!$C$18:$C$25,$B21)+COUNTIF(CA_Prog_6!$C$18:$C$25,$B21)+COUNTIF(CA_Prog_7!$C$18:$C$25,$B21)+COUNTIF(CA_Prog_8!$C$18:$C$25,$B21))*150000))</f>
        <v>300000</v>
      </c>
      <c r="D21" s="135">
        <f>IF($B21="","",IF((COUNTIF(CA_Prog_1!$D$8:$D$17,$B21)+COUNTIF(CA_Prog_2!$D$8:$D$17,$B21)+COUNTIF(CA_Prog_3!$D$8:$D$17,$B21)+COUNTIF(CA_Prog_4!$D$8:$D$17,$B21)+COUNTIF(CA_Prog_5!$D$8:$D$17,$B21)+COUNTIF(CA_Prog_6!$D$8:$D$17,$B21)+COUNTIF(CA_Prog_7!$D$8:$D$17,$B21)+COUNTIF(CA_Prog_8!$D$8:$D$17,$B21))*$D$8+(COUNTIF(CA_Prog_1!$D$18:$D$25,$B21)+COUNTIF(CA_Prog_2!$D$18:$D$25,$B21)+COUNTIF(CA_Prog_3!$D$18:$D$25,$B21)+COUNTIF(CA_Prog_4!$D$18:$D$25,$B21)+COUNTIF(CA_Prog_5!$D$18:$D$25,$B21)+COUNTIF(CA_Prog_6!$D$18:$D$25,$B21)+COUNTIF(CA_Prog_7!$D$18:$D$25,$B21)+COUNTIF(CA_Prog_8!$D$18:$D$25,$B21))*150000=0,"",(COUNTIF(CA_Prog_1!$D$8:$D$17,$B21)+COUNTIF(CA_Prog_2!$D$8:$D$17,$B21)+COUNTIF(CA_Prog_3!$D$8:$D$17,$B21)+COUNTIF(CA_Prog_4!$D$8:$D$17,$B21)+COUNTIF(CA_Prog_5!$D$8:$D$17,$B21)+COUNTIF(CA_Prog_6!$D$8:$D$17,$B21)+COUNTIF(CA_Prog_7!$D$8:$D$17,$B21)+COUNTIF(CA_Prog_8!$D$8:$D$17,$B21))*$D$8+(COUNTIF(CA_Prog_1!$D$18:$D$25,$B21)+COUNTIF(CA_Prog_2!$D$18:$D$25,$B21)+COUNTIF(CA_Prog_3!$D$18:$D$25,$B21)+COUNTIF(CA_Prog_4!$D$18:$D$25,$B21)+COUNTIF(CA_Prog_5!$D$18:$D$25,$B21)+COUNTIF(CA_Prog_6!$D$18:$D$25,$B21)+COUNTIF(CA_Prog_7!$D$18:$D$25,$B21)+COUNTIF(CA_Prog_8!$D$18:$D$25,$B21))*150000))</f>
        <v>150000</v>
      </c>
      <c r="E21" s="135">
        <f>IF($B21="","",IF((COUNTIF(CA_Prog_1!$E$8:$E$17,$B21)+COUNTIF(CA_Prog_2!$E$8:$E$17,$B21)+COUNTIF(CA_Prog_3!$E$8:$E$17,$B21)+COUNTIF(CA_Prog_4!$E$8:$E$17,$B21)+COUNTIF(CA_Prog_5!$E$8:$E$17,$B21)+COUNTIF(CA_Prog_6!$E$8:$E$17,$B21)+COUNTIF(CA_Prog_7!$E$8:$E$17,$B21)+COUNTIF(CA_Prog_8!$E$8:$E$17,$B21))*$D$8+(COUNTIF(CA_Prog_1!$E$18:$E$25,$B21)+COUNTIF(CA_Prog_2!$E$18:$E$25,$B21)+COUNTIF(CA_Prog_3!$E$18:$E$25,$B21)+COUNTIF(CA_Prog_4!$E$18:$E$25,$B21)+COUNTIF(CA_Prog_5!$E$18:$E$25,$B21)+COUNTIF(CA_Prog_6!$E$18:$E$25,$B21)+COUNTIF(CA_Prog_7!$E$18:$E$25,$B21)+COUNTIF(CA_Prog_8!$E$18:$E$25,$B21))*150000=0,"",(COUNTIF(CA_Prog_1!$E$8:$E$17,$B21)+COUNTIF(CA_Prog_2!$E$8:$E$17,$B21)+COUNTIF(CA_Prog_3!$E$8:$E$17,$B21)+COUNTIF(CA_Prog_4!$E$8:$E$17,$B21)+COUNTIF(CA_Prog_5!$E$8:$E$17,$B21)+COUNTIF(CA_Prog_6!$E$8:$E$17,$B21)+COUNTIF(CA_Prog_7!$E$8:$E$17,$B21)+COUNTIF(CA_Prog_8!$E$8:$E$17,$B21))*$D$8+(COUNTIF(CA_Prog_1!$E$18:$E$25,$B21)+COUNTIF(CA_Prog_2!$E$18:$E$25,$B21)+COUNTIF(CA_Prog_3!$E$18:$E$25,$B21)++COUNTIF(CA_Prog_4!$E$18:$E$25,$B21)+COUNTIF(CA_Prog_5!$E$18:$E$25,$B21)+COUNTIF(CA_Prog_6!$E$18:$E$25,$B21)+COUNTIF(CA_Prog_7!$E$18:$E$25,$B21)+COUNTIF(CA_Prog_8!$E$18:$E$25,$B21))*150000))</f>
        <v>150000</v>
      </c>
      <c r="F21" s="135">
        <f>IF($B21="","",IF((COUNTIF(CA_Prog_1!$F$8:$F$17,$B21)+COUNTIF(CA_Prog_2!$F$8:$F$17,$B21)+COUNTIF(CA_Prog_3!$F$8:$F$17,$B21)+COUNTIF(CA_Prog_4!$F$8:$F$17,$B21)+COUNTIF(CA_Prog_5!$F$8:$F$17,$B21)+COUNTIF(CA_Prog_6!$F$8:$F$17,$B21)+COUNTIF(CA_Prog_7!$F$8:$F$17,$B21)+COUNTIF(CA_Prog_8!$F$8:$F$17,$B21))*$D$8+(COUNTIF(CA_Prog_1!$F$18:$F$25,$B21)+COUNTIF(CA_Prog_2!$F$18:$F$25,$B21)+COUNTIF(CA_Prog_3!$F$18:$F$25,$B21)+COUNTIF(CA_Prog_4!$F$18:$F$25,$B21)+COUNTIF(CA_Prog_5!$F$18:$F$25,$B21)+COUNTIF(CA_Prog_6!$F$18:$F$25,$B21)+COUNTIF(CA_Prog_7!$F$18:$F$25,$B21)+COUNTIF(CA_Prog_8!$F$18:$F$25,$B21))*150000=0,"",(COUNTIF(CA_Prog_1!$F$8:$F$17,$B21)+COUNTIF(CA_Prog_2!$F$8:$F$17,$B21)+COUNTIF(CA_Prog_3!$F$8:$F$17,$B21)+COUNTIF(CA_Prog_4!$F$8:$F$17,$B21)+COUNTIF(CA_Prog_5!$F$8:$F$17,$B21)+COUNTIF(CA_Prog_6!$F$8:$F$17,$B21)+COUNTIF(CA_Prog_7!$F$8:$F$17,$B21)+COUNTIF(CA_Prog_8!$F$8:$F$17,$B21))*$D$8+(COUNTIF(CA_Prog_1!$F$18:$F$25,$B21)+COUNTIF(CA_Prog_2!$F$18:$F$25,$B21)+COUNTIF(CA_Prog_3!$F$18:$F$25,$B21)+COUNTIF(CA_Prog_4!$F$18:$F$25,$B21)+COUNTIF(CA_Prog_5!$F$18:$F$25,$B21)+COUNTIF(CA_Prog_6!$F$18:$F$25,$B21)+COUNTIF(CA_Prog_7!$F$18:$F$25,$B21)+COUNTIF(CA_Prog_8!$F$18:$F$25,$B21))*150000))</f>
        <v>150000</v>
      </c>
      <c r="G21" s="135">
        <f>IF($B21="","",IF((COUNTIF(CA_Prog_1!$G$8:$G$17,$B21)+COUNTIF(CA_Prog_2!$G$8:$G$17,$B21)+COUNTIF(CA_Prog_3!$G$8:$G$17,$B21)+COUNTIF(CA_Prog_4!$G$8:$G$17,$B21)+COUNTIF(CA_Prog_5!$G$8:$G$17,$B21)+COUNTIF(CA_Prog_6!$G$8:$G$17,$B21)+COUNTIF(CA_Prog_7!$G$8:$G$17,$B21)+COUNTIF(CA_Prog_8!$G$8:$G$17,$B21))*$D$8+(COUNTIF(CA_Prog_1!$G$18:$G$25,$B21)+COUNTIF(CA_Prog_2!$G$18:$G$25,$B21)+COUNTIF(CA_Prog_3!$G$18:$G$25,$B21)+COUNTIF(CA_Prog_4!$G$18:$G$25,$B21)+COUNTIF(CA_Prog_5!$G$18:$G$25,$B21)+COUNTIF(CA_Prog_6!$G$18:$G$25,$B21)+COUNTIF(CA_Prog_7!$G$18:$G$25,$B21)+COUNTIF(CA_Prog_8!$G$18:$G$25,$B21))*150000=0,"",(COUNTIF(CA_Prog_1!$G$8:$G$17,$B21)+COUNTIF(CA_Prog_2!$G$8:$G$17,$B21)+COUNTIF(CA_Prog_3!$G$8:$G$17,$B21)+COUNTIF(CA_Prog_4!$G$8:$G$17,$B21)+COUNTIF(CA_Prog_5!$G$8:$G$17,$B21)+COUNTIF(CA_Prog_6!$G$8:$G$17,$B21)+COUNTIF(CA_Prog_7!$G$8:$G$17,$B21)+COUNTIF(CA_Prog_8!$G$8:$G$17,$B21))*$D$8+(COUNTIF(CA_Prog_1!$G$18:$G$25,$B21)+COUNTIF(CA_Prog_2!$G$18:$G$25,$B21)+COUNTIF(CA_Prog_3!$G$18:$G$25,$B21)+COUNTIF(CA_Prog_4!$G$18:$G$25,$B21)+COUNTIF(CA_Prog_5!$G$18:$G$25,$B21)+COUNTIF(CA_Prog_6!$G$18:$G$25,$B21)+COUNTIF(CA_Prog_7!$G$18:$G$25,$B21)+COUNTIF(CA_Prog_8!$G$18:$G$25,$B21))*150000))</f>
        <v>150000</v>
      </c>
      <c r="H21" s="136">
        <f t="shared" si="0"/>
        <v>900000</v>
      </c>
      <c r="I21" s="53"/>
      <c r="J21" s="53"/>
      <c r="K21" s="53"/>
      <c r="L21" s="53"/>
      <c r="M21" s="53"/>
      <c r="N21" s="53"/>
      <c r="P21" s="53"/>
    </row>
    <row r="22" spans="1:16" x14ac:dyDescent="0.25">
      <c r="A22" s="133">
        <f>IF(ISTEXT($B22),11,"")</f>
        <v>11</v>
      </c>
      <c r="B22" s="65" t="s">
        <v>396</v>
      </c>
      <c r="C22" s="135" t="str">
        <f>IF($B22="","",IF((COUNTIF(CA_Prog_1!$C$8:$C$17,$B22)+COUNTIF(CA_Prog_2!$C$8:$C$17,$B22)+COUNTIF(CA_Prog_3!$C$8:$C$17,$B22)+COUNTIF(CA_Prog_4!$C$8:$C$17,$B22)+COUNTIF(CA_Prog_5!$C$8:$C$17,$B22)+COUNTIF(CA_Prog_6!$C$8:$C$17,$B22)+COUNTIF(CA_Prog_7!$C$8:$C$17,$B22)+COUNTIF(CA_Prog_8!$C$8:$C$17,$B22))*$D$8+(COUNTIF(CA_Prog_1!$C$18:$C$25,$B22)+COUNTIF(CA_Prog_2!$C$18:$C$25,$B22)+COUNTIF(CA_Prog_3!$C$18:$C$25,$B22)+COUNTIF(CA_Prog_4!$C$18:$C$25,$B22)+COUNTIF(CA_Prog_5!$C$18:$C$25,$B22)+COUNTIF(CA_Prog_6!$C$18:$C$25,$B22)+COUNTIF(CA_Prog_7!$C$18:$C$25,$B22)+COUNTIF(CA_Prog_8!$C$18:$C$25,$B22))*150000=0,"",(COUNTIF(CA_Prog_1!$C$8:$C$17,$B22)+COUNTIF(CA_Prog_2!$C$8:$C$17,$B22)+COUNTIF(CA_Prog_3!$C$8:$C$17,$B22)+COUNTIF(CA_Prog_4!$C$8:$C$17,$B22)+COUNTIF(CA_Prog_5!$C$8:$C$17,$B22)+COUNTIF(CA_Prog_6!$C$8:$C$17,$B22)+COUNTIF(CA_Prog_7!$C$8:$C$17,$B22)+COUNTIF(CA_Prog_8!$C$8:$C$17,$B22))*$D$8+(COUNTIF(CA_Prog_1!$C$18:$C$25,$B22)+COUNTIF(CA_Prog_2!$C$18:$C$25,$B22)+COUNTIF(CA_Prog_3!$C$18:$C$25,$B22)+COUNTIF(CA_Prog_4!$C$18:$C$25,$B22)+COUNTIF(CA_Prog_5!$C$18:$C$25,$B22)+COUNTIF(CA_Prog_6!$C$18:$C$25,$B22)+COUNTIF(CA_Prog_7!$C$18:$C$25,$B22)+COUNTIF(CA_Prog_8!$C$18:$C$25,$B22))*150000))</f>
        <v/>
      </c>
      <c r="D22" s="135" t="str">
        <f>IF($B22="","",IF((COUNTIF(CA_Prog_1!$D$8:$D$17,$B22)+COUNTIF(CA_Prog_2!$D$8:$D$17,$B22)+COUNTIF(CA_Prog_3!$D$8:$D$17,$B22)+COUNTIF(CA_Prog_4!$D$8:$D$17,$B22)+COUNTIF(CA_Prog_5!$D$8:$D$17,$B22)+COUNTIF(CA_Prog_6!$D$8:$D$17,$B22)+COUNTIF(CA_Prog_7!$D$8:$D$17,$B22)+COUNTIF(CA_Prog_8!$D$8:$D$17,$B22))*$D$8+(COUNTIF(CA_Prog_1!$D$18:$D$25,$B22)+COUNTIF(CA_Prog_2!$D$18:$D$25,$B22)+COUNTIF(CA_Prog_3!$D$18:$D$25,$B22)+COUNTIF(CA_Prog_4!$D$18:$D$25,$B22)+COUNTIF(CA_Prog_5!$D$18:$D$25,$B22)+COUNTIF(CA_Prog_6!$D$18:$D$25,$B22)+COUNTIF(CA_Prog_7!$D$18:$D$25,$B22)+COUNTIF(CA_Prog_8!$D$18:$D$25,$B22))*150000=0,"",(COUNTIF(CA_Prog_1!$D$8:$D$17,$B22)+COUNTIF(CA_Prog_2!$D$8:$D$17,$B22)+COUNTIF(CA_Prog_3!$D$8:$D$17,$B22)+COUNTIF(CA_Prog_4!$D$8:$D$17,$B22)+COUNTIF(CA_Prog_5!$D$8:$D$17,$B22)+COUNTIF(CA_Prog_6!$D$8:$D$17,$B22)+COUNTIF(CA_Prog_7!$D$8:$D$17,$B22)+COUNTIF(CA_Prog_8!$D$8:$D$17,$B22))*$D$8+(COUNTIF(CA_Prog_1!$D$18:$D$25,$B22)+COUNTIF(CA_Prog_2!$D$18:$D$25,$B22)+COUNTIF(CA_Prog_3!$D$18:$D$25,$B22)+COUNTIF(CA_Prog_4!$D$18:$D$25,$B22)+COUNTIF(CA_Prog_5!$D$18:$D$25,$B22)+COUNTIF(CA_Prog_6!$D$18:$D$25,$B22)+COUNTIF(CA_Prog_7!$D$18:$D$25,$B22)+COUNTIF(CA_Prog_8!$D$18:$D$25,$B22))*150000))</f>
        <v/>
      </c>
      <c r="E22" s="135" t="str">
        <f>IF($B22="","",IF((COUNTIF(CA_Prog_1!$E$8:$E$17,$B22)+COUNTIF(CA_Prog_2!$E$8:$E$17,$B22)+COUNTIF(CA_Prog_3!$E$8:$E$17,$B22)+COUNTIF(CA_Prog_4!$E$8:$E$17,$B22)+COUNTIF(CA_Prog_5!$E$8:$E$17,$B22)+COUNTIF(CA_Prog_6!$E$8:$E$17,$B22)+COUNTIF(CA_Prog_7!$E$8:$E$17,$B22)+COUNTIF(CA_Prog_8!$E$8:$E$17,$B22))*$D$8+(COUNTIF(CA_Prog_1!$E$18:$E$25,$B22)+COUNTIF(CA_Prog_2!$E$18:$E$25,$B22)+COUNTIF(CA_Prog_3!$E$18:$E$25,$B22)+COUNTIF(CA_Prog_4!$E$18:$E$25,$B22)+COUNTIF(CA_Prog_5!$E$18:$E$25,$B22)+COUNTIF(CA_Prog_6!$E$18:$E$25,$B22)+COUNTIF(CA_Prog_7!$E$18:$E$25,$B22)+COUNTIF(CA_Prog_8!$E$18:$E$25,$B22))*150000=0,"",(COUNTIF(CA_Prog_1!$E$8:$E$17,$B22)+COUNTIF(CA_Prog_2!$E$8:$E$17,$B22)+COUNTIF(CA_Prog_3!$E$8:$E$17,$B22)+COUNTIF(CA_Prog_4!$E$8:$E$17,$B22)+COUNTIF(CA_Prog_5!$E$8:$E$17,$B22)+COUNTIF(CA_Prog_6!$E$8:$E$17,$B22)+COUNTIF(CA_Prog_7!$E$8:$E$17,$B22)+COUNTIF(CA_Prog_8!$E$8:$E$17,$B22))*$D$8+(COUNTIF(CA_Prog_1!$E$18:$E$25,$B22)+COUNTIF(CA_Prog_2!$E$18:$E$25,$B22)+COUNTIF(CA_Prog_3!$E$18:$E$25,$B22)++COUNTIF(CA_Prog_4!$E$18:$E$25,$B22)+COUNTIF(CA_Prog_5!$E$18:$E$25,$B22)+COUNTIF(CA_Prog_6!$E$18:$E$25,$B22)+COUNTIF(CA_Prog_7!$E$18:$E$25,$B22)+COUNTIF(CA_Prog_8!$E$18:$E$25,$B22))*150000))</f>
        <v/>
      </c>
      <c r="F22" s="135" t="str">
        <f>IF($B22="","",IF((COUNTIF(CA_Prog_1!$F$8:$F$17,$B22)+COUNTIF(CA_Prog_2!$F$8:$F$17,$B22)+COUNTIF(CA_Prog_3!$F$8:$F$17,$B22)+COUNTIF(CA_Prog_4!$F$8:$F$17,$B22)+COUNTIF(CA_Prog_5!$F$8:$F$17,$B22)+COUNTIF(CA_Prog_6!$F$8:$F$17,$B22)+COUNTIF(CA_Prog_7!$F$8:$F$17,$B22)+COUNTIF(CA_Prog_8!$F$8:$F$17,$B22))*$D$8+(COUNTIF(CA_Prog_1!$F$18:$F$25,$B22)+COUNTIF(CA_Prog_2!$F$18:$F$25,$B22)+COUNTIF(CA_Prog_3!$F$18:$F$25,$B22)+COUNTIF(CA_Prog_4!$F$18:$F$25,$B22)+COUNTIF(CA_Prog_5!$F$18:$F$25,$B22)+COUNTIF(CA_Prog_6!$F$18:$F$25,$B22)+COUNTIF(CA_Prog_7!$F$18:$F$25,$B22)+COUNTIF(CA_Prog_8!$F$18:$F$25,$B22))*150000=0,"",(COUNTIF(CA_Prog_1!$F$8:$F$17,$B22)+COUNTIF(CA_Prog_2!$F$8:$F$17,$B22)+COUNTIF(CA_Prog_3!$F$8:$F$17,$B22)+COUNTIF(CA_Prog_4!$F$8:$F$17,$B22)+COUNTIF(CA_Prog_5!$F$8:$F$17,$B22)+COUNTIF(CA_Prog_6!$F$8:$F$17,$B22)+COUNTIF(CA_Prog_7!$F$8:$F$17,$B22)+COUNTIF(CA_Prog_8!$F$8:$F$17,$B22))*$D$8+(COUNTIF(CA_Prog_1!$F$18:$F$25,$B22)+COUNTIF(CA_Prog_2!$F$18:$F$25,$B22)+COUNTIF(CA_Prog_3!$F$18:$F$25,$B22)+COUNTIF(CA_Prog_4!$F$18:$F$25,$B22)+COUNTIF(CA_Prog_5!$F$18:$F$25,$B22)+COUNTIF(CA_Prog_6!$F$18:$F$25,$B22)+COUNTIF(CA_Prog_7!$F$18:$F$25,$B22)+COUNTIF(CA_Prog_8!$F$18:$F$25,$B22))*150000))</f>
        <v/>
      </c>
      <c r="G22" s="135" t="str">
        <f>IF($B22="","",IF((COUNTIF(CA_Prog_1!$G$8:$G$17,$B22)+COUNTIF(CA_Prog_2!$G$8:$G$17,$B22)+COUNTIF(CA_Prog_3!$G$8:$G$17,$B22)+COUNTIF(CA_Prog_4!$G$8:$G$17,$B22)+COUNTIF(CA_Prog_5!$G$8:$G$17,$B22)+COUNTIF(CA_Prog_6!$G$8:$G$17,$B22)+COUNTIF(CA_Prog_7!$G$8:$G$17,$B22)+COUNTIF(CA_Prog_8!$G$8:$G$17,$B22))*$D$8+(COUNTIF(CA_Prog_1!$G$18:$G$25,$B22)+COUNTIF(CA_Prog_2!$G$18:$G$25,$B22)+COUNTIF(CA_Prog_3!$G$18:$G$25,$B22)+COUNTIF(CA_Prog_4!$G$18:$G$25,$B22)+COUNTIF(CA_Prog_5!$G$18:$G$25,$B22)+COUNTIF(CA_Prog_6!$G$18:$G$25,$B22)+COUNTIF(CA_Prog_7!$G$18:$G$25,$B22)+COUNTIF(CA_Prog_8!$G$18:$G$25,$B22))*150000=0,"",(COUNTIF(CA_Prog_1!$G$8:$G$17,$B22)+COUNTIF(CA_Prog_2!$G$8:$G$17,$B22)+COUNTIF(CA_Prog_3!$G$8:$G$17,$B22)+COUNTIF(CA_Prog_4!$G$8:$G$17,$B22)+COUNTIF(CA_Prog_5!$G$8:$G$17,$B22)+COUNTIF(CA_Prog_6!$G$8:$G$17,$B22)+COUNTIF(CA_Prog_7!$G$8:$G$17,$B22)+COUNTIF(CA_Prog_8!$G$8:$G$17,$B22))*$D$8+(COUNTIF(CA_Prog_1!$G$18:$G$25,$B22)+COUNTIF(CA_Prog_2!$G$18:$G$25,$B22)+COUNTIF(CA_Prog_3!$G$18:$G$25,$B22)+COUNTIF(CA_Prog_4!$G$18:$G$25,$B22)+COUNTIF(CA_Prog_5!$G$18:$G$25,$B22)+COUNTIF(CA_Prog_6!$G$18:$G$25,$B22)+COUNTIF(CA_Prog_7!$G$18:$G$25,$B22)+COUNTIF(CA_Prog_8!$G$18:$G$25,$B22))*150000))</f>
        <v/>
      </c>
      <c r="H22" s="136" t="str">
        <f t="shared" si="0"/>
        <v/>
      </c>
      <c r="I22" s="53"/>
      <c r="J22" s="53"/>
      <c r="K22" s="53"/>
      <c r="L22" s="53"/>
      <c r="M22" s="53"/>
      <c r="N22" s="53"/>
      <c r="P22" s="53"/>
    </row>
    <row r="23" spans="1:16" x14ac:dyDescent="0.25">
      <c r="A23" s="133">
        <f>IF(ISTEXT($B23),12,"")</f>
        <v>12</v>
      </c>
      <c r="B23" s="65" t="s">
        <v>435</v>
      </c>
      <c r="C23" s="135" t="str">
        <f>IF($B23="","",IF((COUNTIF(CA_Prog_1!$C$8:$C$17,$B23)+COUNTIF(CA_Prog_2!$C$8:$C$17,$B23)+COUNTIF(CA_Prog_3!$C$8:$C$17,$B23)+COUNTIF(CA_Prog_4!$C$8:$C$17,$B23)+COUNTIF(CA_Prog_5!$C$8:$C$17,$B23)+COUNTIF(CA_Prog_6!$C$8:$C$17,$B23)+COUNTIF(CA_Prog_7!$C$8:$C$17,$B23)+COUNTIF(CA_Prog_8!$C$8:$C$17,$B23))*$D$8+(COUNTIF(CA_Prog_1!$C$18:$C$25,$B23)+COUNTIF(CA_Prog_2!$C$18:$C$25,$B23)+COUNTIF(CA_Prog_3!$C$18:$C$25,$B23)+COUNTIF(CA_Prog_4!$C$18:$C$25,$B23)+COUNTIF(CA_Prog_5!$C$18:$C$25,$B23)+COUNTIF(CA_Prog_6!$C$18:$C$25,$B23)+COUNTIF(CA_Prog_7!$C$18:$C$25,$B23)+COUNTIF(CA_Prog_8!$C$18:$C$25,$B23))*150000=0,"",(COUNTIF(CA_Prog_1!$C$8:$C$17,$B23)+COUNTIF(CA_Prog_2!$C$8:$C$17,$B23)+COUNTIF(CA_Prog_3!$C$8:$C$17,$B23)+COUNTIF(CA_Prog_4!$C$8:$C$17,$B23)+COUNTIF(CA_Prog_5!$C$8:$C$17,$B23)+COUNTIF(CA_Prog_6!$C$8:$C$17,$B23)+COUNTIF(CA_Prog_7!$C$8:$C$17,$B23)+COUNTIF(CA_Prog_8!$C$8:$C$17,$B23))*$D$8+(COUNTIF(CA_Prog_1!$C$18:$C$25,$B23)+COUNTIF(CA_Prog_2!$C$18:$C$25,$B23)+COUNTIF(CA_Prog_3!$C$18:$C$25,$B23)+COUNTIF(CA_Prog_4!$C$18:$C$25,$B23)+COUNTIF(CA_Prog_5!$C$18:$C$25,$B23)+COUNTIF(CA_Prog_6!$C$18:$C$25,$B23)+COUNTIF(CA_Prog_7!$C$18:$C$25,$B23)+COUNTIF(CA_Prog_8!$C$18:$C$25,$B23))*150000))</f>
        <v/>
      </c>
      <c r="D23" s="135" t="str">
        <f>IF($B23="","",IF((COUNTIF(CA_Prog_1!$D$8:$D$17,$B23)+COUNTIF(CA_Prog_2!$D$8:$D$17,$B23)+COUNTIF(CA_Prog_3!$D$8:$D$17,$B23)+COUNTIF(CA_Prog_4!$D$8:$D$17,$B23)+COUNTIF(CA_Prog_5!$D$8:$D$17,$B23)+COUNTIF(CA_Prog_6!$D$8:$D$17,$B23)+COUNTIF(CA_Prog_7!$D$8:$D$17,$B23)+COUNTIF(CA_Prog_8!$D$8:$D$17,$B23))*$D$8+(COUNTIF(CA_Prog_1!$D$18:$D$25,$B23)+COUNTIF(CA_Prog_2!$D$18:$D$25,$B23)+COUNTIF(CA_Prog_3!$D$18:$D$25,$B23)+COUNTIF(CA_Prog_4!$D$18:$D$25,$B23)+COUNTIF(CA_Prog_5!$D$18:$D$25,$B23)+COUNTIF(CA_Prog_6!$D$18:$D$25,$B23)+COUNTIF(CA_Prog_7!$D$18:$D$25,$B23)+COUNTIF(CA_Prog_8!$D$18:$D$25,$B23))*150000=0,"",(COUNTIF(CA_Prog_1!$D$8:$D$17,$B23)+COUNTIF(CA_Prog_2!$D$8:$D$17,$B23)+COUNTIF(CA_Prog_3!$D$8:$D$17,$B23)+COUNTIF(CA_Prog_4!$D$8:$D$17,$B23)+COUNTIF(CA_Prog_5!$D$8:$D$17,$B23)+COUNTIF(CA_Prog_6!$D$8:$D$17,$B23)+COUNTIF(CA_Prog_7!$D$8:$D$17,$B23)+COUNTIF(CA_Prog_8!$D$8:$D$17,$B23))*$D$8+(COUNTIF(CA_Prog_1!$D$18:$D$25,$B23)+COUNTIF(CA_Prog_2!$D$18:$D$25,$B23)+COUNTIF(CA_Prog_3!$D$18:$D$25,$B23)+COUNTIF(CA_Prog_4!$D$18:$D$25,$B23)+COUNTIF(CA_Prog_5!$D$18:$D$25,$B23)+COUNTIF(CA_Prog_6!$D$18:$D$25,$B23)+COUNTIF(CA_Prog_7!$D$18:$D$25,$B23)+COUNTIF(CA_Prog_8!$D$18:$D$25,$B23))*150000))</f>
        <v/>
      </c>
      <c r="E23" s="135" t="str">
        <f>IF($B23="","",IF((COUNTIF(CA_Prog_1!$E$8:$E$17,$B23)+COUNTIF(CA_Prog_2!$E$8:$E$17,$B23)+COUNTIF(CA_Prog_3!$E$8:$E$17,$B23)+COUNTIF(CA_Prog_4!$E$8:$E$17,$B23)+COUNTIF(CA_Prog_5!$E$8:$E$17,$B23)+COUNTIF(CA_Prog_6!$E$8:$E$17,$B23)+COUNTIF(CA_Prog_7!$E$8:$E$17,$B23)+COUNTIF(CA_Prog_8!$E$8:$E$17,$B23))*$D$8+(COUNTIF(CA_Prog_1!$E$18:$E$25,$B23)+COUNTIF(CA_Prog_2!$E$18:$E$25,$B23)+COUNTIF(CA_Prog_3!$E$18:$E$25,$B23)+COUNTIF(CA_Prog_4!$E$18:$E$25,$B23)+COUNTIF(CA_Prog_5!$E$18:$E$25,$B23)+COUNTIF(CA_Prog_6!$E$18:$E$25,$B23)+COUNTIF(CA_Prog_7!$E$18:$E$25,$B23)+COUNTIF(CA_Prog_8!$E$18:$E$25,$B23))*150000=0,"",(COUNTIF(CA_Prog_1!$E$8:$E$17,$B23)+COUNTIF(CA_Prog_2!$E$8:$E$17,$B23)+COUNTIF(CA_Prog_3!$E$8:$E$17,$B23)+COUNTIF(CA_Prog_4!$E$8:$E$17,$B23)+COUNTIF(CA_Prog_5!$E$8:$E$17,$B23)+COUNTIF(CA_Prog_6!$E$8:$E$17,$B23)+COUNTIF(CA_Prog_7!$E$8:$E$17,$B23)+COUNTIF(CA_Prog_8!$E$8:$E$17,$B23))*$D$8+(COUNTIF(CA_Prog_1!$E$18:$E$25,$B23)+COUNTIF(CA_Prog_2!$E$18:$E$25,$B23)+COUNTIF(CA_Prog_3!$E$18:$E$25,$B23)++COUNTIF(CA_Prog_4!$E$18:$E$25,$B23)+COUNTIF(CA_Prog_5!$E$18:$E$25,$B23)+COUNTIF(CA_Prog_6!$E$18:$E$25,$B23)+COUNTIF(CA_Prog_7!$E$18:$E$25,$B23)+COUNTIF(CA_Prog_8!$E$18:$E$25,$B23))*150000))</f>
        <v/>
      </c>
      <c r="F23" s="135">
        <f>IF($B23="","",IF((COUNTIF(CA_Prog_1!$F$8:$F$17,$B23)+COUNTIF(CA_Prog_2!$F$8:$F$17,$B23)+COUNTIF(CA_Prog_3!$F$8:$F$17,$B23)+COUNTIF(CA_Prog_4!$F$8:$F$17,$B23)+COUNTIF(CA_Prog_5!$F$8:$F$17,$B23)+COUNTIF(CA_Prog_6!$F$8:$F$17,$B23)+COUNTIF(CA_Prog_7!$F$8:$F$17,$B23)+COUNTIF(CA_Prog_8!$F$8:$F$17,$B23))*$D$8+(COUNTIF(CA_Prog_1!$F$18:$F$25,$B23)+COUNTIF(CA_Prog_2!$F$18:$F$25,$B23)+COUNTIF(CA_Prog_3!$F$18:$F$25,$B23)+COUNTIF(CA_Prog_4!$F$18:$F$25,$B23)+COUNTIF(CA_Prog_5!$F$18:$F$25,$B23)+COUNTIF(CA_Prog_6!$F$18:$F$25,$B23)+COUNTIF(CA_Prog_7!$F$18:$F$25,$B23)+COUNTIF(CA_Prog_8!$F$18:$F$25,$B23))*150000=0,"",(COUNTIF(CA_Prog_1!$F$8:$F$17,$B23)+COUNTIF(CA_Prog_2!$F$8:$F$17,$B23)+COUNTIF(CA_Prog_3!$F$8:$F$17,$B23)+COUNTIF(CA_Prog_4!$F$8:$F$17,$B23)+COUNTIF(CA_Prog_5!$F$8:$F$17,$B23)+COUNTIF(CA_Prog_6!$F$8:$F$17,$B23)+COUNTIF(CA_Prog_7!$F$8:$F$17,$B23)+COUNTIF(CA_Prog_8!$F$8:$F$17,$B23))*$D$8+(COUNTIF(CA_Prog_1!$F$18:$F$25,$B23)+COUNTIF(CA_Prog_2!$F$18:$F$25,$B23)+COUNTIF(CA_Prog_3!$F$18:$F$25,$B23)+COUNTIF(CA_Prog_4!$F$18:$F$25,$B23)+COUNTIF(CA_Prog_5!$F$18:$F$25,$B23)+COUNTIF(CA_Prog_6!$F$18:$F$25,$B23)+COUNTIF(CA_Prog_7!$F$18:$F$25,$B23)+COUNTIF(CA_Prog_8!$F$18:$F$25,$B23))*150000))</f>
        <v>300000</v>
      </c>
      <c r="G23" s="135">
        <f>IF($B23="","",IF((COUNTIF(CA_Prog_1!$G$8:$G$17,$B23)+COUNTIF(CA_Prog_2!$G$8:$G$17,$B23)+COUNTIF(CA_Prog_3!$G$8:$G$17,$B23)+COUNTIF(CA_Prog_4!$G$8:$G$17,$B23)+COUNTIF(CA_Prog_5!$G$8:$G$17,$B23)+COUNTIF(CA_Prog_6!$G$8:$G$17,$B23)+COUNTIF(CA_Prog_7!$G$8:$G$17,$B23)+COUNTIF(CA_Prog_8!$G$8:$G$17,$B23))*$D$8+(COUNTIF(CA_Prog_1!$G$18:$G$25,$B23)+COUNTIF(CA_Prog_2!$G$18:$G$25,$B23)+COUNTIF(CA_Prog_3!$G$18:$G$25,$B23)+COUNTIF(CA_Prog_4!$G$18:$G$25,$B23)+COUNTIF(CA_Prog_5!$G$18:$G$25,$B23)+COUNTIF(CA_Prog_6!$G$18:$G$25,$B23)+COUNTIF(CA_Prog_7!$G$18:$G$25,$B23)+COUNTIF(CA_Prog_8!$G$18:$G$25,$B23))*150000=0,"",(COUNTIF(CA_Prog_1!$G$8:$G$17,$B23)+COUNTIF(CA_Prog_2!$G$8:$G$17,$B23)+COUNTIF(CA_Prog_3!$G$8:$G$17,$B23)+COUNTIF(CA_Prog_4!$G$8:$G$17,$B23)+COUNTIF(CA_Prog_5!$G$8:$G$17,$B23)+COUNTIF(CA_Prog_6!$G$8:$G$17,$B23)+COUNTIF(CA_Prog_7!$G$8:$G$17,$B23)+COUNTIF(CA_Prog_8!$G$8:$G$17,$B23))*$D$8+(COUNTIF(CA_Prog_1!$G$18:$G$25,$B23)+COUNTIF(CA_Prog_2!$G$18:$G$25,$B23)+COUNTIF(CA_Prog_3!$G$18:$G$25,$B23)+COUNTIF(CA_Prog_4!$G$18:$G$25,$B23)+COUNTIF(CA_Prog_5!$G$18:$G$25,$B23)+COUNTIF(CA_Prog_6!$G$18:$G$25,$B23)+COUNTIF(CA_Prog_7!$G$18:$G$25,$B23)+COUNTIF(CA_Prog_8!$G$18:$G$25,$B23))*150000))</f>
        <v>150000</v>
      </c>
      <c r="H23" s="136">
        <f t="shared" si="0"/>
        <v>450000</v>
      </c>
      <c r="I23" s="53"/>
      <c r="J23" s="53"/>
      <c r="K23" s="53"/>
      <c r="L23" s="53"/>
      <c r="M23" s="53"/>
      <c r="N23" s="53"/>
      <c r="P23" s="53"/>
    </row>
    <row r="24" spans="1:16" x14ac:dyDescent="0.25">
      <c r="A24" s="133">
        <f>IF(ISTEXT($B24),13,"")</f>
        <v>13</v>
      </c>
      <c r="B24" s="65" t="s">
        <v>402</v>
      </c>
      <c r="C24" s="135">
        <f>IF($B24="","",IF((COUNTIF(CA_Prog_1!$C$8:$C$17,$B24)+COUNTIF(CA_Prog_2!$C$8:$C$17,$B24)+COUNTIF(CA_Prog_3!$C$8:$C$17,$B24)+COUNTIF(CA_Prog_4!$C$8:$C$17,$B24)+COUNTIF(CA_Prog_5!$C$8:$C$17,$B24)+COUNTIF(CA_Prog_6!$C$8:$C$17,$B24)+COUNTIF(CA_Prog_7!$C$8:$C$17,$B24)+COUNTIF(CA_Prog_8!$C$8:$C$17,$B24))*$D$8+(COUNTIF(CA_Prog_1!$C$18:$C$25,$B24)+COUNTIF(CA_Prog_2!$C$18:$C$25,$B24)+COUNTIF(CA_Prog_3!$C$18:$C$25,$B24)+COUNTIF(CA_Prog_4!$C$18:$C$25,$B24)+COUNTIF(CA_Prog_5!$C$18:$C$25,$B24)+COUNTIF(CA_Prog_6!$C$18:$C$25,$B24)+COUNTIF(CA_Prog_7!$C$18:$C$25,$B24)+COUNTIF(CA_Prog_8!$C$18:$C$25,$B24))*150000=0,"",(COUNTIF(CA_Prog_1!$C$8:$C$17,$B24)+COUNTIF(CA_Prog_2!$C$8:$C$17,$B24)+COUNTIF(CA_Prog_3!$C$8:$C$17,$B24)+COUNTIF(CA_Prog_4!$C$8:$C$17,$B24)+COUNTIF(CA_Prog_5!$C$8:$C$17,$B24)+COUNTIF(CA_Prog_6!$C$8:$C$17,$B24)+COUNTIF(CA_Prog_7!$C$8:$C$17,$B24)+COUNTIF(CA_Prog_8!$C$8:$C$17,$B24))*$D$8+(COUNTIF(CA_Prog_1!$C$18:$C$25,$B24)+COUNTIF(CA_Prog_2!$C$18:$C$25,$B24)+COUNTIF(CA_Prog_3!$C$18:$C$25,$B24)+COUNTIF(CA_Prog_4!$C$18:$C$25,$B24)+COUNTIF(CA_Prog_5!$C$18:$C$25,$B24)+COUNTIF(CA_Prog_6!$C$18:$C$25,$B24)+COUNTIF(CA_Prog_7!$C$18:$C$25,$B24)+COUNTIF(CA_Prog_8!$C$18:$C$25,$B24))*150000))</f>
        <v>300000</v>
      </c>
      <c r="D24" s="135">
        <f>IF($B24="","",IF((COUNTIF(CA_Prog_1!$D$8:$D$17,$B24)+COUNTIF(CA_Prog_2!$D$8:$D$17,$B24)+COUNTIF(CA_Prog_3!$D$8:$D$17,$B24)+COUNTIF(CA_Prog_4!$D$8:$D$17,$B24)+COUNTIF(CA_Prog_5!$D$8:$D$17,$B24)+COUNTIF(CA_Prog_6!$D$8:$D$17,$B24)+COUNTIF(CA_Prog_7!$D$8:$D$17,$B24)+COUNTIF(CA_Prog_8!$D$8:$D$17,$B24))*$D$8+(COUNTIF(CA_Prog_1!$D$18:$D$25,$B24)+COUNTIF(CA_Prog_2!$D$18:$D$25,$B24)+COUNTIF(CA_Prog_3!$D$18:$D$25,$B24)+COUNTIF(CA_Prog_4!$D$18:$D$25,$B24)+COUNTIF(CA_Prog_5!$D$18:$D$25,$B24)+COUNTIF(CA_Prog_6!$D$18:$D$25,$B24)+COUNTIF(CA_Prog_7!$D$18:$D$25,$B24)+COUNTIF(CA_Prog_8!$D$18:$D$25,$B24))*150000=0,"",(COUNTIF(CA_Prog_1!$D$8:$D$17,$B24)+COUNTIF(CA_Prog_2!$D$8:$D$17,$B24)+COUNTIF(CA_Prog_3!$D$8:$D$17,$B24)+COUNTIF(CA_Prog_4!$D$8:$D$17,$B24)+COUNTIF(CA_Prog_5!$D$8:$D$17,$B24)+COUNTIF(CA_Prog_6!$D$8:$D$17,$B24)+COUNTIF(CA_Prog_7!$D$8:$D$17,$B24)+COUNTIF(CA_Prog_8!$D$8:$D$17,$B24))*$D$8+(COUNTIF(CA_Prog_1!$D$18:$D$25,$B24)+COUNTIF(CA_Prog_2!$D$18:$D$25,$B24)+COUNTIF(CA_Prog_3!$D$18:$D$25,$B24)+COUNTIF(CA_Prog_4!$D$18:$D$25,$B24)+COUNTIF(CA_Prog_5!$D$18:$D$25,$B24)+COUNTIF(CA_Prog_6!$D$18:$D$25,$B24)+COUNTIF(CA_Prog_7!$D$18:$D$25,$B24)+COUNTIF(CA_Prog_8!$D$18:$D$25,$B24))*150000))</f>
        <v>300000</v>
      </c>
      <c r="E24" s="135">
        <f>IF($B24="","",IF((COUNTIF(CA_Prog_1!$E$8:$E$17,$B24)+COUNTIF(CA_Prog_2!$E$8:$E$17,$B24)+COUNTIF(CA_Prog_3!$E$8:$E$17,$B24)+COUNTIF(CA_Prog_4!$E$8:$E$17,$B24)+COUNTIF(CA_Prog_5!$E$8:$E$17,$B24)+COUNTIF(CA_Prog_6!$E$8:$E$17,$B24)+COUNTIF(CA_Prog_7!$E$8:$E$17,$B24)+COUNTIF(CA_Prog_8!$E$8:$E$17,$B24))*$D$8+(COUNTIF(CA_Prog_1!$E$18:$E$25,$B24)+COUNTIF(CA_Prog_2!$E$18:$E$25,$B24)+COUNTIF(CA_Prog_3!$E$18:$E$25,$B24)+COUNTIF(CA_Prog_4!$E$18:$E$25,$B24)+COUNTIF(CA_Prog_5!$E$18:$E$25,$B24)+COUNTIF(CA_Prog_6!$E$18:$E$25,$B24)+COUNTIF(CA_Prog_7!$E$18:$E$25,$B24)+COUNTIF(CA_Prog_8!$E$18:$E$25,$B24))*150000=0,"",(COUNTIF(CA_Prog_1!$E$8:$E$17,$B24)+COUNTIF(CA_Prog_2!$E$8:$E$17,$B24)+COUNTIF(CA_Prog_3!$E$8:$E$17,$B24)+COUNTIF(CA_Prog_4!$E$8:$E$17,$B24)+COUNTIF(CA_Prog_5!$E$8:$E$17,$B24)+COUNTIF(CA_Prog_6!$E$8:$E$17,$B24)+COUNTIF(CA_Prog_7!$E$8:$E$17,$B24)+COUNTIF(CA_Prog_8!$E$8:$E$17,$B24))*$D$8+(COUNTIF(CA_Prog_1!$E$18:$E$25,$B24)+COUNTIF(CA_Prog_2!$E$18:$E$25,$B24)+COUNTIF(CA_Prog_3!$E$18:$E$25,$B24)++COUNTIF(CA_Prog_4!$E$18:$E$25,$B24)+COUNTIF(CA_Prog_5!$E$18:$E$25,$B24)+COUNTIF(CA_Prog_6!$E$18:$E$25,$B24)+COUNTIF(CA_Prog_7!$E$18:$E$25,$B24)+COUNTIF(CA_Prog_8!$E$18:$E$25,$B24))*150000))</f>
        <v>150000</v>
      </c>
      <c r="F24" s="135">
        <f>IF($B24="","",IF((COUNTIF(CA_Prog_1!$F$8:$F$17,$B24)+COUNTIF(CA_Prog_2!$F$8:$F$17,$B24)+COUNTIF(CA_Prog_3!$F$8:$F$17,$B24)+COUNTIF(CA_Prog_4!$F$8:$F$17,$B24)+COUNTIF(CA_Prog_5!$F$8:$F$17,$B24)+COUNTIF(CA_Prog_6!$F$8:$F$17,$B24)+COUNTIF(CA_Prog_7!$F$8:$F$17,$B24)+COUNTIF(CA_Prog_8!$F$8:$F$17,$B24))*$D$8+(COUNTIF(CA_Prog_1!$F$18:$F$25,$B24)+COUNTIF(CA_Prog_2!$F$18:$F$25,$B24)+COUNTIF(CA_Prog_3!$F$18:$F$25,$B24)+COUNTIF(CA_Prog_4!$F$18:$F$25,$B24)+COUNTIF(CA_Prog_5!$F$18:$F$25,$B24)+COUNTIF(CA_Prog_6!$F$18:$F$25,$B24)+COUNTIF(CA_Prog_7!$F$18:$F$25,$B24)+COUNTIF(CA_Prog_8!$F$18:$F$25,$B24))*150000=0,"",(COUNTIF(CA_Prog_1!$F$8:$F$17,$B24)+COUNTIF(CA_Prog_2!$F$8:$F$17,$B24)+COUNTIF(CA_Prog_3!$F$8:$F$17,$B24)+COUNTIF(CA_Prog_4!$F$8:$F$17,$B24)+COUNTIF(CA_Prog_5!$F$8:$F$17,$B24)+COUNTIF(CA_Prog_6!$F$8:$F$17,$B24)+COUNTIF(CA_Prog_7!$F$8:$F$17,$B24)+COUNTIF(CA_Prog_8!$F$8:$F$17,$B24))*$D$8+(COUNTIF(CA_Prog_1!$F$18:$F$25,$B24)+COUNTIF(CA_Prog_2!$F$18:$F$25,$B24)+COUNTIF(CA_Prog_3!$F$18:$F$25,$B24)+COUNTIF(CA_Prog_4!$F$18:$F$25,$B24)+COUNTIF(CA_Prog_5!$F$18:$F$25,$B24)+COUNTIF(CA_Prog_6!$F$18:$F$25,$B24)+COUNTIF(CA_Prog_7!$F$18:$F$25,$B24)+COUNTIF(CA_Prog_8!$F$18:$F$25,$B24))*150000))</f>
        <v>150000</v>
      </c>
      <c r="G24" s="135">
        <f>IF($B24="","",IF((COUNTIF(CA_Prog_1!$G$8:$G$17,$B24)+COUNTIF(CA_Prog_2!$G$8:$G$17,$B24)+COUNTIF(CA_Prog_3!$G$8:$G$17,$B24)+COUNTIF(CA_Prog_4!$G$8:$G$17,$B24)+COUNTIF(CA_Prog_5!$G$8:$G$17,$B24)+COUNTIF(CA_Prog_6!$G$8:$G$17,$B24)+COUNTIF(CA_Prog_7!$G$8:$G$17,$B24)+COUNTIF(CA_Prog_8!$G$8:$G$17,$B24))*$D$8+(COUNTIF(CA_Prog_1!$G$18:$G$25,$B24)+COUNTIF(CA_Prog_2!$G$18:$G$25,$B24)+COUNTIF(CA_Prog_3!$G$18:$G$25,$B24)+COUNTIF(CA_Prog_4!$G$18:$G$25,$B24)+COUNTIF(CA_Prog_5!$G$18:$G$25,$B24)+COUNTIF(CA_Prog_6!$G$18:$G$25,$B24)+COUNTIF(CA_Prog_7!$G$18:$G$25,$B24)+COUNTIF(CA_Prog_8!$G$18:$G$25,$B24))*150000=0,"",(COUNTIF(CA_Prog_1!$G$8:$G$17,$B24)+COUNTIF(CA_Prog_2!$G$8:$G$17,$B24)+COUNTIF(CA_Prog_3!$G$8:$G$17,$B24)+COUNTIF(CA_Prog_4!$G$8:$G$17,$B24)+COUNTIF(CA_Prog_5!$G$8:$G$17,$B24)+COUNTIF(CA_Prog_6!$G$8:$G$17,$B24)+COUNTIF(CA_Prog_7!$G$8:$G$17,$B24)+COUNTIF(CA_Prog_8!$G$8:$G$17,$B24))*$D$8+(COUNTIF(CA_Prog_1!$G$18:$G$25,$B24)+COUNTIF(CA_Prog_2!$G$18:$G$25,$B24)+COUNTIF(CA_Prog_3!$G$18:$G$25,$B24)+COUNTIF(CA_Prog_4!$G$18:$G$25,$B24)+COUNTIF(CA_Prog_5!$G$18:$G$25,$B24)+COUNTIF(CA_Prog_6!$G$18:$G$25,$B24)+COUNTIF(CA_Prog_7!$G$18:$G$25,$B24)+COUNTIF(CA_Prog_8!$G$18:$G$25,$B24))*150000))</f>
        <v>150000</v>
      </c>
      <c r="H24" s="136">
        <f t="shared" si="0"/>
        <v>1050000</v>
      </c>
      <c r="I24" s="53"/>
      <c r="J24" s="53"/>
      <c r="K24" s="53"/>
      <c r="L24" s="53"/>
      <c r="M24" s="53"/>
      <c r="N24" s="53"/>
      <c r="P24" s="53"/>
    </row>
    <row r="25" spans="1:16" x14ac:dyDescent="0.25">
      <c r="A25" s="133">
        <f>IF(ISTEXT($B25),14,"")</f>
        <v>14</v>
      </c>
      <c r="B25" s="210" t="s">
        <v>398</v>
      </c>
      <c r="C25" s="135">
        <f>IF($B25="","",IF((COUNTIF(CA_Prog_1!$C$8:$C$17,$B25)+COUNTIF(CA_Prog_2!$C$8:$C$17,$B25)+COUNTIF(CA_Prog_3!$C$8:$C$17,$B25)+COUNTIF(CA_Prog_4!$C$8:$C$17,$B25)+COUNTIF(CA_Prog_5!$C$8:$C$17,$B25)+COUNTIF(CA_Prog_6!$C$8:$C$17,$B25)+COUNTIF(CA_Prog_7!$C$8:$C$17,$B25)+COUNTIF(CA_Prog_8!$C$8:$C$17,$B25))*$D$8+(COUNTIF(CA_Prog_1!$C$18:$C$25,$B25)+COUNTIF(CA_Prog_2!$C$18:$C$25,$B25)+COUNTIF(CA_Prog_3!$C$18:$C$25,$B25)+COUNTIF(CA_Prog_4!$C$18:$C$25,$B25)+COUNTIF(CA_Prog_5!$C$18:$C$25,$B25)+COUNTIF(CA_Prog_6!$C$18:$C$25,$B25)+COUNTIF(CA_Prog_7!$C$18:$C$25,$B25)+COUNTIF(CA_Prog_8!$C$18:$C$25,$B25))*150000=0,"",(COUNTIF(CA_Prog_1!$C$8:$C$17,$B25)+COUNTIF(CA_Prog_2!$C$8:$C$17,$B25)+COUNTIF(CA_Prog_3!$C$8:$C$17,$B25)+COUNTIF(CA_Prog_4!$C$8:$C$17,$B25)+COUNTIF(CA_Prog_5!$C$8:$C$17,$B25)+COUNTIF(CA_Prog_6!$C$8:$C$17,$B25)+COUNTIF(CA_Prog_7!$C$8:$C$17,$B25)+COUNTIF(CA_Prog_8!$C$8:$C$17,$B25))*$D$8+(COUNTIF(CA_Prog_1!$C$18:$C$25,$B25)+COUNTIF(CA_Prog_2!$C$18:$C$25,$B25)+COUNTIF(CA_Prog_3!$C$18:$C$25,$B25)+COUNTIF(CA_Prog_4!$C$18:$C$25,$B25)+COUNTIF(CA_Prog_5!$C$18:$C$25,$B25)+COUNTIF(CA_Prog_6!$C$18:$C$25,$B25)+COUNTIF(CA_Prog_7!$C$18:$C$25,$B25)+COUNTIF(CA_Prog_8!$C$18:$C$25,$B25))*150000))</f>
        <v>150000</v>
      </c>
      <c r="D25" s="135">
        <f>IF($B25="","",IF((COUNTIF(CA_Prog_1!$D$8:$D$17,$B25)+COUNTIF(CA_Prog_2!$D$8:$D$17,$B25)+COUNTIF(CA_Prog_3!$D$8:$D$17,$B25)+COUNTIF(CA_Prog_4!$D$8:$D$17,$B25)+COUNTIF(CA_Prog_5!$D$8:$D$17,$B25)+COUNTIF(CA_Prog_6!$D$8:$D$17,$B25)+COUNTIF(CA_Prog_7!$D$8:$D$17,$B25)+COUNTIF(CA_Prog_8!$D$8:$D$17,$B25))*$D$8+(COUNTIF(CA_Prog_1!$D$18:$D$25,$B25)+COUNTIF(CA_Prog_2!$D$18:$D$25,$B25)+COUNTIF(CA_Prog_3!$D$18:$D$25,$B25)+COUNTIF(CA_Prog_4!$D$18:$D$25,$B25)+COUNTIF(CA_Prog_5!$D$18:$D$25,$B25)+COUNTIF(CA_Prog_6!$D$18:$D$25,$B25)+COUNTIF(CA_Prog_7!$D$18:$D$25,$B25)+COUNTIF(CA_Prog_8!$D$18:$D$25,$B25))*150000=0,"",(COUNTIF(CA_Prog_1!$D$8:$D$17,$B25)+COUNTIF(CA_Prog_2!$D$8:$D$17,$B25)+COUNTIF(CA_Prog_3!$D$8:$D$17,$B25)+COUNTIF(CA_Prog_4!$D$8:$D$17,$B25)+COUNTIF(CA_Prog_5!$D$8:$D$17,$B25)+COUNTIF(CA_Prog_6!$D$8:$D$17,$B25)+COUNTIF(CA_Prog_7!$D$8:$D$17,$B25)+COUNTIF(CA_Prog_8!$D$8:$D$17,$B25))*$D$8+(COUNTIF(CA_Prog_1!$D$18:$D$25,$B25)+COUNTIF(CA_Prog_2!$D$18:$D$25,$B25)+COUNTIF(CA_Prog_3!$D$18:$D$25,$B25)+COUNTIF(CA_Prog_4!$D$18:$D$25,$B25)+COUNTIF(CA_Prog_5!$D$18:$D$25,$B25)+COUNTIF(CA_Prog_6!$D$18:$D$25,$B25)+COUNTIF(CA_Prog_7!$D$18:$D$25,$B25)+COUNTIF(CA_Prog_8!$D$18:$D$25,$B25))*150000))</f>
        <v>150000</v>
      </c>
      <c r="E25" s="135">
        <f>IF($B25="","",IF((COUNTIF(CA_Prog_1!$E$8:$E$17,$B25)+COUNTIF(CA_Prog_2!$E$8:$E$17,$B25)+COUNTIF(CA_Prog_3!$E$8:$E$17,$B25)+COUNTIF(CA_Prog_4!$E$8:$E$17,$B25)+COUNTIF(CA_Prog_5!$E$8:$E$17,$B25)+COUNTIF(CA_Prog_6!$E$8:$E$17,$B25)+COUNTIF(CA_Prog_7!$E$8:$E$17,$B25)+COUNTIF(CA_Prog_8!$E$8:$E$17,$B25))*$D$8+(COUNTIF(CA_Prog_1!$E$18:$E$25,$B25)+COUNTIF(CA_Prog_2!$E$18:$E$25,$B25)+COUNTIF(CA_Prog_3!$E$18:$E$25,$B25)+COUNTIF(CA_Prog_4!$E$18:$E$25,$B25)+COUNTIF(CA_Prog_5!$E$18:$E$25,$B25)+COUNTIF(CA_Prog_6!$E$18:$E$25,$B25)+COUNTIF(CA_Prog_7!$E$18:$E$25,$B25)+COUNTIF(CA_Prog_8!$E$18:$E$25,$B25))*150000=0,"",(COUNTIF(CA_Prog_1!$E$8:$E$17,$B25)+COUNTIF(CA_Prog_2!$E$8:$E$17,$B25)+COUNTIF(CA_Prog_3!$E$8:$E$17,$B25)+COUNTIF(CA_Prog_4!$E$8:$E$17,$B25)+COUNTIF(CA_Prog_5!$E$8:$E$17,$B25)+COUNTIF(CA_Prog_6!$E$8:$E$17,$B25)+COUNTIF(CA_Prog_7!$E$8:$E$17,$B25)+COUNTIF(CA_Prog_8!$E$8:$E$17,$B25))*$D$8+(COUNTIF(CA_Prog_1!$E$18:$E$25,$B25)+COUNTIF(CA_Prog_2!$E$18:$E$25,$B25)+COUNTIF(CA_Prog_3!$E$18:$E$25,$B25)++COUNTIF(CA_Prog_4!$E$18:$E$25,$B25)+COUNTIF(CA_Prog_5!$E$18:$E$25,$B25)+COUNTIF(CA_Prog_6!$E$18:$E$25,$B25)+COUNTIF(CA_Prog_7!$E$18:$E$25,$B25)+COUNTIF(CA_Prog_8!$E$18:$E$25,$B25))*150000))</f>
        <v>150000</v>
      </c>
      <c r="F25" s="135">
        <f>IF($B25="","",IF((COUNTIF(CA_Prog_1!$F$8:$F$17,$B25)+COUNTIF(CA_Prog_2!$F$8:$F$17,$B25)+COUNTIF(CA_Prog_3!$F$8:$F$17,$B25)+COUNTIF(CA_Prog_4!$F$8:$F$17,$B25)+COUNTIF(CA_Prog_5!$F$8:$F$17,$B25)+COUNTIF(CA_Prog_6!$F$8:$F$17,$B25)+COUNTIF(CA_Prog_7!$F$8:$F$17,$B25)+COUNTIF(CA_Prog_8!$F$8:$F$17,$B25))*$D$8+(COUNTIF(CA_Prog_1!$F$18:$F$25,$B25)+COUNTIF(CA_Prog_2!$F$18:$F$25,$B25)+COUNTIF(CA_Prog_3!$F$18:$F$25,$B25)+COUNTIF(CA_Prog_4!$F$18:$F$25,$B25)+COUNTIF(CA_Prog_5!$F$18:$F$25,$B25)+COUNTIF(CA_Prog_6!$F$18:$F$25,$B25)+COUNTIF(CA_Prog_7!$F$18:$F$25,$B25)+COUNTIF(CA_Prog_8!$F$18:$F$25,$B25))*150000=0,"",(COUNTIF(CA_Prog_1!$F$8:$F$17,$B25)+COUNTIF(CA_Prog_2!$F$8:$F$17,$B25)+COUNTIF(CA_Prog_3!$F$8:$F$17,$B25)+COUNTIF(CA_Prog_4!$F$8:$F$17,$B25)+COUNTIF(CA_Prog_5!$F$8:$F$17,$B25)+COUNTIF(CA_Prog_6!$F$8:$F$17,$B25)+COUNTIF(CA_Prog_7!$F$8:$F$17,$B25)+COUNTIF(CA_Prog_8!$F$8:$F$17,$B25))*$D$8+(COUNTIF(CA_Prog_1!$F$18:$F$25,$B25)+COUNTIF(CA_Prog_2!$F$18:$F$25,$B25)+COUNTIF(CA_Prog_3!$F$18:$F$25,$B25)+COUNTIF(CA_Prog_4!$F$18:$F$25,$B25)+COUNTIF(CA_Prog_5!$F$18:$F$25,$B25)+COUNTIF(CA_Prog_6!$F$18:$F$25,$B25)+COUNTIF(CA_Prog_7!$F$18:$F$25,$B25)+COUNTIF(CA_Prog_8!$F$18:$F$25,$B25))*150000))</f>
        <v>150000</v>
      </c>
      <c r="G25" s="135">
        <f>IF($B25="","",IF((COUNTIF(CA_Prog_1!$G$8:$G$17,$B25)+COUNTIF(CA_Prog_2!$G$8:$G$17,$B25)+COUNTIF(CA_Prog_3!$G$8:$G$17,$B25)+COUNTIF(CA_Prog_4!$G$8:$G$17,$B25)+COUNTIF(CA_Prog_5!$G$8:$G$17,$B25)+COUNTIF(CA_Prog_6!$G$8:$G$17,$B25)+COUNTIF(CA_Prog_7!$G$8:$G$17,$B25)+COUNTIF(CA_Prog_8!$G$8:$G$17,$B25))*$D$8+(COUNTIF(CA_Prog_1!$G$18:$G$25,$B25)+COUNTIF(CA_Prog_2!$G$18:$G$25,$B25)+COUNTIF(CA_Prog_3!$G$18:$G$25,$B25)+COUNTIF(CA_Prog_4!$G$18:$G$25,$B25)+COUNTIF(CA_Prog_5!$G$18:$G$25,$B25)+COUNTIF(CA_Prog_6!$G$18:$G$25,$B25)+COUNTIF(CA_Prog_7!$G$18:$G$25,$B25)+COUNTIF(CA_Prog_8!$G$18:$G$25,$B25))*150000=0,"",(COUNTIF(CA_Prog_1!$G$8:$G$17,$B25)+COUNTIF(CA_Prog_2!$G$8:$G$17,$B25)+COUNTIF(CA_Prog_3!$G$8:$G$17,$B25)+COUNTIF(CA_Prog_4!$G$8:$G$17,$B25)+COUNTIF(CA_Prog_5!$G$8:$G$17,$B25)+COUNTIF(CA_Prog_6!$G$8:$G$17,$B25)+COUNTIF(CA_Prog_7!$G$8:$G$17,$B25)+COUNTIF(CA_Prog_8!$G$8:$G$17,$B25))*$D$8+(COUNTIF(CA_Prog_1!$G$18:$G$25,$B25)+COUNTIF(CA_Prog_2!$G$18:$G$25,$B25)+COUNTIF(CA_Prog_3!$G$18:$G$25,$B25)+COUNTIF(CA_Prog_4!$G$18:$G$25,$B25)+COUNTIF(CA_Prog_5!$G$18:$G$25,$B25)+COUNTIF(CA_Prog_6!$G$18:$G$25,$B25)+COUNTIF(CA_Prog_7!$G$18:$G$25,$B25)+COUNTIF(CA_Prog_8!$G$18:$G$25,$B25))*150000))</f>
        <v>150000</v>
      </c>
      <c r="H25" s="136">
        <f t="shared" si="0"/>
        <v>750000</v>
      </c>
      <c r="I25" s="53"/>
      <c r="J25" s="53"/>
      <c r="K25" s="53"/>
      <c r="L25" s="53"/>
      <c r="M25" s="53"/>
      <c r="N25" s="53"/>
      <c r="P25" s="53"/>
    </row>
    <row r="26" spans="1:16" x14ac:dyDescent="0.25">
      <c r="A26" s="133">
        <f>IF(ISTEXT($B26),15,"")</f>
        <v>15</v>
      </c>
      <c r="B26" s="65" t="s">
        <v>403</v>
      </c>
      <c r="C26" s="135" t="str">
        <f>IF($B26="","",IF((COUNTIF(CA_Prog_1!$C$8:$C$17,$B26)+COUNTIF(CA_Prog_2!$C$8:$C$17,$B26)+COUNTIF(CA_Prog_3!$C$8:$C$17,$B26)+COUNTIF(CA_Prog_4!$C$8:$C$17,$B26)+COUNTIF(CA_Prog_5!$C$8:$C$17,$B26)+COUNTIF(CA_Prog_6!$C$8:$C$17,$B26)+COUNTIF(CA_Prog_7!$C$8:$C$17,$B26)+COUNTIF(CA_Prog_8!$C$8:$C$17,$B26))*$D$8+(COUNTIF(CA_Prog_1!$C$18:$C$25,$B26)+COUNTIF(CA_Prog_2!$C$18:$C$25,$B26)+COUNTIF(CA_Prog_3!$C$18:$C$25,$B26)+COUNTIF(CA_Prog_4!$C$18:$C$25,$B26)+COUNTIF(CA_Prog_5!$C$18:$C$25,$B26)+COUNTIF(CA_Prog_6!$C$18:$C$25,$B26)+COUNTIF(CA_Prog_7!$C$18:$C$25,$B26)+COUNTIF(CA_Prog_8!$C$18:$C$25,$B26))*150000=0,"",(COUNTIF(CA_Prog_1!$C$8:$C$17,$B26)+COUNTIF(CA_Prog_2!$C$8:$C$17,$B26)+COUNTIF(CA_Prog_3!$C$8:$C$17,$B26)+COUNTIF(CA_Prog_4!$C$8:$C$17,$B26)+COUNTIF(CA_Prog_5!$C$8:$C$17,$B26)+COUNTIF(CA_Prog_6!$C$8:$C$17,$B26)+COUNTIF(CA_Prog_7!$C$8:$C$17,$B26)+COUNTIF(CA_Prog_8!$C$8:$C$17,$B26))*$D$8+(COUNTIF(CA_Prog_1!$C$18:$C$25,$B26)+COUNTIF(CA_Prog_2!$C$18:$C$25,$B26)+COUNTIF(CA_Prog_3!$C$18:$C$25,$B26)+COUNTIF(CA_Prog_4!$C$18:$C$25,$B26)+COUNTIF(CA_Prog_5!$C$18:$C$25,$B26)+COUNTIF(CA_Prog_6!$C$18:$C$25,$B26)+COUNTIF(CA_Prog_7!$C$18:$C$25,$B26)+COUNTIF(CA_Prog_8!$C$18:$C$25,$B26))*150000))</f>
        <v/>
      </c>
      <c r="D26" s="135">
        <f>IF($B26="","",IF((COUNTIF(CA_Prog_1!$D$8:$D$17,$B26)+COUNTIF(CA_Prog_2!$D$8:$D$17,$B26)+COUNTIF(CA_Prog_3!$D$8:$D$17,$B26)+COUNTIF(CA_Prog_4!$D$8:$D$17,$B26)+COUNTIF(CA_Prog_5!$D$8:$D$17,$B26)+COUNTIF(CA_Prog_6!$D$8:$D$17,$B26)+COUNTIF(CA_Prog_7!$D$8:$D$17,$B26)+COUNTIF(CA_Prog_8!$D$8:$D$17,$B26))*$D$8+(COUNTIF(CA_Prog_1!$D$18:$D$25,$B26)+COUNTIF(CA_Prog_2!$D$18:$D$25,$B26)+COUNTIF(CA_Prog_3!$D$18:$D$25,$B26)+COUNTIF(CA_Prog_4!$D$18:$D$25,$B26)+COUNTIF(CA_Prog_5!$D$18:$D$25,$B26)+COUNTIF(CA_Prog_6!$D$18:$D$25,$B26)+COUNTIF(CA_Prog_7!$D$18:$D$25,$B26)+COUNTIF(CA_Prog_8!$D$18:$D$25,$B26))*150000=0,"",(COUNTIF(CA_Prog_1!$D$8:$D$17,$B26)+COUNTIF(CA_Prog_2!$D$8:$D$17,$B26)+COUNTIF(CA_Prog_3!$D$8:$D$17,$B26)+COUNTIF(CA_Prog_4!$D$8:$D$17,$B26)+COUNTIF(CA_Prog_5!$D$8:$D$17,$B26)+COUNTIF(CA_Prog_6!$D$8:$D$17,$B26)+COUNTIF(CA_Prog_7!$D$8:$D$17,$B26)+COUNTIF(CA_Prog_8!$D$8:$D$17,$B26))*$D$8+(COUNTIF(CA_Prog_1!$D$18:$D$25,$B26)+COUNTIF(CA_Prog_2!$D$18:$D$25,$B26)+COUNTIF(CA_Prog_3!$D$18:$D$25,$B26)+COUNTIF(CA_Prog_4!$D$18:$D$25,$B26)+COUNTIF(CA_Prog_5!$D$18:$D$25,$B26)+COUNTIF(CA_Prog_6!$D$18:$D$25,$B26)+COUNTIF(CA_Prog_7!$D$18:$D$25,$B26)+COUNTIF(CA_Prog_8!$D$18:$D$25,$B26))*150000))</f>
        <v>150000</v>
      </c>
      <c r="E26" s="135">
        <f>IF($B26="","",IF((COUNTIF(CA_Prog_1!$E$8:$E$17,$B26)+COUNTIF(CA_Prog_2!$E$8:$E$17,$B26)+COUNTIF(CA_Prog_3!$E$8:$E$17,$B26)+COUNTIF(CA_Prog_4!$E$8:$E$17,$B26)+COUNTIF(CA_Prog_5!$E$8:$E$17,$B26)+COUNTIF(CA_Prog_6!$E$8:$E$17,$B26)+COUNTIF(CA_Prog_7!$E$8:$E$17,$B26)+COUNTIF(CA_Prog_8!$E$8:$E$17,$B26))*$D$8+(COUNTIF(CA_Prog_1!$E$18:$E$25,$B26)+COUNTIF(CA_Prog_2!$E$18:$E$25,$B26)+COUNTIF(CA_Prog_3!$E$18:$E$25,$B26)+COUNTIF(CA_Prog_4!$E$18:$E$25,$B26)+COUNTIF(CA_Prog_5!$E$18:$E$25,$B26)+COUNTIF(CA_Prog_6!$E$18:$E$25,$B26)+COUNTIF(CA_Prog_7!$E$18:$E$25,$B26)+COUNTIF(CA_Prog_8!$E$18:$E$25,$B26))*150000=0,"",(COUNTIF(CA_Prog_1!$E$8:$E$17,$B26)+COUNTIF(CA_Prog_2!$E$8:$E$17,$B26)+COUNTIF(CA_Prog_3!$E$8:$E$17,$B26)+COUNTIF(CA_Prog_4!$E$8:$E$17,$B26)+COUNTIF(CA_Prog_5!$E$8:$E$17,$B26)+COUNTIF(CA_Prog_6!$E$8:$E$17,$B26)+COUNTIF(CA_Prog_7!$E$8:$E$17,$B26)+COUNTIF(CA_Prog_8!$E$8:$E$17,$B26))*$D$8+(COUNTIF(CA_Prog_1!$E$18:$E$25,$B26)+COUNTIF(CA_Prog_2!$E$18:$E$25,$B26)+COUNTIF(CA_Prog_3!$E$18:$E$25,$B26)++COUNTIF(CA_Prog_4!$E$18:$E$25,$B26)+COUNTIF(CA_Prog_5!$E$18:$E$25,$B26)+COUNTIF(CA_Prog_6!$E$18:$E$25,$B26)+COUNTIF(CA_Prog_7!$E$18:$E$25,$B26)+COUNTIF(CA_Prog_8!$E$18:$E$25,$B26))*150000))</f>
        <v>150000</v>
      </c>
      <c r="F26" s="135">
        <f>IF($B26="","",IF((COUNTIF(CA_Prog_1!$F$8:$F$17,$B26)+COUNTIF(CA_Prog_2!$F$8:$F$17,$B26)+COUNTIF(CA_Prog_3!$F$8:$F$17,$B26)+COUNTIF(CA_Prog_4!$F$8:$F$17,$B26)+COUNTIF(CA_Prog_5!$F$8:$F$17,$B26)+COUNTIF(CA_Prog_6!$F$8:$F$17,$B26)+COUNTIF(CA_Prog_7!$F$8:$F$17,$B26)+COUNTIF(CA_Prog_8!$F$8:$F$17,$B26))*$D$8+(COUNTIF(CA_Prog_1!$F$18:$F$25,$B26)+COUNTIF(CA_Prog_2!$F$18:$F$25,$B26)+COUNTIF(CA_Prog_3!$F$18:$F$25,$B26)+COUNTIF(CA_Prog_4!$F$18:$F$25,$B26)+COUNTIF(CA_Prog_5!$F$18:$F$25,$B26)+COUNTIF(CA_Prog_6!$F$18:$F$25,$B26)+COUNTIF(CA_Prog_7!$F$18:$F$25,$B26)+COUNTIF(CA_Prog_8!$F$18:$F$25,$B26))*150000=0,"",(COUNTIF(CA_Prog_1!$F$8:$F$17,$B26)+COUNTIF(CA_Prog_2!$F$8:$F$17,$B26)+COUNTIF(CA_Prog_3!$F$8:$F$17,$B26)+COUNTIF(CA_Prog_4!$F$8:$F$17,$B26)+COUNTIF(CA_Prog_5!$F$8:$F$17,$B26)+COUNTIF(CA_Prog_6!$F$8:$F$17,$B26)+COUNTIF(CA_Prog_7!$F$8:$F$17,$B26)+COUNTIF(CA_Prog_8!$F$8:$F$17,$B26))*$D$8+(COUNTIF(CA_Prog_1!$F$18:$F$25,$B26)+COUNTIF(CA_Prog_2!$F$18:$F$25,$B26)+COUNTIF(CA_Prog_3!$F$18:$F$25,$B26)+COUNTIF(CA_Prog_4!$F$18:$F$25,$B26)+COUNTIF(CA_Prog_5!$F$18:$F$25,$B26)+COUNTIF(CA_Prog_6!$F$18:$F$25,$B26)+COUNTIF(CA_Prog_7!$F$18:$F$25,$B26)+COUNTIF(CA_Prog_8!$F$18:$F$25,$B26))*150000))</f>
        <v>150000</v>
      </c>
      <c r="G26" s="135" t="str">
        <f>IF($B26="","",IF((COUNTIF(CA_Prog_1!$G$8:$G$17,$B26)+COUNTIF(CA_Prog_2!$G$8:$G$17,$B26)+COUNTIF(CA_Prog_3!$G$8:$G$17,$B26)+COUNTIF(CA_Prog_4!$G$8:$G$17,$B26)+COUNTIF(CA_Prog_5!$G$8:$G$17,$B26)+COUNTIF(CA_Prog_6!$G$8:$G$17,$B26)+COUNTIF(CA_Prog_7!$G$8:$G$17,$B26)+COUNTIF(CA_Prog_8!$G$8:$G$17,$B26))*$D$8+(COUNTIF(CA_Prog_1!$G$18:$G$25,$B26)+COUNTIF(CA_Prog_2!$G$18:$G$25,$B26)+COUNTIF(CA_Prog_3!$G$18:$G$25,$B26)+COUNTIF(CA_Prog_4!$G$18:$G$25,$B26)+COUNTIF(CA_Prog_5!$G$18:$G$25,$B26)+COUNTIF(CA_Prog_6!$G$18:$G$25,$B26)+COUNTIF(CA_Prog_7!$G$18:$G$25,$B26)+COUNTIF(CA_Prog_8!$G$18:$G$25,$B26))*150000=0,"",(COUNTIF(CA_Prog_1!$G$8:$G$17,$B26)+COUNTIF(CA_Prog_2!$G$8:$G$17,$B26)+COUNTIF(CA_Prog_3!$G$8:$G$17,$B26)+COUNTIF(CA_Prog_4!$G$8:$G$17,$B26)+COUNTIF(CA_Prog_5!$G$8:$G$17,$B26)+COUNTIF(CA_Prog_6!$G$8:$G$17,$B26)+COUNTIF(CA_Prog_7!$G$8:$G$17,$B26)+COUNTIF(CA_Prog_8!$G$8:$G$17,$B26))*$D$8+(COUNTIF(CA_Prog_1!$G$18:$G$25,$B26)+COUNTIF(CA_Prog_2!$G$18:$G$25,$B26)+COUNTIF(CA_Prog_3!$G$18:$G$25,$B26)+COUNTIF(CA_Prog_4!$G$18:$G$25,$B26)+COUNTIF(CA_Prog_5!$G$18:$G$25,$B26)+COUNTIF(CA_Prog_6!$G$18:$G$25,$B26)+COUNTIF(CA_Prog_7!$G$18:$G$25,$B26)+COUNTIF(CA_Prog_8!$G$18:$G$25,$B26))*150000))</f>
        <v/>
      </c>
      <c r="H26" s="136">
        <f t="shared" si="0"/>
        <v>450000</v>
      </c>
      <c r="I26" s="53"/>
      <c r="J26" s="53"/>
      <c r="K26" s="53"/>
      <c r="L26" s="53"/>
      <c r="M26" s="53"/>
      <c r="N26" s="53"/>
      <c r="P26" s="53"/>
    </row>
    <row r="27" spans="1:16" x14ac:dyDescent="0.25">
      <c r="A27" s="133">
        <f>IF(ISTEXT($B27),16,"")</f>
        <v>16</v>
      </c>
      <c r="B27" s="65" t="s">
        <v>399</v>
      </c>
      <c r="C27" s="135" t="str">
        <f>IF($B27="","",IF((COUNTIF(CA_Prog_1!$C$8:$C$17,$B27)+COUNTIF(CA_Prog_2!$C$8:$C$17,$B27)+COUNTIF(CA_Prog_3!$C$8:$C$17,$B27)+COUNTIF(CA_Prog_4!$C$8:$C$17,$B27)+COUNTIF(CA_Prog_5!$C$8:$C$17,$B27)+COUNTIF(CA_Prog_6!$C$8:$C$17,$B27)+COUNTIF(CA_Prog_7!$C$8:$C$17,$B27)+COUNTIF(CA_Prog_8!$C$8:$C$17,$B27))*$D$8+(COUNTIF(CA_Prog_1!$C$18:$C$25,$B27)+COUNTIF(CA_Prog_2!$C$18:$C$25,$B27)+COUNTIF(CA_Prog_3!$C$18:$C$25,$B27)+COUNTIF(CA_Prog_4!$C$18:$C$25,$B27)+COUNTIF(CA_Prog_5!$C$18:$C$25,$B27)+COUNTIF(CA_Prog_6!$C$18:$C$25,$B27)+COUNTIF(CA_Prog_7!$C$18:$C$25,$B27)+COUNTIF(CA_Prog_8!$C$18:$C$25,$B27))*150000=0,"",(COUNTIF(CA_Prog_1!$C$8:$C$17,$B27)+COUNTIF(CA_Prog_2!$C$8:$C$17,$B27)+COUNTIF(CA_Prog_3!$C$8:$C$17,$B27)+COUNTIF(CA_Prog_4!$C$8:$C$17,$B27)+COUNTIF(CA_Prog_5!$C$8:$C$17,$B27)+COUNTIF(CA_Prog_6!$C$8:$C$17,$B27)+COUNTIF(CA_Prog_7!$C$8:$C$17,$B27)+COUNTIF(CA_Prog_8!$C$8:$C$17,$B27))*$D$8+(COUNTIF(CA_Prog_1!$C$18:$C$25,$B27)+COUNTIF(CA_Prog_2!$C$18:$C$25,$B27)+COUNTIF(CA_Prog_3!$C$18:$C$25,$B27)+COUNTIF(CA_Prog_4!$C$18:$C$25,$B27)+COUNTIF(CA_Prog_5!$C$18:$C$25,$B27)+COUNTIF(CA_Prog_6!$C$18:$C$25,$B27)+COUNTIF(CA_Prog_7!$C$18:$C$25,$B27)+COUNTIF(CA_Prog_8!$C$18:$C$25,$B27))*150000))</f>
        <v/>
      </c>
      <c r="D27" s="135" t="str">
        <f>IF($B27="","",IF((COUNTIF(CA_Prog_1!$D$8:$D$17,$B27)+COUNTIF(CA_Prog_2!$D$8:$D$17,$B27)+COUNTIF(CA_Prog_3!$D$8:$D$17,$B27)+COUNTIF(CA_Prog_4!$D$8:$D$17,$B27)+COUNTIF(CA_Prog_5!$D$8:$D$17,$B27)+COUNTIF(CA_Prog_6!$D$8:$D$17,$B27)+COUNTIF(CA_Prog_7!$D$8:$D$17,$B27)+COUNTIF(CA_Prog_8!$D$8:$D$17,$B27))*$D$8+(COUNTIF(CA_Prog_1!$D$18:$D$25,$B27)+COUNTIF(CA_Prog_2!$D$18:$D$25,$B27)+COUNTIF(CA_Prog_3!$D$18:$D$25,$B27)+COUNTIF(CA_Prog_4!$D$18:$D$25,$B27)+COUNTIF(CA_Prog_5!$D$18:$D$25,$B27)+COUNTIF(CA_Prog_6!$D$18:$D$25,$B27)+COUNTIF(CA_Prog_7!$D$18:$D$25,$B27)+COUNTIF(CA_Prog_8!$D$18:$D$25,$B27))*150000=0,"",(COUNTIF(CA_Prog_1!$D$8:$D$17,$B27)+COUNTIF(CA_Prog_2!$D$8:$D$17,$B27)+COUNTIF(CA_Prog_3!$D$8:$D$17,$B27)+COUNTIF(CA_Prog_4!$D$8:$D$17,$B27)+COUNTIF(CA_Prog_5!$D$8:$D$17,$B27)+COUNTIF(CA_Prog_6!$D$8:$D$17,$B27)+COUNTIF(CA_Prog_7!$D$8:$D$17,$B27)+COUNTIF(CA_Prog_8!$D$8:$D$17,$B27))*$D$8+(COUNTIF(CA_Prog_1!$D$18:$D$25,$B27)+COUNTIF(CA_Prog_2!$D$18:$D$25,$B27)+COUNTIF(CA_Prog_3!$D$18:$D$25,$B27)+COUNTIF(CA_Prog_4!$D$18:$D$25,$B27)+COUNTIF(CA_Prog_5!$D$18:$D$25,$B27)+COUNTIF(CA_Prog_6!$D$18:$D$25,$B27)+COUNTIF(CA_Prog_7!$D$18:$D$25,$B27)+COUNTIF(CA_Prog_8!$D$18:$D$25,$B27))*150000))</f>
        <v/>
      </c>
      <c r="E27" s="135" t="str">
        <f>IF($B27="","",IF((COUNTIF(CA_Prog_1!$E$8:$E$17,$B27)+COUNTIF(CA_Prog_2!$E$8:$E$17,$B27)+COUNTIF(CA_Prog_3!$E$8:$E$17,$B27)+COUNTIF(CA_Prog_4!$E$8:$E$17,$B27)+COUNTIF(CA_Prog_5!$E$8:$E$17,$B27)+COUNTIF(CA_Prog_6!$E$8:$E$17,$B27)+COUNTIF(CA_Prog_7!$E$8:$E$17,$B27)+COUNTIF(CA_Prog_8!$E$8:$E$17,$B27))*$D$8+(COUNTIF(CA_Prog_1!$E$18:$E$25,$B27)+COUNTIF(CA_Prog_2!$E$18:$E$25,$B27)+COUNTIF(CA_Prog_3!$E$18:$E$25,$B27)+COUNTIF(CA_Prog_4!$E$18:$E$25,$B27)+COUNTIF(CA_Prog_5!$E$18:$E$25,$B27)+COUNTIF(CA_Prog_6!$E$18:$E$25,$B27)+COUNTIF(CA_Prog_7!$E$18:$E$25,$B27)+COUNTIF(CA_Prog_8!$E$18:$E$25,$B27))*150000=0,"",(COUNTIF(CA_Prog_1!$E$8:$E$17,$B27)+COUNTIF(CA_Prog_2!$E$8:$E$17,$B27)+COUNTIF(CA_Prog_3!$E$8:$E$17,$B27)+COUNTIF(CA_Prog_4!$E$8:$E$17,$B27)+COUNTIF(CA_Prog_5!$E$8:$E$17,$B27)+COUNTIF(CA_Prog_6!$E$8:$E$17,$B27)+COUNTIF(CA_Prog_7!$E$8:$E$17,$B27)+COUNTIF(CA_Prog_8!$E$8:$E$17,$B27))*$D$8+(COUNTIF(CA_Prog_1!$E$18:$E$25,$B27)+COUNTIF(CA_Prog_2!$E$18:$E$25,$B27)+COUNTIF(CA_Prog_3!$E$18:$E$25,$B27)++COUNTIF(CA_Prog_4!$E$18:$E$25,$B27)+COUNTIF(CA_Prog_5!$E$18:$E$25,$B27)+COUNTIF(CA_Prog_6!$E$18:$E$25,$B27)+COUNTIF(CA_Prog_7!$E$18:$E$25,$B27)+COUNTIF(CA_Prog_8!$E$18:$E$25,$B27))*150000))</f>
        <v/>
      </c>
      <c r="F27" s="135" t="str">
        <f>IF($B27="","",IF((COUNTIF(CA_Prog_1!$F$8:$F$17,$B27)+COUNTIF(CA_Prog_2!$F$8:$F$17,$B27)+COUNTIF(CA_Prog_3!$F$8:$F$17,$B27)+COUNTIF(CA_Prog_4!$F$8:$F$17,$B27)+COUNTIF(CA_Prog_5!$F$8:$F$17,$B27)+COUNTIF(CA_Prog_6!$F$8:$F$17,$B27)+COUNTIF(CA_Prog_7!$F$8:$F$17,$B27)+COUNTIF(CA_Prog_8!$F$8:$F$17,$B27))*$D$8+(COUNTIF(CA_Prog_1!$F$18:$F$25,$B27)+COUNTIF(CA_Prog_2!$F$18:$F$25,$B27)+COUNTIF(CA_Prog_3!$F$18:$F$25,$B27)+COUNTIF(CA_Prog_4!$F$18:$F$25,$B27)+COUNTIF(CA_Prog_5!$F$18:$F$25,$B27)+COUNTIF(CA_Prog_6!$F$18:$F$25,$B27)+COUNTIF(CA_Prog_7!$F$18:$F$25,$B27)+COUNTIF(CA_Prog_8!$F$18:$F$25,$B27))*150000=0,"",(COUNTIF(CA_Prog_1!$F$8:$F$17,$B27)+COUNTIF(CA_Prog_2!$F$8:$F$17,$B27)+COUNTIF(CA_Prog_3!$F$8:$F$17,$B27)+COUNTIF(CA_Prog_4!$F$8:$F$17,$B27)+COUNTIF(CA_Prog_5!$F$8:$F$17,$B27)+COUNTIF(CA_Prog_6!$F$8:$F$17,$B27)+COUNTIF(CA_Prog_7!$F$8:$F$17,$B27)+COUNTIF(CA_Prog_8!$F$8:$F$17,$B27))*$D$8+(COUNTIF(CA_Prog_1!$F$18:$F$25,$B27)+COUNTIF(CA_Prog_2!$F$18:$F$25,$B27)+COUNTIF(CA_Prog_3!$F$18:$F$25,$B27)+COUNTIF(CA_Prog_4!$F$18:$F$25,$B27)+COUNTIF(CA_Prog_5!$F$18:$F$25,$B27)+COUNTIF(CA_Prog_6!$F$18:$F$25,$B27)+COUNTIF(CA_Prog_7!$F$18:$F$25,$B27)+COUNTIF(CA_Prog_8!$F$18:$F$25,$B27))*150000))</f>
        <v/>
      </c>
      <c r="G27" s="135" t="str">
        <f>IF($B27="","",IF((COUNTIF(CA_Prog_1!$G$8:$G$17,$B27)+COUNTIF(CA_Prog_2!$G$8:$G$17,$B27)+COUNTIF(CA_Prog_3!$G$8:$G$17,$B27)+COUNTIF(CA_Prog_4!$G$8:$G$17,$B27)+COUNTIF(CA_Prog_5!$G$8:$G$17,$B27)+COUNTIF(CA_Prog_6!$G$8:$G$17,$B27)+COUNTIF(CA_Prog_7!$G$8:$G$17,$B27)+COUNTIF(CA_Prog_8!$G$8:$G$17,$B27))*$D$8+(COUNTIF(CA_Prog_1!$G$18:$G$25,$B27)+COUNTIF(CA_Prog_2!$G$18:$G$25,$B27)+COUNTIF(CA_Prog_3!$G$18:$G$25,$B27)+COUNTIF(CA_Prog_4!$G$18:$G$25,$B27)+COUNTIF(CA_Prog_5!$G$18:$G$25,$B27)+COUNTIF(CA_Prog_6!$G$18:$G$25,$B27)+COUNTIF(CA_Prog_7!$G$18:$G$25,$B27)+COUNTIF(CA_Prog_8!$G$18:$G$25,$B27))*150000=0,"",(COUNTIF(CA_Prog_1!$G$8:$G$17,$B27)+COUNTIF(CA_Prog_2!$G$8:$G$17,$B27)+COUNTIF(CA_Prog_3!$G$8:$G$17,$B27)+COUNTIF(CA_Prog_4!$G$8:$G$17,$B27)+COUNTIF(CA_Prog_5!$G$8:$G$17,$B27)+COUNTIF(CA_Prog_6!$G$8:$G$17,$B27)+COUNTIF(CA_Prog_7!$G$8:$G$17,$B27)+COUNTIF(CA_Prog_8!$G$8:$G$17,$B27))*$D$8+(COUNTIF(CA_Prog_1!$G$18:$G$25,$B27)+COUNTIF(CA_Prog_2!$G$18:$G$25,$B27)+COUNTIF(CA_Prog_3!$G$18:$G$25,$B27)+COUNTIF(CA_Prog_4!$G$18:$G$25,$B27)+COUNTIF(CA_Prog_5!$G$18:$G$25,$B27)+COUNTIF(CA_Prog_6!$G$18:$G$25,$B27)+COUNTIF(CA_Prog_7!$G$18:$G$25,$B27)+COUNTIF(CA_Prog_8!$G$18:$G$25,$B27))*150000))</f>
        <v/>
      </c>
      <c r="H27" s="136" t="str">
        <f t="shared" si="0"/>
        <v/>
      </c>
      <c r="I27" s="53"/>
      <c r="J27" s="53"/>
      <c r="K27" s="53"/>
      <c r="L27" s="53"/>
      <c r="M27" s="53"/>
      <c r="N27" s="53"/>
      <c r="P27" s="53"/>
    </row>
    <row r="28" spans="1:16" x14ac:dyDescent="0.25">
      <c r="A28" s="133">
        <f>IF(ISTEXT($B28),17,"")</f>
        <v>17</v>
      </c>
      <c r="B28" s="65" t="s">
        <v>400</v>
      </c>
      <c r="C28" s="135">
        <f>IF($B28="","",IF((COUNTIF(CA_Prog_1!$C$8:$C$17,$B28)+COUNTIF(CA_Prog_2!$C$8:$C$17,$B28)+COUNTIF(CA_Prog_3!$C$8:$C$17,$B28)+COUNTIF(CA_Prog_4!$C$8:$C$17,$B28)+COUNTIF(CA_Prog_5!$C$8:$C$17,$B28)+COUNTIF(CA_Prog_6!$C$8:$C$17,$B28)+COUNTIF(CA_Prog_7!$C$8:$C$17,$B28)+COUNTIF(CA_Prog_8!$C$8:$C$17,$B28))*$D$8+(COUNTIF(CA_Prog_1!$C$18:$C$25,$B28)+COUNTIF(CA_Prog_2!$C$18:$C$25,$B28)+COUNTIF(CA_Prog_3!$C$18:$C$25,$B28)+COUNTIF(CA_Prog_4!$C$18:$C$25,$B28)+COUNTIF(CA_Prog_5!$C$18:$C$25,$B28)+COUNTIF(CA_Prog_6!$C$18:$C$25,$B28)+COUNTIF(CA_Prog_7!$C$18:$C$25,$B28)+COUNTIF(CA_Prog_8!$C$18:$C$25,$B28))*150000=0,"",(COUNTIF(CA_Prog_1!$C$8:$C$17,$B28)+COUNTIF(CA_Prog_2!$C$8:$C$17,$B28)+COUNTIF(CA_Prog_3!$C$8:$C$17,$B28)+COUNTIF(CA_Prog_4!$C$8:$C$17,$B28)+COUNTIF(CA_Prog_5!$C$8:$C$17,$B28)+COUNTIF(CA_Prog_6!$C$8:$C$17,$B28)+COUNTIF(CA_Prog_7!$C$8:$C$17,$B28)+COUNTIF(CA_Prog_8!$C$8:$C$17,$B28))*$D$8+(COUNTIF(CA_Prog_1!$C$18:$C$25,$B28)+COUNTIF(CA_Prog_2!$C$18:$C$25,$B28)+COUNTIF(CA_Prog_3!$C$18:$C$25,$B28)+COUNTIF(CA_Prog_4!$C$18:$C$25,$B28)+COUNTIF(CA_Prog_5!$C$18:$C$25,$B28)+COUNTIF(CA_Prog_6!$C$18:$C$25,$B28)+COUNTIF(CA_Prog_7!$C$18:$C$25,$B28)+COUNTIF(CA_Prog_8!$C$18:$C$25,$B28))*150000))</f>
        <v>150000</v>
      </c>
      <c r="D28" s="135">
        <f>IF($B28="","",IF((COUNTIF(CA_Prog_1!$D$8:$D$17,$B28)+COUNTIF(CA_Prog_2!$D$8:$D$17,$B28)+COUNTIF(CA_Prog_3!$D$8:$D$17,$B28)+COUNTIF(CA_Prog_4!$D$8:$D$17,$B28)+COUNTIF(CA_Prog_5!$D$8:$D$17,$B28)+COUNTIF(CA_Prog_6!$D$8:$D$17,$B28)+COUNTIF(CA_Prog_7!$D$8:$D$17,$B28)+COUNTIF(CA_Prog_8!$D$8:$D$17,$B28))*$D$8+(COUNTIF(CA_Prog_1!$D$18:$D$25,$B28)+COUNTIF(CA_Prog_2!$D$18:$D$25,$B28)+COUNTIF(CA_Prog_3!$D$18:$D$25,$B28)+COUNTIF(CA_Prog_4!$D$18:$D$25,$B28)+COUNTIF(CA_Prog_5!$D$18:$D$25,$B28)+COUNTIF(CA_Prog_6!$D$18:$D$25,$B28)+COUNTIF(CA_Prog_7!$D$18:$D$25,$B28)+COUNTIF(CA_Prog_8!$D$18:$D$25,$B28))*150000=0,"",(COUNTIF(CA_Prog_1!$D$8:$D$17,$B28)+COUNTIF(CA_Prog_2!$D$8:$D$17,$B28)+COUNTIF(CA_Prog_3!$D$8:$D$17,$B28)+COUNTIF(CA_Prog_4!$D$8:$D$17,$B28)+COUNTIF(CA_Prog_5!$D$8:$D$17,$B28)+COUNTIF(CA_Prog_6!$D$8:$D$17,$B28)+COUNTIF(CA_Prog_7!$D$8:$D$17,$B28)+COUNTIF(CA_Prog_8!$D$8:$D$17,$B28))*$D$8+(COUNTIF(CA_Prog_1!$D$18:$D$25,$B28)+COUNTIF(CA_Prog_2!$D$18:$D$25,$B28)+COUNTIF(CA_Prog_3!$D$18:$D$25,$B28)+COUNTIF(CA_Prog_4!$D$18:$D$25,$B28)+COUNTIF(CA_Prog_5!$D$18:$D$25,$B28)+COUNTIF(CA_Prog_6!$D$18:$D$25,$B28)+COUNTIF(CA_Prog_7!$D$18:$D$25,$B28)+COUNTIF(CA_Prog_8!$D$18:$D$25,$B28))*150000))</f>
        <v>150000</v>
      </c>
      <c r="E28" s="135">
        <f>IF($B28="","",IF((COUNTIF(CA_Prog_1!$E$8:$E$17,$B28)+COUNTIF(CA_Prog_2!$E$8:$E$17,$B28)+COUNTIF(CA_Prog_3!$E$8:$E$17,$B28)+COUNTIF(CA_Prog_4!$E$8:$E$17,$B28)+COUNTIF(CA_Prog_5!$E$8:$E$17,$B28)+COUNTIF(CA_Prog_6!$E$8:$E$17,$B28)+COUNTIF(CA_Prog_7!$E$8:$E$17,$B28)+COUNTIF(CA_Prog_8!$E$8:$E$17,$B28))*$D$8+(COUNTIF(CA_Prog_1!$E$18:$E$25,$B28)+COUNTIF(CA_Prog_2!$E$18:$E$25,$B28)+COUNTIF(CA_Prog_3!$E$18:$E$25,$B28)+COUNTIF(CA_Prog_4!$E$18:$E$25,$B28)+COUNTIF(CA_Prog_5!$E$18:$E$25,$B28)+COUNTIF(CA_Prog_6!$E$18:$E$25,$B28)+COUNTIF(CA_Prog_7!$E$18:$E$25,$B28)+COUNTIF(CA_Prog_8!$E$18:$E$25,$B28))*150000=0,"",(COUNTIF(CA_Prog_1!$E$8:$E$17,$B28)+COUNTIF(CA_Prog_2!$E$8:$E$17,$B28)+COUNTIF(CA_Prog_3!$E$8:$E$17,$B28)+COUNTIF(CA_Prog_4!$E$8:$E$17,$B28)+COUNTIF(CA_Prog_5!$E$8:$E$17,$B28)+COUNTIF(CA_Prog_6!$E$8:$E$17,$B28)+COUNTIF(CA_Prog_7!$E$8:$E$17,$B28)+COUNTIF(CA_Prog_8!$E$8:$E$17,$B28))*$D$8+(COUNTIF(CA_Prog_1!$E$18:$E$25,$B28)+COUNTIF(CA_Prog_2!$E$18:$E$25,$B28)+COUNTIF(CA_Prog_3!$E$18:$E$25,$B28)++COUNTIF(CA_Prog_4!$E$18:$E$25,$B28)+COUNTIF(CA_Prog_5!$E$18:$E$25,$B28)+COUNTIF(CA_Prog_6!$E$18:$E$25,$B28)+COUNTIF(CA_Prog_7!$E$18:$E$25,$B28)+COUNTIF(CA_Prog_8!$E$18:$E$25,$B28))*150000))</f>
        <v>150000</v>
      </c>
      <c r="F28" s="135" t="str">
        <f>IF($B28="","",IF((COUNTIF(CA_Prog_1!$F$8:$F$17,$B28)+COUNTIF(CA_Prog_2!$F$8:$F$17,$B28)+COUNTIF(CA_Prog_3!$F$8:$F$17,$B28)+COUNTIF(CA_Prog_4!$F$8:$F$17,$B28)+COUNTIF(CA_Prog_5!$F$8:$F$17,$B28)+COUNTIF(CA_Prog_6!$F$8:$F$17,$B28)+COUNTIF(CA_Prog_7!$F$8:$F$17,$B28)+COUNTIF(CA_Prog_8!$F$8:$F$17,$B28))*$D$8+(COUNTIF(CA_Prog_1!$F$18:$F$25,$B28)+COUNTIF(CA_Prog_2!$F$18:$F$25,$B28)+COUNTIF(CA_Prog_3!$F$18:$F$25,$B28)+COUNTIF(CA_Prog_4!$F$18:$F$25,$B28)+COUNTIF(CA_Prog_5!$F$18:$F$25,$B28)+COUNTIF(CA_Prog_6!$F$18:$F$25,$B28)+COUNTIF(CA_Prog_7!$F$18:$F$25,$B28)+COUNTIF(CA_Prog_8!$F$18:$F$25,$B28))*150000=0,"",(COUNTIF(CA_Prog_1!$F$8:$F$17,$B28)+COUNTIF(CA_Prog_2!$F$8:$F$17,$B28)+COUNTIF(CA_Prog_3!$F$8:$F$17,$B28)+COUNTIF(CA_Prog_4!$F$8:$F$17,$B28)+COUNTIF(CA_Prog_5!$F$8:$F$17,$B28)+COUNTIF(CA_Prog_6!$F$8:$F$17,$B28)+COUNTIF(CA_Prog_7!$F$8:$F$17,$B28)+COUNTIF(CA_Prog_8!$F$8:$F$17,$B28))*$D$8+(COUNTIF(CA_Prog_1!$F$18:$F$25,$B28)+COUNTIF(CA_Prog_2!$F$18:$F$25,$B28)+COUNTIF(CA_Prog_3!$F$18:$F$25,$B28)+COUNTIF(CA_Prog_4!$F$18:$F$25,$B28)+COUNTIF(CA_Prog_5!$F$18:$F$25,$B28)+COUNTIF(CA_Prog_6!$F$18:$F$25,$B28)+COUNTIF(CA_Prog_7!$F$18:$F$25,$B28)+COUNTIF(CA_Prog_8!$F$18:$F$25,$B28))*150000))</f>
        <v/>
      </c>
      <c r="G28" s="135" t="str">
        <f>IF($B28="","",IF((COUNTIF(CA_Prog_1!$G$8:$G$17,$B28)+COUNTIF(CA_Prog_2!$G$8:$G$17,$B28)+COUNTIF(CA_Prog_3!$G$8:$G$17,$B28)+COUNTIF(CA_Prog_4!$G$8:$G$17,$B28)+COUNTIF(CA_Prog_5!$G$8:$G$17,$B28)+COUNTIF(CA_Prog_6!$G$8:$G$17,$B28)+COUNTIF(CA_Prog_7!$G$8:$G$17,$B28)+COUNTIF(CA_Prog_8!$G$8:$G$17,$B28))*$D$8+(COUNTIF(CA_Prog_1!$G$18:$G$25,$B28)+COUNTIF(CA_Prog_2!$G$18:$G$25,$B28)+COUNTIF(CA_Prog_3!$G$18:$G$25,$B28)+COUNTIF(CA_Prog_4!$G$18:$G$25,$B28)+COUNTIF(CA_Prog_5!$G$18:$G$25,$B28)+COUNTIF(CA_Prog_6!$G$18:$G$25,$B28)+COUNTIF(CA_Prog_7!$G$18:$G$25,$B28)+COUNTIF(CA_Prog_8!$G$18:$G$25,$B28))*150000=0,"",(COUNTIF(CA_Prog_1!$G$8:$G$17,$B28)+COUNTIF(CA_Prog_2!$G$8:$G$17,$B28)+COUNTIF(CA_Prog_3!$G$8:$G$17,$B28)+COUNTIF(CA_Prog_4!$G$8:$G$17,$B28)+COUNTIF(CA_Prog_5!$G$8:$G$17,$B28)+COUNTIF(CA_Prog_6!$G$8:$G$17,$B28)+COUNTIF(CA_Prog_7!$G$8:$G$17,$B28)+COUNTIF(CA_Prog_8!$G$8:$G$17,$B28))*$D$8+(COUNTIF(CA_Prog_1!$G$18:$G$25,$B28)+COUNTIF(CA_Prog_2!$G$18:$G$25,$B28)+COUNTIF(CA_Prog_3!$G$18:$G$25,$B28)+COUNTIF(CA_Prog_4!$G$18:$G$25,$B28)+COUNTIF(CA_Prog_5!$G$18:$G$25,$B28)+COUNTIF(CA_Prog_6!$G$18:$G$25,$B28)+COUNTIF(CA_Prog_7!$G$18:$G$25,$B28)+COUNTIF(CA_Prog_8!$G$18:$G$25,$B28))*150000))</f>
        <v/>
      </c>
      <c r="H28" s="136">
        <f t="shared" si="0"/>
        <v>450000</v>
      </c>
      <c r="I28" s="53"/>
      <c r="J28" s="53"/>
      <c r="K28" s="53"/>
      <c r="L28" s="53"/>
      <c r="M28" s="53"/>
      <c r="N28" s="53"/>
      <c r="P28" s="53"/>
    </row>
    <row r="29" spans="1:16" x14ac:dyDescent="0.25">
      <c r="A29" s="133">
        <f>IF(ISTEXT($B29),18,"")</f>
        <v>18</v>
      </c>
      <c r="B29" s="65" t="s">
        <v>405</v>
      </c>
      <c r="C29" s="135">
        <f>IF($B29="","",IF((COUNTIF(CA_Prog_1!$C$8:$C$17,$B29)+COUNTIF(CA_Prog_2!$C$8:$C$17,$B29)+COUNTIF(CA_Prog_3!$C$8:$C$17,$B29)+COUNTIF(CA_Prog_4!$C$8:$C$17,$B29)+COUNTIF(CA_Prog_5!$C$8:$C$17,$B29)+COUNTIF(CA_Prog_6!$C$8:$C$17,$B29)+COUNTIF(CA_Prog_7!$C$8:$C$17,$B29)+COUNTIF(CA_Prog_8!$C$8:$C$17,$B29))*$D$8+(COUNTIF(CA_Prog_1!$C$18:$C$25,$B29)+COUNTIF(CA_Prog_2!$C$18:$C$25,$B29)+COUNTIF(CA_Prog_3!$C$18:$C$25,$B29)+COUNTIF(CA_Prog_4!$C$18:$C$25,$B29)+COUNTIF(CA_Prog_5!$C$18:$C$25,$B29)+COUNTIF(CA_Prog_6!$C$18:$C$25,$B29)+COUNTIF(CA_Prog_7!$C$18:$C$25,$B29)+COUNTIF(CA_Prog_8!$C$18:$C$25,$B29))*150000=0,"",(COUNTIF(CA_Prog_1!$C$8:$C$17,$B29)+COUNTIF(CA_Prog_2!$C$8:$C$17,$B29)+COUNTIF(CA_Prog_3!$C$8:$C$17,$B29)+COUNTIF(CA_Prog_4!$C$8:$C$17,$B29)+COUNTIF(CA_Prog_5!$C$8:$C$17,$B29)+COUNTIF(CA_Prog_6!$C$8:$C$17,$B29)+COUNTIF(CA_Prog_7!$C$8:$C$17,$B29)+COUNTIF(CA_Prog_8!$C$8:$C$17,$B29))*$D$8+(COUNTIF(CA_Prog_1!$C$18:$C$25,$B29)+COUNTIF(CA_Prog_2!$C$18:$C$25,$B29)+COUNTIF(CA_Prog_3!$C$18:$C$25,$B29)+COUNTIF(CA_Prog_4!$C$18:$C$25,$B29)+COUNTIF(CA_Prog_5!$C$18:$C$25,$B29)+COUNTIF(CA_Prog_6!$C$18:$C$25,$B29)+COUNTIF(CA_Prog_7!$C$18:$C$25,$B29)+COUNTIF(CA_Prog_8!$C$18:$C$25,$B29))*150000))</f>
        <v>300000</v>
      </c>
      <c r="D29" s="135">
        <f>IF($B29="","",IF((COUNTIF(CA_Prog_1!$D$8:$D$17,$B29)+COUNTIF(CA_Prog_2!$D$8:$D$17,$B29)+COUNTIF(CA_Prog_3!$D$8:$D$17,$B29)+COUNTIF(CA_Prog_4!$D$8:$D$17,$B29)+COUNTIF(CA_Prog_5!$D$8:$D$17,$B29)+COUNTIF(CA_Prog_6!$D$8:$D$17,$B29)+COUNTIF(CA_Prog_7!$D$8:$D$17,$B29)+COUNTIF(CA_Prog_8!$D$8:$D$17,$B29))*$D$8+(COUNTIF(CA_Prog_1!$D$18:$D$25,$B29)+COUNTIF(CA_Prog_2!$D$18:$D$25,$B29)+COUNTIF(CA_Prog_3!$D$18:$D$25,$B29)+COUNTIF(CA_Prog_4!$D$18:$D$25,$B29)+COUNTIF(CA_Prog_5!$D$18:$D$25,$B29)+COUNTIF(CA_Prog_6!$D$18:$D$25,$B29)+COUNTIF(CA_Prog_7!$D$18:$D$25,$B29)+COUNTIF(CA_Prog_8!$D$18:$D$25,$B29))*150000=0,"",(COUNTIF(CA_Prog_1!$D$8:$D$17,$B29)+COUNTIF(CA_Prog_2!$D$8:$D$17,$B29)+COUNTIF(CA_Prog_3!$D$8:$D$17,$B29)+COUNTIF(CA_Prog_4!$D$8:$D$17,$B29)+COUNTIF(CA_Prog_5!$D$8:$D$17,$B29)+COUNTIF(CA_Prog_6!$D$8:$D$17,$B29)+COUNTIF(CA_Prog_7!$D$8:$D$17,$B29)+COUNTIF(CA_Prog_8!$D$8:$D$17,$B29))*$D$8+(COUNTIF(CA_Prog_1!$D$18:$D$25,$B29)+COUNTIF(CA_Prog_2!$D$18:$D$25,$B29)+COUNTIF(CA_Prog_3!$D$18:$D$25,$B29)+COUNTIF(CA_Prog_4!$D$18:$D$25,$B29)+COUNTIF(CA_Prog_5!$D$18:$D$25,$B29)+COUNTIF(CA_Prog_6!$D$18:$D$25,$B29)+COUNTIF(CA_Prog_7!$D$18:$D$25,$B29)+COUNTIF(CA_Prog_8!$D$18:$D$25,$B29))*150000))</f>
        <v>300000</v>
      </c>
      <c r="E29" s="135">
        <f>IF($B29="","",IF((COUNTIF(CA_Prog_1!$E$8:$E$17,$B29)+COUNTIF(CA_Prog_2!$E$8:$E$17,$B29)+COUNTIF(CA_Prog_3!$E$8:$E$17,$B29)+COUNTIF(CA_Prog_4!$E$8:$E$17,$B29)+COUNTIF(CA_Prog_5!$E$8:$E$17,$B29)+COUNTIF(CA_Prog_6!$E$8:$E$17,$B29)+COUNTIF(CA_Prog_7!$E$8:$E$17,$B29)+COUNTIF(CA_Prog_8!$E$8:$E$17,$B29))*$D$8+(COUNTIF(CA_Prog_1!$E$18:$E$25,$B29)+COUNTIF(CA_Prog_2!$E$18:$E$25,$B29)+COUNTIF(CA_Prog_3!$E$18:$E$25,$B29)+COUNTIF(CA_Prog_4!$E$18:$E$25,$B29)+COUNTIF(CA_Prog_5!$E$18:$E$25,$B29)+COUNTIF(CA_Prog_6!$E$18:$E$25,$B29)+COUNTIF(CA_Prog_7!$E$18:$E$25,$B29)+COUNTIF(CA_Prog_8!$E$18:$E$25,$B29))*150000=0,"",(COUNTIF(CA_Prog_1!$E$8:$E$17,$B29)+COUNTIF(CA_Prog_2!$E$8:$E$17,$B29)+COUNTIF(CA_Prog_3!$E$8:$E$17,$B29)+COUNTIF(CA_Prog_4!$E$8:$E$17,$B29)+COUNTIF(CA_Prog_5!$E$8:$E$17,$B29)+COUNTIF(CA_Prog_6!$E$8:$E$17,$B29)+COUNTIF(CA_Prog_7!$E$8:$E$17,$B29)+COUNTIF(CA_Prog_8!$E$8:$E$17,$B29))*$D$8+(COUNTIF(CA_Prog_1!$E$18:$E$25,$B29)+COUNTIF(CA_Prog_2!$E$18:$E$25,$B29)+COUNTIF(CA_Prog_3!$E$18:$E$25,$B29)++COUNTIF(CA_Prog_4!$E$18:$E$25,$B29)+COUNTIF(CA_Prog_5!$E$18:$E$25,$B29)+COUNTIF(CA_Prog_6!$E$18:$E$25,$B29)+COUNTIF(CA_Prog_7!$E$18:$E$25,$B29)+COUNTIF(CA_Prog_8!$E$18:$E$25,$B29))*150000))</f>
        <v>300000</v>
      </c>
      <c r="F29" s="135">
        <f>IF($B29="","",IF((COUNTIF(CA_Prog_1!$F$8:$F$17,$B29)+COUNTIF(CA_Prog_2!$F$8:$F$17,$B29)+COUNTIF(CA_Prog_3!$F$8:$F$17,$B29)+COUNTIF(CA_Prog_4!$F$8:$F$17,$B29)+COUNTIF(CA_Prog_5!$F$8:$F$17,$B29)+COUNTIF(CA_Prog_6!$F$8:$F$17,$B29)+COUNTIF(CA_Prog_7!$F$8:$F$17,$B29)+COUNTIF(CA_Prog_8!$F$8:$F$17,$B29))*$D$8+(COUNTIF(CA_Prog_1!$F$18:$F$25,$B29)+COUNTIF(CA_Prog_2!$F$18:$F$25,$B29)+COUNTIF(CA_Prog_3!$F$18:$F$25,$B29)+COUNTIF(CA_Prog_4!$F$18:$F$25,$B29)+COUNTIF(CA_Prog_5!$F$18:$F$25,$B29)+COUNTIF(CA_Prog_6!$F$18:$F$25,$B29)+COUNTIF(CA_Prog_7!$F$18:$F$25,$B29)+COUNTIF(CA_Prog_8!$F$18:$F$25,$B29))*150000=0,"",(COUNTIF(CA_Prog_1!$F$8:$F$17,$B29)+COUNTIF(CA_Prog_2!$F$8:$F$17,$B29)+COUNTIF(CA_Prog_3!$F$8:$F$17,$B29)+COUNTIF(CA_Prog_4!$F$8:$F$17,$B29)+COUNTIF(CA_Prog_5!$F$8:$F$17,$B29)+COUNTIF(CA_Prog_6!$F$8:$F$17,$B29)+COUNTIF(CA_Prog_7!$F$8:$F$17,$B29)+COUNTIF(CA_Prog_8!$F$8:$F$17,$B29))*$D$8+(COUNTIF(CA_Prog_1!$F$18:$F$25,$B29)+COUNTIF(CA_Prog_2!$F$18:$F$25,$B29)+COUNTIF(CA_Prog_3!$F$18:$F$25,$B29)+COUNTIF(CA_Prog_4!$F$18:$F$25,$B29)+COUNTIF(CA_Prog_5!$F$18:$F$25,$B29)+COUNTIF(CA_Prog_6!$F$18:$F$25,$B29)+COUNTIF(CA_Prog_7!$F$18:$F$25,$B29)+COUNTIF(CA_Prog_8!$F$18:$F$25,$B29))*150000))</f>
        <v>300000</v>
      </c>
      <c r="G29" s="135">
        <f>IF($B29="","",IF((COUNTIF(CA_Prog_1!$G$8:$G$17,$B29)+COUNTIF(CA_Prog_2!$G$8:$G$17,$B29)+COUNTIF(CA_Prog_3!$G$8:$G$17,$B29)+COUNTIF(CA_Prog_4!$G$8:$G$17,$B29)+COUNTIF(CA_Prog_5!$G$8:$G$17,$B29)+COUNTIF(CA_Prog_6!$G$8:$G$17,$B29)+COUNTIF(CA_Prog_7!$G$8:$G$17,$B29)+COUNTIF(CA_Prog_8!$G$8:$G$17,$B29))*$D$8+(COUNTIF(CA_Prog_1!$G$18:$G$25,$B29)+COUNTIF(CA_Prog_2!$G$18:$G$25,$B29)+COUNTIF(CA_Prog_3!$G$18:$G$25,$B29)+COUNTIF(CA_Prog_4!$G$18:$G$25,$B29)+COUNTIF(CA_Prog_5!$G$18:$G$25,$B29)+COUNTIF(CA_Prog_6!$G$18:$G$25,$B29)+COUNTIF(CA_Prog_7!$G$18:$G$25,$B29)+COUNTIF(CA_Prog_8!$G$18:$G$25,$B29))*150000=0,"",(COUNTIF(CA_Prog_1!$G$8:$G$17,$B29)+COUNTIF(CA_Prog_2!$G$8:$G$17,$B29)+COUNTIF(CA_Prog_3!$G$8:$G$17,$B29)+COUNTIF(CA_Prog_4!$G$8:$G$17,$B29)+COUNTIF(CA_Prog_5!$G$8:$G$17,$B29)+COUNTIF(CA_Prog_6!$G$8:$G$17,$B29)+COUNTIF(CA_Prog_7!$G$8:$G$17,$B29)+COUNTIF(CA_Prog_8!$G$8:$G$17,$B29))*$D$8+(COUNTIF(CA_Prog_1!$G$18:$G$25,$B29)+COUNTIF(CA_Prog_2!$G$18:$G$25,$B29)+COUNTIF(CA_Prog_3!$G$18:$G$25,$B29)+COUNTIF(CA_Prog_4!$G$18:$G$25,$B29)+COUNTIF(CA_Prog_5!$G$18:$G$25,$B29)+COUNTIF(CA_Prog_6!$G$18:$G$25,$B29)+COUNTIF(CA_Prog_7!$G$18:$G$25,$B29)+COUNTIF(CA_Prog_8!$G$18:$G$25,$B29))*150000))</f>
        <v>300000</v>
      </c>
      <c r="H29" s="136">
        <f t="shared" si="0"/>
        <v>1500000</v>
      </c>
      <c r="I29" s="53"/>
      <c r="J29" s="53"/>
      <c r="K29" s="53"/>
      <c r="L29" s="53"/>
      <c r="M29" s="53"/>
      <c r="N29" s="53"/>
      <c r="P29" s="53"/>
    </row>
    <row r="30" spans="1:16" x14ac:dyDescent="0.25">
      <c r="A30" s="133">
        <f>IF(ISTEXT($B30),19,"")</f>
        <v>19</v>
      </c>
      <c r="B30" s="65" t="s">
        <v>406</v>
      </c>
      <c r="C30" s="135">
        <f>IF($B30="","",IF((COUNTIF(CA_Prog_1!$C$8:$C$17,$B30)+COUNTIF(CA_Prog_2!$C$8:$C$17,$B30)+COUNTIF(CA_Prog_3!$C$8:$C$17,$B30)+COUNTIF(CA_Prog_4!$C$8:$C$17,$B30)+COUNTIF(CA_Prog_5!$C$8:$C$17,$B30)+COUNTIF(CA_Prog_6!$C$8:$C$17,$B30)+COUNTIF(CA_Prog_7!$C$8:$C$17,$B30)+COUNTIF(CA_Prog_8!$C$8:$C$17,$B30))*$D$8+(COUNTIF(CA_Prog_1!$C$18:$C$25,$B30)+COUNTIF(CA_Prog_2!$C$18:$C$25,$B30)+COUNTIF(CA_Prog_3!$C$18:$C$25,$B30)+COUNTIF(CA_Prog_4!$C$18:$C$25,$B30)+COUNTIF(CA_Prog_5!$C$18:$C$25,$B30)+COUNTIF(CA_Prog_6!$C$18:$C$25,$B30)+COUNTIF(CA_Prog_7!$C$18:$C$25,$B30)+COUNTIF(CA_Prog_8!$C$18:$C$25,$B30))*150000=0,"",(COUNTIF(CA_Prog_1!$C$8:$C$17,$B30)+COUNTIF(CA_Prog_2!$C$8:$C$17,$B30)+COUNTIF(CA_Prog_3!$C$8:$C$17,$B30)+COUNTIF(CA_Prog_4!$C$8:$C$17,$B30)+COUNTIF(CA_Prog_5!$C$8:$C$17,$B30)+COUNTIF(CA_Prog_6!$C$8:$C$17,$B30)+COUNTIF(CA_Prog_7!$C$8:$C$17,$B30)+COUNTIF(CA_Prog_8!$C$8:$C$17,$B30))*$D$8+(COUNTIF(CA_Prog_1!$C$18:$C$25,$B30)+COUNTIF(CA_Prog_2!$C$18:$C$25,$B30)+COUNTIF(CA_Prog_3!$C$18:$C$25,$B30)+COUNTIF(CA_Prog_4!$C$18:$C$25,$B30)+COUNTIF(CA_Prog_5!$C$18:$C$25,$B30)+COUNTIF(CA_Prog_6!$C$18:$C$25,$B30)+COUNTIF(CA_Prog_7!$C$18:$C$25,$B30)+COUNTIF(CA_Prog_8!$C$18:$C$25,$B30))*150000))</f>
        <v>300000</v>
      </c>
      <c r="D30" s="135">
        <f>IF($B30="","",IF((COUNTIF(CA_Prog_1!$D$8:$D$17,$B30)+COUNTIF(CA_Prog_2!$D$8:$D$17,$B30)+COUNTIF(CA_Prog_3!$D$8:$D$17,$B30)+COUNTIF(CA_Prog_4!$D$8:$D$17,$B30)+COUNTIF(CA_Prog_5!$D$8:$D$17,$B30)+COUNTIF(CA_Prog_6!$D$8:$D$17,$B30)+COUNTIF(CA_Prog_7!$D$8:$D$17,$B30)+COUNTIF(CA_Prog_8!$D$8:$D$17,$B30))*$D$8+(COUNTIF(CA_Prog_1!$D$18:$D$25,$B30)+COUNTIF(CA_Prog_2!$D$18:$D$25,$B30)+COUNTIF(CA_Prog_3!$D$18:$D$25,$B30)+COUNTIF(CA_Prog_4!$D$18:$D$25,$B30)+COUNTIF(CA_Prog_5!$D$18:$D$25,$B30)+COUNTIF(CA_Prog_6!$D$18:$D$25,$B30)+COUNTIF(CA_Prog_7!$D$18:$D$25,$B30)+COUNTIF(CA_Prog_8!$D$18:$D$25,$B30))*150000=0,"",(COUNTIF(CA_Prog_1!$D$8:$D$17,$B30)+COUNTIF(CA_Prog_2!$D$8:$D$17,$B30)+COUNTIF(CA_Prog_3!$D$8:$D$17,$B30)+COUNTIF(CA_Prog_4!$D$8:$D$17,$B30)+COUNTIF(CA_Prog_5!$D$8:$D$17,$B30)+COUNTIF(CA_Prog_6!$D$8:$D$17,$B30)+COUNTIF(CA_Prog_7!$D$8:$D$17,$B30)+COUNTIF(CA_Prog_8!$D$8:$D$17,$B30))*$D$8+(COUNTIF(CA_Prog_1!$D$18:$D$25,$B30)+COUNTIF(CA_Prog_2!$D$18:$D$25,$B30)+COUNTIF(CA_Prog_3!$D$18:$D$25,$B30)+COUNTIF(CA_Prog_4!$D$18:$D$25,$B30)+COUNTIF(CA_Prog_5!$D$18:$D$25,$B30)+COUNTIF(CA_Prog_6!$D$18:$D$25,$B30)+COUNTIF(CA_Prog_7!$D$18:$D$25,$B30)+COUNTIF(CA_Prog_8!$D$18:$D$25,$B30))*150000))</f>
        <v>150000</v>
      </c>
      <c r="E30" s="135">
        <f>IF($B30="","",IF((COUNTIF(CA_Prog_1!$E$8:$E$17,$B30)+COUNTIF(CA_Prog_2!$E$8:$E$17,$B30)+COUNTIF(CA_Prog_3!$E$8:$E$17,$B30)+COUNTIF(CA_Prog_4!$E$8:$E$17,$B30)+COUNTIF(CA_Prog_5!$E$8:$E$17,$B30)+COUNTIF(CA_Prog_6!$E$8:$E$17,$B30)+COUNTIF(CA_Prog_7!$E$8:$E$17,$B30)+COUNTIF(CA_Prog_8!$E$8:$E$17,$B30))*$D$8+(COUNTIF(CA_Prog_1!$E$18:$E$25,$B30)+COUNTIF(CA_Prog_2!$E$18:$E$25,$B30)+COUNTIF(CA_Prog_3!$E$18:$E$25,$B30)+COUNTIF(CA_Prog_4!$E$18:$E$25,$B30)+COUNTIF(CA_Prog_5!$E$18:$E$25,$B30)+COUNTIF(CA_Prog_6!$E$18:$E$25,$B30)+COUNTIF(CA_Prog_7!$E$18:$E$25,$B30)+COUNTIF(CA_Prog_8!$E$18:$E$25,$B30))*150000=0,"",(COUNTIF(CA_Prog_1!$E$8:$E$17,$B30)+COUNTIF(CA_Prog_2!$E$8:$E$17,$B30)+COUNTIF(CA_Prog_3!$E$8:$E$17,$B30)+COUNTIF(CA_Prog_4!$E$8:$E$17,$B30)+COUNTIF(CA_Prog_5!$E$8:$E$17,$B30)+COUNTIF(CA_Prog_6!$E$8:$E$17,$B30)+COUNTIF(CA_Prog_7!$E$8:$E$17,$B30)+COUNTIF(CA_Prog_8!$E$8:$E$17,$B30))*$D$8+(COUNTIF(CA_Prog_1!$E$18:$E$25,$B30)+COUNTIF(CA_Prog_2!$E$18:$E$25,$B30)+COUNTIF(CA_Prog_3!$E$18:$E$25,$B30)++COUNTIF(CA_Prog_4!$E$18:$E$25,$B30)+COUNTIF(CA_Prog_5!$E$18:$E$25,$B30)+COUNTIF(CA_Prog_6!$E$18:$E$25,$B30)+COUNTIF(CA_Prog_7!$E$18:$E$25,$B30)+COUNTIF(CA_Prog_8!$E$18:$E$25,$B30))*150000))</f>
        <v>150000</v>
      </c>
      <c r="F30" s="135">
        <f>IF($B30="","",IF((COUNTIF(CA_Prog_1!$F$8:$F$17,$B30)+COUNTIF(CA_Prog_2!$F$8:$F$17,$B30)+COUNTIF(CA_Prog_3!$F$8:$F$17,$B30)+COUNTIF(CA_Prog_4!$F$8:$F$17,$B30)+COUNTIF(CA_Prog_5!$F$8:$F$17,$B30)+COUNTIF(CA_Prog_6!$F$8:$F$17,$B30)+COUNTIF(CA_Prog_7!$F$8:$F$17,$B30)+COUNTIF(CA_Prog_8!$F$8:$F$17,$B30))*$D$8+(COUNTIF(CA_Prog_1!$F$18:$F$25,$B30)+COUNTIF(CA_Prog_2!$F$18:$F$25,$B30)+COUNTIF(CA_Prog_3!$F$18:$F$25,$B30)+COUNTIF(CA_Prog_4!$F$18:$F$25,$B30)+COUNTIF(CA_Prog_5!$F$18:$F$25,$B30)+COUNTIF(CA_Prog_6!$F$18:$F$25,$B30)+COUNTIF(CA_Prog_7!$F$18:$F$25,$B30)+COUNTIF(CA_Prog_8!$F$18:$F$25,$B30))*150000=0,"",(COUNTIF(CA_Prog_1!$F$8:$F$17,$B30)+COUNTIF(CA_Prog_2!$F$8:$F$17,$B30)+COUNTIF(CA_Prog_3!$F$8:$F$17,$B30)+COUNTIF(CA_Prog_4!$F$8:$F$17,$B30)+COUNTIF(CA_Prog_5!$F$8:$F$17,$B30)+COUNTIF(CA_Prog_6!$F$8:$F$17,$B30)+COUNTIF(CA_Prog_7!$F$8:$F$17,$B30)+COUNTIF(CA_Prog_8!$F$8:$F$17,$B30))*$D$8+(COUNTIF(CA_Prog_1!$F$18:$F$25,$B30)+COUNTIF(CA_Prog_2!$F$18:$F$25,$B30)+COUNTIF(CA_Prog_3!$F$18:$F$25,$B30)+COUNTIF(CA_Prog_4!$F$18:$F$25,$B30)+COUNTIF(CA_Prog_5!$F$18:$F$25,$B30)+COUNTIF(CA_Prog_6!$F$18:$F$25,$B30)+COUNTIF(CA_Prog_7!$F$18:$F$25,$B30)+COUNTIF(CA_Prog_8!$F$18:$F$25,$B30))*150000))</f>
        <v>150000</v>
      </c>
      <c r="G30" s="135">
        <f>IF($B30="","",IF((COUNTIF(CA_Prog_1!$G$8:$G$17,$B30)+COUNTIF(CA_Prog_2!$G$8:$G$17,$B30)+COUNTIF(CA_Prog_3!$G$8:$G$17,$B30)+COUNTIF(CA_Prog_4!$G$8:$G$17,$B30)+COUNTIF(CA_Prog_5!$G$8:$G$17,$B30)+COUNTIF(CA_Prog_6!$G$8:$G$17,$B30)+COUNTIF(CA_Prog_7!$G$8:$G$17,$B30)+COUNTIF(CA_Prog_8!$G$8:$G$17,$B30))*$D$8+(COUNTIF(CA_Prog_1!$G$18:$G$25,$B30)+COUNTIF(CA_Prog_2!$G$18:$G$25,$B30)+COUNTIF(CA_Prog_3!$G$18:$G$25,$B30)+COUNTIF(CA_Prog_4!$G$18:$G$25,$B30)+COUNTIF(CA_Prog_5!$G$18:$G$25,$B30)+COUNTIF(CA_Prog_6!$G$18:$G$25,$B30)+COUNTIF(CA_Prog_7!$G$18:$G$25,$B30)+COUNTIF(CA_Prog_8!$G$18:$G$25,$B30))*150000=0,"",(COUNTIF(CA_Prog_1!$G$8:$G$17,$B30)+COUNTIF(CA_Prog_2!$G$8:$G$17,$B30)+COUNTIF(CA_Prog_3!$G$8:$G$17,$B30)+COUNTIF(CA_Prog_4!$G$8:$G$17,$B30)+COUNTIF(CA_Prog_5!$G$8:$G$17,$B30)+COUNTIF(CA_Prog_6!$G$8:$G$17,$B30)+COUNTIF(CA_Prog_7!$G$8:$G$17,$B30)+COUNTIF(CA_Prog_8!$G$8:$G$17,$B30))*$D$8+(COUNTIF(CA_Prog_1!$G$18:$G$25,$B30)+COUNTIF(CA_Prog_2!$G$18:$G$25,$B30)+COUNTIF(CA_Prog_3!$G$18:$G$25,$B30)+COUNTIF(CA_Prog_4!$G$18:$G$25,$B30)+COUNTIF(CA_Prog_5!$G$18:$G$25,$B30)+COUNTIF(CA_Prog_6!$G$18:$G$25,$B30)+COUNTIF(CA_Prog_7!$G$18:$G$25,$B30)+COUNTIF(CA_Prog_8!$G$18:$G$25,$B30))*150000))</f>
        <v>150000</v>
      </c>
      <c r="H30" s="136">
        <f t="shared" si="0"/>
        <v>900000</v>
      </c>
      <c r="I30" s="53"/>
      <c r="J30" s="53"/>
      <c r="K30" s="53"/>
      <c r="L30" s="53"/>
      <c r="M30" s="53"/>
      <c r="N30" s="53"/>
      <c r="P30" s="53"/>
    </row>
    <row r="31" spans="1:16" x14ac:dyDescent="0.25">
      <c r="A31" s="133">
        <f>IF(ISTEXT($B31),20,"")</f>
        <v>20</v>
      </c>
      <c r="B31" s="210" t="s">
        <v>408</v>
      </c>
      <c r="C31" s="135" t="str">
        <f>IF($B31="","",IF((COUNTIF(CA_Prog_1!$C$8:$C$17,$B31)+COUNTIF(CA_Prog_2!$C$8:$C$17,$B31)+COUNTIF(CA_Prog_3!$C$8:$C$17,$B31)+COUNTIF(CA_Prog_4!$C$8:$C$17,$B31)+COUNTIF(CA_Prog_5!$C$8:$C$17,$B31)+COUNTIF(CA_Prog_6!$C$8:$C$17,$B31)+COUNTIF(CA_Prog_7!$C$8:$C$17,$B31)+COUNTIF(CA_Prog_8!$C$8:$C$17,$B31))*$D$8+(COUNTIF(CA_Prog_1!$C$18:$C$25,$B31)+COUNTIF(CA_Prog_2!$C$18:$C$25,$B31)+COUNTIF(CA_Prog_3!$C$18:$C$25,$B31)+COUNTIF(CA_Prog_4!$C$18:$C$25,$B31)+COUNTIF(CA_Prog_5!$C$18:$C$25,$B31)+COUNTIF(CA_Prog_6!$C$18:$C$25,$B31)+COUNTIF(CA_Prog_7!$C$18:$C$25,$B31)+COUNTIF(CA_Prog_8!$C$18:$C$25,$B31))*150000=0,"",(COUNTIF(CA_Prog_1!$C$8:$C$17,$B31)+COUNTIF(CA_Prog_2!$C$8:$C$17,$B31)+COUNTIF(CA_Prog_3!$C$8:$C$17,$B31)+COUNTIF(CA_Prog_4!$C$8:$C$17,$B31)+COUNTIF(CA_Prog_5!$C$8:$C$17,$B31)+COUNTIF(CA_Prog_6!$C$8:$C$17,$B31)+COUNTIF(CA_Prog_7!$C$8:$C$17,$B31)+COUNTIF(CA_Prog_8!$C$8:$C$17,$B31))*$D$8+(COUNTIF(CA_Prog_1!$C$18:$C$25,$B31)+COUNTIF(CA_Prog_2!$C$18:$C$25,$B31)+COUNTIF(CA_Prog_3!$C$18:$C$25,$B31)+COUNTIF(CA_Prog_4!$C$18:$C$25,$B31)+COUNTIF(CA_Prog_5!$C$18:$C$25,$B31)+COUNTIF(CA_Prog_6!$C$18:$C$25,$B31)+COUNTIF(CA_Prog_7!$C$18:$C$25,$B31)+COUNTIF(CA_Prog_8!$C$18:$C$25,$B31))*150000))</f>
        <v/>
      </c>
      <c r="D31" s="135" t="str">
        <f>IF($B31="","",IF((COUNTIF(CA_Prog_1!$D$8:$D$17,$B31)+COUNTIF(CA_Prog_2!$D$8:$D$17,$B31)+COUNTIF(CA_Prog_3!$D$8:$D$17,$B31)+COUNTIF(CA_Prog_4!$D$8:$D$17,$B31)+COUNTIF(CA_Prog_5!$D$8:$D$17,$B31)+COUNTIF(CA_Prog_6!$D$8:$D$17,$B31)+COUNTIF(CA_Prog_7!$D$8:$D$17,$B31)+COUNTIF(CA_Prog_8!$D$8:$D$17,$B31))*$D$8+(COUNTIF(CA_Prog_1!$D$18:$D$25,$B31)+COUNTIF(CA_Prog_2!$D$18:$D$25,$B31)+COUNTIF(CA_Prog_3!$D$18:$D$25,$B31)+COUNTIF(CA_Prog_4!$D$18:$D$25,$B31)+COUNTIF(CA_Prog_5!$D$18:$D$25,$B31)+COUNTIF(CA_Prog_6!$D$18:$D$25,$B31)+COUNTIF(CA_Prog_7!$D$18:$D$25,$B31)+COUNTIF(CA_Prog_8!$D$18:$D$25,$B31))*150000=0,"",(COUNTIF(CA_Prog_1!$D$8:$D$17,$B31)+COUNTIF(CA_Prog_2!$D$8:$D$17,$B31)+COUNTIF(CA_Prog_3!$D$8:$D$17,$B31)+COUNTIF(CA_Prog_4!$D$8:$D$17,$B31)+COUNTIF(CA_Prog_5!$D$8:$D$17,$B31)+COUNTIF(CA_Prog_6!$D$8:$D$17,$B31)+COUNTIF(CA_Prog_7!$D$8:$D$17,$B31)+COUNTIF(CA_Prog_8!$D$8:$D$17,$B31))*$D$8+(COUNTIF(CA_Prog_1!$D$18:$D$25,$B31)+COUNTIF(CA_Prog_2!$D$18:$D$25,$B31)+COUNTIF(CA_Prog_3!$D$18:$D$25,$B31)+COUNTIF(CA_Prog_4!$D$18:$D$25,$B31)+COUNTIF(CA_Prog_5!$D$18:$D$25,$B31)+COUNTIF(CA_Prog_6!$D$18:$D$25,$B31)+COUNTIF(CA_Prog_7!$D$18:$D$25,$B31)+COUNTIF(CA_Prog_8!$D$18:$D$25,$B31))*150000))</f>
        <v/>
      </c>
      <c r="E31" s="135" t="str">
        <f>IF($B31="","",IF((COUNTIF(CA_Prog_1!$E$8:$E$17,$B31)+COUNTIF(CA_Prog_2!$E$8:$E$17,$B31)+COUNTIF(CA_Prog_3!$E$8:$E$17,$B31)+COUNTIF(CA_Prog_4!$E$8:$E$17,$B31)+COUNTIF(CA_Prog_5!$E$8:$E$17,$B31)+COUNTIF(CA_Prog_6!$E$8:$E$17,$B31)+COUNTIF(CA_Prog_7!$E$8:$E$17,$B31)+COUNTIF(CA_Prog_8!$E$8:$E$17,$B31))*$D$8+(COUNTIF(CA_Prog_1!$E$18:$E$25,$B31)+COUNTIF(CA_Prog_2!$E$18:$E$25,$B31)+COUNTIF(CA_Prog_3!$E$18:$E$25,$B31)+COUNTIF(CA_Prog_4!$E$18:$E$25,$B31)+COUNTIF(CA_Prog_5!$E$18:$E$25,$B31)+COUNTIF(CA_Prog_6!$E$18:$E$25,$B31)+COUNTIF(CA_Prog_7!$E$18:$E$25,$B31)+COUNTIF(CA_Prog_8!$E$18:$E$25,$B31))*150000=0,"",(COUNTIF(CA_Prog_1!$E$8:$E$17,$B31)+COUNTIF(CA_Prog_2!$E$8:$E$17,$B31)+COUNTIF(CA_Prog_3!$E$8:$E$17,$B31)+COUNTIF(CA_Prog_4!$E$8:$E$17,$B31)+COUNTIF(CA_Prog_5!$E$8:$E$17,$B31)+COUNTIF(CA_Prog_6!$E$8:$E$17,$B31)+COUNTIF(CA_Prog_7!$E$8:$E$17,$B31)+COUNTIF(CA_Prog_8!$E$8:$E$17,$B31))*$D$8+(COUNTIF(CA_Prog_1!$E$18:$E$25,$B31)+COUNTIF(CA_Prog_2!$E$18:$E$25,$B31)+COUNTIF(CA_Prog_3!$E$18:$E$25,$B31)++COUNTIF(CA_Prog_4!$E$18:$E$25,$B31)+COUNTIF(CA_Prog_5!$E$18:$E$25,$B31)+COUNTIF(CA_Prog_6!$E$18:$E$25,$B31)+COUNTIF(CA_Prog_7!$E$18:$E$25,$B31)+COUNTIF(CA_Prog_8!$E$18:$E$25,$B31))*150000))</f>
        <v/>
      </c>
      <c r="F31" s="135" t="str">
        <f>IF($B31="","",IF((COUNTIF(CA_Prog_1!$F$8:$F$17,$B31)+COUNTIF(CA_Prog_2!$F$8:$F$17,$B31)+COUNTIF(CA_Prog_3!$F$8:$F$17,$B31)+COUNTIF(CA_Prog_4!$F$8:$F$17,$B31)+COUNTIF(CA_Prog_5!$F$8:$F$17,$B31)+COUNTIF(CA_Prog_6!$F$8:$F$17,$B31)+COUNTIF(CA_Prog_7!$F$8:$F$17,$B31)+COUNTIF(CA_Prog_8!$F$8:$F$17,$B31))*$D$8+(COUNTIF(CA_Prog_1!$F$18:$F$25,$B31)+COUNTIF(CA_Prog_2!$F$18:$F$25,$B31)+COUNTIF(CA_Prog_3!$F$18:$F$25,$B31)+COUNTIF(CA_Prog_4!$F$18:$F$25,$B31)+COUNTIF(CA_Prog_5!$F$18:$F$25,$B31)+COUNTIF(CA_Prog_6!$F$18:$F$25,$B31)+COUNTIF(CA_Prog_7!$F$18:$F$25,$B31)+COUNTIF(CA_Prog_8!$F$18:$F$25,$B31))*150000=0,"",(COUNTIF(CA_Prog_1!$F$8:$F$17,$B31)+COUNTIF(CA_Prog_2!$F$8:$F$17,$B31)+COUNTIF(CA_Prog_3!$F$8:$F$17,$B31)+COUNTIF(CA_Prog_4!$F$8:$F$17,$B31)+COUNTIF(CA_Prog_5!$F$8:$F$17,$B31)+COUNTIF(CA_Prog_6!$F$8:$F$17,$B31)+COUNTIF(CA_Prog_7!$F$8:$F$17,$B31)+COUNTIF(CA_Prog_8!$F$8:$F$17,$B31))*$D$8+(COUNTIF(CA_Prog_1!$F$18:$F$25,$B31)+COUNTIF(CA_Prog_2!$F$18:$F$25,$B31)+COUNTIF(CA_Prog_3!$F$18:$F$25,$B31)+COUNTIF(CA_Prog_4!$F$18:$F$25,$B31)+COUNTIF(CA_Prog_5!$F$18:$F$25,$B31)+COUNTIF(CA_Prog_6!$F$18:$F$25,$B31)+COUNTIF(CA_Prog_7!$F$18:$F$25,$B31)+COUNTIF(CA_Prog_8!$F$18:$F$25,$B31))*150000))</f>
        <v/>
      </c>
      <c r="G31" s="135" t="str">
        <f>IF($B31="","",IF((COUNTIF(CA_Prog_1!$G$8:$G$17,$B31)+COUNTIF(CA_Prog_2!$G$8:$G$17,$B31)+COUNTIF(CA_Prog_3!$G$8:$G$17,$B31)+COUNTIF(CA_Prog_4!$G$8:$G$17,$B31)+COUNTIF(CA_Prog_5!$G$8:$G$17,$B31)+COUNTIF(CA_Prog_6!$G$8:$G$17,$B31)+COUNTIF(CA_Prog_7!$G$8:$G$17,$B31)+COUNTIF(CA_Prog_8!$G$8:$G$17,$B31))*$D$8+(COUNTIF(CA_Prog_1!$G$18:$G$25,$B31)+COUNTIF(CA_Prog_2!$G$18:$G$25,$B31)+COUNTIF(CA_Prog_3!$G$18:$G$25,$B31)+COUNTIF(CA_Prog_4!$G$18:$G$25,$B31)+COUNTIF(CA_Prog_5!$G$18:$G$25,$B31)+COUNTIF(CA_Prog_6!$G$18:$G$25,$B31)+COUNTIF(CA_Prog_7!$G$18:$G$25,$B31)+COUNTIF(CA_Prog_8!$G$18:$G$25,$B31))*150000=0,"",(COUNTIF(CA_Prog_1!$G$8:$G$17,$B31)+COUNTIF(CA_Prog_2!$G$8:$G$17,$B31)+COUNTIF(CA_Prog_3!$G$8:$G$17,$B31)+COUNTIF(CA_Prog_4!$G$8:$G$17,$B31)+COUNTIF(CA_Prog_5!$G$8:$G$17,$B31)+COUNTIF(CA_Prog_6!$G$8:$G$17,$B31)+COUNTIF(CA_Prog_7!$G$8:$G$17,$B31)+COUNTIF(CA_Prog_8!$G$8:$G$17,$B31))*$D$8+(COUNTIF(CA_Prog_1!$G$18:$G$25,$B31)+COUNTIF(CA_Prog_2!$G$18:$G$25,$B31)+COUNTIF(CA_Prog_3!$G$18:$G$25,$B31)+COUNTIF(CA_Prog_4!$G$18:$G$25,$B31)+COUNTIF(CA_Prog_5!$G$18:$G$25,$B31)+COUNTIF(CA_Prog_6!$G$18:$G$25,$B31)+COUNTIF(CA_Prog_7!$G$18:$G$25,$B31)+COUNTIF(CA_Prog_8!$G$18:$G$25,$B31))*150000))</f>
        <v/>
      </c>
      <c r="H31" s="136" t="str">
        <f t="shared" si="0"/>
        <v/>
      </c>
      <c r="I31" s="53"/>
      <c r="J31" s="53"/>
      <c r="K31" s="53"/>
      <c r="L31" s="53"/>
      <c r="M31" s="53"/>
      <c r="N31" s="53"/>
      <c r="P31" s="53"/>
    </row>
    <row r="32" spans="1:16" x14ac:dyDescent="0.25">
      <c r="A32" s="133">
        <f>IF(ISTEXT($B32),21,"")</f>
        <v>21</v>
      </c>
      <c r="B32" s="210" t="s">
        <v>392</v>
      </c>
      <c r="C32" s="135" t="str">
        <f>IF($B32="","",IF((COUNTIF(CA_Prog_1!$C$8:$C$17,$B32)+COUNTIF(CA_Prog_2!$C$8:$C$17,$B32)+COUNTIF(CA_Prog_3!$C$8:$C$17,$B32)+COUNTIF(CA_Prog_4!$C$8:$C$17,$B32)+COUNTIF(CA_Prog_5!$C$8:$C$17,$B32)+COUNTIF(CA_Prog_6!$C$8:$C$17,$B32)+COUNTIF(CA_Prog_7!$C$8:$C$17,$B32)+COUNTIF(CA_Prog_8!$C$8:$C$17,$B32))*$D$8+(COUNTIF(CA_Prog_1!$C$18:$C$25,$B32)+COUNTIF(CA_Prog_2!$C$18:$C$25,$B32)+COUNTIF(CA_Prog_3!$C$18:$C$25,$B32)+COUNTIF(CA_Prog_4!$C$18:$C$25,$B32)+COUNTIF(CA_Prog_5!$C$18:$C$25,$B32)+COUNTIF(CA_Prog_6!$C$18:$C$25,$B32)+COUNTIF(CA_Prog_7!$C$18:$C$25,$B32)+COUNTIF(CA_Prog_8!$C$18:$C$25,$B32))*150000=0,"",(COUNTIF(CA_Prog_1!$C$8:$C$17,$B32)+COUNTIF(CA_Prog_2!$C$8:$C$17,$B32)+COUNTIF(CA_Prog_3!$C$8:$C$17,$B32)+COUNTIF(CA_Prog_4!$C$8:$C$17,$B32)+COUNTIF(CA_Prog_5!$C$8:$C$17,$B32)+COUNTIF(CA_Prog_6!$C$8:$C$17,$B32)+COUNTIF(CA_Prog_7!$C$8:$C$17,$B32)+COUNTIF(CA_Prog_8!$C$8:$C$17,$B32))*$D$8+(COUNTIF(CA_Prog_1!$C$18:$C$25,$B32)+COUNTIF(CA_Prog_2!$C$18:$C$25,$B32)+COUNTIF(CA_Prog_3!$C$18:$C$25,$B32)+COUNTIF(CA_Prog_4!$C$18:$C$25,$B32)+COUNTIF(CA_Prog_5!$C$18:$C$25,$B32)+COUNTIF(CA_Prog_6!$C$18:$C$25,$B32)+COUNTIF(CA_Prog_7!$C$18:$C$25,$B32)+COUNTIF(CA_Prog_8!$C$18:$C$25,$B32))*150000))</f>
        <v/>
      </c>
      <c r="D32" s="135" t="str">
        <f>IF($B32="","",IF((COUNTIF(CA_Prog_1!$D$8:$D$17,$B32)+COUNTIF(CA_Prog_2!$D$8:$D$17,$B32)+COUNTIF(CA_Prog_3!$D$8:$D$17,$B32)+COUNTIF(CA_Prog_4!$D$8:$D$17,$B32)+COUNTIF(CA_Prog_5!$D$8:$D$17,$B32)+COUNTIF(CA_Prog_6!$D$8:$D$17,$B32)+COUNTIF(CA_Prog_7!$D$8:$D$17,$B32)+COUNTIF(CA_Prog_8!$D$8:$D$17,$B32))*$D$8+(COUNTIF(CA_Prog_1!$D$18:$D$25,$B32)+COUNTIF(CA_Prog_2!$D$18:$D$25,$B32)+COUNTIF(CA_Prog_3!$D$18:$D$25,$B32)+COUNTIF(CA_Prog_4!$D$18:$D$25,$B32)+COUNTIF(CA_Prog_5!$D$18:$D$25,$B32)+COUNTIF(CA_Prog_6!$D$18:$D$25,$B32)+COUNTIF(CA_Prog_7!$D$18:$D$25,$B32)+COUNTIF(CA_Prog_8!$D$18:$D$25,$B32))*150000=0,"",(COUNTIF(CA_Prog_1!$D$8:$D$17,$B32)+COUNTIF(CA_Prog_2!$D$8:$D$17,$B32)+COUNTIF(CA_Prog_3!$D$8:$D$17,$B32)+COUNTIF(CA_Prog_4!$D$8:$D$17,$B32)+COUNTIF(CA_Prog_5!$D$8:$D$17,$B32)+COUNTIF(CA_Prog_6!$D$8:$D$17,$B32)+COUNTIF(CA_Prog_7!$D$8:$D$17,$B32)+COUNTIF(CA_Prog_8!$D$8:$D$17,$B32))*$D$8+(COUNTIF(CA_Prog_1!$D$18:$D$25,$B32)+COUNTIF(CA_Prog_2!$D$18:$D$25,$B32)+COUNTIF(CA_Prog_3!$D$18:$D$25,$B32)+COUNTIF(CA_Prog_4!$D$18:$D$25,$B32)+COUNTIF(CA_Prog_5!$D$18:$D$25,$B32)+COUNTIF(CA_Prog_6!$D$18:$D$25,$B32)+COUNTIF(CA_Prog_7!$D$18:$D$25,$B32)+COUNTIF(CA_Prog_8!$D$18:$D$25,$B32))*150000))</f>
        <v/>
      </c>
      <c r="E32" s="135" t="str">
        <f>IF($B32="","",IF((COUNTIF(CA_Prog_1!$E$8:$E$17,$B32)+COUNTIF(CA_Prog_2!$E$8:$E$17,$B32)+COUNTIF(CA_Prog_3!$E$8:$E$17,$B32)+COUNTIF(CA_Prog_4!$E$8:$E$17,$B32)+COUNTIF(CA_Prog_5!$E$8:$E$17,$B32)+COUNTIF(CA_Prog_6!$E$8:$E$17,$B32)+COUNTIF(CA_Prog_7!$E$8:$E$17,$B32)+COUNTIF(CA_Prog_8!$E$8:$E$17,$B32))*$D$8+(COUNTIF(CA_Prog_1!$E$18:$E$25,$B32)+COUNTIF(CA_Prog_2!$E$18:$E$25,$B32)+COUNTIF(CA_Prog_3!$E$18:$E$25,$B32)+COUNTIF(CA_Prog_4!$E$18:$E$25,$B32)+COUNTIF(CA_Prog_5!$E$18:$E$25,$B32)+COUNTIF(CA_Prog_6!$E$18:$E$25,$B32)+COUNTIF(CA_Prog_7!$E$18:$E$25,$B32)+COUNTIF(CA_Prog_8!$E$18:$E$25,$B32))*150000=0,"",(COUNTIF(CA_Prog_1!$E$8:$E$17,$B32)+COUNTIF(CA_Prog_2!$E$8:$E$17,$B32)+COUNTIF(CA_Prog_3!$E$8:$E$17,$B32)+COUNTIF(CA_Prog_4!$E$8:$E$17,$B32)+COUNTIF(CA_Prog_5!$E$8:$E$17,$B32)+COUNTIF(CA_Prog_6!$E$8:$E$17,$B32)+COUNTIF(CA_Prog_7!$E$8:$E$17,$B32)+COUNTIF(CA_Prog_8!$E$8:$E$17,$B32))*$D$8+(COUNTIF(CA_Prog_1!$E$18:$E$25,$B32)+COUNTIF(CA_Prog_2!$E$18:$E$25,$B32)+COUNTIF(CA_Prog_3!$E$18:$E$25,$B32)++COUNTIF(CA_Prog_4!$E$18:$E$25,$B32)+COUNTIF(CA_Prog_5!$E$18:$E$25,$B32)+COUNTIF(CA_Prog_6!$E$18:$E$25,$B32)+COUNTIF(CA_Prog_7!$E$18:$E$25,$B32)+COUNTIF(CA_Prog_8!$E$18:$E$25,$B32))*150000))</f>
        <v/>
      </c>
      <c r="F32" s="135" t="str">
        <f>IF($B32="","",IF((COUNTIF(CA_Prog_1!$F$8:$F$17,$B32)+COUNTIF(CA_Prog_2!$F$8:$F$17,$B32)+COUNTIF(CA_Prog_3!$F$8:$F$17,$B32)+COUNTIF(CA_Prog_4!$F$8:$F$17,$B32)+COUNTIF(CA_Prog_5!$F$8:$F$17,$B32)+COUNTIF(CA_Prog_6!$F$8:$F$17,$B32)+COUNTIF(CA_Prog_7!$F$8:$F$17,$B32)+COUNTIF(CA_Prog_8!$F$8:$F$17,$B32))*$D$8+(COUNTIF(CA_Prog_1!$F$18:$F$25,$B32)+COUNTIF(CA_Prog_2!$F$18:$F$25,$B32)+COUNTIF(CA_Prog_3!$F$18:$F$25,$B32)+COUNTIF(CA_Prog_4!$F$18:$F$25,$B32)+COUNTIF(CA_Prog_5!$F$18:$F$25,$B32)+COUNTIF(CA_Prog_6!$F$18:$F$25,$B32)+COUNTIF(CA_Prog_7!$F$18:$F$25,$B32)+COUNTIF(CA_Prog_8!$F$18:$F$25,$B32))*150000=0,"",(COUNTIF(CA_Prog_1!$F$8:$F$17,$B32)+COUNTIF(CA_Prog_2!$F$8:$F$17,$B32)+COUNTIF(CA_Prog_3!$F$8:$F$17,$B32)+COUNTIF(CA_Prog_4!$F$8:$F$17,$B32)+COUNTIF(CA_Prog_5!$F$8:$F$17,$B32)+COUNTIF(CA_Prog_6!$F$8:$F$17,$B32)+COUNTIF(CA_Prog_7!$F$8:$F$17,$B32)+COUNTIF(CA_Prog_8!$F$8:$F$17,$B32))*$D$8+(COUNTIF(CA_Prog_1!$F$18:$F$25,$B32)+COUNTIF(CA_Prog_2!$F$18:$F$25,$B32)+COUNTIF(CA_Prog_3!$F$18:$F$25,$B32)+COUNTIF(CA_Prog_4!$F$18:$F$25,$B32)+COUNTIF(CA_Prog_5!$F$18:$F$25,$B32)+COUNTIF(CA_Prog_6!$F$18:$F$25,$B32)+COUNTIF(CA_Prog_7!$F$18:$F$25,$B32)+COUNTIF(CA_Prog_8!$F$18:$F$25,$B32))*150000))</f>
        <v/>
      </c>
      <c r="G32" s="135" t="str">
        <f>IF($B32="","",IF((COUNTIF(CA_Prog_1!$G$8:$G$17,$B32)+COUNTIF(CA_Prog_2!$G$8:$G$17,$B32)+COUNTIF(CA_Prog_3!$G$8:$G$17,$B32)+COUNTIF(CA_Prog_4!$G$8:$G$17,$B32)+COUNTIF(CA_Prog_5!$G$8:$G$17,$B32)+COUNTIF(CA_Prog_6!$G$8:$G$17,$B32)+COUNTIF(CA_Prog_7!$G$8:$G$17,$B32)+COUNTIF(CA_Prog_8!$G$8:$G$17,$B32))*$D$8+(COUNTIF(CA_Prog_1!$G$18:$G$25,$B32)+COUNTIF(CA_Prog_2!$G$18:$G$25,$B32)+COUNTIF(CA_Prog_3!$G$18:$G$25,$B32)+COUNTIF(CA_Prog_4!$G$18:$G$25,$B32)+COUNTIF(CA_Prog_5!$G$18:$G$25,$B32)+COUNTIF(CA_Prog_6!$G$18:$G$25,$B32)+COUNTIF(CA_Prog_7!$G$18:$G$25,$B32)+COUNTIF(CA_Prog_8!$G$18:$G$25,$B32))*150000=0,"",(COUNTIF(CA_Prog_1!$G$8:$G$17,$B32)+COUNTIF(CA_Prog_2!$G$8:$G$17,$B32)+COUNTIF(CA_Prog_3!$G$8:$G$17,$B32)+COUNTIF(CA_Prog_4!$G$8:$G$17,$B32)+COUNTIF(CA_Prog_5!$G$8:$G$17,$B32)+COUNTIF(CA_Prog_6!$G$8:$G$17,$B32)+COUNTIF(CA_Prog_7!$G$8:$G$17,$B32)+COUNTIF(CA_Prog_8!$G$8:$G$17,$B32))*$D$8+(COUNTIF(CA_Prog_1!$G$18:$G$25,$B32)+COUNTIF(CA_Prog_2!$G$18:$G$25,$B32)+COUNTIF(CA_Prog_3!$G$18:$G$25,$B32)+COUNTIF(CA_Prog_4!$G$18:$G$25,$B32)+COUNTIF(CA_Prog_5!$G$18:$G$25,$B32)+COUNTIF(CA_Prog_6!$G$18:$G$25,$B32)+COUNTIF(CA_Prog_7!$G$18:$G$25,$B32)+COUNTIF(CA_Prog_8!$G$18:$G$25,$B32))*150000))</f>
        <v/>
      </c>
      <c r="H32" s="136" t="str">
        <f t="shared" si="0"/>
        <v/>
      </c>
      <c r="I32" s="53"/>
      <c r="J32" s="53"/>
      <c r="K32" s="53"/>
      <c r="L32" s="53"/>
      <c r="M32" s="53"/>
      <c r="N32" s="53"/>
      <c r="P32" s="53"/>
    </row>
    <row r="33" spans="1:16" x14ac:dyDescent="0.25">
      <c r="A33" s="133">
        <f>IF(ISTEXT($B33),22,"")</f>
        <v>22</v>
      </c>
      <c r="B33" s="65" t="s">
        <v>411</v>
      </c>
      <c r="C33" s="135" t="str">
        <f>IF($B33="","",IF((COUNTIF(CA_Prog_1!$C$8:$C$17,$B33)+COUNTIF(CA_Prog_2!$C$8:$C$17,$B33)+COUNTIF(CA_Prog_3!$C$8:$C$17,$B33)+COUNTIF(CA_Prog_4!$C$8:$C$17,$B33)+COUNTIF(CA_Prog_5!$C$8:$C$17,$B33)+COUNTIF(CA_Prog_6!$C$8:$C$17,$B33)+COUNTIF(CA_Prog_7!$C$8:$C$17,$B33)+COUNTIF(CA_Prog_8!$C$8:$C$17,$B33))*$D$8+(COUNTIF(CA_Prog_1!$C$18:$C$25,$B33)+COUNTIF(CA_Prog_2!$C$18:$C$25,$B33)+COUNTIF(CA_Prog_3!$C$18:$C$25,$B33)+COUNTIF(CA_Prog_4!$C$18:$C$25,$B33)+COUNTIF(CA_Prog_5!$C$18:$C$25,$B33)+COUNTIF(CA_Prog_6!$C$18:$C$25,$B33)+COUNTIF(CA_Prog_7!$C$18:$C$25,$B33)+COUNTIF(CA_Prog_8!$C$18:$C$25,$B33))*150000=0,"",(COUNTIF(CA_Prog_1!$C$8:$C$17,$B33)+COUNTIF(CA_Prog_2!$C$8:$C$17,$B33)+COUNTIF(CA_Prog_3!$C$8:$C$17,$B33)+COUNTIF(CA_Prog_4!$C$8:$C$17,$B33)+COUNTIF(CA_Prog_5!$C$8:$C$17,$B33)+COUNTIF(CA_Prog_6!$C$8:$C$17,$B33)+COUNTIF(CA_Prog_7!$C$8:$C$17,$B33)+COUNTIF(CA_Prog_8!$C$8:$C$17,$B33))*$D$8+(COUNTIF(CA_Prog_1!$C$18:$C$25,$B33)+COUNTIF(CA_Prog_2!$C$18:$C$25,$B33)+COUNTIF(CA_Prog_3!$C$18:$C$25,$B33)+COUNTIF(CA_Prog_4!$C$18:$C$25,$B33)+COUNTIF(CA_Prog_5!$C$18:$C$25,$B33)+COUNTIF(CA_Prog_6!$C$18:$C$25,$B33)+COUNTIF(CA_Prog_7!$C$18:$C$25,$B33)+COUNTIF(CA_Prog_8!$C$18:$C$25,$B33))*150000))</f>
        <v/>
      </c>
      <c r="D33" s="135" t="str">
        <f>IF($B33="","",IF((COUNTIF(CA_Prog_1!$D$8:$D$17,$B33)+COUNTIF(CA_Prog_2!$D$8:$D$17,$B33)+COUNTIF(CA_Prog_3!$D$8:$D$17,$B33)+COUNTIF(CA_Prog_4!$D$8:$D$17,$B33)+COUNTIF(CA_Prog_5!$D$8:$D$17,$B33)+COUNTIF(CA_Prog_6!$D$8:$D$17,$B33)+COUNTIF(CA_Prog_7!$D$8:$D$17,$B33)+COUNTIF(CA_Prog_8!$D$8:$D$17,$B33))*$D$8+(COUNTIF(CA_Prog_1!$D$18:$D$25,$B33)+COUNTIF(CA_Prog_2!$D$18:$D$25,$B33)+COUNTIF(CA_Prog_3!$D$18:$D$25,$B33)+COUNTIF(CA_Prog_4!$D$18:$D$25,$B33)+COUNTIF(CA_Prog_5!$D$18:$D$25,$B33)+COUNTIF(CA_Prog_6!$D$18:$D$25,$B33)+COUNTIF(CA_Prog_7!$D$18:$D$25,$B33)+COUNTIF(CA_Prog_8!$D$18:$D$25,$B33))*150000=0,"",(COUNTIF(CA_Prog_1!$D$8:$D$17,$B33)+COUNTIF(CA_Prog_2!$D$8:$D$17,$B33)+COUNTIF(CA_Prog_3!$D$8:$D$17,$B33)+COUNTIF(CA_Prog_4!$D$8:$D$17,$B33)+COUNTIF(CA_Prog_5!$D$8:$D$17,$B33)+COUNTIF(CA_Prog_6!$D$8:$D$17,$B33)+COUNTIF(CA_Prog_7!$D$8:$D$17,$B33)+COUNTIF(CA_Prog_8!$D$8:$D$17,$B33))*$D$8+(COUNTIF(CA_Prog_1!$D$18:$D$25,$B33)+COUNTIF(CA_Prog_2!$D$18:$D$25,$B33)+COUNTIF(CA_Prog_3!$D$18:$D$25,$B33)+COUNTIF(CA_Prog_4!$D$18:$D$25,$B33)+COUNTIF(CA_Prog_5!$D$18:$D$25,$B33)+COUNTIF(CA_Prog_6!$D$18:$D$25,$B33)+COUNTIF(CA_Prog_7!$D$18:$D$25,$B33)+COUNTIF(CA_Prog_8!$D$18:$D$25,$B33))*150000))</f>
        <v/>
      </c>
      <c r="E33" s="135" t="str">
        <f>IF($B33="","",IF((COUNTIF(CA_Prog_1!$E$8:$E$17,$B33)+COUNTIF(CA_Prog_2!$E$8:$E$17,$B33)+COUNTIF(CA_Prog_3!$E$8:$E$17,$B33)+COUNTIF(CA_Prog_4!$E$8:$E$17,$B33)+COUNTIF(CA_Prog_5!$E$8:$E$17,$B33)+COUNTIF(CA_Prog_6!$E$8:$E$17,$B33)+COUNTIF(CA_Prog_7!$E$8:$E$17,$B33)+COUNTIF(CA_Prog_8!$E$8:$E$17,$B33))*$D$8+(COUNTIF(CA_Prog_1!$E$18:$E$25,$B33)+COUNTIF(CA_Prog_2!$E$18:$E$25,$B33)+COUNTIF(CA_Prog_3!$E$18:$E$25,$B33)+COUNTIF(CA_Prog_4!$E$18:$E$25,$B33)+COUNTIF(CA_Prog_5!$E$18:$E$25,$B33)+COUNTIF(CA_Prog_6!$E$18:$E$25,$B33)+COUNTIF(CA_Prog_7!$E$18:$E$25,$B33)+COUNTIF(CA_Prog_8!$E$18:$E$25,$B33))*150000=0,"",(COUNTIF(CA_Prog_1!$E$8:$E$17,$B33)+COUNTIF(CA_Prog_2!$E$8:$E$17,$B33)+COUNTIF(CA_Prog_3!$E$8:$E$17,$B33)+COUNTIF(CA_Prog_4!$E$8:$E$17,$B33)+COUNTIF(CA_Prog_5!$E$8:$E$17,$B33)+COUNTIF(CA_Prog_6!$E$8:$E$17,$B33)+COUNTIF(CA_Prog_7!$E$8:$E$17,$B33)+COUNTIF(CA_Prog_8!$E$8:$E$17,$B33))*$D$8+(COUNTIF(CA_Prog_1!$E$18:$E$25,$B33)+COUNTIF(CA_Prog_2!$E$18:$E$25,$B33)+COUNTIF(CA_Prog_3!$E$18:$E$25,$B33)++COUNTIF(CA_Prog_4!$E$18:$E$25,$B33)+COUNTIF(CA_Prog_5!$E$18:$E$25,$B33)+COUNTIF(CA_Prog_6!$E$18:$E$25,$B33)+COUNTIF(CA_Prog_7!$E$18:$E$25,$B33)+COUNTIF(CA_Prog_8!$E$18:$E$25,$B33))*150000))</f>
        <v/>
      </c>
      <c r="F33" s="135" t="str">
        <f>IF($B33="","",IF((COUNTIF(CA_Prog_1!$F$8:$F$17,$B33)+COUNTIF(CA_Prog_2!$F$8:$F$17,$B33)+COUNTIF(CA_Prog_3!$F$8:$F$17,$B33)+COUNTIF(CA_Prog_4!$F$8:$F$17,$B33)+COUNTIF(CA_Prog_5!$F$8:$F$17,$B33)+COUNTIF(CA_Prog_6!$F$8:$F$17,$B33)+COUNTIF(CA_Prog_7!$F$8:$F$17,$B33)+COUNTIF(CA_Prog_8!$F$8:$F$17,$B33))*$D$8+(COUNTIF(CA_Prog_1!$F$18:$F$25,$B33)+COUNTIF(CA_Prog_2!$F$18:$F$25,$B33)+COUNTIF(CA_Prog_3!$F$18:$F$25,$B33)+COUNTIF(CA_Prog_4!$F$18:$F$25,$B33)+COUNTIF(CA_Prog_5!$F$18:$F$25,$B33)+COUNTIF(CA_Prog_6!$F$18:$F$25,$B33)+COUNTIF(CA_Prog_7!$F$18:$F$25,$B33)+COUNTIF(CA_Prog_8!$F$18:$F$25,$B33))*150000=0,"",(COUNTIF(CA_Prog_1!$F$8:$F$17,$B33)+COUNTIF(CA_Prog_2!$F$8:$F$17,$B33)+COUNTIF(CA_Prog_3!$F$8:$F$17,$B33)+COUNTIF(CA_Prog_4!$F$8:$F$17,$B33)+COUNTIF(CA_Prog_5!$F$8:$F$17,$B33)+COUNTIF(CA_Prog_6!$F$8:$F$17,$B33)+COUNTIF(CA_Prog_7!$F$8:$F$17,$B33)+COUNTIF(CA_Prog_8!$F$8:$F$17,$B33))*$D$8+(COUNTIF(CA_Prog_1!$F$18:$F$25,$B33)+COUNTIF(CA_Prog_2!$F$18:$F$25,$B33)+COUNTIF(CA_Prog_3!$F$18:$F$25,$B33)+COUNTIF(CA_Prog_4!$F$18:$F$25,$B33)+COUNTIF(CA_Prog_5!$F$18:$F$25,$B33)+COUNTIF(CA_Prog_6!$F$18:$F$25,$B33)+COUNTIF(CA_Prog_7!$F$18:$F$25,$B33)+COUNTIF(CA_Prog_8!$F$18:$F$25,$B33))*150000))</f>
        <v/>
      </c>
      <c r="G33" s="135">
        <f>IF($B33="","",IF((COUNTIF(CA_Prog_1!$G$8:$G$17,$B33)+COUNTIF(CA_Prog_2!$G$8:$G$17,$B33)+COUNTIF(CA_Prog_3!$G$8:$G$17,$B33)+COUNTIF(CA_Prog_4!$G$8:$G$17,$B33)+COUNTIF(CA_Prog_5!$G$8:$G$17,$B33)+COUNTIF(CA_Prog_6!$G$8:$G$17,$B33)+COUNTIF(CA_Prog_7!$G$8:$G$17,$B33)+COUNTIF(CA_Prog_8!$G$8:$G$17,$B33))*$D$8+(COUNTIF(CA_Prog_1!$G$18:$G$25,$B33)+COUNTIF(CA_Prog_2!$G$18:$G$25,$B33)+COUNTIF(CA_Prog_3!$G$18:$G$25,$B33)+COUNTIF(CA_Prog_4!$G$18:$G$25,$B33)+COUNTIF(CA_Prog_5!$G$18:$G$25,$B33)+COUNTIF(CA_Prog_6!$G$18:$G$25,$B33)+COUNTIF(CA_Prog_7!$G$18:$G$25,$B33)+COUNTIF(CA_Prog_8!$G$18:$G$25,$B33))*150000=0,"",(COUNTIF(CA_Prog_1!$G$8:$G$17,$B33)+COUNTIF(CA_Prog_2!$G$8:$G$17,$B33)+COUNTIF(CA_Prog_3!$G$8:$G$17,$B33)+COUNTIF(CA_Prog_4!$G$8:$G$17,$B33)+COUNTIF(CA_Prog_5!$G$8:$G$17,$B33)+COUNTIF(CA_Prog_6!$G$8:$G$17,$B33)+COUNTIF(CA_Prog_7!$G$8:$G$17,$B33)+COUNTIF(CA_Prog_8!$G$8:$G$17,$B33))*$D$8+(COUNTIF(CA_Prog_1!$G$18:$G$25,$B33)+COUNTIF(CA_Prog_2!$G$18:$G$25,$B33)+COUNTIF(CA_Prog_3!$G$18:$G$25,$B33)+COUNTIF(CA_Prog_4!$G$18:$G$25,$B33)+COUNTIF(CA_Prog_5!$G$18:$G$25,$B33)+COUNTIF(CA_Prog_6!$G$18:$G$25,$B33)+COUNTIF(CA_Prog_7!$G$18:$G$25,$B33)+COUNTIF(CA_Prog_8!$G$18:$G$25,$B33))*150000))</f>
        <v>300000</v>
      </c>
      <c r="H33" s="136">
        <f t="shared" si="0"/>
        <v>300000</v>
      </c>
      <c r="I33" s="53"/>
      <c r="J33" s="53"/>
      <c r="K33" s="53"/>
      <c r="L33" s="53"/>
      <c r="M33" s="53"/>
      <c r="N33" s="53"/>
      <c r="P33" s="53"/>
    </row>
    <row r="34" spans="1:16" x14ac:dyDescent="0.25">
      <c r="A34" s="133">
        <f>IF(ISTEXT($B34),231,"")</f>
        <v>231</v>
      </c>
      <c r="B34" s="65" t="s">
        <v>401</v>
      </c>
      <c r="C34" s="135" t="str">
        <f>IF($B34="","",IF((COUNTIF(CA_Prog_1!$C$8:$C$17,$B34)+COUNTIF(CA_Prog_2!$C$8:$C$17,$B34)+COUNTIF(CA_Prog_3!$C$8:$C$17,$B34)+COUNTIF(CA_Prog_4!$C$8:$C$17,$B34)+COUNTIF(CA_Prog_5!$C$8:$C$17,$B34)+COUNTIF(CA_Prog_6!$C$8:$C$17,$B34)+COUNTIF(CA_Prog_7!$C$8:$C$17,$B34)+COUNTIF(CA_Prog_8!$C$8:$C$17,$B34))*$D$8+(COUNTIF(CA_Prog_1!$C$18:$C$25,$B34)+COUNTIF(CA_Prog_2!$C$18:$C$25,$B34)+COUNTIF(CA_Prog_3!$C$18:$C$25,$B34)+COUNTIF(CA_Prog_4!$C$18:$C$25,$B34)+COUNTIF(CA_Prog_5!$C$18:$C$25,$B34)+COUNTIF(CA_Prog_6!$C$18:$C$25,$B34)+COUNTIF(CA_Prog_7!$C$18:$C$25,$B34)+COUNTIF(CA_Prog_8!$C$18:$C$25,$B34))*150000=0,"",(COUNTIF(CA_Prog_1!$C$8:$C$17,$B34)+COUNTIF(CA_Prog_2!$C$8:$C$17,$B34)+COUNTIF(CA_Prog_3!$C$8:$C$17,$B34)+COUNTIF(CA_Prog_4!$C$8:$C$17,$B34)+COUNTIF(CA_Prog_5!$C$8:$C$17,$B34)+COUNTIF(CA_Prog_6!$C$8:$C$17,$B34)+COUNTIF(CA_Prog_7!$C$8:$C$17,$B34)+COUNTIF(CA_Prog_8!$C$8:$C$17,$B34))*$D$8+(COUNTIF(CA_Prog_1!$C$18:$C$25,$B34)+COUNTIF(CA_Prog_2!$C$18:$C$25,$B34)+COUNTIF(CA_Prog_3!$C$18:$C$25,$B34)+COUNTIF(CA_Prog_4!$C$18:$C$25,$B34)+COUNTIF(CA_Prog_5!$C$18:$C$25,$B34)+COUNTIF(CA_Prog_6!$C$18:$C$25,$B34)+COUNTIF(CA_Prog_7!$C$18:$C$25,$B34)+COUNTIF(CA_Prog_8!$C$18:$C$25,$B34))*150000))</f>
        <v/>
      </c>
      <c r="D34" s="135" t="str">
        <f>IF($B34="","",IF((COUNTIF(CA_Prog_1!$D$8:$D$17,$B34)+COUNTIF(CA_Prog_2!$D$8:$D$17,$B34)+COUNTIF(CA_Prog_3!$D$8:$D$17,$B34)+COUNTIF(CA_Prog_4!$D$8:$D$17,$B34)+COUNTIF(CA_Prog_5!$D$8:$D$17,$B34)+COUNTIF(CA_Prog_6!$D$8:$D$17,$B34)+COUNTIF(CA_Prog_7!$D$8:$D$17,$B34)+COUNTIF(CA_Prog_8!$D$8:$D$17,$B34))*$D$8+(COUNTIF(CA_Prog_1!$D$18:$D$25,$B34)+COUNTIF(CA_Prog_2!$D$18:$D$25,$B34)+COUNTIF(CA_Prog_3!$D$18:$D$25,$B34)+COUNTIF(CA_Prog_4!$D$18:$D$25,$B34)+COUNTIF(CA_Prog_5!$D$18:$D$25,$B34)+COUNTIF(CA_Prog_6!$D$18:$D$25,$B34)+COUNTIF(CA_Prog_7!$D$18:$D$25,$B34)+COUNTIF(CA_Prog_8!$D$18:$D$25,$B34))*150000=0,"",(COUNTIF(CA_Prog_1!$D$8:$D$17,$B34)+COUNTIF(CA_Prog_2!$D$8:$D$17,$B34)+COUNTIF(CA_Prog_3!$D$8:$D$17,$B34)+COUNTIF(CA_Prog_4!$D$8:$D$17,$B34)+COUNTIF(CA_Prog_5!$D$8:$D$17,$B34)+COUNTIF(CA_Prog_6!$D$8:$D$17,$B34)+COUNTIF(CA_Prog_7!$D$8:$D$17,$B34)+COUNTIF(CA_Prog_8!$D$8:$D$17,$B34))*$D$8+(COUNTIF(CA_Prog_1!$D$18:$D$25,$B34)+COUNTIF(CA_Prog_2!$D$18:$D$25,$B34)+COUNTIF(CA_Prog_3!$D$18:$D$25,$B34)+COUNTIF(CA_Prog_4!$D$18:$D$25,$B34)+COUNTIF(CA_Prog_5!$D$18:$D$25,$B34)+COUNTIF(CA_Prog_6!$D$18:$D$25,$B34)+COUNTIF(CA_Prog_7!$D$18:$D$25,$B34)+COUNTIF(CA_Prog_8!$D$18:$D$25,$B34))*150000))</f>
        <v/>
      </c>
      <c r="E34" s="135" t="str">
        <f>IF($B34="","",IF((COUNTIF(CA_Prog_1!$E$8:$E$17,$B34)+COUNTIF(CA_Prog_2!$E$8:$E$17,$B34)+COUNTIF(CA_Prog_3!$E$8:$E$17,$B34)+COUNTIF(CA_Prog_4!$E$8:$E$17,$B34)+COUNTIF(CA_Prog_5!$E$8:$E$17,$B34)+COUNTIF(CA_Prog_6!$E$8:$E$17,$B34)+COUNTIF(CA_Prog_7!$E$8:$E$17,$B34)+COUNTIF(CA_Prog_8!$E$8:$E$17,$B34))*$D$8+(COUNTIF(CA_Prog_1!$E$18:$E$25,$B34)+COUNTIF(CA_Prog_2!$E$18:$E$25,$B34)+COUNTIF(CA_Prog_3!$E$18:$E$25,$B34)+COUNTIF(CA_Prog_4!$E$18:$E$25,$B34)+COUNTIF(CA_Prog_5!$E$18:$E$25,$B34)+COUNTIF(CA_Prog_6!$E$18:$E$25,$B34)+COUNTIF(CA_Prog_7!$E$18:$E$25,$B34)+COUNTIF(CA_Prog_8!$E$18:$E$25,$B34))*150000=0,"",(COUNTIF(CA_Prog_1!$E$8:$E$17,$B34)+COUNTIF(CA_Prog_2!$E$8:$E$17,$B34)+COUNTIF(CA_Prog_3!$E$8:$E$17,$B34)+COUNTIF(CA_Prog_4!$E$8:$E$17,$B34)+COUNTIF(CA_Prog_5!$E$8:$E$17,$B34)+COUNTIF(CA_Prog_6!$E$8:$E$17,$B34)+COUNTIF(CA_Prog_7!$E$8:$E$17,$B34)+COUNTIF(CA_Prog_8!$E$8:$E$17,$B34))*$D$8+(COUNTIF(CA_Prog_1!$E$18:$E$25,$B34)+COUNTIF(CA_Prog_2!$E$18:$E$25,$B34)+COUNTIF(CA_Prog_3!$E$18:$E$25,$B34)++COUNTIF(CA_Prog_4!$E$18:$E$25,$B34)+COUNTIF(CA_Prog_5!$E$18:$E$25,$B34)+COUNTIF(CA_Prog_6!$E$18:$E$25,$B34)+COUNTIF(CA_Prog_7!$E$18:$E$25,$B34)+COUNTIF(CA_Prog_8!$E$18:$E$25,$B34))*150000))</f>
        <v/>
      </c>
      <c r="F34" s="135" t="str">
        <f>IF($B34="","",IF((COUNTIF(CA_Prog_1!$F$8:$F$17,$B34)+COUNTIF(CA_Prog_2!$F$8:$F$17,$B34)+COUNTIF(CA_Prog_3!$F$8:$F$17,$B34)+COUNTIF(CA_Prog_4!$F$8:$F$17,$B34)+COUNTIF(CA_Prog_5!$F$8:$F$17,$B34)+COUNTIF(CA_Prog_6!$F$8:$F$17,$B34)+COUNTIF(CA_Prog_7!$F$8:$F$17,$B34)+COUNTIF(CA_Prog_8!$F$8:$F$17,$B34))*$D$8+(COUNTIF(CA_Prog_1!$F$18:$F$25,$B34)+COUNTIF(CA_Prog_2!$F$18:$F$25,$B34)+COUNTIF(CA_Prog_3!$F$18:$F$25,$B34)+COUNTIF(CA_Prog_4!$F$18:$F$25,$B34)+COUNTIF(CA_Prog_5!$F$18:$F$25,$B34)+COUNTIF(CA_Prog_6!$F$18:$F$25,$B34)+COUNTIF(CA_Prog_7!$F$18:$F$25,$B34)+COUNTIF(CA_Prog_8!$F$18:$F$25,$B34))*150000=0,"",(COUNTIF(CA_Prog_1!$F$8:$F$17,$B34)+COUNTIF(CA_Prog_2!$F$8:$F$17,$B34)+COUNTIF(CA_Prog_3!$F$8:$F$17,$B34)+COUNTIF(CA_Prog_4!$F$8:$F$17,$B34)+COUNTIF(CA_Prog_5!$F$8:$F$17,$B34)+COUNTIF(CA_Prog_6!$F$8:$F$17,$B34)+COUNTIF(CA_Prog_7!$F$8:$F$17,$B34)+COUNTIF(CA_Prog_8!$F$8:$F$17,$B34))*$D$8+(COUNTIF(CA_Prog_1!$F$18:$F$25,$B34)+COUNTIF(CA_Prog_2!$F$18:$F$25,$B34)+COUNTIF(CA_Prog_3!$F$18:$F$25,$B34)+COUNTIF(CA_Prog_4!$F$18:$F$25,$B34)+COUNTIF(CA_Prog_5!$F$18:$F$25,$B34)+COUNTIF(CA_Prog_6!$F$18:$F$25,$B34)+COUNTIF(CA_Prog_7!$F$18:$F$25,$B34)+COUNTIF(CA_Prog_8!$F$18:$F$25,$B34))*150000))</f>
        <v/>
      </c>
      <c r="G34" s="135" t="str">
        <f>IF($B34="","",IF((COUNTIF(CA_Prog_1!$G$8:$G$17,$B34)+COUNTIF(CA_Prog_2!$G$8:$G$17,$B34)+COUNTIF(CA_Prog_3!$G$8:$G$17,$B34)+COUNTIF(CA_Prog_4!$G$8:$G$17,$B34)+COUNTIF(CA_Prog_5!$G$8:$G$17,$B34)+COUNTIF(CA_Prog_6!$G$8:$G$17,$B34)+COUNTIF(CA_Prog_7!$G$8:$G$17,$B34)+COUNTIF(CA_Prog_8!$G$8:$G$17,$B34))*$D$8+(COUNTIF(CA_Prog_1!$G$18:$G$25,$B34)+COUNTIF(CA_Prog_2!$G$18:$G$25,$B34)+COUNTIF(CA_Prog_3!$G$18:$G$25,$B34)+COUNTIF(CA_Prog_4!$G$18:$G$25,$B34)+COUNTIF(CA_Prog_5!$G$18:$G$25,$B34)+COUNTIF(CA_Prog_6!$G$18:$G$25,$B34)+COUNTIF(CA_Prog_7!$G$18:$G$25,$B34)+COUNTIF(CA_Prog_8!$G$18:$G$25,$B34))*150000=0,"",(COUNTIF(CA_Prog_1!$G$8:$G$17,$B34)+COUNTIF(CA_Prog_2!$G$8:$G$17,$B34)+COUNTIF(CA_Prog_3!$G$8:$G$17,$B34)+COUNTIF(CA_Prog_4!$G$8:$G$17,$B34)+COUNTIF(CA_Prog_5!$G$8:$G$17,$B34)+COUNTIF(CA_Prog_6!$G$8:$G$17,$B34)+COUNTIF(CA_Prog_7!$G$8:$G$17,$B34)+COUNTIF(CA_Prog_8!$G$8:$G$17,$B34))*$D$8+(COUNTIF(CA_Prog_1!$G$18:$G$25,$B34)+COUNTIF(CA_Prog_2!$G$18:$G$25,$B34)+COUNTIF(CA_Prog_3!$G$18:$G$25,$B34)+COUNTIF(CA_Prog_4!$G$18:$G$25,$B34)+COUNTIF(CA_Prog_5!$G$18:$G$25,$B34)+COUNTIF(CA_Prog_6!$G$18:$G$25,$B34)+COUNTIF(CA_Prog_7!$G$18:$G$25,$B34)+COUNTIF(CA_Prog_8!$G$18:$G$25,$B34))*150000))</f>
        <v/>
      </c>
      <c r="H34" s="136" t="str">
        <f t="shared" si="0"/>
        <v/>
      </c>
      <c r="I34" s="53"/>
      <c r="J34" s="53"/>
      <c r="K34" s="53"/>
      <c r="L34" s="53"/>
      <c r="M34" s="53"/>
      <c r="N34" s="53"/>
      <c r="P34" s="53"/>
    </row>
    <row r="35" spans="1:16" x14ac:dyDescent="0.25">
      <c r="A35" s="133">
        <f>IF(ISTEXT($B35),24,"")</f>
        <v>24</v>
      </c>
      <c r="B35" s="65" t="s">
        <v>390</v>
      </c>
      <c r="C35" s="135" t="str">
        <f>IF($B35="","",IF((COUNTIF(CA_Prog_1!$C$8:$C$17,$B35)+COUNTIF(CA_Prog_2!$C$8:$C$17,$B35)+COUNTIF(CA_Prog_3!$C$8:$C$17,$B35)+COUNTIF(CA_Prog_4!$C$8:$C$17,$B35)+COUNTIF(CA_Prog_5!$C$8:$C$17,$B35)+COUNTIF(CA_Prog_6!$C$8:$C$17,$B35)+COUNTIF(CA_Prog_7!$C$8:$C$17,$B35)+COUNTIF(CA_Prog_8!$C$8:$C$17,$B35))*$D$8+(COUNTIF(CA_Prog_1!$C$18:$C$25,$B35)+COUNTIF(CA_Prog_2!$C$18:$C$25,$B35)+COUNTIF(CA_Prog_3!$C$18:$C$25,$B35)+COUNTIF(CA_Prog_4!$C$18:$C$25,$B35)+COUNTIF(CA_Prog_5!$C$18:$C$25,$B35)+COUNTIF(CA_Prog_6!$C$18:$C$25,$B35)+COUNTIF(CA_Prog_7!$C$18:$C$25,$B35)+COUNTIF(CA_Prog_8!$C$18:$C$25,$B35))*150000=0,"",(COUNTIF(CA_Prog_1!$C$8:$C$17,$B35)+COUNTIF(CA_Prog_2!$C$8:$C$17,$B35)+COUNTIF(CA_Prog_3!$C$8:$C$17,$B35)+COUNTIF(CA_Prog_4!$C$8:$C$17,$B35)+COUNTIF(CA_Prog_5!$C$8:$C$17,$B35)+COUNTIF(CA_Prog_6!$C$8:$C$17,$B35)+COUNTIF(CA_Prog_7!$C$8:$C$17,$B35)+COUNTIF(CA_Prog_8!$C$8:$C$17,$B35))*$D$8+(COUNTIF(CA_Prog_1!$C$18:$C$25,$B35)+COUNTIF(CA_Prog_2!$C$18:$C$25,$B35)+COUNTIF(CA_Prog_3!$C$18:$C$25,$B35)+COUNTIF(CA_Prog_4!$C$18:$C$25,$B35)+COUNTIF(CA_Prog_5!$C$18:$C$25,$B35)+COUNTIF(CA_Prog_6!$C$18:$C$25,$B35)+COUNTIF(CA_Prog_7!$C$18:$C$25,$B35)+COUNTIF(CA_Prog_8!$C$18:$C$25,$B35))*150000))</f>
        <v/>
      </c>
      <c r="D35" s="135" t="str">
        <f>IF($B35="","",IF((COUNTIF(CA_Prog_1!$D$8:$D$17,$B35)+COUNTIF(CA_Prog_2!$D$8:$D$17,$B35)+COUNTIF(CA_Prog_3!$D$8:$D$17,$B35)+COUNTIF(CA_Prog_4!$D$8:$D$17,$B35)+COUNTIF(CA_Prog_5!$D$8:$D$17,$B35)+COUNTIF(CA_Prog_6!$D$8:$D$17,$B35)+COUNTIF(CA_Prog_7!$D$8:$D$17,$B35)+COUNTIF(CA_Prog_8!$D$8:$D$17,$B35))*$D$8+(COUNTIF(CA_Prog_1!$D$18:$D$25,$B35)+COUNTIF(CA_Prog_2!$D$18:$D$25,$B35)+COUNTIF(CA_Prog_3!$D$18:$D$25,$B35)+COUNTIF(CA_Prog_4!$D$18:$D$25,$B35)+COUNTIF(CA_Prog_5!$D$18:$D$25,$B35)+COUNTIF(CA_Prog_6!$D$18:$D$25,$B35)+COUNTIF(CA_Prog_7!$D$18:$D$25,$B35)+COUNTIF(CA_Prog_8!$D$18:$D$25,$B35))*150000=0,"",(COUNTIF(CA_Prog_1!$D$8:$D$17,$B35)+COUNTIF(CA_Prog_2!$D$8:$D$17,$B35)+COUNTIF(CA_Prog_3!$D$8:$D$17,$B35)+COUNTIF(CA_Prog_4!$D$8:$D$17,$B35)+COUNTIF(CA_Prog_5!$D$8:$D$17,$B35)+COUNTIF(CA_Prog_6!$D$8:$D$17,$B35)+COUNTIF(CA_Prog_7!$D$8:$D$17,$B35)+COUNTIF(CA_Prog_8!$D$8:$D$17,$B35))*$D$8+(COUNTIF(CA_Prog_1!$D$18:$D$25,$B35)+COUNTIF(CA_Prog_2!$D$18:$D$25,$B35)+COUNTIF(CA_Prog_3!$D$18:$D$25,$B35)+COUNTIF(CA_Prog_4!$D$18:$D$25,$B35)+COUNTIF(CA_Prog_5!$D$18:$D$25,$B35)+COUNTIF(CA_Prog_6!$D$18:$D$25,$B35)+COUNTIF(CA_Prog_7!$D$18:$D$25,$B35)+COUNTIF(CA_Prog_8!$D$18:$D$25,$B35))*150000))</f>
        <v/>
      </c>
      <c r="E35" s="135" t="str">
        <f>IF($B35="","",IF((COUNTIF(CA_Prog_1!$E$8:$E$17,$B35)+COUNTIF(CA_Prog_2!$E$8:$E$17,$B35)+COUNTIF(CA_Prog_3!$E$8:$E$17,$B35)+COUNTIF(CA_Prog_4!$E$8:$E$17,$B35)+COUNTIF(CA_Prog_5!$E$8:$E$17,$B35)+COUNTIF(CA_Prog_6!$E$8:$E$17,$B35)+COUNTIF(CA_Prog_7!$E$8:$E$17,$B35)+COUNTIF(CA_Prog_8!$E$8:$E$17,$B35))*$D$8+(COUNTIF(CA_Prog_1!$E$18:$E$25,$B35)+COUNTIF(CA_Prog_2!$E$18:$E$25,$B35)+COUNTIF(CA_Prog_3!$E$18:$E$25,$B35)+COUNTIF(CA_Prog_4!$E$18:$E$25,$B35)+COUNTIF(CA_Prog_5!$E$18:$E$25,$B35)+COUNTIF(CA_Prog_6!$E$18:$E$25,$B35)+COUNTIF(CA_Prog_7!$E$18:$E$25,$B35)+COUNTIF(CA_Prog_8!$E$18:$E$25,$B35))*150000=0,"",(COUNTIF(CA_Prog_1!$E$8:$E$17,$B35)+COUNTIF(CA_Prog_2!$E$8:$E$17,$B35)+COUNTIF(CA_Prog_3!$E$8:$E$17,$B35)+COUNTIF(CA_Prog_4!$E$8:$E$17,$B35)+COUNTIF(CA_Prog_5!$E$8:$E$17,$B35)+COUNTIF(CA_Prog_6!$E$8:$E$17,$B35)+COUNTIF(CA_Prog_7!$E$8:$E$17,$B35)+COUNTIF(CA_Prog_8!$E$8:$E$17,$B35))*$D$8+(COUNTIF(CA_Prog_1!$E$18:$E$25,$B35)+COUNTIF(CA_Prog_2!$E$18:$E$25,$B35)+COUNTIF(CA_Prog_3!$E$18:$E$25,$B35)++COUNTIF(CA_Prog_4!$E$18:$E$25,$B35)+COUNTIF(CA_Prog_5!$E$18:$E$25,$B35)+COUNTIF(CA_Prog_6!$E$18:$E$25,$B35)+COUNTIF(CA_Prog_7!$E$18:$E$25,$B35)+COUNTIF(CA_Prog_8!$E$18:$E$25,$B35))*150000))</f>
        <v/>
      </c>
      <c r="F35" s="135" t="str">
        <f>IF($B35="","",IF((COUNTIF(CA_Prog_1!$F$8:$F$17,$B35)+COUNTIF(CA_Prog_2!$F$8:$F$17,$B35)+COUNTIF(CA_Prog_3!$F$8:$F$17,$B35)+COUNTIF(CA_Prog_4!$F$8:$F$17,$B35)+COUNTIF(CA_Prog_5!$F$8:$F$17,$B35)+COUNTIF(CA_Prog_6!$F$8:$F$17,$B35)+COUNTIF(CA_Prog_7!$F$8:$F$17,$B35)+COUNTIF(CA_Prog_8!$F$8:$F$17,$B35))*$D$8+(COUNTIF(CA_Prog_1!$F$18:$F$25,$B35)+COUNTIF(CA_Prog_2!$F$18:$F$25,$B35)+COUNTIF(CA_Prog_3!$F$18:$F$25,$B35)+COUNTIF(CA_Prog_4!$F$18:$F$25,$B35)+COUNTIF(CA_Prog_5!$F$18:$F$25,$B35)+COUNTIF(CA_Prog_6!$F$18:$F$25,$B35)+COUNTIF(CA_Prog_7!$F$18:$F$25,$B35)+COUNTIF(CA_Prog_8!$F$18:$F$25,$B35))*150000=0,"",(COUNTIF(CA_Prog_1!$F$8:$F$17,$B35)+COUNTIF(CA_Prog_2!$F$8:$F$17,$B35)+COUNTIF(CA_Prog_3!$F$8:$F$17,$B35)+COUNTIF(CA_Prog_4!$F$8:$F$17,$B35)+COUNTIF(CA_Prog_5!$F$8:$F$17,$B35)+COUNTIF(CA_Prog_6!$F$8:$F$17,$B35)+COUNTIF(CA_Prog_7!$F$8:$F$17,$B35)+COUNTIF(CA_Prog_8!$F$8:$F$17,$B35))*$D$8+(COUNTIF(CA_Prog_1!$F$18:$F$25,$B35)+COUNTIF(CA_Prog_2!$F$18:$F$25,$B35)+COUNTIF(CA_Prog_3!$F$18:$F$25,$B35)+COUNTIF(CA_Prog_4!$F$18:$F$25,$B35)+COUNTIF(CA_Prog_5!$F$18:$F$25,$B35)+COUNTIF(CA_Prog_6!$F$18:$F$25,$B35)+COUNTIF(CA_Prog_7!$F$18:$F$25,$B35)+COUNTIF(CA_Prog_8!$F$18:$F$25,$B35))*150000))</f>
        <v/>
      </c>
      <c r="G35" s="135" t="str">
        <f>IF($B35="","",IF((COUNTIF(CA_Prog_1!$G$8:$G$17,$B35)+COUNTIF(CA_Prog_2!$G$8:$G$17,$B35)+COUNTIF(CA_Prog_3!$G$8:$G$17,$B35)+COUNTIF(CA_Prog_4!$G$8:$G$17,$B35)+COUNTIF(CA_Prog_5!$G$8:$G$17,$B35)+COUNTIF(CA_Prog_6!$G$8:$G$17,$B35)+COUNTIF(CA_Prog_7!$G$8:$G$17,$B35)+COUNTIF(CA_Prog_8!$G$8:$G$17,$B35))*$D$8+(COUNTIF(CA_Prog_1!$G$18:$G$25,$B35)+COUNTIF(CA_Prog_2!$G$18:$G$25,$B35)+COUNTIF(CA_Prog_3!$G$18:$G$25,$B35)+COUNTIF(CA_Prog_4!$G$18:$G$25,$B35)+COUNTIF(CA_Prog_5!$G$18:$G$25,$B35)+COUNTIF(CA_Prog_6!$G$18:$G$25,$B35)+COUNTIF(CA_Prog_7!$G$18:$G$25,$B35)+COUNTIF(CA_Prog_8!$G$18:$G$25,$B35))*150000=0,"",(COUNTIF(CA_Prog_1!$G$8:$G$17,$B35)+COUNTIF(CA_Prog_2!$G$8:$G$17,$B35)+COUNTIF(CA_Prog_3!$G$8:$G$17,$B35)+COUNTIF(CA_Prog_4!$G$8:$G$17,$B35)+COUNTIF(CA_Prog_5!$G$8:$G$17,$B35)+COUNTIF(CA_Prog_6!$G$8:$G$17,$B35)+COUNTIF(CA_Prog_7!$G$8:$G$17,$B35)+COUNTIF(CA_Prog_8!$G$8:$G$17,$B35))*$D$8+(COUNTIF(CA_Prog_1!$G$18:$G$25,$B35)+COUNTIF(CA_Prog_2!$G$18:$G$25,$B35)+COUNTIF(CA_Prog_3!$G$18:$G$25,$B35)+COUNTIF(CA_Prog_4!$G$18:$G$25,$B35)+COUNTIF(CA_Prog_5!$G$18:$G$25,$B35)+COUNTIF(CA_Prog_6!$G$18:$G$25,$B35)+COUNTIF(CA_Prog_7!$G$18:$G$25,$B35)+COUNTIF(CA_Prog_8!$G$18:$G$25,$B35))*150000))</f>
        <v/>
      </c>
      <c r="H35" s="136" t="str">
        <f t="shared" si="0"/>
        <v/>
      </c>
      <c r="I35" s="53"/>
      <c r="J35" s="53"/>
      <c r="K35" s="53"/>
      <c r="L35" s="53"/>
      <c r="M35" s="53"/>
      <c r="N35" s="53"/>
      <c r="P35" s="53"/>
    </row>
    <row r="36" spans="1:16" x14ac:dyDescent="0.25">
      <c r="A36" s="133" t="str">
        <f>IF(ISTEXT($B36),25,"")</f>
        <v/>
      </c>
      <c r="B36" s="65"/>
      <c r="C36" s="135" t="str">
        <f>IF($B36="","",IF((COUNTIF(CA_Prog_1!$C$8:$C$17,$B36)+COUNTIF(CA_Prog_2!$C$8:$C$17,$B36)+COUNTIF(CA_Prog_3!$C$8:$C$17,$B36)+COUNTIF(CA_Prog_4!$C$8:$C$17,$B36)+COUNTIF(CA_Prog_5!$C$8:$C$17,$B36)+COUNTIF(CA_Prog_6!$C$8:$C$17,$B36)+COUNTIF(CA_Prog_7!$C$8:$C$17,$B36)+COUNTIF(CA_Prog_8!$C$8:$C$17,$B36))*$D$8+(COUNTIF(CA_Prog_1!$C$18:$C$25,$B36)+COUNTIF(CA_Prog_2!$C$18:$C$25,$B36)+COUNTIF(CA_Prog_3!$C$18:$C$25,$B36)+COUNTIF(CA_Prog_4!$C$18:$C$25,$B36)+COUNTIF(CA_Prog_5!$C$18:$C$25,$B36)+COUNTIF(CA_Prog_6!$C$18:$C$25,$B36)+COUNTIF(CA_Prog_7!$C$18:$C$25,$B36)+COUNTIF(CA_Prog_8!$C$18:$C$25,$B36))*150000=0,"",(COUNTIF(CA_Prog_1!$C$8:$C$17,$B36)+COUNTIF(CA_Prog_2!$C$8:$C$17,$B36)+COUNTIF(CA_Prog_3!$C$8:$C$17,$B36)+COUNTIF(CA_Prog_4!$C$8:$C$17,$B36)+COUNTIF(CA_Prog_5!$C$8:$C$17,$B36)+COUNTIF(CA_Prog_6!$C$8:$C$17,$B36)+COUNTIF(CA_Prog_7!$C$8:$C$17,$B36)+COUNTIF(CA_Prog_8!$C$8:$C$17,$B36))*$D$8+(COUNTIF(CA_Prog_1!$C$18:$C$25,$B36)+COUNTIF(CA_Prog_2!$C$18:$C$25,$B36)+COUNTIF(CA_Prog_3!$C$18:$C$25,$B36)+COUNTIF(CA_Prog_4!$C$18:$C$25,$B36)+COUNTIF(CA_Prog_5!$C$18:$C$25,$B36)+COUNTIF(CA_Prog_6!$C$18:$C$25,$B36)+COUNTIF(CA_Prog_7!$C$18:$C$25,$B36)+COUNTIF(CA_Prog_8!$C$18:$C$25,$B36))*150000))</f>
        <v/>
      </c>
      <c r="D36" s="135" t="str">
        <f>IF($B36="","",IF((COUNTIF(CA_Prog_1!$D$8:$D$17,$B36)+COUNTIF(CA_Prog_2!$D$8:$D$17,$B36)+COUNTIF(CA_Prog_3!$D$8:$D$17,$B36)+COUNTIF(CA_Prog_4!$D$8:$D$17,$B36)+COUNTIF(CA_Prog_5!$D$8:$D$17,$B36)+COUNTIF(CA_Prog_6!$D$8:$D$17,$B36)+COUNTIF(CA_Prog_7!$D$8:$D$17,$B36)+COUNTIF(CA_Prog_8!$D$8:$D$17,$B36))*$D$8+(COUNTIF(CA_Prog_1!$D$18:$D$25,$B36)+COUNTIF(CA_Prog_2!$D$18:$D$25,$B36)+COUNTIF(CA_Prog_3!$D$18:$D$25,$B36)+COUNTIF(CA_Prog_4!$D$18:$D$25,$B36)+COUNTIF(CA_Prog_5!$D$18:$D$25,$B36)+COUNTIF(CA_Prog_6!$D$18:$D$25,$B36)+COUNTIF(CA_Prog_7!$D$18:$D$25,$B36)+COUNTIF(CA_Prog_8!$D$18:$D$25,$B36))*150000=0,"",(COUNTIF(CA_Prog_1!$D$8:$D$17,$B36)+COUNTIF(CA_Prog_2!$D$8:$D$17,$B36)+COUNTIF(CA_Prog_3!$D$8:$D$17,$B36)+COUNTIF(CA_Prog_4!$D$8:$D$17,$B36)+COUNTIF(CA_Prog_5!$D$8:$D$17,$B36)+COUNTIF(CA_Prog_6!$D$8:$D$17,$B36)+COUNTIF(CA_Prog_7!$D$8:$D$17,$B36)+COUNTIF(CA_Prog_8!$D$8:$D$17,$B36))*$D$8+(COUNTIF(CA_Prog_1!$D$18:$D$25,$B36)+COUNTIF(CA_Prog_2!$D$18:$D$25,$B36)+COUNTIF(CA_Prog_3!$D$18:$D$25,$B36)+COUNTIF(CA_Prog_4!$D$18:$D$25,$B36)+COUNTIF(CA_Prog_5!$D$18:$D$25,$B36)+COUNTIF(CA_Prog_6!$D$18:$D$25,$B36)+COUNTIF(CA_Prog_7!$D$18:$D$25,$B36)+COUNTIF(CA_Prog_8!$D$18:$D$25,$B36))*150000))</f>
        <v/>
      </c>
      <c r="E36" s="135" t="str">
        <f>IF($B36="","",IF((COUNTIF(CA_Prog_1!$E$8:$E$17,$B36)+COUNTIF(CA_Prog_2!$E$8:$E$17,$B36)+COUNTIF(CA_Prog_3!$E$8:$E$17,$B36)+COUNTIF(CA_Prog_4!$E$8:$E$17,$B36)+COUNTIF(CA_Prog_5!$E$8:$E$17,$B36)+COUNTIF(CA_Prog_6!$E$8:$E$17,$B36)+COUNTIF(CA_Prog_7!$E$8:$E$17,$B36)+COUNTIF(CA_Prog_8!$E$8:$E$17,$B36))*$D$8+(COUNTIF(CA_Prog_1!$E$18:$E$25,$B36)+COUNTIF(CA_Prog_2!$E$18:$E$25,$B36)+COUNTIF(CA_Prog_3!$E$18:$E$25,$B36)+COUNTIF(CA_Prog_4!$E$18:$E$25,$B36)+COUNTIF(CA_Prog_5!$E$18:$E$25,$B36)+COUNTIF(CA_Prog_6!$E$18:$E$25,$B36)+COUNTIF(CA_Prog_7!$E$18:$E$25,$B36)+COUNTIF(CA_Prog_8!$E$18:$E$25,$B36))*150000=0,"",(COUNTIF(CA_Prog_1!$E$8:$E$17,$B36)+COUNTIF(CA_Prog_2!$E$8:$E$17,$B36)+COUNTIF(CA_Prog_3!$E$8:$E$17,$B36)+COUNTIF(CA_Prog_4!$E$8:$E$17,$B36)+COUNTIF(CA_Prog_5!$E$8:$E$17,$B36)+COUNTIF(CA_Prog_6!$E$8:$E$17,$B36)+COUNTIF(CA_Prog_7!$E$8:$E$17,$B36)+COUNTIF(CA_Prog_8!$E$8:$E$17,$B36))*$D$8+(COUNTIF(CA_Prog_1!$E$18:$E$25,$B36)+COUNTIF(CA_Prog_2!$E$18:$E$25,$B36)+COUNTIF(CA_Prog_3!$E$18:$E$25,$B36)++COUNTIF(CA_Prog_4!$E$18:$E$25,$B36)+COUNTIF(CA_Prog_5!$E$18:$E$25,$B36)+COUNTIF(CA_Prog_6!$E$18:$E$25,$B36)+COUNTIF(CA_Prog_7!$E$18:$E$25,$B36)+COUNTIF(CA_Prog_8!$E$18:$E$25,$B36))*150000))</f>
        <v/>
      </c>
      <c r="F36" s="135" t="str">
        <f>IF($B36="","",IF((COUNTIF(CA_Prog_1!$F$8:$F$17,$B36)+COUNTIF(CA_Prog_2!$F$8:$F$17,$B36)+COUNTIF(CA_Prog_3!$F$8:$F$17,$B36)+COUNTIF(CA_Prog_4!$F$8:$F$17,$B36)+COUNTIF(CA_Prog_5!$F$8:$F$17,$B36)+COUNTIF(CA_Prog_6!$F$8:$F$17,$B36)+COUNTIF(CA_Prog_7!$F$8:$F$17,$B36)+COUNTIF(CA_Prog_8!$F$8:$F$17,$B36))*$D$8+(COUNTIF(CA_Prog_1!$F$18:$F$25,$B36)+COUNTIF(CA_Prog_2!$F$18:$F$25,$B36)+COUNTIF(CA_Prog_3!$F$18:$F$25,$B36)+COUNTIF(CA_Prog_4!$F$18:$F$25,$B36)+COUNTIF(CA_Prog_5!$F$18:$F$25,$B36)+COUNTIF(CA_Prog_6!$F$18:$F$25,$B36)+COUNTIF(CA_Prog_7!$F$18:$F$25,$B36)+COUNTIF(CA_Prog_8!$F$18:$F$25,$B36))*150000=0,"",(COUNTIF(CA_Prog_1!$F$8:$F$17,$B36)+COUNTIF(CA_Prog_2!$F$8:$F$17,$B36)+COUNTIF(CA_Prog_3!$F$8:$F$17,$B36)+COUNTIF(CA_Prog_4!$F$8:$F$17,$B36)+COUNTIF(CA_Prog_5!$F$8:$F$17,$B36)+COUNTIF(CA_Prog_6!$F$8:$F$17,$B36)+COUNTIF(CA_Prog_7!$F$8:$F$17,$B36)+COUNTIF(CA_Prog_8!$F$8:$F$17,$B36))*$D$8+(COUNTIF(CA_Prog_1!$F$18:$F$25,$B36)+COUNTIF(CA_Prog_2!$F$18:$F$25,$B36)+COUNTIF(CA_Prog_3!$F$18:$F$25,$B36)+COUNTIF(CA_Prog_4!$F$18:$F$25,$B36)+COUNTIF(CA_Prog_5!$F$18:$F$25,$B36)+COUNTIF(CA_Prog_6!$F$18:$F$25,$B36)+COUNTIF(CA_Prog_7!$F$18:$F$25,$B36)+COUNTIF(CA_Prog_8!$F$18:$F$25,$B36))*150000))</f>
        <v/>
      </c>
      <c r="G36" s="135" t="str">
        <f>IF($B36="","",IF((COUNTIF(CA_Prog_1!$G$8:$G$17,$B36)+COUNTIF(CA_Prog_2!$G$8:$G$17,$B36)+COUNTIF(CA_Prog_3!$G$8:$G$17,$B36)+COUNTIF(CA_Prog_4!$G$8:$G$17,$B36)+COUNTIF(CA_Prog_5!$G$8:$G$17,$B36)+COUNTIF(CA_Prog_6!$G$8:$G$17,$B36)+COUNTIF(CA_Prog_7!$G$8:$G$17,$B36)+COUNTIF(CA_Prog_8!$G$8:$G$17,$B36))*$D$8+(COUNTIF(CA_Prog_1!$G$18:$G$25,$B36)+COUNTIF(CA_Prog_2!$G$18:$G$25,$B36)+COUNTIF(CA_Prog_3!$G$18:$G$25,$B36)+COUNTIF(CA_Prog_4!$G$18:$G$25,$B36)+COUNTIF(CA_Prog_5!$G$18:$G$25,$B36)+COUNTIF(CA_Prog_6!$G$18:$G$25,$B36)+COUNTIF(CA_Prog_7!$G$18:$G$25,$B36)+COUNTIF(CA_Prog_8!$G$18:$G$25,$B36))*150000=0,"",(COUNTIF(CA_Prog_1!$G$8:$G$17,$B36)+COUNTIF(CA_Prog_2!$G$8:$G$17,$B36)+COUNTIF(CA_Prog_3!$G$8:$G$17,$B36)+COUNTIF(CA_Prog_4!$G$8:$G$17,$B36)+COUNTIF(CA_Prog_5!$G$8:$G$17,$B36)+COUNTIF(CA_Prog_6!$G$8:$G$17,$B36)+COUNTIF(CA_Prog_7!$G$8:$G$17,$B36)+COUNTIF(CA_Prog_8!$G$8:$G$17,$B36))*$D$8+(COUNTIF(CA_Prog_1!$G$18:$G$25,$B36)+COUNTIF(CA_Prog_2!$G$18:$G$25,$B36)+COUNTIF(CA_Prog_3!$G$18:$G$25,$B36)+COUNTIF(CA_Prog_4!$G$18:$G$25,$B36)+COUNTIF(CA_Prog_5!$G$18:$G$25,$B36)+COUNTIF(CA_Prog_6!$G$18:$G$25,$B36)+COUNTIF(CA_Prog_7!$G$18:$G$25,$B36)+COUNTIF(CA_Prog_8!$G$18:$G$25,$B36))*150000))</f>
        <v/>
      </c>
      <c r="H36" s="136" t="str">
        <f t="shared" si="0"/>
        <v/>
      </c>
      <c r="I36" s="53"/>
      <c r="J36" s="53"/>
      <c r="K36" s="53"/>
      <c r="L36" s="53"/>
      <c r="M36" s="53"/>
      <c r="N36" s="53"/>
      <c r="P36" s="53"/>
    </row>
    <row r="37" spans="1:16" x14ac:dyDescent="0.25">
      <c r="A37" s="133" t="str">
        <f>IF(ISTEXT($B37),26,"")</f>
        <v/>
      </c>
      <c r="B37" s="131"/>
      <c r="C37" s="135" t="str">
        <f>IF($B37="","",IF((COUNTIF(CA_Prog_1!$C$8:$C$17,$B37)+COUNTIF(CA_Prog_2!$C$8:$C$17,$B37)+COUNTIF(CA_Prog_3!$C$8:$C$17,$B37)+COUNTIF(CA_Prog_4!$C$8:$C$17,$B37)+COUNTIF(CA_Prog_5!$C$8:$C$17,$B37)+COUNTIF(CA_Prog_6!$C$8:$C$17,$B37)+COUNTIF(CA_Prog_7!$C$8:$C$17,$B37)+COUNTIF(CA_Prog_8!$C$8:$C$17,$B37))*$D$8+(COUNTIF(CA_Prog_1!$C$18:$C$25,$B37)+COUNTIF(CA_Prog_2!$C$18:$C$25,$B37)+COUNTIF(CA_Prog_3!$C$18:$C$25,$B37)+COUNTIF(CA_Prog_4!$C$18:$C$25,$B37)+COUNTIF(CA_Prog_5!$C$18:$C$25,$B37)+COUNTIF(CA_Prog_6!$C$18:$C$25,$B37)+COUNTIF(CA_Prog_7!$C$18:$C$25,$B37)+COUNTIF(CA_Prog_8!$C$18:$C$25,$B37))*150000=0,"",(COUNTIF(CA_Prog_1!$C$8:$C$17,$B37)+COUNTIF(CA_Prog_2!$C$8:$C$17,$B37)+COUNTIF(CA_Prog_3!$C$8:$C$17,$B37)+COUNTIF(CA_Prog_4!$C$8:$C$17,$B37)+COUNTIF(CA_Prog_5!$C$8:$C$17,$B37)+COUNTIF(CA_Prog_6!$C$8:$C$17,$B37)+COUNTIF(CA_Prog_7!$C$8:$C$17,$B37)+COUNTIF(CA_Prog_8!$C$8:$C$17,$B37))*$D$8+(COUNTIF(CA_Prog_1!$C$18:$C$25,$B37)+COUNTIF(CA_Prog_2!$C$18:$C$25,$B37)+COUNTIF(CA_Prog_3!$C$18:$C$25,$B37)+COUNTIF(CA_Prog_4!$C$18:$C$25,$B37)+COUNTIF(CA_Prog_5!$C$18:$C$25,$B37)+COUNTIF(CA_Prog_6!$C$18:$C$25,$B37)+COUNTIF(CA_Prog_7!$C$18:$C$25,$B37)+COUNTIF(CA_Prog_8!$C$18:$C$25,$B37))*150000))</f>
        <v/>
      </c>
      <c r="D37" s="135" t="str">
        <f>IF($B37="","",IF((COUNTIF(CA_Prog_1!$D$8:$D$17,$B37)+COUNTIF(CA_Prog_2!$D$8:$D$17,$B37)+COUNTIF(CA_Prog_3!$D$8:$D$17,$B37)+COUNTIF(CA_Prog_4!$D$8:$D$17,$B37)+COUNTIF(CA_Prog_5!$D$8:$D$17,$B37)+COUNTIF(CA_Prog_6!$D$8:$D$17,$B37)+COUNTIF(CA_Prog_7!$D$8:$D$17,$B37)+COUNTIF(CA_Prog_8!$D$8:$D$17,$B37))*$D$8+(COUNTIF(CA_Prog_1!$D$18:$D$25,$B37)+COUNTIF(CA_Prog_2!$D$18:$D$25,$B37)+COUNTIF(CA_Prog_3!$D$18:$D$25,$B37)+COUNTIF(CA_Prog_4!$D$18:$D$25,$B37)+COUNTIF(CA_Prog_5!$D$18:$D$25,$B37)+COUNTIF(CA_Prog_6!$D$18:$D$25,$B37)+COUNTIF(CA_Prog_7!$D$18:$D$25,$B37)+COUNTIF(CA_Prog_8!$D$18:$D$25,$B37))*150000=0,"",(COUNTIF(CA_Prog_1!$D$8:$D$17,$B37)+COUNTIF(CA_Prog_2!$D$8:$D$17,$B37)+COUNTIF(CA_Prog_3!$D$8:$D$17,$B37)+COUNTIF(CA_Prog_4!$D$8:$D$17,$B37)+COUNTIF(CA_Prog_5!$D$8:$D$17,$B37)+COUNTIF(CA_Prog_6!$D$8:$D$17,$B37)+COUNTIF(CA_Prog_7!$D$8:$D$17,$B37)+COUNTIF(CA_Prog_8!$D$8:$D$17,$B37))*$D$8+(COUNTIF(CA_Prog_1!$D$18:$D$25,$B37)+COUNTIF(CA_Prog_2!$D$18:$D$25,$B37)+COUNTIF(CA_Prog_3!$D$18:$D$25,$B37)+COUNTIF(CA_Prog_4!$D$18:$D$25,$B37)+COUNTIF(CA_Prog_5!$D$18:$D$25,$B37)+COUNTIF(CA_Prog_6!$D$18:$D$25,$B37)+COUNTIF(CA_Prog_7!$D$18:$D$25,$B37)+COUNTIF(CA_Prog_8!$D$18:$D$25,$B37))*150000))</f>
        <v/>
      </c>
      <c r="E37" s="135" t="str">
        <f>IF($B37="","",IF((COUNTIF(CA_Prog_1!$E$8:$E$17,$B37)+COUNTIF(CA_Prog_2!$E$8:$E$17,$B37)+COUNTIF(CA_Prog_3!$E$8:$E$17,$B37)+COUNTIF(CA_Prog_4!$E$8:$E$17,$B37)+COUNTIF(CA_Prog_5!$E$8:$E$17,$B37)+COUNTIF(CA_Prog_6!$E$8:$E$17,$B37)+COUNTIF(CA_Prog_7!$E$8:$E$17,$B37)+COUNTIF(CA_Prog_8!$E$8:$E$17,$B37))*$D$8+(COUNTIF(CA_Prog_1!$E$18:$E$25,$B37)+COUNTIF(CA_Prog_2!$E$18:$E$25,$B37)+COUNTIF(CA_Prog_3!$E$18:$E$25,$B37)+COUNTIF(CA_Prog_4!$E$18:$E$25,$B37)+COUNTIF(CA_Prog_5!$E$18:$E$25,$B37)+COUNTIF(CA_Prog_6!$E$18:$E$25,$B37)+COUNTIF(CA_Prog_7!$E$18:$E$25,$B37)+COUNTIF(CA_Prog_8!$E$18:$E$25,$B37))*150000=0,"",(COUNTIF(CA_Prog_1!$E$8:$E$17,$B37)+COUNTIF(CA_Prog_2!$E$8:$E$17,$B37)+COUNTIF(CA_Prog_3!$E$8:$E$17,$B37)+COUNTIF(CA_Prog_4!$E$8:$E$17,$B37)+COUNTIF(CA_Prog_5!$E$8:$E$17,$B37)+COUNTIF(CA_Prog_6!$E$8:$E$17,$B37)+COUNTIF(CA_Prog_7!$E$8:$E$17,$B37)+COUNTIF(CA_Prog_8!$E$8:$E$17,$B37))*$D$8+(COUNTIF(CA_Prog_1!$E$18:$E$25,$B37)+COUNTIF(CA_Prog_2!$E$18:$E$25,$B37)+COUNTIF(CA_Prog_3!$E$18:$E$25,$B37)++COUNTIF(CA_Prog_4!$E$18:$E$25,$B37)+COUNTIF(CA_Prog_5!$E$18:$E$25,$B37)+COUNTIF(CA_Prog_6!$E$18:$E$25,$B37)+COUNTIF(CA_Prog_7!$E$18:$E$25,$B37)+COUNTIF(CA_Prog_8!$E$18:$E$25,$B37))*150000))</f>
        <v/>
      </c>
      <c r="F37" s="135" t="str">
        <f>IF($B37="","",IF((COUNTIF(CA_Prog_1!$F$8:$F$17,$B37)+COUNTIF(CA_Prog_2!$F$8:$F$17,$B37)+COUNTIF(CA_Prog_3!$F$8:$F$17,$B37)+COUNTIF(CA_Prog_4!$F$8:$F$17,$B37)+COUNTIF(CA_Prog_5!$F$8:$F$17,$B37)+COUNTIF(CA_Prog_6!$F$8:$F$17,$B37)+COUNTIF(CA_Prog_7!$F$8:$F$17,$B37)+COUNTIF(CA_Prog_8!$F$8:$F$17,$B37))*$D$8+(COUNTIF(CA_Prog_1!$F$18:$F$25,$B37)+COUNTIF(CA_Prog_2!$F$18:$F$25,$B37)+COUNTIF(CA_Prog_3!$F$18:$F$25,$B37)+COUNTIF(CA_Prog_4!$F$18:$F$25,$B37)+COUNTIF(CA_Prog_5!$F$18:$F$25,$B37)+COUNTIF(CA_Prog_6!$F$18:$F$25,$B37)+COUNTIF(CA_Prog_7!$F$18:$F$25,$B37)+COUNTIF(CA_Prog_8!$F$18:$F$25,$B37))*150000=0,"",(COUNTIF(CA_Prog_1!$F$8:$F$17,$B37)+COUNTIF(CA_Prog_2!$F$8:$F$17,$B37)+COUNTIF(CA_Prog_3!$F$8:$F$17,$B37)+COUNTIF(CA_Prog_4!$F$8:$F$17,$B37)+COUNTIF(CA_Prog_5!$F$8:$F$17,$B37)+COUNTIF(CA_Prog_6!$F$8:$F$17,$B37)+COUNTIF(CA_Prog_7!$F$8:$F$17,$B37)+COUNTIF(CA_Prog_8!$F$8:$F$17,$B37))*$D$8+(COUNTIF(CA_Prog_1!$F$18:$F$25,$B37)+COUNTIF(CA_Prog_2!$F$18:$F$25,$B37)+COUNTIF(CA_Prog_3!$F$18:$F$25,$B37)+COUNTIF(CA_Prog_4!$F$18:$F$25,$B37)+COUNTIF(CA_Prog_5!$F$18:$F$25,$B37)+COUNTIF(CA_Prog_6!$F$18:$F$25,$B37)+COUNTIF(CA_Prog_7!$F$18:$F$25,$B37)+COUNTIF(CA_Prog_8!$F$18:$F$25,$B37))*150000))</f>
        <v/>
      </c>
      <c r="G37" s="135" t="str">
        <f>IF($B37="","",IF((COUNTIF(CA_Prog_1!$G$8:$G$17,$B37)+COUNTIF(CA_Prog_2!$G$8:$G$17,$B37)+COUNTIF(CA_Prog_3!$G$8:$G$17,$B37)+COUNTIF(CA_Prog_4!$G$8:$G$17,$B37)+COUNTIF(CA_Prog_5!$G$8:$G$17,$B37)+COUNTIF(CA_Prog_6!$G$8:$G$17,$B37)+COUNTIF(CA_Prog_7!$G$8:$G$17,$B37)+COUNTIF(CA_Prog_8!$G$8:$G$17,$B37))*$D$8+(COUNTIF(CA_Prog_1!$G$18:$G$25,$B37)+COUNTIF(CA_Prog_2!$G$18:$G$25,$B37)+COUNTIF(CA_Prog_3!$G$18:$G$25,$B37)+COUNTIF(CA_Prog_4!$G$18:$G$25,$B37)+COUNTIF(CA_Prog_5!$G$18:$G$25,$B37)+COUNTIF(CA_Prog_6!$G$18:$G$25,$B37)+COUNTIF(CA_Prog_7!$G$18:$G$25,$B37)+COUNTIF(CA_Prog_8!$G$18:$G$25,$B37))*150000=0,"",(COUNTIF(CA_Prog_1!$G$8:$G$17,$B37)+COUNTIF(CA_Prog_2!$G$8:$G$17,$B37)+COUNTIF(CA_Prog_3!$G$8:$G$17,$B37)+COUNTIF(CA_Prog_4!$G$8:$G$17,$B37)+COUNTIF(CA_Prog_5!$G$8:$G$17,$B37)+COUNTIF(CA_Prog_6!$G$8:$G$17,$B37)+COUNTIF(CA_Prog_7!$G$8:$G$17,$B37)+COUNTIF(CA_Prog_8!$G$8:$G$17,$B37))*$D$8+(COUNTIF(CA_Prog_1!$G$18:$G$25,$B37)+COUNTIF(CA_Prog_2!$G$18:$G$25,$B37)+COUNTIF(CA_Prog_3!$G$18:$G$25,$B37)+COUNTIF(CA_Prog_4!$G$18:$G$25,$B37)+COUNTIF(CA_Prog_5!$G$18:$G$25,$B37)+COUNTIF(CA_Prog_6!$G$18:$G$25,$B37)+COUNTIF(CA_Prog_7!$G$18:$G$25,$B37)+COUNTIF(CA_Prog_8!$G$18:$G$25,$B37))*150000))</f>
        <v/>
      </c>
      <c r="H37" s="136" t="str">
        <f t="shared" si="0"/>
        <v/>
      </c>
      <c r="I37" s="53"/>
      <c r="J37" s="53"/>
      <c r="K37" s="53"/>
      <c r="L37" s="53"/>
      <c r="M37" s="53"/>
      <c r="N37" s="53"/>
      <c r="P37" s="53"/>
    </row>
    <row r="38" spans="1:16" x14ac:dyDescent="0.25">
      <c r="A38" s="133" t="str">
        <f>IF(ISTEXT($B38),27,"")</f>
        <v/>
      </c>
      <c r="B38" s="131"/>
      <c r="C38" s="135" t="str">
        <f>IF($B38="","",IF((COUNTIF(CA_Prog_1!$C$8:$C$17,$B38)+COUNTIF(CA_Prog_2!$C$8:$C$17,$B38)+COUNTIF(CA_Prog_3!$C$8:$C$17,$B38)+COUNTIF(CA_Prog_4!$C$8:$C$17,$B38)+COUNTIF(CA_Prog_5!$C$8:$C$17,$B38)+COUNTIF(CA_Prog_6!$C$8:$C$17,$B38)+COUNTIF(CA_Prog_7!$C$8:$C$17,$B38)+COUNTIF(CA_Prog_8!$C$8:$C$17,$B38))*$D$8+(COUNTIF(CA_Prog_1!$C$18:$C$25,$B38)+COUNTIF(CA_Prog_2!$C$18:$C$25,$B38)+COUNTIF(CA_Prog_3!$C$18:$C$25,$B38)+COUNTIF(CA_Prog_4!$C$18:$C$25,$B38)+COUNTIF(CA_Prog_5!$C$18:$C$25,$B38)+COUNTIF(CA_Prog_6!$C$18:$C$25,$B38)+COUNTIF(CA_Prog_7!$C$18:$C$25,$B38)+COUNTIF(CA_Prog_8!$C$18:$C$25,$B38))*150000=0,"",(COUNTIF(CA_Prog_1!$C$8:$C$17,$B38)+COUNTIF(CA_Prog_2!$C$8:$C$17,$B38)+COUNTIF(CA_Prog_3!$C$8:$C$17,$B38)+COUNTIF(CA_Prog_4!$C$8:$C$17,$B38)+COUNTIF(CA_Prog_5!$C$8:$C$17,$B38)+COUNTIF(CA_Prog_6!$C$8:$C$17,$B38)+COUNTIF(CA_Prog_7!$C$8:$C$17,$B38)+COUNTIF(CA_Prog_8!$C$8:$C$17,$B38))*$D$8+(COUNTIF(CA_Prog_1!$C$18:$C$25,$B38)+COUNTIF(CA_Prog_2!$C$18:$C$25,$B38)+COUNTIF(CA_Prog_3!$C$18:$C$25,$B38)+COUNTIF(CA_Prog_4!$C$18:$C$25,$B38)+COUNTIF(CA_Prog_5!$C$18:$C$25,$B38)+COUNTIF(CA_Prog_6!$C$18:$C$25,$B38)+COUNTIF(CA_Prog_7!$C$18:$C$25,$B38)+COUNTIF(CA_Prog_8!$C$18:$C$25,$B38))*150000))</f>
        <v/>
      </c>
      <c r="D38" s="135" t="str">
        <f>IF($B38="","",IF((COUNTIF(CA_Prog_1!$D$8:$D$17,$B38)+COUNTIF(CA_Prog_2!$D$8:$D$17,$B38)+COUNTIF(CA_Prog_3!$D$8:$D$17,$B38)+COUNTIF(CA_Prog_4!$D$8:$D$17,$B38)+COUNTIF(CA_Prog_5!$D$8:$D$17,$B38)+COUNTIF(CA_Prog_6!$D$8:$D$17,$B38)+COUNTIF(CA_Prog_7!$D$8:$D$17,$B38)+COUNTIF(CA_Prog_8!$D$8:$D$17,$B38))*$D$8+(COUNTIF(CA_Prog_1!$D$18:$D$25,$B38)+COUNTIF(CA_Prog_2!$D$18:$D$25,$B38)+COUNTIF(CA_Prog_3!$D$18:$D$25,$B38)+COUNTIF(CA_Prog_4!$D$18:$D$25,$B38)+COUNTIF(CA_Prog_5!$D$18:$D$25,$B38)+COUNTIF(CA_Prog_6!$D$18:$D$25,$B38)+COUNTIF(CA_Prog_7!$D$18:$D$25,$B38)+COUNTIF(CA_Prog_8!$D$18:$D$25,$B38))*150000=0,"",(COUNTIF(CA_Prog_1!$D$8:$D$17,$B38)+COUNTIF(CA_Prog_2!$D$8:$D$17,$B38)+COUNTIF(CA_Prog_3!$D$8:$D$17,$B38)+COUNTIF(CA_Prog_4!$D$8:$D$17,$B38)+COUNTIF(CA_Prog_5!$D$8:$D$17,$B38)+COUNTIF(CA_Prog_6!$D$8:$D$17,$B38)+COUNTIF(CA_Prog_7!$D$8:$D$17,$B38)+COUNTIF(CA_Prog_8!$D$8:$D$17,$B38))*$D$8+(COUNTIF(CA_Prog_1!$D$18:$D$25,$B38)+COUNTIF(CA_Prog_2!$D$18:$D$25,$B38)+COUNTIF(CA_Prog_3!$D$18:$D$25,$B38)+COUNTIF(CA_Prog_4!$D$18:$D$25,$B38)+COUNTIF(CA_Prog_5!$D$18:$D$25,$B38)+COUNTIF(CA_Prog_6!$D$18:$D$25,$B38)+COUNTIF(CA_Prog_7!$D$18:$D$25,$B38)+COUNTIF(CA_Prog_8!$D$18:$D$25,$B38))*150000))</f>
        <v/>
      </c>
      <c r="E38" s="135" t="str">
        <f>IF($B38="","",IF((COUNTIF(CA_Prog_1!$E$8:$E$17,$B38)+COUNTIF(CA_Prog_2!$E$8:$E$17,$B38)+COUNTIF(CA_Prog_3!$E$8:$E$17,$B38)+COUNTIF(CA_Prog_4!$E$8:$E$17,$B38)+COUNTIF(CA_Prog_5!$E$8:$E$17,$B38)+COUNTIF(CA_Prog_6!$E$8:$E$17,$B38)+COUNTIF(CA_Prog_7!$E$8:$E$17,$B38)+COUNTIF(CA_Prog_8!$E$8:$E$17,$B38))*$D$8+(COUNTIF(CA_Prog_1!$E$18:$E$25,$B38)+COUNTIF(CA_Prog_2!$E$18:$E$25,$B38)+COUNTIF(CA_Prog_3!$E$18:$E$25,$B38)+COUNTIF(CA_Prog_4!$E$18:$E$25,$B38)+COUNTIF(CA_Prog_5!$E$18:$E$25,$B38)+COUNTIF(CA_Prog_6!$E$18:$E$25,$B38)+COUNTIF(CA_Prog_7!$E$18:$E$25,$B38)+COUNTIF(CA_Prog_8!$E$18:$E$25,$B38))*150000=0,"",(COUNTIF(CA_Prog_1!$E$8:$E$17,$B38)+COUNTIF(CA_Prog_2!$E$8:$E$17,$B38)+COUNTIF(CA_Prog_3!$E$8:$E$17,$B38)+COUNTIF(CA_Prog_4!$E$8:$E$17,$B38)+COUNTIF(CA_Prog_5!$E$8:$E$17,$B38)+COUNTIF(CA_Prog_6!$E$8:$E$17,$B38)+COUNTIF(CA_Prog_7!$E$8:$E$17,$B38)+COUNTIF(CA_Prog_8!$E$8:$E$17,$B38))*$D$8+(COUNTIF(CA_Prog_1!$E$18:$E$25,$B38)+COUNTIF(CA_Prog_2!$E$18:$E$25,$B38)+COUNTIF(CA_Prog_3!$E$18:$E$25,$B38)++COUNTIF(CA_Prog_4!$E$18:$E$25,$B38)+COUNTIF(CA_Prog_5!$E$18:$E$25,$B38)+COUNTIF(CA_Prog_6!$E$18:$E$25,$B38)+COUNTIF(CA_Prog_7!$E$18:$E$25,$B38)+COUNTIF(CA_Prog_8!$E$18:$E$25,$B38))*150000))</f>
        <v/>
      </c>
      <c r="F38" s="135" t="str">
        <f>IF($B38="","",IF((COUNTIF(CA_Prog_1!$F$8:$F$17,$B38)+COUNTIF(CA_Prog_2!$F$8:$F$17,$B38)+COUNTIF(CA_Prog_3!$F$8:$F$17,$B38)+COUNTIF(CA_Prog_4!$F$8:$F$17,$B38)+COUNTIF(CA_Prog_5!$F$8:$F$17,$B38)+COUNTIF(CA_Prog_6!$F$8:$F$17,$B38)+COUNTIF(CA_Prog_7!$F$8:$F$17,$B38)+COUNTIF(CA_Prog_8!$F$8:$F$17,$B38))*$D$8+(COUNTIF(CA_Prog_1!$F$18:$F$25,$B38)+COUNTIF(CA_Prog_2!$F$18:$F$25,$B38)+COUNTIF(CA_Prog_3!$F$18:$F$25,$B38)+COUNTIF(CA_Prog_4!$F$18:$F$25,$B38)+COUNTIF(CA_Prog_5!$F$18:$F$25,$B38)+COUNTIF(CA_Prog_6!$F$18:$F$25,$B38)+COUNTIF(CA_Prog_7!$F$18:$F$25,$B38)+COUNTIF(CA_Prog_8!$F$18:$F$25,$B38))*150000=0,"",(COUNTIF(CA_Prog_1!$F$8:$F$17,$B38)+COUNTIF(CA_Prog_2!$F$8:$F$17,$B38)+COUNTIF(CA_Prog_3!$F$8:$F$17,$B38)+COUNTIF(CA_Prog_4!$F$8:$F$17,$B38)+COUNTIF(CA_Prog_5!$F$8:$F$17,$B38)+COUNTIF(CA_Prog_6!$F$8:$F$17,$B38)+COUNTIF(CA_Prog_7!$F$8:$F$17,$B38)+COUNTIF(CA_Prog_8!$F$8:$F$17,$B38))*$D$8+(COUNTIF(CA_Prog_1!$F$18:$F$25,$B38)+COUNTIF(CA_Prog_2!$F$18:$F$25,$B38)+COUNTIF(CA_Prog_3!$F$18:$F$25,$B38)+COUNTIF(CA_Prog_4!$F$18:$F$25,$B38)+COUNTIF(CA_Prog_5!$F$18:$F$25,$B38)+COUNTIF(CA_Prog_6!$F$18:$F$25,$B38)+COUNTIF(CA_Prog_7!$F$18:$F$25,$B38)+COUNTIF(CA_Prog_8!$F$18:$F$25,$B38))*150000))</f>
        <v/>
      </c>
      <c r="G38" s="135" t="str">
        <f>IF($B38="","",IF((COUNTIF(CA_Prog_1!$G$8:$G$17,$B38)+COUNTIF(CA_Prog_2!$G$8:$G$17,$B38)+COUNTIF(CA_Prog_3!$G$8:$G$17,$B38)+COUNTIF(CA_Prog_4!$G$8:$G$17,$B38)+COUNTIF(CA_Prog_5!$G$8:$G$17,$B38)+COUNTIF(CA_Prog_6!$G$8:$G$17,$B38)+COUNTIF(CA_Prog_7!$G$8:$G$17,$B38)+COUNTIF(CA_Prog_8!$G$8:$G$17,$B38))*$D$8+(COUNTIF(CA_Prog_1!$G$18:$G$25,$B38)+COUNTIF(CA_Prog_2!$G$18:$G$25,$B38)+COUNTIF(CA_Prog_3!$G$18:$G$25,$B38)+COUNTIF(CA_Prog_4!$G$18:$G$25,$B38)+COUNTIF(CA_Prog_5!$G$18:$G$25,$B38)+COUNTIF(CA_Prog_6!$G$18:$G$25,$B38)+COUNTIF(CA_Prog_7!$G$18:$G$25,$B38)+COUNTIF(CA_Prog_8!$G$18:$G$25,$B38))*150000=0,"",(COUNTIF(CA_Prog_1!$G$8:$G$17,$B38)+COUNTIF(CA_Prog_2!$G$8:$G$17,$B38)+COUNTIF(CA_Prog_3!$G$8:$G$17,$B38)+COUNTIF(CA_Prog_4!$G$8:$G$17,$B38)+COUNTIF(CA_Prog_5!$G$8:$G$17,$B38)+COUNTIF(CA_Prog_6!$G$8:$G$17,$B38)+COUNTIF(CA_Prog_7!$G$8:$G$17,$B38)+COUNTIF(CA_Prog_8!$G$8:$G$17,$B38))*$D$8+(COUNTIF(CA_Prog_1!$G$18:$G$25,$B38)+COUNTIF(CA_Prog_2!$G$18:$G$25,$B38)+COUNTIF(CA_Prog_3!$G$18:$G$25,$B38)+COUNTIF(CA_Prog_4!$G$18:$G$25,$B38)+COUNTIF(CA_Prog_5!$G$18:$G$25,$B38)+COUNTIF(CA_Prog_6!$G$18:$G$25,$B38)+COUNTIF(CA_Prog_7!$G$18:$G$25,$B38)+COUNTIF(CA_Prog_8!$G$18:$G$25,$B38))*150000))</f>
        <v/>
      </c>
      <c r="H38" s="136" t="str">
        <f t="shared" si="0"/>
        <v/>
      </c>
      <c r="I38" s="53"/>
      <c r="J38" s="53"/>
      <c r="K38" s="53"/>
      <c r="L38" s="53"/>
      <c r="M38" s="53"/>
      <c r="N38" s="53"/>
      <c r="P38" s="53"/>
    </row>
    <row r="39" spans="1:16" x14ac:dyDescent="0.25">
      <c r="A39" s="133" t="str">
        <f>IF(ISTEXT($B39),28,"")</f>
        <v/>
      </c>
      <c r="B39" s="131"/>
      <c r="C39" s="135" t="str">
        <f>IF($B39="","",IF((COUNTIF(CA_Prog_1!$C$8:$C$17,$B39)+COUNTIF(CA_Prog_2!$C$8:$C$17,$B39)+COUNTIF(CA_Prog_3!$C$8:$C$17,$B39)+COUNTIF(CA_Prog_4!$C$8:$C$17,$B39)+COUNTIF(CA_Prog_5!$C$8:$C$17,$B39)+COUNTIF(CA_Prog_6!$C$8:$C$17,$B39)+COUNTIF(CA_Prog_7!$C$8:$C$17,$B39)+COUNTIF(CA_Prog_8!$C$8:$C$17,$B39))*$D$8+(COUNTIF(CA_Prog_1!$C$18:$C$25,$B39)+COUNTIF(CA_Prog_2!$C$18:$C$25,$B39)+COUNTIF(CA_Prog_3!$C$18:$C$25,$B39)+COUNTIF(CA_Prog_4!$C$18:$C$25,$B39)+COUNTIF(CA_Prog_5!$C$18:$C$25,$B39)+COUNTIF(CA_Prog_6!$C$18:$C$25,$B39)+COUNTIF(CA_Prog_7!$C$18:$C$25,$B39)+COUNTIF(CA_Prog_8!$C$18:$C$25,$B39))*150000=0,"",(COUNTIF(CA_Prog_1!$C$8:$C$17,$B39)+COUNTIF(CA_Prog_2!$C$8:$C$17,$B39)+COUNTIF(CA_Prog_3!$C$8:$C$17,$B39)+COUNTIF(CA_Prog_4!$C$8:$C$17,$B39)+COUNTIF(CA_Prog_5!$C$8:$C$17,$B39)+COUNTIF(CA_Prog_6!$C$8:$C$17,$B39)+COUNTIF(CA_Prog_7!$C$8:$C$17,$B39)+COUNTIF(CA_Prog_8!$C$8:$C$17,$B39))*$D$8+(COUNTIF(CA_Prog_1!$C$18:$C$25,$B39)+COUNTIF(CA_Prog_2!$C$18:$C$25,$B39)+COUNTIF(CA_Prog_3!$C$18:$C$25,$B39)+COUNTIF(CA_Prog_4!$C$18:$C$25,$B39)+COUNTIF(CA_Prog_5!$C$18:$C$25,$B39)+COUNTIF(CA_Prog_6!$C$18:$C$25,$B39)+COUNTIF(CA_Prog_7!$C$18:$C$25,$B39)+COUNTIF(CA_Prog_8!$C$18:$C$25,$B39))*150000))</f>
        <v/>
      </c>
      <c r="D39" s="135" t="str">
        <f>IF($B39="","",IF((COUNTIF(CA_Prog_1!$D$8:$D$17,$B39)+COUNTIF(CA_Prog_2!$D$8:$D$17,$B39)+COUNTIF(CA_Prog_3!$D$8:$D$17,$B39)+COUNTIF(CA_Prog_4!$D$8:$D$17,$B39)+COUNTIF(CA_Prog_5!$D$8:$D$17,$B39)+COUNTIF(CA_Prog_6!$D$8:$D$17,$B39)+COUNTIF(CA_Prog_7!$D$8:$D$17,$B39)+COUNTIF(CA_Prog_8!$D$8:$D$17,$B39))*$D$8+(COUNTIF(CA_Prog_1!$D$18:$D$25,$B39)+COUNTIF(CA_Prog_2!$D$18:$D$25,$B39)+COUNTIF(CA_Prog_3!$D$18:$D$25,$B39)+COUNTIF(CA_Prog_4!$D$18:$D$25,$B39)+COUNTIF(CA_Prog_5!$D$18:$D$25,$B39)+COUNTIF(CA_Prog_6!$D$18:$D$25,$B39)+COUNTIF(CA_Prog_7!$D$18:$D$25,$B39)+COUNTIF(CA_Prog_8!$D$18:$D$25,$B39))*150000=0,"",(COUNTIF(CA_Prog_1!$D$8:$D$17,$B39)+COUNTIF(CA_Prog_2!$D$8:$D$17,$B39)+COUNTIF(CA_Prog_3!$D$8:$D$17,$B39)+COUNTIF(CA_Prog_4!$D$8:$D$17,$B39)+COUNTIF(CA_Prog_5!$D$8:$D$17,$B39)+COUNTIF(CA_Prog_6!$D$8:$D$17,$B39)+COUNTIF(CA_Prog_7!$D$8:$D$17,$B39)+COUNTIF(CA_Prog_8!$D$8:$D$17,$B39))*$D$8+(COUNTIF(CA_Prog_1!$D$18:$D$25,$B39)+COUNTIF(CA_Prog_2!$D$18:$D$25,$B39)+COUNTIF(CA_Prog_3!$D$18:$D$25,$B39)+COUNTIF(CA_Prog_4!$D$18:$D$25,$B39)+COUNTIF(CA_Prog_5!$D$18:$D$25,$B39)+COUNTIF(CA_Prog_6!$D$18:$D$25,$B39)+COUNTIF(CA_Prog_7!$D$18:$D$25,$B39)+COUNTIF(CA_Prog_8!$D$18:$D$25,$B39))*150000))</f>
        <v/>
      </c>
      <c r="E39" s="135" t="str">
        <f>IF($B39="","",IF((COUNTIF(CA_Prog_1!$E$8:$E$17,$B39)+COUNTIF(CA_Prog_2!$E$8:$E$17,$B39)+COUNTIF(CA_Prog_3!$E$8:$E$17,$B39)+COUNTIF(CA_Prog_4!$E$8:$E$17,$B39)+COUNTIF(CA_Prog_5!$E$8:$E$17,$B39)+COUNTIF(CA_Prog_6!$E$8:$E$17,$B39)+COUNTIF(CA_Prog_7!$E$8:$E$17,$B39)+COUNTIF(CA_Prog_8!$E$8:$E$17,$B39))*$D$8+(COUNTIF(CA_Prog_1!$E$18:$E$25,$B39)+COUNTIF(CA_Prog_2!$E$18:$E$25,$B39)+COUNTIF(CA_Prog_3!$E$18:$E$25,$B39)+COUNTIF(CA_Prog_4!$E$18:$E$25,$B39)+COUNTIF(CA_Prog_5!$E$18:$E$25,$B39)+COUNTIF(CA_Prog_6!$E$18:$E$25,$B39)+COUNTIF(CA_Prog_7!$E$18:$E$25,$B39)+COUNTIF(CA_Prog_8!$E$18:$E$25,$B39))*150000=0,"",(COUNTIF(CA_Prog_1!$E$8:$E$17,$B39)+COUNTIF(CA_Prog_2!$E$8:$E$17,$B39)+COUNTIF(CA_Prog_3!$E$8:$E$17,$B39)+COUNTIF(CA_Prog_4!$E$8:$E$17,$B39)+COUNTIF(CA_Prog_5!$E$8:$E$17,$B39)+COUNTIF(CA_Prog_6!$E$8:$E$17,$B39)+COUNTIF(CA_Prog_7!$E$8:$E$17,$B39)+COUNTIF(CA_Prog_8!$E$8:$E$17,$B39))*$D$8+(COUNTIF(CA_Prog_1!$E$18:$E$25,$B39)+COUNTIF(CA_Prog_2!$E$18:$E$25,$B39)+COUNTIF(CA_Prog_3!$E$18:$E$25,$B39)++COUNTIF(CA_Prog_4!$E$18:$E$25,$B39)+COUNTIF(CA_Prog_5!$E$18:$E$25,$B39)+COUNTIF(CA_Prog_6!$E$18:$E$25,$B39)+COUNTIF(CA_Prog_7!$E$18:$E$25,$B39)+COUNTIF(CA_Prog_8!$E$18:$E$25,$B39))*150000))</f>
        <v/>
      </c>
      <c r="F39" s="135" t="str">
        <f>IF($B39="","",IF((COUNTIF(CA_Prog_1!$F$8:$F$17,$B39)+COUNTIF(CA_Prog_2!$F$8:$F$17,$B39)+COUNTIF(CA_Prog_3!$F$8:$F$17,$B39)+COUNTIF(CA_Prog_4!$F$8:$F$17,$B39)+COUNTIF(CA_Prog_5!$F$8:$F$17,$B39)+COUNTIF(CA_Prog_6!$F$8:$F$17,$B39)+COUNTIF(CA_Prog_7!$F$8:$F$17,$B39)+COUNTIF(CA_Prog_8!$F$8:$F$17,$B39))*$D$8+(COUNTIF(CA_Prog_1!$F$18:$F$25,$B39)+COUNTIF(CA_Prog_2!$F$18:$F$25,$B39)+COUNTIF(CA_Prog_3!$F$18:$F$25,$B39)+COUNTIF(CA_Prog_4!$F$18:$F$25,$B39)+COUNTIF(CA_Prog_5!$F$18:$F$25,$B39)+COUNTIF(CA_Prog_6!$F$18:$F$25,$B39)+COUNTIF(CA_Prog_7!$F$18:$F$25,$B39)+COUNTIF(CA_Prog_8!$F$18:$F$25,$B39))*150000=0,"",(COUNTIF(CA_Prog_1!$F$8:$F$17,$B39)+COUNTIF(CA_Prog_2!$F$8:$F$17,$B39)+COUNTIF(CA_Prog_3!$F$8:$F$17,$B39)+COUNTIF(CA_Prog_4!$F$8:$F$17,$B39)+COUNTIF(CA_Prog_5!$F$8:$F$17,$B39)+COUNTIF(CA_Prog_6!$F$8:$F$17,$B39)+COUNTIF(CA_Prog_7!$F$8:$F$17,$B39)+COUNTIF(CA_Prog_8!$F$8:$F$17,$B39))*$D$8+(COUNTIF(CA_Prog_1!$F$18:$F$25,$B39)+COUNTIF(CA_Prog_2!$F$18:$F$25,$B39)+COUNTIF(CA_Prog_3!$F$18:$F$25,$B39)+COUNTIF(CA_Prog_4!$F$18:$F$25,$B39)+COUNTIF(CA_Prog_5!$F$18:$F$25,$B39)+COUNTIF(CA_Prog_6!$F$18:$F$25,$B39)+COUNTIF(CA_Prog_7!$F$18:$F$25,$B39)+COUNTIF(CA_Prog_8!$F$18:$F$25,$B39))*150000))</f>
        <v/>
      </c>
      <c r="G39" s="135" t="str">
        <f>IF($B39="","",IF((COUNTIF(CA_Prog_1!$G$8:$G$17,$B39)+COUNTIF(CA_Prog_2!$G$8:$G$17,$B39)+COUNTIF(CA_Prog_3!$G$8:$G$17,$B39)+COUNTIF(CA_Prog_4!$G$8:$G$17,$B39)+COUNTIF(CA_Prog_5!$G$8:$G$17,$B39)+COUNTIF(CA_Prog_6!$G$8:$G$17,$B39)+COUNTIF(CA_Prog_7!$G$8:$G$17,$B39)+COUNTIF(CA_Prog_8!$G$8:$G$17,$B39))*$D$8+(COUNTIF(CA_Prog_1!$G$18:$G$25,$B39)+COUNTIF(CA_Prog_2!$G$18:$G$25,$B39)+COUNTIF(CA_Prog_3!$G$18:$G$25,$B39)+COUNTIF(CA_Prog_4!$G$18:$G$25,$B39)+COUNTIF(CA_Prog_5!$G$18:$G$25,$B39)+COUNTIF(CA_Prog_6!$G$18:$G$25,$B39)+COUNTIF(CA_Prog_7!$G$18:$G$25,$B39)+COUNTIF(CA_Prog_8!$G$18:$G$25,$B39))*150000=0,"",(COUNTIF(CA_Prog_1!$G$8:$G$17,$B39)+COUNTIF(CA_Prog_2!$G$8:$G$17,$B39)+COUNTIF(CA_Prog_3!$G$8:$G$17,$B39)+COUNTIF(CA_Prog_4!$G$8:$G$17,$B39)+COUNTIF(CA_Prog_5!$G$8:$G$17,$B39)+COUNTIF(CA_Prog_6!$G$8:$G$17,$B39)+COUNTIF(CA_Prog_7!$G$8:$G$17,$B39)+COUNTIF(CA_Prog_8!$G$8:$G$17,$B39))*$D$8+(COUNTIF(CA_Prog_1!$G$18:$G$25,$B39)+COUNTIF(CA_Prog_2!$G$18:$G$25,$B39)+COUNTIF(CA_Prog_3!$G$18:$G$25,$B39)+COUNTIF(CA_Prog_4!$G$18:$G$25,$B39)+COUNTIF(CA_Prog_5!$G$18:$G$25,$B39)+COUNTIF(CA_Prog_6!$G$18:$G$25,$B39)+COUNTIF(CA_Prog_7!$G$18:$G$25,$B39)+COUNTIF(CA_Prog_8!$G$18:$G$25,$B39))*150000))</f>
        <v/>
      </c>
      <c r="H39" s="136" t="str">
        <f t="shared" si="0"/>
        <v/>
      </c>
      <c r="I39" s="53"/>
      <c r="J39" s="53"/>
      <c r="K39" s="53"/>
      <c r="L39" s="53"/>
      <c r="M39" s="53"/>
      <c r="N39" s="53"/>
      <c r="P39" s="53"/>
    </row>
    <row r="40" spans="1:16" x14ac:dyDescent="0.25">
      <c r="A40" s="133" t="str">
        <f>IF(ISTEXT($B40),29,"")</f>
        <v/>
      </c>
      <c r="B40" s="131"/>
      <c r="C40" s="135" t="str">
        <f>IF($B40="","",IF((COUNTIF(CA_Prog_1!$C$8:$C$17,$B40)+COUNTIF(CA_Prog_2!$C$8:$C$17,$B40)+COUNTIF(CA_Prog_3!$C$8:$C$17,$B40)+COUNTIF(CA_Prog_4!$C$8:$C$17,$B40)+COUNTIF(CA_Prog_5!$C$8:$C$17,$B40)+COUNTIF(CA_Prog_6!$C$8:$C$17,$B40)+COUNTIF(CA_Prog_7!$C$8:$C$17,$B40)+COUNTIF(CA_Prog_8!$C$8:$C$17,$B40))*$D$8+(COUNTIF(CA_Prog_1!$C$18:$C$25,$B40)+COUNTIF(CA_Prog_2!$C$18:$C$25,$B40)+COUNTIF(CA_Prog_3!$C$18:$C$25,$B40)+COUNTIF(CA_Prog_4!$C$18:$C$25,$B40)+COUNTIF(CA_Prog_5!$C$18:$C$25,$B40)+COUNTIF(CA_Prog_6!$C$18:$C$25,$B40)+COUNTIF(CA_Prog_7!$C$18:$C$25,$B40)+COUNTIF(CA_Prog_8!$C$18:$C$25,$B40))*150000=0,"",(COUNTIF(CA_Prog_1!$C$8:$C$17,$B40)+COUNTIF(CA_Prog_2!$C$8:$C$17,$B40)+COUNTIF(CA_Prog_3!$C$8:$C$17,$B40)+COUNTIF(CA_Prog_4!$C$8:$C$17,$B40)+COUNTIF(CA_Prog_5!$C$8:$C$17,$B40)+COUNTIF(CA_Prog_6!$C$8:$C$17,$B40)+COUNTIF(CA_Prog_7!$C$8:$C$17,$B40)+COUNTIF(CA_Prog_8!$C$8:$C$17,$B40))*$D$8+(COUNTIF(CA_Prog_1!$C$18:$C$25,$B40)+COUNTIF(CA_Prog_2!$C$18:$C$25,$B40)+COUNTIF(CA_Prog_3!$C$18:$C$25,$B40)+COUNTIF(CA_Prog_4!$C$18:$C$25,$B40)+COUNTIF(CA_Prog_5!$C$18:$C$25,$B40)+COUNTIF(CA_Prog_6!$C$18:$C$25,$B40)+COUNTIF(CA_Prog_7!$C$18:$C$25,$B40)+COUNTIF(CA_Prog_8!$C$18:$C$25,$B40))*150000))</f>
        <v/>
      </c>
      <c r="D40" s="135" t="str">
        <f>IF($B40="","",IF((COUNTIF(CA_Prog_1!$D$8:$D$17,$B40)+COUNTIF(CA_Prog_2!$D$8:$D$17,$B40)+COUNTIF(CA_Prog_3!$D$8:$D$17,$B40)+COUNTIF(CA_Prog_4!$D$8:$D$17,$B40)+COUNTIF(CA_Prog_5!$D$8:$D$17,$B40)+COUNTIF(CA_Prog_6!$D$8:$D$17,$B40)+COUNTIF(CA_Prog_7!$D$8:$D$17,$B40)+COUNTIF(CA_Prog_8!$D$8:$D$17,$B40))*$D$8+(COUNTIF(CA_Prog_1!$D$18:$D$25,$B40)+COUNTIF(CA_Prog_2!$D$18:$D$25,$B40)+COUNTIF(CA_Prog_3!$D$18:$D$25,$B40)+COUNTIF(CA_Prog_4!$D$18:$D$25,$B40)+COUNTIF(CA_Prog_5!$D$18:$D$25,$B40)+COUNTIF(CA_Prog_6!$D$18:$D$25,$B40)+COUNTIF(CA_Prog_7!$D$18:$D$25,$B40)+COUNTIF(CA_Prog_8!$D$18:$D$25,$B40))*150000=0,"",(COUNTIF(CA_Prog_1!$D$8:$D$17,$B40)+COUNTIF(CA_Prog_2!$D$8:$D$17,$B40)+COUNTIF(CA_Prog_3!$D$8:$D$17,$B40)+COUNTIF(CA_Prog_4!$D$8:$D$17,$B40)+COUNTIF(CA_Prog_5!$D$8:$D$17,$B40)+COUNTIF(CA_Prog_6!$D$8:$D$17,$B40)+COUNTIF(CA_Prog_7!$D$8:$D$17,$B40)+COUNTIF(CA_Prog_8!$D$8:$D$17,$B40))*$D$8+(COUNTIF(CA_Prog_1!$D$18:$D$25,$B40)+COUNTIF(CA_Prog_2!$D$18:$D$25,$B40)+COUNTIF(CA_Prog_3!$D$18:$D$25,$B40)+COUNTIF(CA_Prog_4!$D$18:$D$25,$B40)+COUNTIF(CA_Prog_5!$D$18:$D$25,$B40)+COUNTIF(CA_Prog_6!$D$18:$D$25,$B40)+COUNTIF(CA_Prog_7!$D$18:$D$25,$B40)+COUNTIF(CA_Prog_8!$D$18:$D$25,$B40))*150000))</f>
        <v/>
      </c>
      <c r="E40" s="135" t="str">
        <f>IF($B40="","",IF((COUNTIF(CA_Prog_1!$E$8:$E$17,$B40)+COUNTIF(CA_Prog_2!$E$8:$E$17,$B40)+COUNTIF(CA_Prog_3!$E$8:$E$17,$B40)+COUNTIF(CA_Prog_4!$E$8:$E$17,$B40)+COUNTIF(CA_Prog_5!$E$8:$E$17,$B40)+COUNTIF(CA_Prog_6!$E$8:$E$17,$B40)+COUNTIF(CA_Prog_7!$E$8:$E$17,$B40)+COUNTIF(CA_Prog_8!$E$8:$E$17,$B40))*$D$8+(COUNTIF(CA_Prog_1!$E$18:$E$25,$B40)+COUNTIF(CA_Prog_2!$E$18:$E$25,$B40)+COUNTIF(CA_Prog_3!$E$18:$E$25,$B40)+COUNTIF(CA_Prog_4!$E$18:$E$25,$B40)+COUNTIF(CA_Prog_5!$E$18:$E$25,$B40)+COUNTIF(CA_Prog_6!$E$18:$E$25,$B40)+COUNTIF(CA_Prog_7!$E$18:$E$25,$B40)+COUNTIF(CA_Prog_8!$E$18:$E$25,$B40))*150000=0,"",(COUNTIF(CA_Prog_1!$E$8:$E$17,$B40)+COUNTIF(CA_Prog_2!$E$8:$E$17,$B40)+COUNTIF(CA_Prog_3!$E$8:$E$17,$B40)+COUNTIF(CA_Prog_4!$E$8:$E$17,$B40)+COUNTIF(CA_Prog_5!$E$8:$E$17,$B40)+COUNTIF(CA_Prog_6!$E$8:$E$17,$B40)+COUNTIF(CA_Prog_7!$E$8:$E$17,$B40)+COUNTIF(CA_Prog_8!$E$8:$E$17,$B40))*$D$8+(COUNTIF(CA_Prog_1!$E$18:$E$25,$B40)+COUNTIF(CA_Prog_2!$E$18:$E$25,$B40)+COUNTIF(CA_Prog_3!$E$18:$E$25,$B40)++COUNTIF(CA_Prog_4!$E$18:$E$25,$B40)+COUNTIF(CA_Prog_5!$E$18:$E$25,$B40)+COUNTIF(CA_Prog_6!$E$18:$E$25,$B40)+COUNTIF(CA_Prog_7!$E$18:$E$25,$B40)+COUNTIF(CA_Prog_8!$E$18:$E$25,$B40))*150000))</f>
        <v/>
      </c>
      <c r="F40" s="135" t="str">
        <f>IF($B40="","",IF((COUNTIF(CA_Prog_1!$F$8:$F$17,$B40)+COUNTIF(CA_Prog_2!$F$8:$F$17,$B40)+COUNTIF(CA_Prog_3!$F$8:$F$17,$B40)+COUNTIF(CA_Prog_4!$F$8:$F$17,$B40)+COUNTIF(CA_Prog_5!$F$8:$F$17,$B40)+COUNTIF(CA_Prog_6!$F$8:$F$17,$B40)+COUNTIF(CA_Prog_7!$F$8:$F$17,$B40)+COUNTIF(CA_Prog_8!$F$8:$F$17,$B40))*$D$8+(COUNTIF(CA_Prog_1!$F$18:$F$25,$B40)+COUNTIF(CA_Prog_2!$F$18:$F$25,$B40)+COUNTIF(CA_Prog_3!$F$18:$F$25,$B40)+COUNTIF(CA_Prog_4!$F$18:$F$25,$B40)+COUNTIF(CA_Prog_5!$F$18:$F$25,$B40)+COUNTIF(CA_Prog_6!$F$18:$F$25,$B40)+COUNTIF(CA_Prog_7!$F$18:$F$25,$B40)+COUNTIF(CA_Prog_8!$F$18:$F$25,$B40))*150000=0,"",(COUNTIF(CA_Prog_1!$F$8:$F$17,$B40)+COUNTIF(CA_Prog_2!$F$8:$F$17,$B40)+COUNTIF(CA_Prog_3!$F$8:$F$17,$B40)+COUNTIF(CA_Prog_4!$F$8:$F$17,$B40)+COUNTIF(CA_Prog_5!$F$8:$F$17,$B40)+COUNTIF(CA_Prog_6!$F$8:$F$17,$B40)+COUNTIF(CA_Prog_7!$F$8:$F$17,$B40)+COUNTIF(CA_Prog_8!$F$8:$F$17,$B40))*$D$8+(COUNTIF(CA_Prog_1!$F$18:$F$25,$B40)+COUNTIF(CA_Prog_2!$F$18:$F$25,$B40)+COUNTIF(CA_Prog_3!$F$18:$F$25,$B40)+COUNTIF(CA_Prog_4!$F$18:$F$25,$B40)+COUNTIF(CA_Prog_5!$F$18:$F$25,$B40)+COUNTIF(CA_Prog_6!$F$18:$F$25,$B40)+COUNTIF(CA_Prog_7!$F$18:$F$25,$B40)+COUNTIF(CA_Prog_8!$F$18:$F$25,$B40))*150000))</f>
        <v/>
      </c>
      <c r="G40" s="135" t="str">
        <f>IF($B40="","",IF((COUNTIF(CA_Prog_1!$G$8:$G$17,$B40)+COUNTIF(CA_Prog_2!$G$8:$G$17,$B40)+COUNTIF(CA_Prog_3!$G$8:$G$17,$B40)+COUNTIF(CA_Prog_4!$G$8:$G$17,$B40)+COUNTIF(CA_Prog_5!$G$8:$G$17,$B40)+COUNTIF(CA_Prog_6!$G$8:$G$17,$B40)+COUNTIF(CA_Prog_7!$G$8:$G$17,$B40)+COUNTIF(CA_Prog_8!$G$8:$G$17,$B40))*$D$8+(COUNTIF(CA_Prog_1!$G$18:$G$25,$B40)+COUNTIF(CA_Prog_2!$G$18:$G$25,$B40)+COUNTIF(CA_Prog_3!$G$18:$G$25,$B40)+COUNTIF(CA_Prog_4!$G$18:$G$25,$B40)+COUNTIF(CA_Prog_5!$G$18:$G$25,$B40)+COUNTIF(CA_Prog_6!$G$18:$G$25,$B40)+COUNTIF(CA_Prog_7!$G$18:$G$25,$B40)+COUNTIF(CA_Prog_8!$G$18:$G$25,$B40))*150000=0,"",(COUNTIF(CA_Prog_1!$G$8:$G$17,$B40)+COUNTIF(CA_Prog_2!$G$8:$G$17,$B40)+COUNTIF(CA_Prog_3!$G$8:$G$17,$B40)+COUNTIF(CA_Prog_4!$G$8:$G$17,$B40)+COUNTIF(CA_Prog_5!$G$8:$G$17,$B40)+COUNTIF(CA_Prog_6!$G$8:$G$17,$B40)+COUNTIF(CA_Prog_7!$G$8:$G$17,$B40)+COUNTIF(CA_Prog_8!$G$8:$G$17,$B40))*$D$8+(COUNTIF(CA_Prog_1!$G$18:$G$25,$B40)+COUNTIF(CA_Prog_2!$G$18:$G$25,$B40)+COUNTIF(CA_Prog_3!$G$18:$G$25,$B40)+COUNTIF(CA_Prog_4!$G$18:$G$25,$B40)+COUNTIF(CA_Prog_5!$G$18:$G$25,$B40)+COUNTIF(CA_Prog_6!$G$18:$G$25,$B40)+COUNTIF(CA_Prog_7!$G$18:$G$25,$B40)+COUNTIF(CA_Prog_8!$G$18:$G$25,$B40))*150000))</f>
        <v/>
      </c>
      <c r="H40" s="136" t="str">
        <f t="shared" si="0"/>
        <v/>
      </c>
      <c r="I40" s="53"/>
      <c r="J40" s="53"/>
      <c r="K40" s="53"/>
      <c r="L40" s="53"/>
      <c r="M40" s="53"/>
      <c r="N40" s="53"/>
      <c r="P40" s="53"/>
    </row>
    <row r="41" spans="1:16" x14ac:dyDescent="0.25">
      <c r="A41" s="133" t="str">
        <f>IF(ISTEXT($B41),30,"")</f>
        <v/>
      </c>
      <c r="B41" s="66"/>
      <c r="C41" s="135" t="str">
        <f>IF($B41="","",IF((COUNTIF(CA_Prog_1!$C$8:$C$17,$B41)+COUNTIF(CA_Prog_2!$C$8:$C$17,$B41)+COUNTIF(CA_Prog_3!$C$8:$C$17,$B41)+COUNTIF(CA_Prog_4!$C$8:$C$17,$B41)+COUNTIF(CA_Prog_5!$C$8:$C$17,$B41)+COUNTIF(CA_Prog_6!$C$8:$C$17,$B41)+COUNTIF(CA_Prog_7!$C$8:$C$17,$B41)+COUNTIF(CA_Prog_8!$C$8:$C$17,$B41))*$D$8+(COUNTIF(CA_Prog_1!$C$18:$C$25,$B41)+COUNTIF(CA_Prog_2!$C$18:$C$25,$B41)+COUNTIF(CA_Prog_3!$C$18:$C$25,$B41)+COUNTIF(CA_Prog_4!$C$18:$C$25,$B41)+COUNTIF(CA_Prog_5!$C$18:$C$25,$B41)+COUNTIF(CA_Prog_6!$C$18:$C$25,$B41)+COUNTIF(CA_Prog_7!$C$18:$C$25,$B41)+COUNTIF(CA_Prog_8!$C$18:$C$25,$B41))*150000=0,"",(COUNTIF(CA_Prog_1!$C$8:$C$17,$B41)+COUNTIF(CA_Prog_2!$C$8:$C$17,$B41)+COUNTIF(CA_Prog_3!$C$8:$C$17,$B41)+COUNTIF(CA_Prog_4!$C$8:$C$17,$B41)+COUNTIF(CA_Prog_5!$C$8:$C$17,$B41)+COUNTIF(CA_Prog_6!$C$8:$C$17,$B41)+COUNTIF(CA_Prog_7!$C$8:$C$17,$B41)+COUNTIF(CA_Prog_8!$C$8:$C$17,$B41))*$D$8+(COUNTIF(CA_Prog_1!$C$18:$C$25,$B41)+COUNTIF(CA_Prog_2!$C$18:$C$25,$B41)+COUNTIF(CA_Prog_3!$C$18:$C$25,$B41)+COUNTIF(CA_Prog_4!$C$18:$C$25,$B41)+COUNTIF(CA_Prog_5!$C$18:$C$25,$B41)+COUNTIF(CA_Prog_6!$C$18:$C$25,$B41)+COUNTIF(CA_Prog_7!$C$18:$C$25,$B41)+COUNTIF(CA_Prog_8!$C$18:$C$25,$B41))*150000))</f>
        <v/>
      </c>
      <c r="D41" s="135" t="str">
        <f>IF($B41="","",IF((COUNTIF(CA_Prog_1!$D$8:$D$17,$B41)+COUNTIF(CA_Prog_2!$D$8:$D$17,$B41)+COUNTIF(CA_Prog_3!$D$8:$D$17,$B41)+COUNTIF(CA_Prog_4!$D$8:$D$17,$B41)+COUNTIF(CA_Prog_5!$D$8:$D$17,$B41)+COUNTIF(CA_Prog_6!$D$8:$D$17,$B41)+COUNTIF(CA_Prog_7!$D$8:$D$17,$B41)+COUNTIF(CA_Prog_8!$D$8:$D$17,$B41))*$D$8+(COUNTIF(CA_Prog_1!$D$18:$D$25,$B41)+COUNTIF(CA_Prog_2!$D$18:$D$25,$B41)+COUNTIF(CA_Prog_3!$D$18:$D$25,$B41)+COUNTIF(CA_Prog_4!$D$18:$D$25,$B41)+COUNTIF(CA_Prog_5!$D$18:$D$25,$B41)+COUNTIF(CA_Prog_6!$D$18:$D$25,$B41)+COUNTIF(CA_Prog_7!$D$18:$D$25,$B41)+COUNTIF(CA_Prog_8!$D$18:$D$25,$B41))*150000=0,"",(COUNTIF(CA_Prog_1!$D$8:$D$17,$B41)+COUNTIF(CA_Prog_2!$D$8:$D$17,$B41)+COUNTIF(CA_Prog_3!$D$8:$D$17,$B41)+COUNTIF(CA_Prog_4!$D$8:$D$17,$B41)+COUNTIF(CA_Prog_5!$D$8:$D$17,$B41)+COUNTIF(CA_Prog_6!$D$8:$D$17,$B41)+COUNTIF(CA_Prog_7!$D$8:$D$17,$B41)+COUNTIF(CA_Prog_8!$D$8:$D$17,$B41))*$D$8+(COUNTIF(CA_Prog_1!$D$18:$D$25,$B41)+COUNTIF(CA_Prog_2!$D$18:$D$25,$B41)+COUNTIF(CA_Prog_3!$D$18:$D$25,$B41)+COUNTIF(CA_Prog_4!$D$18:$D$25,$B41)+COUNTIF(CA_Prog_5!$D$18:$D$25,$B41)+COUNTIF(CA_Prog_6!$D$18:$D$25,$B41)+COUNTIF(CA_Prog_7!$D$18:$D$25,$B41)+COUNTIF(CA_Prog_8!$D$18:$D$25,$B41))*150000))</f>
        <v/>
      </c>
      <c r="E41" s="135" t="str">
        <f>IF($B41="","",IF((COUNTIF(CA_Prog_1!$E$8:$E$17,$B41)+COUNTIF(CA_Prog_2!$E$8:$E$17,$B41)+COUNTIF(CA_Prog_3!$E$8:$E$17,$B41)+COUNTIF(CA_Prog_4!$E$8:$E$17,$B41)+COUNTIF(CA_Prog_5!$E$8:$E$17,$B41)+COUNTIF(CA_Prog_6!$E$8:$E$17,$B41)+COUNTIF(CA_Prog_7!$E$8:$E$17,$B41)+COUNTIF(CA_Prog_8!$E$8:$E$17,$B41))*$D$8+(COUNTIF(CA_Prog_1!$E$18:$E$25,$B41)+COUNTIF(CA_Prog_2!$E$18:$E$25,$B41)+COUNTIF(CA_Prog_3!$E$18:$E$25,$B41)+COUNTIF(CA_Prog_4!$E$18:$E$25,$B41)+COUNTIF(CA_Prog_5!$E$18:$E$25,$B41)+COUNTIF(CA_Prog_6!$E$18:$E$25,$B41)+COUNTIF(CA_Prog_7!$E$18:$E$25,$B41)+COUNTIF(CA_Prog_8!$E$18:$E$25,$B41))*150000=0,"",(COUNTIF(CA_Prog_1!$E$8:$E$17,$B41)+COUNTIF(CA_Prog_2!$E$8:$E$17,$B41)+COUNTIF(CA_Prog_3!$E$8:$E$17,$B41)+COUNTIF(CA_Prog_4!$E$8:$E$17,$B41)+COUNTIF(CA_Prog_5!$E$8:$E$17,$B41)+COUNTIF(CA_Prog_6!$E$8:$E$17,$B41)+COUNTIF(CA_Prog_7!$E$8:$E$17,$B41)+COUNTIF(CA_Prog_8!$E$8:$E$17,$B41))*$D$8+(COUNTIF(CA_Prog_1!$E$18:$E$25,$B41)+COUNTIF(CA_Prog_2!$E$18:$E$25,$B41)+COUNTIF(CA_Prog_3!$E$18:$E$25,$B41)++COUNTIF(CA_Prog_4!$E$18:$E$25,$B41)+COUNTIF(CA_Prog_5!$E$18:$E$25,$B41)+COUNTIF(CA_Prog_6!$E$18:$E$25,$B41)+COUNTIF(CA_Prog_7!$E$18:$E$25,$B41)+COUNTIF(CA_Prog_8!$E$18:$E$25,$B41))*150000))</f>
        <v/>
      </c>
      <c r="F41" s="135" t="str">
        <f>IF($B41="","",IF((COUNTIF(CA_Prog_1!$F$8:$F$17,$B41)+COUNTIF(CA_Prog_2!$F$8:$F$17,$B41)+COUNTIF(CA_Prog_3!$F$8:$F$17,$B41)+COUNTIF(CA_Prog_4!$F$8:$F$17,$B41)+COUNTIF(CA_Prog_5!$F$8:$F$17,$B41)+COUNTIF(CA_Prog_6!$F$8:$F$17,$B41)+COUNTIF(CA_Prog_7!$F$8:$F$17,$B41)+COUNTIF(CA_Prog_8!$F$8:$F$17,$B41))*$D$8+(COUNTIF(CA_Prog_1!$F$18:$F$25,$B41)+COUNTIF(CA_Prog_2!$F$18:$F$25,$B41)+COUNTIF(CA_Prog_3!$F$18:$F$25,$B41)+COUNTIF(CA_Prog_4!$F$18:$F$25,$B41)+COUNTIF(CA_Prog_5!$F$18:$F$25,$B41)+COUNTIF(CA_Prog_6!$F$18:$F$25,$B41)+COUNTIF(CA_Prog_7!$F$18:$F$25,$B41)+COUNTIF(CA_Prog_8!$F$18:$F$25,$B41))*150000=0,"",(COUNTIF(CA_Prog_1!$F$8:$F$17,$B41)+COUNTIF(CA_Prog_2!$F$8:$F$17,$B41)+COUNTIF(CA_Prog_3!$F$8:$F$17,$B41)+COUNTIF(CA_Prog_4!$F$8:$F$17,$B41)+COUNTIF(CA_Prog_5!$F$8:$F$17,$B41)+COUNTIF(CA_Prog_6!$F$8:$F$17,$B41)+COUNTIF(CA_Prog_7!$F$8:$F$17,$B41)+COUNTIF(CA_Prog_8!$F$8:$F$17,$B41))*$D$8+(COUNTIF(CA_Prog_1!$F$18:$F$25,$B41)+COUNTIF(CA_Prog_2!$F$18:$F$25,$B41)+COUNTIF(CA_Prog_3!$F$18:$F$25,$B41)+COUNTIF(CA_Prog_4!$F$18:$F$25,$B41)+COUNTIF(CA_Prog_5!$F$18:$F$25,$B41)+COUNTIF(CA_Prog_6!$F$18:$F$25,$B41)+COUNTIF(CA_Prog_7!$F$18:$F$25,$B41)+COUNTIF(CA_Prog_8!$F$18:$F$25,$B41))*150000))</f>
        <v/>
      </c>
      <c r="G41" s="135" t="str">
        <f>IF($B41="","",IF((COUNTIF(CA_Prog_1!$G$8:$G$17,$B41)+COUNTIF(CA_Prog_2!$G$8:$G$17,$B41)+COUNTIF(CA_Prog_3!$G$8:$G$17,$B41)+COUNTIF(CA_Prog_4!$G$8:$G$17,$B41)+COUNTIF(CA_Prog_5!$G$8:$G$17,$B41)+COUNTIF(CA_Prog_6!$G$8:$G$17,$B41)+COUNTIF(CA_Prog_7!$G$8:$G$17,$B41)+COUNTIF(CA_Prog_8!$G$8:$G$17,$B41))*$D$8+(COUNTIF(CA_Prog_1!$G$18:$G$25,$B41)+COUNTIF(CA_Prog_2!$G$18:$G$25,$B41)+COUNTIF(CA_Prog_3!$G$18:$G$25,$B41)+COUNTIF(CA_Prog_4!$G$18:$G$25,$B41)+COUNTIF(CA_Prog_5!$G$18:$G$25,$B41)+COUNTIF(CA_Prog_6!$G$18:$G$25,$B41)+COUNTIF(CA_Prog_7!$G$18:$G$25,$B41)+COUNTIF(CA_Prog_8!$G$18:$G$25,$B41))*150000=0,"",(COUNTIF(CA_Prog_1!$G$8:$G$17,$B41)+COUNTIF(CA_Prog_2!$G$8:$G$17,$B41)+COUNTIF(CA_Prog_3!$G$8:$G$17,$B41)+COUNTIF(CA_Prog_4!$G$8:$G$17,$B41)+COUNTIF(CA_Prog_5!$G$8:$G$17,$B41)+COUNTIF(CA_Prog_6!$G$8:$G$17,$B41)+COUNTIF(CA_Prog_7!$G$8:$G$17,$B41)+COUNTIF(CA_Prog_8!$G$8:$G$17,$B41))*$D$8+(COUNTIF(CA_Prog_1!$G$18:$G$25,$B41)+COUNTIF(CA_Prog_2!$G$18:$G$25,$B41)+COUNTIF(CA_Prog_3!$G$18:$G$25,$B41)+COUNTIF(CA_Prog_4!$G$18:$G$25,$B41)+COUNTIF(CA_Prog_5!$G$18:$G$25,$B41)+COUNTIF(CA_Prog_6!$G$18:$G$25,$B41)+COUNTIF(CA_Prog_7!$G$18:$G$25,$B41)+COUNTIF(CA_Prog_8!$G$18:$G$25,$B41))*150000))</f>
        <v/>
      </c>
      <c r="H41" s="136" t="str">
        <f t="shared" si="0"/>
        <v/>
      </c>
      <c r="I41" s="55"/>
      <c r="J41" s="53"/>
      <c r="K41" s="53"/>
      <c r="L41" s="53"/>
      <c r="M41" s="53"/>
      <c r="N41" s="53"/>
      <c r="P41" s="53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54"/>
      <c r="J42" s="40"/>
      <c r="L42" s="40"/>
    </row>
    <row r="43" spans="1:16" x14ac:dyDescent="0.25">
      <c r="A43" s="21" t="s">
        <v>9</v>
      </c>
      <c r="B43" s="120" t="s">
        <v>62</v>
      </c>
      <c r="C43" s="266" t="s">
        <v>296</v>
      </c>
      <c r="D43" s="266"/>
      <c r="E43" s="21"/>
      <c r="F43" s="21"/>
      <c r="G43" s="21"/>
      <c r="H43" s="21"/>
    </row>
    <row r="44" spans="1:16" x14ac:dyDescent="0.25">
      <c r="A44" s="63" t="s">
        <v>31</v>
      </c>
      <c r="B44" s="134" t="s">
        <v>71</v>
      </c>
      <c r="C44" s="125" t="s">
        <v>313</v>
      </c>
      <c r="D44" s="125" t="s">
        <v>61</v>
      </c>
      <c r="E44" s="125" t="s">
        <v>106</v>
      </c>
      <c r="F44" s="125" t="s">
        <v>107</v>
      </c>
      <c r="G44" s="125" t="s">
        <v>108</v>
      </c>
      <c r="H44" s="134" t="s">
        <v>65</v>
      </c>
      <c r="J44" s="52"/>
    </row>
    <row r="45" spans="1:16" s="41" customFormat="1" x14ac:dyDescent="0.25">
      <c r="A45" s="133">
        <f>IF(ISTEXT($B45),1,"")</f>
        <v>1</v>
      </c>
      <c r="B45" s="65" t="s">
        <v>394</v>
      </c>
      <c r="C45" s="135">
        <f>IF($B45="","",(IF(OthersDept!C$42=0,0,COUNTIFS(OthersDept!$B$9:$B$37,OthersDept!$B$42,OthersDept!C$9:C$37,$B45)/OthersDept!C$42) + IF(OthersDept!C$43=0,0,COUNTIFS(OthersDept!$B$9:$B$37,OthersDept!$B$43,OthersDept!C$9:C$37,$B45)/OthersDept!C$43) + IF(OthersDept!C$44=0,0,COUNTIFS(OthersDept!$B$9:$B$37,OthersDept!$B$44,OthersDept!C$9:C$37,$B45)/OthersDept!C$44) + IF(OthersDept!C$45=0,0,COUNTIFS(OthersDept!$B$9:$B$37,OthersDept!$B$45,OthersDept!C$9:C$37,$B45)/OthersDept!C$45) + IF(OthersDept!C$46=0,0,COUNTIFS(OthersDept!$B$9:$B$37,OthersDept!$B$46,OthersDept!C$9:C$37,$B45)/OthersDept!C$46) + IF(OthersDept!C$47=0,0,COUNTIFS(OthersDept!$B$9:$B$37,OthersDept!$B$47,OthersDept!C$9:C$37,$B45)/OthersDept!C$47) + IF(OthersDept!C$48=0,0,COUNTIFS(OthersDept!$B$9:$B$37,OthersDept!$B$48,OthersDept!C$9:C$37,$B45)/OthersDept!C$48) + IF(OthersDept!C$49=0,0,COUNTIFS(OthersDept!$B$9:$B$37,OthersDept!$B$49,OthersDept!C$9:C$37,$B45)/OthersDept!C$49) + IF(OthersDept!C$50=0,0,COUNTIFS(OthersDept!$B$9:$B$37,OthersDept!$B$50,OthersDept!C$9:C$37,$B45)/OthersDept!C$50) + IF(OthersDept!C$51=0,0,COUNTIFS(OthersDept!$B$9:$B$37,OthersDept!$B$51,OthersDept!C$9:C$37,$B45)/OthersDept!C$51) + IF(OthersDept!C$52=0,0,COUNTIFS(OthersDept!$B$9:$B$37,OthersDept!$B$52,OthersDept!C$9:C$37,$B45)/OthersDept!C$52) +  IF(OthersDept!C$53=0,0,COUNTIFS(OthersDept!$B$9:$B$37,OthersDept!$B$53,OthersDept!C$9:C$37,$B45)/OthersDept!C$53))*150000)</f>
        <v>0</v>
      </c>
      <c r="D45" s="135">
        <f>IF($B45="","",(IF(OthersDept!D$42=0,0,COUNTIFS(OthersDept!$B$9:$B$37,OthersDept!$B$42,OthersDept!D$9:D$37,$B45)/OthersDept!D$42) + IF(OthersDept!D$43=0,0,COUNTIFS(OthersDept!$B$9:$B$37,OthersDept!$B$43,OthersDept!D$9:D$37,$B45)/OthersDept!D$43) + IF(OthersDept!D$44=0,0,COUNTIFS(OthersDept!$B$9:$B$37,OthersDept!$B$44,OthersDept!D$9:D$37,$B45)/OthersDept!D$44) + IF(OthersDept!D$45=0,0,COUNTIFS(OthersDept!$B$9:$B$37,OthersDept!$B$45,OthersDept!D$9:D$37,$B45)/OthersDept!D$45) + IF(OthersDept!D$46=0,0,COUNTIFS(OthersDept!$B$9:$B$37,OthersDept!$B$46,OthersDept!D$9:D$37,$B45)/OthersDept!D$46) + IF(OthersDept!D$47=0,0,COUNTIFS(OthersDept!$B$9:$B$37,OthersDept!$B$47,OthersDept!D$9:D$37,$B45)/OthersDept!D$47) + IF(OthersDept!D$48=0,0,COUNTIFS(OthersDept!$B$9:$B$37,OthersDept!$B$48,OthersDept!D$9:D$37,$B45)/OthersDept!D$48) + IF(OthersDept!D$49=0,0,COUNTIFS(OthersDept!$B$9:$B$37,OthersDept!$B$49,OthersDept!D$9:D$37,$B45)/OthersDept!D$49) + IF(OthersDept!D$50=0,0,COUNTIFS(OthersDept!$B$9:$B$37,OthersDept!$B$50,OthersDept!D$9:D$37,$B45)/OthersDept!D$50) + IF(OthersDept!D$51=0,0,COUNTIFS(OthersDept!$B$9:$B$37,OthersDept!$B$51,OthersDept!D$9:D$37,$B45)/OthersDept!D$51) + IF(OthersDept!D$52=0,0,COUNTIFS(OthersDept!$B$9:$B$37,OthersDept!$B$52,OthersDept!D$9:D$37,$B45)/OthersDept!D$52) +  IF(OthersDept!D$53=0,0,COUNTIFS(OthersDept!$B$9:$B$37,OthersDept!$B$53,OthersDept!D$9:D$37,$B45)/OthersDept!D$53))*150000)</f>
        <v>0</v>
      </c>
      <c r="E45" s="135">
        <f>IF($B45="","",(IF(OthersDept!E$42=0,0,COUNTIFS(OthersDept!$B$9:$B$37,OthersDept!$B$42,OthersDept!E$9:E$37,$B45)/OthersDept!E$42) + IF(OthersDept!E$43=0,0,COUNTIFS(OthersDept!$B$9:$B$37,OthersDept!$B$43,OthersDept!E$9:E$37,$B45)/OthersDept!E$43) + IF(OthersDept!E$44=0,0,COUNTIFS(OthersDept!$B$9:$B$37,OthersDept!$B$44,OthersDept!E$9:E$37,$B45)/OthersDept!E$44) + IF(OthersDept!E$45=0,0,COUNTIFS(OthersDept!$B$9:$B$37,OthersDept!$B$45,OthersDept!E$9:E$37,$B45)/OthersDept!E$45) + IF(OthersDept!E$46=0,0,COUNTIFS(OthersDept!$B$9:$B$37,OthersDept!$B$46,OthersDept!E$9:E$37,$B45)/OthersDept!E$46) + IF(OthersDept!E$47=0,0,COUNTIFS(OthersDept!$B$9:$B$37,OthersDept!$B$47,OthersDept!E$9:E$37,$B45)/OthersDept!E$47) + IF(OthersDept!E$48=0,0,COUNTIFS(OthersDept!$B$9:$B$37,OthersDept!$B$48,OthersDept!E$9:E$37,$B45)/OthersDept!E$48) + IF(OthersDept!E$49=0,0,COUNTIFS(OthersDept!$B$9:$B$37,OthersDept!$B$49,OthersDept!E$9:E$37,$B45)/OthersDept!E$49) + IF(OthersDept!E$50=0,0,COUNTIFS(OthersDept!$B$9:$B$37,OthersDept!$B$50,OthersDept!E$9:E$37,$B45)/OthersDept!E$50) + IF(OthersDept!E$51=0,0,COUNTIFS(OthersDept!$B$9:$B$37,OthersDept!$B$51,OthersDept!E$9:E$37,$B45)/OthersDept!E$51) + IF(OthersDept!E$52=0,0,COUNTIFS(OthersDept!$B$9:$B$37,OthersDept!$B$52,OthersDept!E$9:E$37,$B45)/OthersDept!E$52) +  IF(OthersDept!E$53=0,0,COUNTIFS(OthersDept!$B$9:$B$37,OthersDept!$B$53,OthersDept!E$9:E$37,$B45)/OthersDept!E$53))*150000)</f>
        <v>0</v>
      </c>
      <c r="F45" s="135">
        <f>IF($B45="","",(IF(OthersDept!F$42=0,0,COUNTIFS(OthersDept!$B$9:$B$37,OthersDept!$B$42,OthersDept!F$9:F$37,$B45)/OthersDept!F$42) + IF(OthersDept!F$43=0,0,COUNTIFS(OthersDept!$B$9:$B$37,OthersDept!$B$43,OthersDept!F$9:F$37,$B45)/OthersDept!F$43) + IF(OthersDept!F$44=0,0,COUNTIFS(OthersDept!$B$9:$B$37,OthersDept!$B$44,OthersDept!F$9:F$37,$B45)/OthersDept!F$44) + IF(OthersDept!F$45=0,0,COUNTIFS(OthersDept!$B$9:$B$37,OthersDept!$B$45,OthersDept!F$9:F$37,$B45)/OthersDept!F$45) + IF(OthersDept!F$46=0,0,COUNTIFS(OthersDept!$B$9:$B$37,OthersDept!$B$46,OthersDept!F$9:F$37,$B45)/OthersDept!F$46) + IF(OthersDept!F$47=0,0,COUNTIFS(OthersDept!$B$9:$B$37,OthersDept!$B$47,OthersDept!F$9:F$37,$B45)/OthersDept!F$47) + IF(OthersDept!F$48=0,0,COUNTIFS(OthersDept!$B$9:$B$37,OthersDept!$B$48,OthersDept!F$9:F$37,$B45)/OthersDept!F$48) + IF(OthersDept!F$49=0,0,COUNTIFS(OthersDept!$B$9:$B$37,OthersDept!$B$49,OthersDept!F$9:F$37,$B45)/OthersDept!F$49) + IF(OthersDept!F$50=0,0,COUNTIFS(OthersDept!$B$9:$B$37,OthersDept!$B$50,OthersDept!F$9:F$37,$B45)/OthersDept!F$50) + IF(OthersDept!F$51=0,0,COUNTIFS(OthersDept!$B$9:$B$37,OthersDept!$B$51,OthersDept!F$9:F$37,$B45)/OthersDept!F$51) + IF(OthersDept!F$52=0,0,COUNTIFS(OthersDept!$B$9:$B$37,OthersDept!$B$52,OthersDept!F$9:F$37,$B45)/OthersDept!F$52) +  IF(OthersDept!F$53=0,0,COUNTIFS(OthersDept!$B$9:$B$37,OthersDept!$B$53,OthersDept!F$9:F$37,$B45)/OthersDept!F$53))*150000)</f>
        <v>0</v>
      </c>
      <c r="G45" s="135">
        <f>IF($B45="","",(IF(OthersDept!G$42=0,0,COUNTIFS(OthersDept!$B$9:$B$37,OthersDept!$B$42,OthersDept!G$9:G$37,$B45)/OthersDept!G$42) + IF(OthersDept!G$43=0,0,COUNTIFS(OthersDept!$B$9:$B$37,OthersDept!$B$43,OthersDept!G$9:G$37,$B45)/OthersDept!G$43) + IF(OthersDept!G$44=0,0,COUNTIFS(OthersDept!$B$9:$B$37,OthersDept!$B$44,OthersDept!G$9:G$37,$B45)/OthersDept!G$44) + IF(OthersDept!G$45=0,0,COUNTIFS(OthersDept!$B$9:$B$37,OthersDept!$B$45,OthersDept!G$9:G$37,$B45)/OthersDept!G$45) + IF(OthersDept!G$46=0,0,COUNTIFS(OthersDept!$B$9:$B$37,OthersDept!$B$46,OthersDept!G$9:G$37,$B45)/OthersDept!G$46) + IF(OthersDept!G$47=0,0,COUNTIFS(OthersDept!$B$9:$B$37,OthersDept!$B$47,OthersDept!G$9:G$37,$B45)/OthersDept!G$47) + IF(OthersDept!G$48=0,0,COUNTIFS(OthersDept!$B$9:$B$37,OthersDept!$B$48,OthersDept!G$9:G$37,$B45)/OthersDept!G$48) + IF(OthersDept!G$49=0,0,COUNTIFS(OthersDept!$B$9:$B$37,OthersDept!$B$49,OthersDept!G$9:G$37,$B45)/OthersDept!G$49) + IF(OthersDept!G$50=0,0,COUNTIFS(OthersDept!$B$9:$B$37,OthersDept!$B$50,OthersDept!G$9:G$37,$B45)/OthersDept!G$50) + IF(OthersDept!G$51=0,0,COUNTIFS(OthersDept!$B$9:$B$37,OthersDept!$B$51,OthersDept!G$9:G$37,$B45)/OthersDept!G$51) + IF(OthersDept!G$52=0,0,COUNTIFS(OthersDept!$B$9:$B$37,OthersDept!$B$52,OthersDept!G$9:G$37,$B45)/OthersDept!G$52) +  IF(OthersDept!G$53=0,0,COUNTIFS(OthersDept!$B$9:$B$37,OthersDept!$B$53,OthersDept!G$9:G$37,$B45)/OthersDept!G$53))*150000)</f>
        <v>0</v>
      </c>
      <c r="H45" s="136">
        <f t="shared" ref="H45:H74" si="1">IF(AND($C45="",$D45="",$E45="",$F45="",$G45=""),"",SUM($C45:$G45))</f>
        <v>0</v>
      </c>
      <c r="I45" s="53"/>
      <c r="J45" s="53"/>
      <c r="K45" s="53"/>
      <c r="L45" s="53"/>
      <c r="M45" s="53"/>
      <c r="N45" s="53"/>
      <c r="P45" s="53"/>
    </row>
    <row r="46" spans="1:16" ht="15.75" x14ac:dyDescent="0.25">
      <c r="A46" s="133">
        <f>IF(ISTEXT($B46),2,"")</f>
        <v>2</v>
      </c>
      <c r="B46" s="205" t="s">
        <v>395</v>
      </c>
      <c r="C46" s="135">
        <f>IF($B46="","",(IF(OthersDept!C$42=0,0,COUNTIFS(OthersDept!$B$9:$B$37,OthersDept!$B$42,OthersDept!C$9:C$37,$B46)/OthersDept!C$42) + IF(OthersDept!C$43=0,0,COUNTIFS(OthersDept!$B$9:$B$37,OthersDept!$B$43,OthersDept!C$9:C$37,$B46)/OthersDept!C$43) + IF(OthersDept!C$44=0,0,COUNTIFS(OthersDept!$B$9:$B$37,OthersDept!$B$44,OthersDept!C$9:C$37,$B46)/OthersDept!C$44) + IF(OthersDept!C$45=0,0,COUNTIFS(OthersDept!$B$9:$B$37,OthersDept!$B$45,OthersDept!C$9:C$37,$B46)/OthersDept!C$45) + IF(OthersDept!C$46=0,0,COUNTIFS(OthersDept!$B$9:$B$37,OthersDept!$B$46,OthersDept!C$9:C$37,$B46)/OthersDept!C$46) + IF(OthersDept!C$47=0,0,COUNTIFS(OthersDept!$B$9:$B$37,OthersDept!$B$47,OthersDept!C$9:C$37,$B46)/OthersDept!C$47) + IF(OthersDept!C$48=0,0,COUNTIFS(OthersDept!$B$9:$B$37,OthersDept!$B$48,OthersDept!C$9:C$37,$B46)/OthersDept!C$48) + IF(OthersDept!C$49=0,0,COUNTIFS(OthersDept!$B$9:$B$37,OthersDept!$B$49,OthersDept!C$9:C$37,$B46)/OthersDept!C$49) + IF(OthersDept!C$50=0,0,COUNTIFS(OthersDept!$B$9:$B$37,OthersDept!$B$50,OthersDept!C$9:C$37,$B46)/OthersDept!C$50) + IF(OthersDept!C$51=0,0,COUNTIFS(OthersDept!$B$9:$B$37,OthersDept!$B$51,OthersDept!C$9:C$37,$B46)/OthersDept!C$51) + IF(OthersDept!C$52=0,0,COUNTIFS(OthersDept!$B$9:$B$37,OthersDept!$B$52,OthersDept!C$9:C$37,$B46)/OthersDept!C$52) +  IF(OthersDept!C$53=0,0,COUNTIFS(OthersDept!$B$9:$B$37,OthersDept!$B$53,OthersDept!C$9:C$37,$B46)/OthersDept!C$53))*150000)</f>
        <v>0</v>
      </c>
      <c r="D46" s="135">
        <f>IF($B46="","",(IF(OthersDept!D$42=0,0,COUNTIFS(OthersDept!$B$9:$B$37,OthersDept!$B$42,OthersDept!D$9:D$37,$B46)/OthersDept!D$42) + IF(OthersDept!D$43=0,0,COUNTIFS(OthersDept!$B$9:$B$37,OthersDept!$B$43,OthersDept!D$9:D$37,$B46)/OthersDept!D$43) + IF(OthersDept!D$44=0,0,COUNTIFS(OthersDept!$B$9:$B$37,OthersDept!$B$44,OthersDept!D$9:D$37,$B46)/OthersDept!D$44) + IF(OthersDept!D$45=0,0,COUNTIFS(OthersDept!$B$9:$B$37,OthersDept!$B$45,OthersDept!D$9:D$37,$B46)/OthersDept!D$45) + IF(OthersDept!D$46=0,0,COUNTIFS(OthersDept!$B$9:$B$37,OthersDept!$B$46,OthersDept!D$9:D$37,$B46)/OthersDept!D$46) + IF(OthersDept!D$47=0,0,COUNTIFS(OthersDept!$B$9:$B$37,OthersDept!$B$47,OthersDept!D$9:D$37,$B46)/OthersDept!D$47) + IF(OthersDept!D$48=0,0,COUNTIFS(OthersDept!$B$9:$B$37,OthersDept!$B$48,OthersDept!D$9:D$37,$B46)/OthersDept!D$48) + IF(OthersDept!D$49=0,0,COUNTIFS(OthersDept!$B$9:$B$37,OthersDept!$B$49,OthersDept!D$9:D$37,$B46)/OthersDept!D$49) + IF(OthersDept!D$50=0,0,COUNTIFS(OthersDept!$B$9:$B$37,OthersDept!$B$50,OthersDept!D$9:D$37,$B46)/OthersDept!D$50) + IF(OthersDept!D$51=0,0,COUNTIFS(OthersDept!$B$9:$B$37,OthersDept!$B$51,OthersDept!D$9:D$37,$B46)/OthersDept!D$51) + IF(OthersDept!D$52=0,0,COUNTIFS(OthersDept!$B$9:$B$37,OthersDept!$B$52,OthersDept!D$9:D$37,$B46)/OthersDept!D$52) +  IF(OthersDept!D$53=0,0,COUNTIFS(OthersDept!$B$9:$B$37,OthersDept!$B$53,OthersDept!D$9:D$37,$B46)/OthersDept!D$53))*150000)</f>
        <v>0</v>
      </c>
      <c r="E46" s="135">
        <f>IF($B46="","",(IF(OthersDept!E$42=0,0,COUNTIFS(OthersDept!$B$9:$B$37,OthersDept!$B$42,OthersDept!E$9:E$37,$B46)/OthersDept!E$42) + IF(OthersDept!E$43=0,0,COUNTIFS(OthersDept!$B$9:$B$37,OthersDept!$B$43,OthersDept!E$9:E$37,$B46)/OthersDept!E$43) + IF(OthersDept!E$44=0,0,COUNTIFS(OthersDept!$B$9:$B$37,OthersDept!$B$44,OthersDept!E$9:E$37,$B46)/OthersDept!E$44) + IF(OthersDept!E$45=0,0,COUNTIFS(OthersDept!$B$9:$B$37,OthersDept!$B$45,OthersDept!E$9:E$37,$B46)/OthersDept!E$45) + IF(OthersDept!E$46=0,0,COUNTIFS(OthersDept!$B$9:$B$37,OthersDept!$B$46,OthersDept!E$9:E$37,$B46)/OthersDept!E$46) + IF(OthersDept!E$47=0,0,COUNTIFS(OthersDept!$B$9:$B$37,OthersDept!$B$47,OthersDept!E$9:E$37,$B46)/OthersDept!E$47) + IF(OthersDept!E$48=0,0,COUNTIFS(OthersDept!$B$9:$B$37,OthersDept!$B$48,OthersDept!E$9:E$37,$B46)/OthersDept!E$48) + IF(OthersDept!E$49=0,0,COUNTIFS(OthersDept!$B$9:$B$37,OthersDept!$B$49,OthersDept!E$9:E$37,$B46)/OthersDept!E$49) + IF(OthersDept!E$50=0,0,COUNTIFS(OthersDept!$B$9:$B$37,OthersDept!$B$50,OthersDept!E$9:E$37,$B46)/OthersDept!E$50) + IF(OthersDept!E$51=0,0,COUNTIFS(OthersDept!$B$9:$B$37,OthersDept!$B$51,OthersDept!E$9:E$37,$B46)/OthersDept!E$51) + IF(OthersDept!E$52=0,0,COUNTIFS(OthersDept!$B$9:$B$37,OthersDept!$B$52,OthersDept!E$9:E$37,$B46)/OthersDept!E$52) +  IF(OthersDept!E$53=0,0,COUNTIFS(OthersDept!$B$9:$B$37,OthersDept!$B$53,OthersDept!E$9:E$37,$B46)/OthersDept!E$53))*150000)</f>
        <v>0</v>
      </c>
      <c r="F46" s="135">
        <f>IF($B46="","",(IF(OthersDept!F$42=0,0,COUNTIFS(OthersDept!$B$9:$B$37,OthersDept!$B$42,OthersDept!F$9:F$37,$B46)/OthersDept!F$42) + IF(OthersDept!F$43=0,0,COUNTIFS(OthersDept!$B$9:$B$37,OthersDept!$B$43,OthersDept!F$9:F$37,$B46)/OthersDept!F$43) + IF(OthersDept!F$44=0,0,COUNTIFS(OthersDept!$B$9:$B$37,OthersDept!$B$44,OthersDept!F$9:F$37,$B46)/OthersDept!F$44) + IF(OthersDept!F$45=0,0,COUNTIFS(OthersDept!$B$9:$B$37,OthersDept!$B$45,OthersDept!F$9:F$37,$B46)/OthersDept!F$45) + IF(OthersDept!F$46=0,0,COUNTIFS(OthersDept!$B$9:$B$37,OthersDept!$B$46,OthersDept!F$9:F$37,$B46)/OthersDept!F$46) + IF(OthersDept!F$47=0,0,COUNTIFS(OthersDept!$B$9:$B$37,OthersDept!$B$47,OthersDept!F$9:F$37,$B46)/OthersDept!F$47) + IF(OthersDept!F$48=0,0,COUNTIFS(OthersDept!$B$9:$B$37,OthersDept!$B$48,OthersDept!F$9:F$37,$B46)/OthersDept!F$48) + IF(OthersDept!F$49=0,0,COUNTIFS(OthersDept!$B$9:$B$37,OthersDept!$B$49,OthersDept!F$9:F$37,$B46)/OthersDept!F$49) + IF(OthersDept!F$50=0,0,COUNTIFS(OthersDept!$B$9:$B$37,OthersDept!$B$50,OthersDept!F$9:F$37,$B46)/OthersDept!F$50) + IF(OthersDept!F$51=0,0,COUNTIFS(OthersDept!$B$9:$B$37,OthersDept!$B$51,OthersDept!F$9:F$37,$B46)/OthersDept!F$51) + IF(OthersDept!F$52=0,0,COUNTIFS(OthersDept!$B$9:$B$37,OthersDept!$B$52,OthersDept!F$9:F$37,$B46)/OthersDept!F$52) +  IF(OthersDept!F$53=0,0,COUNTIFS(OthersDept!$B$9:$B$37,OthersDept!$B$53,OthersDept!F$9:F$37,$B46)/OthersDept!F$53))*150000)</f>
        <v>0</v>
      </c>
      <c r="G46" s="135">
        <f>IF($B46="","",(IF(OthersDept!G$42=0,0,COUNTIFS(OthersDept!$B$9:$B$37,OthersDept!$B$42,OthersDept!G$9:G$37,$B46)/OthersDept!G$42) + IF(OthersDept!G$43=0,0,COUNTIFS(OthersDept!$B$9:$B$37,OthersDept!$B$43,OthersDept!G$9:G$37,$B46)/OthersDept!G$43) + IF(OthersDept!G$44=0,0,COUNTIFS(OthersDept!$B$9:$B$37,OthersDept!$B$44,OthersDept!G$9:G$37,$B46)/OthersDept!G$44) + IF(OthersDept!G$45=0,0,COUNTIFS(OthersDept!$B$9:$B$37,OthersDept!$B$45,OthersDept!G$9:G$37,$B46)/OthersDept!G$45) + IF(OthersDept!G$46=0,0,COUNTIFS(OthersDept!$B$9:$B$37,OthersDept!$B$46,OthersDept!G$9:G$37,$B46)/OthersDept!G$46) + IF(OthersDept!G$47=0,0,COUNTIFS(OthersDept!$B$9:$B$37,OthersDept!$B$47,OthersDept!G$9:G$37,$B46)/OthersDept!G$47) + IF(OthersDept!G$48=0,0,COUNTIFS(OthersDept!$B$9:$B$37,OthersDept!$B$48,OthersDept!G$9:G$37,$B46)/OthersDept!G$48) + IF(OthersDept!G$49=0,0,COUNTIFS(OthersDept!$B$9:$B$37,OthersDept!$B$49,OthersDept!G$9:G$37,$B46)/OthersDept!G$49) + IF(OthersDept!G$50=0,0,COUNTIFS(OthersDept!$B$9:$B$37,OthersDept!$B$50,OthersDept!G$9:G$37,$B46)/OthersDept!G$50) + IF(OthersDept!G$51=0,0,COUNTIFS(OthersDept!$B$9:$B$37,OthersDept!$B$51,OthersDept!G$9:G$37,$B46)/OthersDept!G$51) + IF(OthersDept!G$52=0,0,COUNTIFS(OthersDept!$B$9:$B$37,OthersDept!$B$52,OthersDept!G$9:G$37,$B46)/OthersDept!G$52) +  IF(OthersDept!G$53=0,0,COUNTIFS(OthersDept!$B$9:$B$37,OthersDept!$B$53,OthersDept!G$9:G$37,$B46)/OthersDept!G$53))*150000)</f>
        <v>0</v>
      </c>
      <c r="H46" s="136">
        <f t="shared" si="1"/>
        <v>0</v>
      </c>
      <c r="I46" s="53"/>
      <c r="J46" s="53"/>
      <c r="K46" s="53"/>
      <c r="L46" s="53"/>
      <c r="M46" s="53"/>
      <c r="N46" s="53"/>
      <c r="P46" s="53"/>
    </row>
    <row r="47" spans="1:16" x14ac:dyDescent="0.25">
      <c r="A47" s="133">
        <f>IF(ISTEXT($B47),3,"")</f>
        <v>3</v>
      </c>
      <c r="B47" s="65" t="s">
        <v>391</v>
      </c>
      <c r="C47" s="135">
        <f>IF($B47="","",(IF(OthersDept!C$42=0,0,COUNTIFS(OthersDept!$B$9:$B$37,OthersDept!$B$42,OthersDept!C$9:C$37,$B47)/OthersDept!C$42) + IF(OthersDept!C$43=0,0,COUNTIFS(OthersDept!$B$9:$B$37,OthersDept!$B$43,OthersDept!C$9:C$37,$B47)/OthersDept!C$43) + IF(OthersDept!C$44=0,0,COUNTIFS(OthersDept!$B$9:$B$37,OthersDept!$B$44,OthersDept!C$9:C$37,$B47)/OthersDept!C$44) + IF(OthersDept!C$45=0,0,COUNTIFS(OthersDept!$B$9:$B$37,OthersDept!$B$45,OthersDept!C$9:C$37,$B47)/OthersDept!C$45) + IF(OthersDept!C$46=0,0,COUNTIFS(OthersDept!$B$9:$B$37,OthersDept!$B$46,OthersDept!C$9:C$37,$B47)/OthersDept!C$46) + IF(OthersDept!C$47=0,0,COUNTIFS(OthersDept!$B$9:$B$37,OthersDept!$B$47,OthersDept!C$9:C$37,$B47)/OthersDept!C$47) + IF(OthersDept!C$48=0,0,COUNTIFS(OthersDept!$B$9:$B$37,OthersDept!$B$48,OthersDept!C$9:C$37,$B47)/OthersDept!C$48) + IF(OthersDept!C$49=0,0,COUNTIFS(OthersDept!$B$9:$B$37,OthersDept!$B$49,OthersDept!C$9:C$37,$B47)/OthersDept!C$49) + IF(OthersDept!C$50=0,0,COUNTIFS(OthersDept!$B$9:$B$37,OthersDept!$B$50,OthersDept!C$9:C$37,$B47)/OthersDept!C$50) + IF(OthersDept!C$51=0,0,COUNTIFS(OthersDept!$B$9:$B$37,OthersDept!$B$51,OthersDept!C$9:C$37,$B47)/OthersDept!C$51) + IF(OthersDept!C$52=0,0,COUNTIFS(OthersDept!$B$9:$B$37,OthersDept!$B$52,OthersDept!C$9:C$37,$B47)/OthersDept!C$52) +  IF(OthersDept!C$53=0,0,COUNTIFS(OthersDept!$B$9:$B$37,OthersDept!$B$53,OthersDept!C$9:C$37,$B47)/OthersDept!C$53))*150000)</f>
        <v>0</v>
      </c>
      <c r="D47" s="135">
        <f>IF($B47="","",(IF(OthersDept!D$42=0,0,COUNTIFS(OthersDept!$B$9:$B$37,OthersDept!$B$42,OthersDept!D$9:D$37,$B47)/OthersDept!D$42) + IF(OthersDept!D$43=0,0,COUNTIFS(OthersDept!$B$9:$B$37,OthersDept!$B$43,OthersDept!D$9:D$37,$B47)/OthersDept!D$43) + IF(OthersDept!D$44=0,0,COUNTIFS(OthersDept!$B$9:$B$37,OthersDept!$B$44,OthersDept!D$9:D$37,$B47)/OthersDept!D$44) + IF(OthersDept!D$45=0,0,COUNTIFS(OthersDept!$B$9:$B$37,OthersDept!$B$45,OthersDept!D$9:D$37,$B47)/OthersDept!D$45) + IF(OthersDept!D$46=0,0,COUNTIFS(OthersDept!$B$9:$B$37,OthersDept!$B$46,OthersDept!D$9:D$37,$B47)/OthersDept!D$46) + IF(OthersDept!D$47=0,0,COUNTIFS(OthersDept!$B$9:$B$37,OthersDept!$B$47,OthersDept!D$9:D$37,$B47)/OthersDept!D$47) + IF(OthersDept!D$48=0,0,COUNTIFS(OthersDept!$B$9:$B$37,OthersDept!$B$48,OthersDept!D$9:D$37,$B47)/OthersDept!D$48) + IF(OthersDept!D$49=0,0,COUNTIFS(OthersDept!$B$9:$B$37,OthersDept!$B$49,OthersDept!D$9:D$37,$B47)/OthersDept!D$49) + IF(OthersDept!D$50=0,0,COUNTIFS(OthersDept!$B$9:$B$37,OthersDept!$B$50,OthersDept!D$9:D$37,$B47)/OthersDept!D$50) + IF(OthersDept!D$51=0,0,COUNTIFS(OthersDept!$B$9:$B$37,OthersDept!$B$51,OthersDept!D$9:D$37,$B47)/OthersDept!D$51) + IF(OthersDept!D$52=0,0,COUNTIFS(OthersDept!$B$9:$B$37,OthersDept!$B$52,OthersDept!D$9:D$37,$B47)/OthersDept!D$52) +  IF(OthersDept!D$53=0,0,COUNTIFS(OthersDept!$B$9:$B$37,OthersDept!$B$53,OthersDept!D$9:D$37,$B47)/OthersDept!D$53))*150000)</f>
        <v>0</v>
      </c>
      <c r="E47" s="135">
        <f>IF($B47="","",(IF(OthersDept!E$42=0,0,COUNTIFS(OthersDept!$B$9:$B$37,OthersDept!$B$42,OthersDept!E$9:E$37,$B47)/OthersDept!E$42) + IF(OthersDept!E$43=0,0,COUNTIFS(OthersDept!$B$9:$B$37,OthersDept!$B$43,OthersDept!E$9:E$37,$B47)/OthersDept!E$43) + IF(OthersDept!E$44=0,0,COUNTIFS(OthersDept!$B$9:$B$37,OthersDept!$B$44,OthersDept!E$9:E$37,$B47)/OthersDept!E$44) + IF(OthersDept!E$45=0,0,COUNTIFS(OthersDept!$B$9:$B$37,OthersDept!$B$45,OthersDept!E$9:E$37,$B47)/OthersDept!E$45) + IF(OthersDept!E$46=0,0,COUNTIFS(OthersDept!$B$9:$B$37,OthersDept!$B$46,OthersDept!E$9:E$37,$B47)/OthersDept!E$46) + IF(OthersDept!E$47=0,0,COUNTIFS(OthersDept!$B$9:$B$37,OthersDept!$B$47,OthersDept!E$9:E$37,$B47)/OthersDept!E$47) + IF(OthersDept!E$48=0,0,COUNTIFS(OthersDept!$B$9:$B$37,OthersDept!$B$48,OthersDept!E$9:E$37,$B47)/OthersDept!E$48) + IF(OthersDept!E$49=0,0,COUNTIFS(OthersDept!$B$9:$B$37,OthersDept!$B$49,OthersDept!E$9:E$37,$B47)/OthersDept!E$49) + IF(OthersDept!E$50=0,0,COUNTIFS(OthersDept!$B$9:$B$37,OthersDept!$B$50,OthersDept!E$9:E$37,$B47)/OthersDept!E$50) + IF(OthersDept!E$51=0,0,COUNTIFS(OthersDept!$B$9:$B$37,OthersDept!$B$51,OthersDept!E$9:E$37,$B47)/OthersDept!E$51) + IF(OthersDept!E$52=0,0,COUNTIFS(OthersDept!$B$9:$B$37,OthersDept!$B$52,OthersDept!E$9:E$37,$B47)/OthersDept!E$52) +  IF(OthersDept!E$53=0,0,COUNTIFS(OthersDept!$B$9:$B$37,OthersDept!$B$53,OthersDept!E$9:E$37,$B47)/OthersDept!E$53))*150000)</f>
        <v>0</v>
      </c>
      <c r="F47" s="135">
        <f>IF($B47="","",(IF(OthersDept!F$42=0,0,COUNTIFS(OthersDept!$B$9:$B$37,OthersDept!$B$42,OthersDept!F$9:F$37,$B47)/OthersDept!F$42) + IF(OthersDept!F$43=0,0,COUNTIFS(OthersDept!$B$9:$B$37,OthersDept!$B$43,OthersDept!F$9:F$37,$B47)/OthersDept!F$43) + IF(OthersDept!F$44=0,0,COUNTIFS(OthersDept!$B$9:$B$37,OthersDept!$B$44,OthersDept!F$9:F$37,$B47)/OthersDept!F$44) + IF(OthersDept!F$45=0,0,COUNTIFS(OthersDept!$B$9:$B$37,OthersDept!$B$45,OthersDept!F$9:F$37,$B47)/OthersDept!F$45) + IF(OthersDept!F$46=0,0,COUNTIFS(OthersDept!$B$9:$B$37,OthersDept!$B$46,OthersDept!F$9:F$37,$B47)/OthersDept!F$46) + IF(OthersDept!F$47=0,0,COUNTIFS(OthersDept!$B$9:$B$37,OthersDept!$B$47,OthersDept!F$9:F$37,$B47)/OthersDept!F$47) + IF(OthersDept!F$48=0,0,COUNTIFS(OthersDept!$B$9:$B$37,OthersDept!$B$48,OthersDept!F$9:F$37,$B47)/OthersDept!F$48) + IF(OthersDept!F$49=0,0,COUNTIFS(OthersDept!$B$9:$B$37,OthersDept!$B$49,OthersDept!F$9:F$37,$B47)/OthersDept!F$49) + IF(OthersDept!F$50=0,0,COUNTIFS(OthersDept!$B$9:$B$37,OthersDept!$B$50,OthersDept!F$9:F$37,$B47)/OthersDept!F$50) + IF(OthersDept!F$51=0,0,COUNTIFS(OthersDept!$B$9:$B$37,OthersDept!$B$51,OthersDept!F$9:F$37,$B47)/OthersDept!F$51) + IF(OthersDept!F$52=0,0,COUNTIFS(OthersDept!$B$9:$B$37,OthersDept!$B$52,OthersDept!F$9:F$37,$B47)/OthersDept!F$52) +  IF(OthersDept!F$53=0,0,COUNTIFS(OthersDept!$B$9:$B$37,OthersDept!$B$53,OthersDept!F$9:F$37,$B47)/OthersDept!F$53))*150000)</f>
        <v>0</v>
      </c>
      <c r="G47" s="135">
        <f>IF($B47="","",(IF(OthersDept!G$42=0,0,COUNTIFS(OthersDept!$B$9:$B$37,OthersDept!$B$42,OthersDept!G$9:G$37,$B47)/OthersDept!G$42) + IF(OthersDept!G$43=0,0,COUNTIFS(OthersDept!$B$9:$B$37,OthersDept!$B$43,OthersDept!G$9:G$37,$B47)/OthersDept!G$43) + IF(OthersDept!G$44=0,0,COUNTIFS(OthersDept!$B$9:$B$37,OthersDept!$B$44,OthersDept!G$9:G$37,$B47)/OthersDept!G$44) + IF(OthersDept!G$45=0,0,COUNTIFS(OthersDept!$B$9:$B$37,OthersDept!$B$45,OthersDept!G$9:G$37,$B47)/OthersDept!G$45) + IF(OthersDept!G$46=0,0,COUNTIFS(OthersDept!$B$9:$B$37,OthersDept!$B$46,OthersDept!G$9:G$37,$B47)/OthersDept!G$46) + IF(OthersDept!G$47=0,0,COUNTIFS(OthersDept!$B$9:$B$37,OthersDept!$B$47,OthersDept!G$9:G$37,$B47)/OthersDept!G$47) + IF(OthersDept!G$48=0,0,COUNTIFS(OthersDept!$B$9:$B$37,OthersDept!$B$48,OthersDept!G$9:G$37,$B47)/OthersDept!G$48) + IF(OthersDept!G$49=0,0,COUNTIFS(OthersDept!$B$9:$B$37,OthersDept!$B$49,OthersDept!G$9:G$37,$B47)/OthersDept!G$49) + IF(OthersDept!G$50=0,0,COUNTIFS(OthersDept!$B$9:$B$37,OthersDept!$B$50,OthersDept!G$9:G$37,$B47)/OthersDept!G$50) + IF(OthersDept!G$51=0,0,COUNTIFS(OthersDept!$B$9:$B$37,OthersDept!$B$51,OthersDept!G$9:G$37,$B47)/OthersDept!G$51) + IF(OthersDept!G$52=0,0,COUNTIFS(OthersDept!$B$9:$B$37,OthersDept!$B$52,OthersDept!G$9:G$37,$B47)/OthersDept!G$52) +  IF(OthersDept!G$53=0,0,COUNTIFS(OthersDept!$B$9:$B$37,OthersDept!$B$53,OthersDept!G$9:G$37,$B47)/OthersDept!G$53))*150000)</f>
        <v>0</v>
      </c>
      <c r="H47" s="136">
        <f t="shared" si="1"/>
        <v>0</v>
      </c>
      <c r="I47" s="53"/>
      <c r="J47" s="53"/>
      <c r="K47" s="53"/>
      <c r="L47" s="53"/>
      <c r="M47" s="53"/>
      <c r="N47" s="53"/>
      <c r="P47" s="53"/>
    </row>
    <row r="48" spans="1:16" x14ac:dyDescent="0.25">
      <c r="A48" s="133">
        <f>IF(ISTEXT($B48),4,"")</f>
        <v>4</v>
      </c>
      <c r="B48" s="65" t="s">
        <v>393</v>
      </c>
      <c r="C48" s="135">
        <f>IF($B48="","",(IF(OthersDept!C$42=0,0,COUNTIFS(OthersDept!$B$9:$B$37,OthersDept!$B$42,OthersDept!C$9:C$37,$B48)/OthersDept!C$42) + IF(OthersDept!C$43=0,0,COUNTIFS(OthersDept!$B$9:$B$37,OthersDept!$B$43,OthersDept!C$9:C$37,$B48)/OthersDept!C$43) + IF(OthersDept!C$44=0,0,COUNTIFS(OthersDept!$B$9:$B$37,OthersDept!$B$44,OthersDept!C$9:C$37,$B48)/OthersDept!C$44) + IF(OthersDept!C$45=0,0,COUNTIFS(OthersDept!$B$9:$B$37,OthersDept!$B$45,OthersDept!C$9:C$37,$B48)/OthersDept!C$45) + IF(OthersDept!C$46=0,0,COUNTIFS(OthersDept!$B$9:$B$37,OthersDept!$B$46,OthersDept!C$9:C$37,$B48)/OthersDept!C$46) + IF(OthersDept!C$47=0,0,COUNTIFS(OthersDept!$B$9:$B$37,OthersDept!$B$47,OthersDept!C$9:C$37,$B48)/OthersDept!C$47) + IF(OthersDept!C$48=0,0,COUNTIFS(OthersDept!$B$9:$B$37,OthersDept!$B$48,OthersDept!C$9:C$37,$B48)/OthersDept!C$48) + IF(OthersDept!C$49=0,0,COUNTIFS(OthersDept!$B$9:$B$37,OthersDept!$B$49,OthersDept!C$9:C$37,$B48)/OthersDept!C$49) + IF(OthersDept!C$50=0,0,COUNTIFS(OthersDept!$B$9:$B$37,OthersDept!$B$50,OthersDept!C$9:C$37,$B48)/OthersDept!C$50) + IF(OthersDept!C$51=0,0,COUNTIFS(OthersDept!$B$9:$B$37,OthersDept!$B$51,OthersDept!C$9:C$37,$B48)/OthersDept!C$51) + IF(OthersDept!C$52=0,0,COUNTIFS(OthersDept!$B$9:$B$37,OthersDept!$B$52,OthersDept!C$9:C$37,$B48)/OthersDept!C$52) +  IF(OthersDept!C$53=0,0,COUNTIFS(OthersDept!$B$9:$B$37,OthersDept!$B$53,OthersDept!C$9:C$37,$B48)/OthersDept!C$53))*150000)</f>
        <v>0</v>
      </c>
      <c r="D48" s="135">
        <f>IF($B48="","",(IF(OthersDept!D$42=0,0,COUNTIFS(OthersDept!$B$9:$B$37,OthersDept!$B$42,OthersDept!D$9:D$37,$B48)/OthersDept!D$42) + IF(OthersDept!D$43=0,0,COUNTIFS(OthersDept!$B$9:$B$37,OthersDept!$B$43,OthersDept!D$9:D$37,$B48)/OthersDept!D$43) + IF(OthersDept!D$44=0,0,COUNTIFS(OthersDept!$B$9:$B$37,OthersDept!$B$44,OthersDept!D$9:D$37,$B48)/OthersDept!D$44) + IF(OthersDept!D$45=0,0,COUNTIFS(OthersDept!$B$9:$B$37,OthersDept!$B$45,OthersDept!D$9:D$37,$B48)/OthersDept!D$45) + IF(OthersDept!D$46=0,0,COUNTIFS(OthersDept!$B$9:$B$37,OthersDept!$B$46,OthersDept!D$9:D$37,$B48)/OthersDept!D$46) + IF(OthersDept!D$47=0,0,COUNTIFS(OthersDept!$B$9:$B$37,OthersDept!$B$47,OthersDept!D$9:D$37,$B48)/OthersDept!D$47) + IF(OthersDept!D$48=0,0,COUNTIFS(OthersDept!$B$9:$B$37,OthersDept!$B$48,OthersDept!D$9:D$37,$B48)/OthersDept!D$48) + IF(OthersDept!D$49=0,0,COUNTIFS(OthersDept!$B$9:$B$37,OthersDept!$B$49,OthersDept!D$9:D$37,$B48)/OthersDept!D$49) + IF(OthersDept!D$50=0,0,COUNTIFS(OthersDept!$B$9:$B$37,OthersDept!$B$50,OthersDept!D$9:D$37,$B48)/OthersDept!D$50) + IF(OthersDept!D$51=0,0,COUNTIFS(OthersDept!$B$9:$B$37,OthersDept!$B$51,OthersDept!D$9:D$37,$B48)/OthersDept!D$51) + IF(OthersDept!D$52=0,0,COUNTIFS(OthersDept!$B$9:$B$37,OthersDept!$B$52,OthersDept!D$9:D$37,$B48)/OthersDept!D$52) +  IF(OthersDept!D$53=0,0,COUNTIFS(OthersDept!$B$9:$B$37,OthersDept!$B$53,OthersDept!D$9:D$37,$B48)/OthersDept!D$53))*150000)</f>
        <v>0</v>
      </c>
      <c r="E48" s="135">
        <f>IF($B48="","",(IF(OthersDept!E$42=0,0,COUNTIFS(OthersDept!$B$9:$B$37,OthersDept!$B$42,OthersDept!E$9:E$37,$B48)/OthersDept!E$42) + IF(OthersDept!E$43=0,0,COUNTIFS(OthersDept!$B$9:$B$37,OthersDept!$B$43,OthersDept!E$9:E$37,$B48)/OthersDept!E$43) + IF(OthersDept!E$44=0,0,COUNTIFS(OthersDept!$B$9:$B$37,OthersDept!$B$44,OthersDept!E$9:E$37,$B48)/OthersDept!E$44) + IF(OthersDept!E$45=0,0,COUNTIFS(OthersDept!$B$9:$B$37,OthersDept!$B$45,OthersDept!E$9:E$37,$B48)/OthersDept!E$45) + IF(OthersDept!E$46=0,0,COUNTIFS(OthersDept!$B$9:$B$37,OthersDept!$B$46,OthersDept!E$9:E$37,$B48)/OthersDept!E$46) + IF(OthersDept!E$47=0,0,COUNTIFS(OthersDept!$B$9:$B$37,OthersDept!$B$47,OthersDept!E$9:E$37,$B48)/OthersDept!E$47) + IF(OthersDept!E$48=0,0,COUNTIFS(OthersDept!$B$9:$B$37,OthersDept!$B$48,OthersDept!E$9:E$37,$B48)/OthersDept!E$48) + IF(OthersDept!E$49=0,0,COUNTIFS(OthersDept!$B$9:$B$37,OthersDept!$B$49,OthersDept!E$9:E$37,$B48)/OthersDept!E$49) + IF(OthersDept!E$50=0,0,COUNTIFS(OthersDept!$B$9:$B$37,OthersDept!$B$50,OthersDept!E$9:E$37,$B48)/OthersDept!E$50) + IF(OthersDept!E$51=0,0,COUNTIFS(OthersDept!$B$9:$B$37,OthersDept!$B$51,OthersDept!E$9:E$37,$B48)/OthersDept!E$51) + IF(OthersDept!E$52=0,0,COUNTIFS(OthersDept!$B$9:$B$37,OthersDept!$B$52,OthersDept!E$9:E$37,$B48)/OthersDept!E$52) +  IF(OthersDept!E$53=0,0,COUNTIFS(OthersDept!$B$9:$B$37,OthersDept!$B$53,OthersDept!E$9:E$37,$B48)/OthersDept!E$53))*150000)</f>
        <v>0</v>
      </c>
      <c r="F48" s="135">
        <f>IF($B48="","",(IF(OthersDept!F$42=0,0,COUNTIFS(OthersDept!$B$9:$B$37,OthersDept!$B$42,OthersDept!F$9:F$37,$B48)/OthersDept!F$42) + IF(OthersDept!F$43=0,0,COUNTIFS(OthersDept!$B$9:$B$37,OthersDept!$B$43,OthersDept!F$9:F$37,$B48)/OthersDept!F$43) + IF(OthersDept!F$44=0,0,COUNTIFS(OthersDept!$B$9:$B$37,OthersDept!$B$44,OthersDept!F$9:F$37,$B48)/OthersDept!F$44) + IF(OthersDept!F$45=0,0,COUNTIFS(OthersDept!$B$9:$B$37,OthersDept!$B$45,OthersDept!F$9:F$37,$B48)/OthersDept!F$45) + IF(OthersDept!F$46=0,0,COUNTIFS(OthersDept!$B$9:$B$37,OthersDept!$B$46,OthersDept!F$9:F$37,$B48)/OthersDept!F$46) + IF(OthersDept!F$47=0,0,COUNTIFS(OthersDept!$B$9:$B$37,OthersDept!$B$47,OthersDept!F$9:F$37,$B48)/OthersDept!F$47) + IF(OthersDept!F$48=0,0,COUNTIFS(OthersDept!$B$9:$B$37,OthersDept!$B$48,OthersDept!F$9:F$37,$B48)/OthersDept!F$48) + IF(OthersDept!F$49=0,0,COUNTIFS(OthersDept!$B$9:$B$37,OthersDept!$B$49,OthersDept!F$9:F$37,$B48)/OthersDept!F$49) + IF(OthersDept!F$50=0,0,COUNTIFS(OthersDept!$B$9:$B$37,OthersDept!$B$50,OthersDept!F$9:F$37,$B48)/OthersDept!F$50) + IF(OthersDept!F$51=0,0,COUNTIFS(OthersDept!$B$9:$B$37,OthersDept!$B$51,OthersDept!F$9:F$37,$B48)/OthersDept!F$51) + IF(OthersDept!F$52=0,0,COUNTIFS(OthersDept!$B$9:$B$37,OthersDept!$B$52,OthersDept!F$9:F$37,$B48)/OthersDept!F$52) +  IF(OthersDept!F$53=0,0,COUNTIFS(OthersDept!$B$9:$B$37,OthersDept!$B$53,OthersDept!F$9:F$37,$B48)/OthersDept!F$53))*150000)</f>
        <v>0</v>
      </c>
      <c r="G48" s="135">
        <f>IF($B48="","",(IF(OthersDept!G$42=0,0,COUNTIFS(OthersDept!$B$9:$B$37,OthersDept!$B$42,OthersDept!G$9:G$37,$B48)/OthersDept!G$42) + IF(OthersDept!G$43=0,0,COUNTIFS(OthersDept!$B$9:$B$37,OthersDept!$B$43,OthersDept!G$9:G$37,$B48)/OthersDept!G$43) + IF(OthersDept!G$44=0,0,COUNTIFS(OthersDept!$B$9:$B$37,OthersDept!$B$44,OthersDept!G$9:G$37,$B48)/OthersDept!G$44) + IF(OthersDept!G$45=0,0,COUNTIFS(OthersDept!$B$9:$B$37,OthersDept!$B$45,OthersDept!G$9:G$37,$B48)/OthersDept!G$45) + IF(OthersDept!G$46=0,0,COUNTIFS(OthersDept!$B$9:$B$37,OthersDept!$B$46,OthersDept!G$9:G$37,$B48)/OthersDept!G$46) + IF(OthersDept!G$47=0,0,COUNTIFS(OthersDept!$B$9:$B$37,OthersDept!$B$47,OthersDept!G$9:G$37,$B48)/OthersDept!G$47) + IF(OthersDept!G$48=0,0,COUNTIFS(OthersDept!$B$9:$B$37,OthersDept!$B$48,OthersDept!G$9:G$37,$B48)/OthersDept!G$48) + IF(OthersDept!G$49=0,0,COUNTIFS(OthersDept!$B$9:$B$37,OthersDept!$B$49,OthersDept!G$9:G$37,$B48)/OthersDept!G$49) + IF(OthersDept!G$50=0,0,COUNTIFS(OthersDept!$B$9:$B$37,OthersDept!$B$50,OthersDept!G$9:G$37,$B48)/OthersDept!G$50) + IF(OthersDept!G$51=0,0,COUNTIFS(OthersDept!$B$9:$B$37,OthersDept!$B$51,OthersDept!G$9:G$37,$B48)/OthersDept!G$51) + IF(OthersDept!G$52=0,0,COUNTIFS(OthersDept!$B$9:$B$37,OthersDept!$B$52,OthersDept!G$9:G$37,$B48)/OthersDept!G$52) +  IF(OthersDept!G$53=0,0,COUNTIFS(OthersDept!$B$9:$B$37,OthersDept!$B$53,OthersDept!G$9:G$37,$B48)/OthersDept!G$53))*150000)</f>
        <v>0</v>
      </c>
      <c r="H48" s="136">
        <f t="shared" si="1"/>
        <v>0</v>
      </c>
      <c r="I48" s="53"/>
      <c r="J48" s="53"/>
      <c r="K48" s="53"/>
      <c r="L48" s="53"/>
      <c r="M48" s="53"/>
      <c r="N48" s="53"/>
      <c r="P48" s="53"/>
    </row>
    <row r="49" spans="1:16" x14ac:dyDescent="0.25">
      <c r="A49" s="133">
        <f>IF(ISTEXT($B49),5,"")</f>
        <v>5</v>
      </c>
      <c r="B49" s="65" t="s">
        <v>397</v>
      </c>
      <c r="C49" s="135">
        <f>IF($B49="","",(IF(OthersDept!C$42=0,0,COUNTIFS(OthersDept!$B$9:$B$37,OthersDept!$B$42,OthersDept!C$9:C$37,$B49)/OthersDept!C$42) + IF(OthersDept!C$43=0,0,COUNTIFS(OthersDept!$B$9:$B$37,OthersDept!$B$43,OthersDept!C$9:C$37,$B49)/OthersDept!C$43) + IF(OthersDept!C$44=0,0,COUNTIFS(OthersDept!$B$9:$B$37,OthersDept!$B$44,OthersDept!C$9:C$37,$B49)/OthersDept!C$44) + IF(OthersDept!C$45=0,0,COUNTIFS(OthersDept!$B$9:$B$37,OthersDept!$B$45,OthersDept!C$9:C$37,$B49)/OthersDept!C$45) + IF(OthersDept!C$46=0,0,COUNTIFS(OthersDept!$B$9:$B$37,OthersDept!$B$46,OthersDept!C$9:C$37,$B49)/OthersDept!C$46) + IF(OthersDept!C$47=0,0,COUNTIFS(OthersDept!$B$9:$B$37,OthersDept!$B$47,OthersDept!C$9:C$37,$B49)/OthersDept!C$47) + IF(OthersDept!C$48=0,0,COUNTIFS(OthersDept!$B$9:$B$37,OthersDept!$B$48,OthersDept!C$9:C$37,$B49)/OthersDept!C$48) + IF(OthersDept!C$49=0,0,COUNTIFS(OthersDept!$B$9:$B$37,OthersDept!$B$49,OthersDept!C$9:C$37,$B49)/OthersDept!C$49) + IF(OthersDept!C$50=0,0,COUNTIFS(OthersDept!$B$9:$B$37,OthersDept!$B$50,OthersDept!C$9:C$37,$B49)/OthersDept!C$50) + IF(OthersDept!C$51=0,0,COUNTIFS(OthersDept!$B$9:$B$37,OthersDept!$B$51,OthersDept!C$9:C$37,$B49)/OthersDept!C$51) + IF(OthersDept!C$52=0,0,COUNTIFS(OthersDept!$B$9:$B$37,OthersDept!$B$52,OthersDept!C$9:C$37,$B49)/OthersDept!C$52) +  IF(OthersDept!C$53=0,0,COUNTIFS(OthersDept!$B$9:$B$37,OthersDept!$B$53,OthersDept!C$9:C$37,$B49)/OthersDept!C$53))*150000)</f>
        <v>0</v>
      </c>
      <c r="D49" s="135">
        <f>IF($B49="","",(IF(OthersDept!D$42=0,0,COUNTIFS(OthersDept!$B$9:$B$37,OthersDept!$B$42,OthersDept!D$9:D$37,$B49)/OthersDept!D$42) + IF(OthersDept!D$43=0,0,COUNTIFS(OthersDept!$B$9:$B$37,OthersDept!$B$43,OthersDept!D$9:D$37,$B49)/OthersDept!D$43) + IF(OthersDept!D$44=0,0,COUNTIFS(OthersDept!$B$9:$B$37,OthersDept!$B$44,OthersDept!D$9:D$37,$B49)/OthersDept!D$44) + IF(OthersDept!D$45=0,0,COUNTIFS(OthersDept!$B$9:$B$37,OthersDept!$B$45,OthersDept!D$9:D$37,$B49)/OthersDept!D$45) + IF(OthersDept!D$46=0,0,COUNTIFS(OthersDept!$B$9:$B$37,OthersDept!$B$46,OthersDept!D$9:D$37,$B49)/OthersDept!D$46) + IF(OthersDept!D$47=0,0,COUNTIFS(OthersDept!$B$9:$B$37,OthersDept!$B$47,OthersDept!D$9:D$37,$B49)/OthersDept!D$47) + IF(OthersDept!D$48=0,0,COUNTIFS(OthersDept!$B$9:$B$37,OthersDept!$B$48,OthersDept!D$9:D$37,$B49)/OthersDept!D$48) + IF(OthersDept!D$49=0,0,COUNTIFS(OthersDept!$B$9:$B$37,OthersDept!$B$49,OthersDept!D$9:D$37,$B49)/OthersDept!D$49) + IF(OthersDept!D$50=0,0,COUNTIFS(OthersDept!$B$9:$B$37,OthersDept!$B$50,OthersDept!D$9:D$37,$B49)/OthersDept!D$50) + IF(OthersDept!D$51=0,0,COUNTIFS(OthersDept!$B$9:$B$37,OthersDept!$B$51,OthersDept!D$9:D$37,$B49)/OthersDept!D$51) + IF(OthersDept!D$52=0,0,COUNTIFS(OthersDept!$B$9:$B$37,OthersDept!$B$52,OthersDept!D$9:D$37,$B49)/OthersDept!D$52) +  IF(OthersDept!D$53=0,0,COUNTIFS(OthersDept!$B$9:$B$37,OthersDept!$B$53,OthersDept!D$9:D$37,$B49)/OthersDept!D$53))*150000)</f>
        <v>0</v>
      </c>
      <c r="E49" s="135">
        <f>IF($B49="","",(IF(OthersDept!E$42=0,0,COUNTIFS(OthersDept!$B$9:$B$37,OthersDept!$B$42,OthersDept!E$9:E$37,$B49)/OthersDept!E$42) + IF(OthersDept!E$43=0,0,COUNTIFS(OthersDept!$B$9:$B$37,OthersDept!$B$43,OthersDept!E$9:E$37,$B49)/OthersDept!E$43) + IF(OthersDept!E$44=0,0,COUNTIFS(OthersDept!$B$9:$B$37,OthersDept!$B$44,OthersDept!E$9:E$37,$B49)/OthersDept!E$44) + IF(OthersDept!E$45=0,0,COUNTIFS(OthersDept!$B$9:$B$37,OthersDept!$B$45,OthersDept!E$9:E$37,$B49)/OthersDept!E$45) + IF(OthersDept!E$46=0,0,COUNTIFS(OthersDept!$B$9:$B$37,OthersDept!$B$46,OthersDept!E$9:E$37,$B49)/OthersDept!E$46) + IF(OthersDept!E$47=0,0,COUNTIFS(OthersDept!$B$9:$B$37,OthersDept!$B$47,OthersDept!E$9:E$37,$B49)/OthersDept!E$47) + IF(OthersDept!E$48=0,0,COUNTIFS(OthersDept!$B$9:$B$37,OthersDept!$B$48,OthersDept!E$9:E$37,$B49)/OthersDept!E$48) + IF(OthersDept!E$49=0,0,COUNTIFS(OthersDept!$B$9:$B$37,OthersDept!$B$49,OthersDept!E$9:E$37,$B49)/OthersDept!E$49) + IF(OthersDept!E$50=0,0,COUNTIFS(OthersDept!$B$9:$B$37,OthersDept!$B$50,OthersDept!E$9:E$37,$B49)/OthersDept!E$50) + IF(OthersDept!E$51=0,0,COUNTIFS(OthersDept!$B$9:$B$37,OthersDept!$B$51,OthersDept!E$9:E$37,$B49)/OthersDept!E$51) + IF(OthersDept!E$52=0,0,COUNTIFS(OthersDept!$B$9:$B$37,OthersDept!$B$52,OthersDept!E$9:E$37,$B49)/OthersDept!E$52) +  IF(OthersDept!E$53=0,0,COUNTIFS(OthersDept!$B$9:$B$37,OthersDept!$B$53,OthersDept!E$9:E$37,$B49)/OthersDept!E$53))*150000)</f>
        <v>0</v>
      </c>
      <c r="F49" s="135">
        <f>IF($B49="","",(IF(OthersDept!F$42=0,0,COUNTIFS(OthersDept!$B$9:$B$37,OthersDept!$B$42,OthersDept!F$9:F$37,$B49)/OthersDept!F$42) + IF(OthersDept!F$43=0,0,COUNTIFS(OthersDept!$B$9:$B$37,OthersDept!$B$43,OthersDept!F$9:F$37,$B49)/OthersDept!F$43) + IF(OthersDept!F$44=0,0,COUNTIFS(OthersDept!$B$9:$B$37,OthersDept!$B$44,OthersDept!F$9:F$37,$B49)/OthersDept!F$44) + IF(OthersDept!F$45=0,0,COUNTIFS(OthersDept!$B$9:$B$37,OthersDept!$B$45,OthersDept!F$9:F$37,$B49)/OthersDept!F$45) + IF(OthersDept!F$46=0,0,COUNTIFS(OthersDept!$B$9:$B$37,OthersDept!$B$46,OthersDept!F$9:F$37,$B49)/OthersDept!F$46) + IF(OthersDept!F$47=0,0,COUNTIFS(OthersDept!$B$9:$B$37,OthersDept!$B$47,OthersDept!F$9:F$37,$B49)/OthersDept!F$47) + IF(OthersDept!F$48=0,0,COUNTIFS(OthersDept!$B$9:$B$37,OthersDept!$B$48,OthersDept!F$9:F$37,$B49)/OthersDept!F$48) + IF(OthersDept!F$49=0,0,COUNTIFS(OthersDept!$B$9:$B$37,OthersDept!$B$49,OthersDept!F$9:F$37,$B49)/OthersDept!F$49) + IF(OthersDept!F$50=0,0,COUNTIFS(OthersDept!$B$9:$B$37,OthersDept!$B$50,OthersDept!F$9:F$37,$B49)/OthersDept!F$50) + IF(OthersDept!F$51=0,0,COUNTIFS(OthersDept!$B$9:$B$37,OthersDept!$B$51,OthersDept!F$9:F$37,$B49)/OthersDept!F$51) + IF(OthersDept!F$52=0,0,COUNTIFS(OthersDept!$B$9:$B$37,OthersDept!$B$52,OthersDept!F$9:F$37,$B49)/OthersDept!F$52) +  IF(OthersDept!F$53=0,0,COUNTIFS(OthersDept!$B$9:$B$37,OthersDept!$B$53,OthersDept!F$9:F$37,$B49)/OthersDept!F$53))*150000)</f>
        <v>0</v>
      </c>
      <c r="G49" s="135">
        <f>IF($B49="","",(IF(OthersDept!G$42=0,0,COUNTIFS(OthersDept!$B$9:$B$37,OthersDept!$B$42,OthersDept!G$9:G$37,$B49)/OthersDept!G$42) + IF(OthersDept!G$43=0,0,COUNTIFS(OthersDept!$B$9:$B$37,OthersDept!$B$43,OthersDept!G$9:G$37,$B49)/OthersDept!G$43) + IF(OthersDept!G$44=0,0,COUNTIFS(OthersDept!$B$9:$B$37,OthersDept!$B$44,OthersDept!G$9:G$37,$B49)/OthersDept!G$44) + IF(OthersDept!G$45=0,0,COUNTIFS(OthersDept!$B$9:$B$37,OthersDept!$B$45,OthersDept!G$9:G$37,$B49)/OthersDept!G$45) + IF(OthersDept!G$46=0,0,COUNTIFS(OthersDept!$B$9:$B$37,OthersDept!$B$46,OthersDept!G$9:G$37,$B49)/OthersDept!G$46) + IF(OthersDept!G$47=0,0,COUNTIFS(OthersDept!$B$9:$B$37,OthersDept!$B$47,OthersDept!G$9:G$37,$B49)/OthersDept!G$47) + IF(OthersDept!G$48=0,0,COUNTIFS(OthersDept!$B$9:$B$37,OthersDept!$B$48,OthersDept!G$9:G$37,$B49)/OthersDept!G$48) + IF(OthersDept!G$49=0,0,COUNTIFS(OthersDept!$B$9:$B$37,OthersDept!$B$49,OthersDept!G$9:G$37,$B49)/OthersDept!G$49) + IF(OthersDept!G$50=0,0,COUNTIFS(OthersDept!$B$9:$B$37,OthersDept!$B$50,OthersDept!G$9:G$37,$B49)/OthersDept!G$50) + IF(OthersDept!G$51=0,0,COUNTIFS(OthersDept!$B$9:$B$37,OthersDept!$B$51,OthersDept!G$9:G$37,$B49)/OthersDept!G$51) + IF(OthersDept!G$52=0,0,COUNTIFS(OthersDept!$B$9:$B$37,OthersDept!$B$52,OthersDept!G$9:G$37,$B49)/OthersDept!G$52) +  IF(OthersDept!G$53=0,0,COUNTIFS(OthersDept!$B$9:$B$37,OthersDept!$B$53,OthersDept!G$9:G$37,$B49)/OthersDept!G$53))*150000)</f>
        <v>0</v>
      </c>
      <c r="H49" s="136">
        <f t="shared" si="1"/>
        <v>0</v>
      </c>
      <c r="I49" s="53"/>
      <c r="J49" s="53"/>
      <c r="K49" s="53"/>
      <c r="L49" s="53"/>
      <c r="M49" s="53"/>
      <c r="N49" s="53"/>
      <c r="P49" s="53"/>
    </row>
    <row r="50" spans="1:16" x14ac:dyDescent="0.25">
      <c r="A50" s="133">
        <f>IF(ISTEXT($B50),6,"")</f>
        <v>6</v>
      </c>
      <c r="B50" s="65" t="s">
        <v>410</v>
      </c>
      <c r="C50" s="135">
        <f>IF($B50="","",(IF(OthersDept!C$42=0,0,COUNTIFS(OthersDept!$B$9:$B$37,OthersDept!$B$42,OthersDept!C$9:C$37,$B50)/OthersDept!C$42) + IF(OthersDept!C$43=0,0,COUNTIFS(OthersDept!$B$9:$B$37,OthersDept!$B$43,OthersDept!C$9:C$37,$B50)/OthersDept!C$43) + IF(OthersDept!C$44=0,0,COUNTIFS(OthersDept!$B$9:$B$37,OthersDept!$B$44,OthersDept!C$9:C$37,$B50)/OthersDept!C$44) + IF(OthersDept!C$45=0,0,COUNTIFS(OthersDept!$B$9:$B$37,OthersDept!$B$45,OthersDept!C$9:C$37,$B50)/OthersDept!C$45) + IF(OthersDept!C$46=0,0,COUNTIFS(OthersDept!$B$9:$B$37,OthersDept!$B$46,OthersDept!C$9:C$37,$B50)/OthersDept!C$46) + IF(OthersDept!C$47=0,0,COUNTIFS(OthersDept!$B$9:$B$37,OthersDept!$B$47,OthersDept!C$9:C$37,$B50)/OthersDept!C$47) + IF(OthersDept!C$48=0,0,COUNTIFS(OthersDept!$B$9:$B$37,OthersDept!$B$48,OthersDept!C$9:C$37,$B50)/OthersDept!C$48) + IF(OthersDept!C$49=0,0,COUNTIFS(OthersDept!$B$9:$B$37,OthersDept!$B$49,OthersDept!C$9:C$37,$B50)/OthersDept!C$49) + IF(OthersDept!C$50=0,0,COUNTIFS(OthersDept!$B$9:$B$37,OthersDept!$B$50,OthersDept!C$9:C$37,$B50)/OthersDept!C$50) + IF(OthersDept!C$51=0,0,COUNTIFS(OthersDept!$B$9:$B$37,OthersDept!$B$51,OthersDept!C$9:C$37,$B50)/OthersDept!C$51) + IF(OthersDept!C$52=0,0,COUNTIFS(OthersDept!$B$9:$B$37,OthersDept!$B$52,OthersDept!C$9:C$37,$B50)/OthersDept!C$52) +  IF(OthersDept!C$53=0,0,COUNTIFS(OthersDept!$B$9:$B$37,OthersDept!$B$53,OthersDept!C$9:C$37,$B50)/OthersDept!C$53))*150000)</f>
        <v>0</v>
      </c>
      <c r="D50" s="135">
        <f>IF($B50="","",(IF(OthersDept!D$42=0,0,COUNTIFS(OthersDept!$B$9:$B$37,OthersDept!$B$42,OthersDept!D$9:D$37,$B50)/OthersDept!D$42) + IF(OthersDept!D$43=0,0,COUNTIFS(OthersDept!$B$9:$B$37,OthersDept!$B$43,OthersDept!D$9:D$37,$B50)/OthersDept!D$43) + IF(OthersDept!D$44=0,0,COUNTIFS(OthersDept!$B$9:$B$37,OthersDept!$B$44,OthersDept!D$9:D$37,$B50)/OthersDept!D$44) + IF(OthersDept!D$45=0,0,COUNTIFS(OthersDept!$B$9:$B$37,OthersDept!$B$45,OthersDept!D$9:D$37,$B50)/OthersDept!D$45) + IF(OthersDept!D$46=0,0,COUNTIFS(OthersDept!$B$9:$B$37,OthersDept!$B$46,OthersDept!D$9:D$37,$B50)/OthersDept!D$46) + IF(OthersDept!D$47=0,0,COUNTIFS(OthersDept!$B$9:$B$37,OthersDept!$B$47,OthersDept!D$9:D$37,$B50)/OthersDept!D$47) + IF(OthersDept!D$48=0,0,COUNTIFS(OthersDept!$B$9:$B$37,OthersDept!$B$48,OthersDept!D$9:D$37,$B50)/OthersDept!D$48) + IF(OthersDept!D$49=0,0,COUNTIFS(OthersDept!$B$9:$B$37,OthersDept!$B$49,OthersDept!D$9:D$37,$B50)/OthersDept!D$49) + IF(OthersDept!D$50=0,0,COUNTIFS(OthersDept!$B$9:$B$37,OthersDept!$B$50,OthersDept!D$9:D$37,$B50)/OthersDept!D$50) + IF(OthersDept!D$51=0,0,COUNTIFS(OthersDept!$B$9:$B$37,OthersDept!$B$51,OthersDept!D$9:D$37,$B50)/OthersDept!D$51) + IF(OthersDept!D$52=0,0,COUNTIFS(OthersDept!$B$9:$B$37,OthersDept!$B$52,OthersDept!D$9:D$37,$B50)/OthersDept!D$52) +  IF(OthersDept!D$53=0,0,COUNTIFS(OthersDept!$B$9:$B$37,OthersDept!$B$53,OthersDept!D$9:D$37,$B50)/OthersDept!D$53))*150000)</f>
        <v>0</v>
      </c>
      <c r="E50" s="135">
        <f>IF($B50="","",(IF(OthersDept!E$42=0,0,COUNTIFS(OthersDept!$B$9:$B$37,OthersDept!$B$42,OthersDept!E$9:E$37,$B50)/OthersDept!E$42) + IF(OthersDept!E$43=0,0,COUNTIFS(OthersDept!$B$9:$B$37,OthersDept!$B$43,OthersDept!E$9:E$37,$B50)/OthersDept!E$43) + IF(OthersDept!E$44=0,0,COUNTIFS(OthersDept!$B$9:$B$37,OthersDept!$B$44,OthersDept!E$9:E$37,$B50)/OthersDept!E$44) + IF(OthersDept!E$45=0,0,COUNTIFS(OthersDept!$B$9:$B$37,OthersDept!$B$45,OthersDept!E$9:E$37,$B50)/OthersDept!E$45) + IF(OthersDept!E$46=0,0,COUNTIFS(OthersDept!$B$9:$B$37,OthersDept!$B$46,OthersDept!E$9:E$37,$B50)/OthersDept!E$46) + IF(OthersDept!E$47=0,0,COUNTIFS(OthersDept!$B$9:$B$37,OthersDept!$B$47,OthersDept!E$9:E$37,$B50)/OthersDept!E$47) + IF(OthersDept!E$48=0,0,COUNTIFS(OthersDept!$B$9:$B$37,OthersDept!$B$48,OthersDept!E$9:E$37,$B50)/OthersDept!E$48) + IF(OthersDept!E$49=0,0,COUNTIFS(OthersDept!$B$9:$B$37,OthersDept!$B$49,OthersDept!E$9:E$37,$B50)/OthersDept!E$49) + IF(OthersDept!E$50=0,0,COUNTIFS(OthersDept!$B$9:$B$37,OthersDept!$B$50,OthersDept!E$9:E$37,$B50)/OthersDept!E$50) + IF(OthersDept!E$51=0,0,COUNTIFS(OthersDept!$B$9:$B$37,OthersDept!$B$51,OthersDept!E$9:E$37,$B50)/OthersDept!E$51) + IF(OthersDept!E$52=0,0,COUNTIFS(OthersDept!$B$9:$B$37,OthersDept!$B$52,OthersDept!E$9:E$37,$B50)/OthersDept!E$52) +  IF(OthersDept!E$53=0,0,COUNTIFS(OthersDept!$B$9:$B$37,OthersDept!$B$53,OthersDept!E$9:E$37,$B50)/OthersDept!E$53))*150000)</f>
        <v>0</v>
      </c>
      <c r="F50" s="135">
        <f>IF($B50="","",(IF(OthersDept!F$42=0,0,COUNTIFS(OthersDept!$B$9:$B$37,OthersDept!$B$42,OthersDept!F$9:F$37,$B50)/OthersDept!F$42) + IF(OthersDept!F$43=0,0,COUNTIFS(OthersDept!$B$9:$B$37,OthersDept!$B$43,OthersDept!F$9:F$37,$B50)/OthersDept!F$43) + IF(OthersDept!F$44=0,0,COUNTIFS(OthersDept!$B$9:$B$37,OthersDept!$B$44,OthersDept!F$9:F$37,$B50)/OthersDept!F$44) + IF(OthersDept!F$45=0,0,COUNTIFS(OthersDept!$B$9:$B$37,OthersDept!$B$45,OthersDept!F$9:F$37,$B50)/OthersDept!F$45) + IF(OthersDept!F$46=0,0,COUNTIFS(OthersDept!$B$9:$B$37,OthersDept!$B$46,OthersDept!F$9:F$37,$B50)/OthersDept!F$46) + IF(OthersDept!F$47=0,0,COUNTIFS(OthersDept!$B$9:$B$37,OthersDept!$B$47,OthersDept!F$9:F$37,$B50)/OthersDept!F$47) + IF(OthersDept!F$48=0,0,COUNTIFS(OthersDept!$B$9:$B$37,OthersDept!$B$48,OthersDept!F$9:F$37,$B50)/OthersDept!F$48) + IF(OthersDept!F$49=0,0,COUNTIFS(OthersDept!$B$9:$B$37,OthersDept!$B$49,OthersDept!F$9:F$37,$B50)/OthersDept!F$49) + IF(OthersDept!F$50=0,0,COUNTIFS(OthersDept!$B$9:$B$37,OthersDept!$B$50,OthersDept!F$9:F$37,$B50)/OthersDept!F$50) + IF(OthersDept!F$51=0,0,COUNTIFS(OthersDept!$B$9:$B$37,OthersDept!$B$51,OthersDept!F$9:F$37,$B50)/OthersDept!F$51) + IF(OthersDept!F$52=0,0,COUNTIFS(OthersDept!$B$9:$B$37,OthersDept!$B$52,OthersDept!F$9:F$37,$B50)/OthersDept!F$52) +  IF(OthersDept!F$53=0,0,COUNTIFS(OthersDept!$B$9:$B$37,OthersDept!$B$53,OthersDept!F$9:F$37,$B50)/OthersDept!F$53))*150000)</f>
        <v>0</v>
      </c>
      <c r="G50" s="135">
        <f>IF($B50="","",(IF(OthersDept!G$42=0,0,COUNTIFS(OthersDept!$B$9:$B$37,OthersDept!$B$42,OthersDept!G$9:G$37,$B50)/OthersDept!G$42) + IF(OthersDept!G$43=0,0,COUNTIFS(OthersDept!$B$9:$B$37,OthersDept!$B$43,OthersDept!G$9:G$37,$B50)/OthersDept!G$43) + IF(OthersDept!G$44=0,0,COUNTIFS(OthersDept!$B$9:$B$37,OthersDept!$B$44,OthersDept!G$9:G$37,$B50)/OthersDept!G$44) + IF(OthersDept!G$45=0,0,COUNTIFS(OthersDept!$B$9:$B$37,OthersDept!$B$45,OthersDept!G$9:G$37,$B50)/OthersDept!G$45) + IF(OthersDept!G$46=0,0,COUNTIFS(OthersDept!$B$9:$B$37,OthersDept!$B$46,OthersDept!G$9:G$37,$B50)/OthersDept!G$46) + IF(OthersDept!G$47=0,0,COUNTIFS(OthersDept!$B$9:$B$37,OthersDept!$B$47,OthersDept!G$9:G$37,$B50)/OthersDept!G$47) + IF(OthersDept!G$48=0,0,COUNTIFS(OthersDept!$B$9:$B$37,OthersDept!$B$48,OthersDept!G$9:G$37,$B50)/OthersDept!G$48) + IF(OthersDept!G$49=0,0,COUNTIFS(OthersDept!$B$9:$B$37,OthersDept!$B$49,OthersDept!G$9:G$37,$B50)/OthersDept!G$49) + IF(OthersDept!G$50=0,0,COUNTIFS(OthersDept!$B$9:$B$37,OthersDept!$B$50,OthersDept!G$9:G$37,$B50)/OthersDept!G$50) + IF(OthersDept!G$51=0,0,COUNTIFS(OthersDept!$B$9:$B$37,OthersDept!$B$51,OthersDept!G$9:G$37,$B50)/OthersDept!G$51) + IF(OthersDept!G$52=0,0,COUNTIFS(OthersDept!$B$9:$B$37,OthersDept!$B$52,OthersDept!G$9:G$37,$B50)/OthersDept!G$52) +  IF(OthersDept!G$53=0,0,COUNTIFS(OthersDept!$B$9:$B$37,OthersDept!$B$53,OthersDept!G$9:G$37,$B50)/OthersDept!G$53))*150000)</f>
        <v>0</v>
      </c>
      <c r="H50" s="136">
        <f t="shared" si="1"/>
        <v>0</v>
      </c>
      <c r="I50" s="53"/>
      <c r="J50" s="53"/>
      <c r="K50" s="53"/>
      <c r="L50" s="53"/>
      <c r="M50" s="53"/>
      <c r="N50" s="53"/>
      <c r="P50" s="53"/>
    </row>
    <row r="51" spans="1:16" x14ac:dyDescent="0.25">
      <c r="A51" s="133">
        <f>IF(ISTEXT($B51),7,"")</f>
        <v>7</v>
      </c>
      <c r="B51" s="65" t="s">
        <v>412</v>
      </c>
      <c r="C51" s="135">
        <f>IF($B51="","",(IF(OthersDept!C$42=0,0,COUNTIFS(OthersDept!$B$9:$B$37,OthersDept!$B$42,OthersDept!C$9:C$37,$B51)/OthersDept!C$42) + IF(OthersDept!C$43=0,0,COUNTIFS(OthersDept!$B$9:$B$37,OthersDept!$B$43,OthersDept!C$9:C$37,$B51)/OthersDept!C$43) + IF(OthersDept!C$44=0,0,COUNTIFS(OthersDept!$B$9:$B$37,OthersDept!$B$44,OthersDept!C$9:C$37,$B51)/OthersDept!C$44) + IF(OthersDept!C$45=0,0,COUNTIFS(OthersDept!$B$9:$B$37,OthersDept!$B$45,OthersDept!C$9:C$37,$B51)/OthersDept!C$45) + IF(OthersDept!C$46=0,0,COUNTIFS(OthersDept!$B$9:$B$37,OthersDept!$B$46,OthersDept!C$9:C$37,$B51)/OthersDept!C$46) + IF(OthersDept!C$47=0,0,COUNTIFS(OthersDept!$B$9:$B$37,OthersDept!$B$47,OthersDept!C$9:C$37,$B51)/OthersDept!C$47) + IF(OthersDept!C$48=0,0,COUNTIFS(OthersDept!$B$9:$B$37,OthersDept!$B$48,OthersDept!C$9:C$37,$B51)/OthersDept!C$48) + IF(OthersDept!C$49=0,0,COUNTIFS(OthersDept!$B$9:$B$37,OthersDept!$B$49,OthersDept!C$9:C$37,$B51)/OthersDept!C$49) + IF(OthersDept!C$50=0,0,COUNTIFS(OthersDept!$B$9:$B$37,OthersDept!$B$50,OthersDept!C$9:C$37,$B51)/OthersDept!C$50) + IF(OthersDept!C$51=0,0,COUNTIFS(OthersDept!$B$9:$B$37,OthersDept!$B$51,OthersDept!C$9:C$37,$B51)/OthersDept!C$51) + IF(OthersDept!C$52=0,0,COUNTIFS(OthersDept!$B$9:$B$37,OthersDept!$B$52,OthersDept!C$9:C$37,$B51)/OthersDept!C$52) +  IF(OthersDept!C$53=0,0,COUNTIFS(OthersDept!$B$9:$B$37,OthersDept!$B$53,OthersDept!C$9:C$37,$B51)/OthersDept!C$53))*150000)</f>
        <v>0</v>
      </c>
      <c r="D51" s="135">
        <f>IF($B51="","",(IF(OthersDept!D$42=0,0,COUNTIFS(OthersDept!$B$9:$B$37,OthersDept!$B$42,OthersDept!D$9:D$37,$B51)/OthersDept!D$42) + IF(OthersDept!D$43=0,0,COUNTIFS(OthersDept!$B$9:$B$37,OthersDept!$B$43,OthersDept!D$9:D$37,$B51)/OthersDept!D$43) + IF(OthersDept!D$44=0,0,COUNTIFS(OthersDept!$B$9:$B$37,OthersDept!$B$44,OthersDept!D$9:D$37,$B51)/OthersDept!D$44) + IF(OthersDept!D$45=0,0,COUNTIFS(OthersDept!$B$9:$B$37,OthersDept!$B$45,OthersDept!D$9:D$37,$B51)/OthersDept!D$45) + IF(OthersDept!D$46=0,0,COUNTIFS(OthersDept!$B$9:$B$37,OthersDept!$B$46,OthersDept!D$9:D$37,$B51)/OthersDept!D$46) + IF(OthersDept!D$47=0,0,COUNTIFS(OthersDept!$B$9:$B$37,OthersDept!$B$47,OthersDept!D$9:D$37,$B51)/OthersDept!D$47) + IF(OthersDept!D$48=0,0,COUNTIFS(OthersDept!$B$9:$B$37,OthersDept!$B$48,OthersDept!D$9:D$37,$B51)/OthersDept!D$48) + IF(OthersDept!D$49=0,0,COUNTIFS(OthersDept!$B$9:$B$37,OthersDept!$B$49,OthersDept!D$9:D$37,$B51)/OthersDept!D$49) + IF(OthersDept!D$50=0,0,COUNTIFS(OthersDept!$B$9:$B$37,OthersDept!$B$50,OthersDept!D$9:D$37,$B51)/OthersDept!D$50) + IF(OthersDept!D$51=0,0,COUNTIFS(OthersDept!$B$9:$B$37,OthersDept!$B$51,OthersDept!D$9:D$37,$B51)/OthersDept!D$51) + IF(OthersDept!D$52=0,0,COUNTIFS(OthersDept!$B$9:$B$37,OthersDept!$B$52,OthersDept!D$9:D$37,$B51)/OthersDept!D$52) +  IF(OthersDept!D$53=0,0,COUNTIFS(OthersDept!$B$9:$B$37,OthersDept!$B$53,OthersDept!D$9:D$37,$B51)/OthersDept!D$53))*150000)</f>
        <v>0</v>
      </c>
      <c r="E51" s="135">
        <f>IF($B51="","",(IF(OthersDept!E$42=0,0,COUNTIFS(OthersDept!$B$9:$B$37,OthersDept!$B$42,OthersDept!E$9:E$37,$B51)/OthersDept!E$42) + IF(OthersDept!E$43=0,0,COUNTIFS(OthersDept!$B$9:$B$37,OthersDept!$B$43,OthersDept!E$9:E$37,$B51)/OthersDept!E$43) + IF(OthersDept!E$44=0,0,COUNTIFS(OthersDept!$B$9:$B$37,OthersDept!$B$44,OthersDept!E$9:E$37,$B51)/OthersDept!E$44) + IF(OthersDept!E$45=0,0,COUNTIFS(OthersDept!$B$9:$B$37,OthersDept!$B$45,OthersDept!E$9:E$37,$B51)/OthersDept!E$45) + IF(OthersDept!E$46=0,0,COUNTIFS(OthersDept!$B$9:$B$37,OthersDept!$B$46,OthersDept!E$9:E$37,$B51)/OthersDept!E$46) + IF(OthersDept!E$47=0,0,COUNTIFS(OthersDept!$B$9:$B$37,OthersDept!$B$47,OthersDept!E$9:E$37,$B51)/OthersDept!E$47) + IF(OthersDept!E$48=0,0,COUNTIFS(OthersDept!$B$9:$B$37,OthersDept!$B$48,OthersDept!E$9:E$37,$B51)/OthersDept!E$48) + IF(OthersDept!E$49=0,0,COUNTIFS(OthersDept!$B$9:$B$37,OthersDept!$B$49,OthersDept!E$9:E$37,$B51)/OthersDept!E$49) + IF(OthersDept!E$50=0,0,COUNTIFS(OthersDept!$B$9:$B$37,OthersDept!$B$50,OthersDept!E$9:E$37,$B51)/OthersDept!E$50) + IF(OthersDept!E$51=0,0,COUNTIFS(OthersDept!$B$9:$B$37,OthersDept!$B$51,OthersDept!E$9:E$37,$B51)/OthersDept!E$51) + IF(OthersDept!E$52=0,0,COUNTIFS(OthersDept!$B$9:$B$37,OthersDept!$B$52,OthersDept!E$9:E$37,$B51)/OthersDept!E$52) +  IF(OthersDept!E$53=0,0,COUNTIFS(OthersDept!$B$9:$B$37,OthersDept!$B$53,OthersDept!E$9:E$37,$B51)/OthersDept!E$53))*150000)</f>
        <v>0</v>
      </c>
      <c r="F51" s="135">
        <f>IF($B51="","",(IF(OthersDept!F$42=0,0,COUNTIFS(OthersDept!$B$9:$B$37,OthersDept!$B$42,OthersDept!F$9:F$37,$B51)/OthersDept!F$42) + IF(OthersDept!F$43=0,0,COUNTIFS(OthersDept!$B$9:$B$37,OthersDept!$B$43,OthersDept!F$9:F$37,$B51)/OthersDept!F$43) + IF(OthersDept!F$44=0,0,COUNTIFS(OthersDept!$B$9:$B$37,OthersDept!$B$44,OthersDept!F$9:F$37,$B51)/OthersDept!F$44) + IF(OthersDept!F$45=0,0,COUNTIFS(OthersDept!$B$9:$B$37,OthersDept!$B$45,OthersDept!F$9:F$37,$B51)/OthersDept!F$45) + IF(OthersDept!F$46=0,0,COUNTIFS(OthersDept!$B$9:$B$37,OthersDept!$B$46,OthersDept!F$9:F$37,$B51)/OthersDept!F$46) + IF(OthersDept!F$47=0,0,COUNTIFS(OthersDept!$B$9:$B$37,OthersDept!$B$47,OthersDept!F$9:F$37,$B51)/OthersDept!F$47) + IF(OthersDept!F$48=0,0,COUNTIFS(OthersDept!$B$9:$B$37,OthersDept!$B$48,OthersDept!F$9:F$37,$B51)/OthersDept!F$48) + IF(OthersDept!F$49=0,0,COUNTIFS(OthersDept!$B$9:$B$37,OthersDept!$B$49,OthersDept!F$9:F$37,$B51)/OthersDept!F$49) + IF(OthersDept!F$50=0,0,COUNTIFS(OthersDept!$B$9:$B$37,OthersDept!$B$50,OthersDept!F$9:F$37,$B51)/OthersDept!F$50) + IF(OthersDept!F$51=0,0,COUNTIFS(OthersDept!$B$9:$B$37,OthersDept!$B$51,OthersDept!F$9:F$37,$B51)/OthersDept!F$51) + IF(OthersDept!F$52=0,0,COUNTIFS(OthersDept!$B$9:$B$37,OthersDept!$B$52,OthersDept!F$9:F$37,$B51)/OthersDept!F$52) +  IF(OthersDept!F$53=0,0,COUNTIFS(OthersDept!$B$9:$B$37,OthersDept!$B$53,OthersDept!F$9:F$37,$B51)/OthersDept!F$53))*150000)</f>
        <v>0</v>
      </c>
      <c r="G51" s="135">
        <f>IF($B51="","",(IF(OthersDept!G$42=0,0,COUNTIFS(OthersDept!$B$9:$B$37,OthersDept!$B$42,OthersDept!G$9:G$37,$B51)/OthersDept!G$42) + IF(OthersDept!G$43=0,0,COUNTIFS(OthersDept!$B$9:$B$37,OthersDept!$B$43,OthersDept!G$9:G$37,$B51)/OthersDept!G$43) + IF(OthersDept!G$44=0,0,COUNTIFS(OthersDept!$B$9:$B$37,OthersDept!$B$44,OthersDept!G$9:G$37,$B51)/OthersDept!G$44) + IF(OthersDept!G$45=0,0,COUNTIFS(OthersDept!$B$9:$B$37,OthersDept!$B$45,OthersDept!G$9:G$37,$B51)/OthersDept!G$45) + IF(OthersDept!G$46=0,0,COUNTIFS(OthersDept!$B$9:$B$37,OthersDept!$B$46,OthersDept!G$9:G$37,$B51)/OthersDept!G$46) + IF(OthersDept!G$47=0,0,COUNTIFS(OthersDept!$B$9:$B$37,OthersDept!$B$47,OthersDept!G$9:G$37,$B51)/OthersDept!G$47) + IF(OthersDept!G$48=0,0,COUNTIFS(OthersDept!$B$9:$B$37,OthersDept!$B$48,OthersDept!G$9:G$37,$B51)/OthersDept!G$48) + IF(OthersDept!G$49=0,0,COUNTIFS(OthersDept!$B$9:$B$37,OthersDept!$B$49,OthersDept!G$9:G$37,$B51)/OthersDept!G$49) + IF(OthersDept!G$50=0,0,COUNTIFS(OthersDept!$B$9:$B$37,OthersDept!$B$50,OthersDept!G$9:G$37,$B51)/OthersDept!G$50) + IF(OthersDept!G$51=0,0,COUNTIFS(OthersDept!$B$9:$B$37,OthersDept!$B$51,OthersDept!G$9:G$37,$B51)/OthersDept!G$51) + IF(OthersDept!G$52=0,0,COUNTIFS(OthersDept!$B$9:$B$37,OthersDept!$B$52,OthersDept!G$9:G$37,$B51)/OthersDept!G$52) +  IF(OthersDept!G$53=0,0,COUNTIFS(OthersDept!$B$9:$B$37,OthersDept!$B$53,OthersDept!G$9:G$37,$B51)/OthersDept!G$53))*150000)</f>
        <v>0</v>
      </c>
      <c r="H51" s="136">
        <f t="shared" si="1"/>
        <v>0</v>
      </c>
      <c r="I51" s="53"/>
      <c r="J51" s="53"/>
      <c r="K51" s="53"/>
      <c r="L51" s="53"/>
      <c r="M51" s="53"/>
      <c r="N51" s="53"/>
      <c r="P51" s="53"/>
    </row>
    <row r="52" spans="1:16" x14ac:dyDescent="0.25">
      <c r="A52" s="133">
        <f>IF(ISTEXT($B52),8,"")</f>
        <v>8</v>
      </c>
      <c r="B52" s="210" t="s">
        <v>409</v>
      </c>
      <c r="C52" s="135">
        <f>IF($B52="","",(IF(OthersDept!C$42=0,0,COUNTIFS(OthersDept!$B$9:$B$37,OthersDept!$B$42,OthersDept!C$9:C$37,$B52)/OthersDept!C$42) + IF(OthersDept!C$43=0,0,COUNTIFS(OthersDept!$B$9:$B$37,OthersDept!$B$43,OthersDept!C$9:C$37,$B52)/OthersDept!C$43) + IF(OthersDept!C$44=0,0,COUNTIFS(OthersDept!$B$9:$B$37,OthersDept!$B$44,OthersDept!C$9:C$37,$B52)/OthersDept!C$44) + IF(OthersDept!C$45=0,0,COUNTIFS(OthersDept!$B$9:$B$37,OthersDept!$B$45,OthersDept!C$9:C$37,$B52)/OthersDept!C$45) + IF(OthersDept!C$46=0,0,COUNTIFS(OthersDept!$B$9:$B$37,OthersDept!$B$46,OthersDept!C$9:C$37,$B52)/OthersDept!C$46) + IF(OthersDept!C$47=0,0,COUNTIFS(OthersDept!$B$9:$B$37,OthersDept!$B$47,OthersDept!C$9:C$37,$B52)/OthersDept!C$47) + IF(OthersDept!C$48=0,0,COUNTIFS(OthersDept!$B$9:$B$37,OthersDept!$B$48,OthersDept!C$9:C$37,$B52)/OthersDept!C$48) + IF(OthersDept!C$49=0,0,COUNTIFS(OthersDept!$B$9:$B$37,OthersDept!$B$49,OthersDept!C$9:C$37,$B52)/OthersDept!C$49) + IF(OthersDept!C$50=0,0,COUNTIFS(OthersDept!$B$9:$B$37,OthersDept!$B$50,OthersDept!C$9:C$37,$B52)/OthersDept!C$50) + IF(OthersDept!C$51=0,0,COUNTIFS(OthersDept!$B$9:$B$37,OthersDept!$B$51,OthersDept!C$9:C$37,$B52)/OthersDept!C$51) + IF(OthersDept!C$52=0,0,COUNTIFS(OthersDept!$B$9:$B$37,OthersDept!$B$52,OthersDept!C$9:C$37,$B52)/OthersDept!C$52) +  IF(OthersDept!C$53=0,0,COUNTIFS(OthersDept!$B$9:$B$37,OthersDept!$B$53,OthersDept!C$9:C$37,$B52)/OthersDept!C$53))*150000)</f>
        <v>0</v>
      </c>
      <c r="D52" s="135">
        <f>IF($B52="","",(IF(OthersDept!D$42=0,0,COUNTIFS(OthersDept!$B$9:$B$37,OthersDept!$B$42,OthersDept!D$9:D$37,$B52)/OthersDept!D$42) + IF(OthersDept!D$43=0,0,COUNTIFS(OthersDept!$B$9:$B$37,OthersDept!$B$43,OthersDept!D$9:D$37,$B52)/OthersDept!D$43) + IF(OthersDept!D$44=0,0,COUNTIFS(OthersDept!$B$9:$B$37,OthersDept!$B$44,OthersDept!D$9:D$37,$B52)/OthersDept!D$44) + IF(OthersDept!D$45=0,0,COUNTIFS(OthersDept!$B$9:$B$37,OthersDept!$B$45,OthersDept!D$9:D$37,$B52)/OthersDept!D$45) + IF(OthersDept!D$46=0,0,COUNTIFS(OthersDept!$B$9:$B$37,OthersDept!$B$46,OthersDept!D$9:D$37,$B52)/OthersDept!D$46) + IF(OthersDept!D$47=0,0,COUNTIFS(OthersDept!$B$9:$B$37,OthersDept!$B$47,OthersDept!D$9:D$37,$B52)/OthersDept!D$47) + IF(OthersDept!D$48=0,0,COUNTIFS(OthersDept!$B$9:$B$37,OthersDept!$B$48,OthersDept!D$9:D$37,$B52)/OthersDept!D$48) + IF(OthersDept!D$49=0,0,COUNTIFS(OthersDept!$B$9:$B$37,OthersDept!$B$49,OthersDept!D$9:D$37,$B52)/OthersDept!D$49) + IF(OthersDept!D$50=0,0,COUNTIFS(OthersDept!$B$9:$B$37,OthersDept!$B$50,OthersDept!D$9:D$37,$B52)/OthersDept!D$50) + IF(OthersDept!D$51=0,0,COUNTIFS(OthersDept!$B$9:$B$37,OthersDept!$B$51,OthersDept!D$9:D$37,$B52)/OthersDept!D$51) + IF(OthersDept!D$52=0,0,COUNTIFS(OthersDept!$B$9:$B$37,OthersDept!$B$52,OthersDept!D$9:D$37,$B52)/OthersDept!D$52) +  IF(OthersDept!D$53=0,0,COUNTIFS(OthersDept!$B$9:$B$37,OthersDept!$B$53,OthersDept!D$9:D$37,$B52)/OthersDept!D$53))*150000)</f>
        <v>0</v>
      </c>
      <c r="E52" s="135">
        <f>IF($B52="","",(IF(OthersDept!E$42=0,0,COUNTIFS(OthersDept!$B$9:$B$37,OthersDept!$B$42,OthersDept!E$9:E$37,$B52)/OthersDept!E$42) + IF(OthersDept!E$43=0,0,COUNTIFS(OthersDept!$B$9:$B$37,OthersDept!$B$43,OthersDept!E$9:E$37,$B52)/OthersDept!E$43) + IF(OthersDept!E$44=0,0,COUNTIFS(OthersDept!$B$9:$B$37,OthersDept!$B$44,OthersDept!E$9:E$37,$B52)/OthersDept!E$44) + IF(OthersDept!E$45=0,0,COUNTIFS(OthersDept!$B$9:$B$37,OthersDept!$B$45,OthersDept!E$9:E$37,$B52)/OthersDept!E$45) + IF(OthersDept!E$46=0,0,COUNTIFS(OthersDept!$B$9:$B$37,OthersDept!$B$46,OthersDept!E$9:E$37,$B52)/OthersDept!E$46) + IF(OthersDept!E$47=0,0,COUNTIFS(OthersDept!$B$9:$B$37,OthersDept!$B$47,OthersDept!E$9:E$37,$B52)/OthersDept!E$47) + IF(OthersDept!E$48=0,0,COUNTIFS(OthersDept!$B$9:$B$37,OthersDept!$B$48,OthersDept!E$9:E$37,$B52)/OthersDept!E$48) + IF(OthersDept!E$49=0,0,COUNTIFS(OthersDept!$B$9:$B$37,OthersDept!$B$49,OthersDept!E$9:E$37,$B52)/OthersDept!E$49) + IF(OthersDept!E$50=0,0,COUNTIFS(OthersDept!$B$9:$B$37,OthersDept!$B$50,OthersDept!E$9:E$37,$B52)/OthersDept!E$50) + IF(OthersDept!E$51=0,0,COUNTIFS(OthersDept!$B$9:$B$37,OthersDept!$B$51,OthersDept!E$9:E$37,$B52)/OthersDept!E$51) + IF(OthersDept!E$52=0,0,COUNTIFS(OthersDept!$B$9:$B$37,OthersDept!$B$52,OthersDept!E$9:E$37,$B52)/OthersDept!E$52) +  IF(OthersDept!E$53=0,0,COUNTIFS(OthersDept!$B$9:$B$37,OthersDept!$B$53,OthersDept!E$9:E$37,$B52)/OthersDept!E$53))*150000)</f>
        <v>0</v>
      </c>
      <c r="F52" s="135">
        <f>IF($B52="","",(IF(OthersDept!F$42=0,0,COUNTIFS(OthersDept!$B$9:$B$37,OthersDept!$B$42,OthersDept!F$9:F$37,$B52)/OthersDept!F$42) + IF(OthersDept!F$43=0,0,COUNTIFS(OthersDept!$B$9:$B$37,OthersDept!$B$43,OthersDept!F$9:F$37,$B52)/OthersDept!F$43) + IF(OthersDept!F$44=0,0,COUNTIFS(OthersDept!$B$9:$B$37,OthersDept!$B$44,OthersDept!F$9:F$37,$B52)/OthersDept!F$44) + IF(OthersDept!F$45=0,0,COUNTIFS(OthersDept!$B$9:$B$37,OthersDept!$B$45,OthersDept!F$9:F$37,$B52)/OthersDept!F$45) + IF(OthersDept!F$46=0,0,COUNTIFS(OthersDept!$B$9:$B$37,OthersDept!$B$46,OthersDept!F$9:F$37,$B52)/OthersDept!F$46) + IF(OthersDept!F$47=0,0,COUNTIFS(OthersDept!$B$9:$B$37,OthersDept!$B$47,OthersDept!F$9:F$37,$B52)/OthersDept!F$47) + IF(OthersDept!F$48=0,0,COUNTIFS(OthersDept!$B$9:$B$37,OthersDept!$B$48,OthersDept!F$9:F$37,$B52)/OthersDept!F$48) + IF(OthersDept!F$49=0,0,COUNTIFS(OthersDept!$B$9:$B$37,OthersDept!$B$49,OthersDept!F$9:F$37,$B52)/OthersDept!F$49) + IF(OthersDept!F$50=0,0,COUNTIFS(OthersDept!$B$9:$B$37,OthersDept!$B$50,OthersDept!F$9:F$37,$B52)/OthersDept!F$50) + IF(OthersDept!F$51=0,0,COUNTIFS(OthersDept!$B$9:$B$37,OthersDept!$B$51,OthersDept!F$9:F$37,$B52)/OthersDept!F$51) + IF(OthersDept!F$52=0,0,COUNTIFS(OthersDept!$B$9:$B$37,OthersDept!$B$52,OthersDept!F$9:F$37,$B52)/OthersDept!F$52) +  IF(OthersDept!F$53=0,0,COUNTIFS(OthersDept!$B$9:$B$37,OthersDept!$B$53,OthersDept!F$9:F$37,$B52)/OthersDept!F$53))*150000)</f>
        <v>0</v>
      </c>
      <c r="G52" s="135">
        <f>IF($B52="","",(IF(OthersDept!G$42=0,0,COUNTIFS(OthersDept!$B$9:$B$37,OthersDept!$B$42,OthersDept!G$9:G$37,$B52)/OthersDept!G$42) + IF(OthersDept!G$43=0,0,COUNTIFS(OthersDept!$B$9:$B$37,OthersDept!$B$43,OthersDept!G$9:G$37,$B52)/OthersDept!G$43) + IF(OthersDept!G$44=0,0,COUNTIFS(OthersDept!$B$9:$B$37,OthersDept!$B$44,OthersDept!G$9:G$37,$B52)/OthersDept!G$44) + IF(OthersDept!G$45=0,0,COUNTIFS(OthersDept!$B$9:$B$37,OthersDept!$B$45,OthersDept!G$9:G$37,$B52)/OthersDept!G$45) + IF(OthersDept!G$46=0,0,COUNTIFS(OthersDept!$B$9:$B$37,OthersDept!$B$46,OthersDept!G$9:G$37,$B52)/OthersDept!G$46) + IF(OthersDept!G$47=0,0,COUNTIFS(OthersDept!$B$9:$B$37,OthersDept!$B$47,OthersDept!G$9:G$37,$B52)/OthersDept!G$47) + IF(OthersDept!G$48=0,0,COUNTIFS(OthersDept!$B$9:$B$37,OthersDept!$B$48,OthersDept!G$9:G$37,$B52)/OthersDept!G$48) + IF(OthersDept!G$49=0,0,COUNTIFS(OthersDept!$B$9:$B$37,OthersDept!$B$49,OthersDept!G$9:G$37,$B52)/OthersDept!G$49) + IF(OthersDept!G$50=0,0,COUNTIFS(OthersDept!$B$9:$B$37,OthersDept!$B$50,OthersDept!G$9:G$37,$B52)/OthersDept!G$50) + IF(OthersDept!G$51=0,0,COUNTIFS(OthersDept!$B$9:$B$37,OthersDept!$B$51,OthersDept!G$9:G$37,$B52)/OthersDept!G$51) + IF(OthersDept!G$52=0,0,COUNTIFS(OthersDept!$B$9:$B$37,OthersDept!$B$52,OthersDept!G$9:G$37,$B52)/OthersDept!G$52) +  IF(OthersDept!G$53=0,0,COUNTIFS(OthersDept!$B$9:$B$37,OthersDept!$B$53,OthersDept!G$9:G$37,$B52)/OthersDept!G$53))*150000)</f>
        <v>0</v>
      </c>
      <c r="H52" s="136">
        <f t="shared" si="1"/>
        <v>0</v>
      </c>
      <c r="I52" s="53"/>
      <c r="J52" s="53"/>
      <c r="K52" s="53"/>
      <c r="L52" s="53"/>
      <c r="M52" s="53"/>
      <c r="N52" s="53"/>
      <c r="P52" s="53"/>
    </row>
    <row r="53" spans="1:16" x14ac:dyDescent="0.25">
      <c r="A53" s="133">
        <f>IF(ISTEXT($B53),9,"")</f>
        <v>9</v>
      </c>
      <c r="B53" s="65" t="s">
        <v>404</v>
      </c>
      <c r="C53" s="135">
        <f>IF($B53="","",(IF(OthersDept!C$42=0,0,COUNTIFS(OthersDept!$B$9:$B$37,OthersDept!$B$42,OthersDept!C$9:C$37,$B53)/OthersDept!C$42) + IF(OthersDept!C$43=0,0,COUNTIFS(OthersDept!$B$9:$B$37,OthersDept!$B$43,OthersDept!C$9:C$37,$B53)/OthersDept!C$43) + IF(OthersDept!C$44=0,0,COUNTIFS(OthersDept!$B$9:$B$37,OthersDept!$B$44,OthersDept!C$9:C$37,$B53)/OthersDept!C$44) + IF(OthersDept!C$45=0,0,COUNTIFS(OthersDept!$B$9:$B$37,OthersDept!$B$45,OthersDept!C$9:C$37,$B53)/OthersDept!C$45) + IF(OthersDept!C$46=0,0,COUNTIFS(OthersDept!$B$9:$B$37,OthersDept!$B$46,OthersDept!C$9:C$37,$B53)/OthersDept!C$46) + IF(OthersDept!C$47=0,0,COUNTIFS(OthersDept!$B$9:$B$37,OthersDept!$B$47,OthersDept!C$9:C$37,$B53)/OthersDept!C$47) + IF(OthersDept!C$48=0,0,COUNTIFS(OthersDept!$B$9:$B$37,OthersDept!$B$48,OthersDept!C$9:C$37,$B53)/OthersDept!C$48) + IF(OthersDept!C$49=0,0,COUNTIFS(OthersDept!$B$9:$B$37,OthersDept!$B$49,OthersDept!C$9:C$37,$B53)/OthersDept!C$49) + IF(OthersDept!C$50=0,0,COUNTIFS(OthersDept!$B$9:$B$37,OthersDept!$B$50,OthersDept!C$9:C$37,$B53)/OthersDept!C$50) + IF(OthersDept!C$51=0,0,COUNTIFS(OthersDept!$B$9:$B$37,OthersDept!$B$51,OthersDept!C$9:C$37,$B53)/OthersDept!C$51) + IF(OthersDept!C$52=0,0,COUNTIFS(OthersDept!$B$9:$B$37,OthersDept!$B$52,OthersDept!C$9:C$37,$B53)/OthersDept!C$52) +  IF(OthersDept!C$53=0,0,COUNTIFS(OthersDept!$B$9:$B$37,OthersDept!$B$53,OthersDept!C$9:C$37,$B53)/OthersDept!C$53))*150000)</f>
        <v>0</v>
      </c>
      <c r="D53" s="135">
        <f>IF($B53="","",(IF(OthersDept!D$42=0,0,COUNTIFS(OthersDept!$B$9:$B$37,OthersDept!$B$42,OthersDept!D$9:D$37,$B53)/OthersDept!D$42) + IF(OthersDept!D$43=0,0,COUNTIFS(OthersDept!$B$9:$B$37,OthersDept!$B$43,OthersDept!D$9:D$37,$B53)/OthersDept!D$43) + IF(OthersDept!D$44=0,0,COUNTIFS(OthersDept!$B$9:$B$37,OthersDept!$B$44,OthersDept!D$9:D$37,$B53)/OthersDept!D$44) + IF(OthersDept!D$45=0,0,COUNTIFS(OthersDept!$B$9:$B$37,OthersDept!$B$45,OthersDept!D$9:D$37,$B53)/OthersDept!D$45) + IF(OthersDept!D$46=0,0,COUNTIFS(OthersDept!$B$9:$B$37,OthersDept!$B$46,OthersDept!D$9:D$37,$B53)/OthersDept!D$46) + IF(OthersDept!D$47=0,0,COUNTIFS(OthersDept!$B$9:$B$37,OthersDept!$B$47,OthersDept!D$9:D$37,$B53)/OthersDept!D$47) + IF(OthersDept!D$48=0,0,COUNTIFS(OthersDept!$B$9:$B$37,OthersDept!$B$48,OthersDept!D$9:D$37,$B53)/OthersDept!D$48) + IF(OthersDept!D$49=0,0,COUNTIFS(OthersDept!$B$9:$B$37,OthersDept!$B$49,OthersDept!D$9:D$37,$B53)/OthersDept!D$49) + IF(OthersDept!D$50=0,0,COUNTIFS(OthersDept!$B$9:$B$37,OthersDept!$B$50,OthersDept!D$9:D$37,$B53)/OthersDept!D$50) + IF(OthersDept!D$51=0,0,COUNTIFS(OthersDept!$B$9:$B$37,OthersDept!$B$51,OthersDept!D$9:D$37,$B53)/OthersDept!D$51) + IF(OthersDept!D$52=0,0,COUNTIFS(OthersDept!$B$9:$B$37,OthersDept!$B$52,OthersDept!D$9:D$37,$B53)/OthersDept!D$52) +  IF(OthersDept!D$53=0,0,COUNTIFS(OthersDept!$B$9:$B$37,OthersDept!$B$53,OthersDept!D$9:D$37,$B53)/OthersDept!D$53))*150000)</f>
        <v>0</v>
      </c>
      <c r="E53" s="135">
        <f>IF($B53="","",(IF(OthersDept!E$42=0,0,COUNTIFS(OthersDept!$B$9:$B$37,OthersDept!$B$42,OthersDept!E$9:E$37,$B53)/OthersDept!E$42) + IF(OthersDept!E$43=0,0,COUNTIFS(OthersDept!$B$9:$B$37,OthersDept!$B$43,OthersDept!E$9:E$37,$B53)/OthersDept!E$43) + IF(OthersDept!E$44=0,0,COUNTIFS(OthersDept!$B$9:$B$37,OthersDept!$B$44,OthersDept!E$9:E$37,$B53)/OthersDept!E$44) + IF(OthersDept!E$45=0,0,COUNTIFS(OthersDept!$B$9:$B$37,OthersDept!$B$45,OthersDept!E$9:E$37,$B53)/OthersDept!E$45) + IF(OthersDept!E$46=0,0,COUNTIFS(OthersDept!$B$9:$B$37,OthersDept!$B$46,OthersDept!E$9:E$37,$B53)/OthersDept!E$46) + IF(OthersDept!E$47=0,0,COUNTIFS(OthersDept!$B$9:$B$37,OthersDept!$B$47,OthersDept!E$9:E$37,$B53)/OthersDept!E$47) + IF(OthersDept!E$48=0,0,COUNTIFS(OthersDept!$B$9:$B$37,OthersDept!$B$48,OthersDept!E$9:E$37,$B53)/OthersDept!E$48) + IF(OthersDept!E$49=0,0,COUNTIFS(OthersDept!$B$9:$B$37,OthersDept!$B$49,OthersDept!E$9:E$37,$B53)/OthersDept!E$49) + IF(OthersDept!E$50=0,0,COUNTIFS(OthersDept!$B$9:$B$37,OthersDept!$B$50,OthersDept!E$9:E$37,$B53)/OthersDept!E$50) + IF(OthersDept!E$51=0,0,COUNTIFS(OthersDept!$B$9:$B$37,OthersDept!$B$51,OthersDept!E$9:E$37,$B53)/OthersDept!E$51) + IF(OthersDept!E$52=0,0,COUNTIFS(OthersDept!$B$9:$B$37,OthersDept!$B$52,OthersDept!E$9:E$37,$B53)/OthersDept!E$52) +  IF(OthersDept!E$53=0,0,COUNTIFS(OthersDept!$B$9:$B$37,OthersDept!$B$53,OthersDept!E$9:E$37,$B53)/OthersDept!E$53))*150000)</f>
        <v>0</v>
      </c>
      <c r="F53" s="135">
        <f>IF($B53="","",(IF(OthersDept!F$42=0,0,COUNTIFS(OthersDept!$B$9:$B$37,OthersDept!$B$42,OthersDept!F$9:F$37,$B53)/OthersDept!F$42) + IF(OthersDept!F$43=0,0,COUNTIFS(OthersDept!$B$9:$B$37,OthersDept!$B$43,OthersDept!F$9:F$37,$B53)/OthersDept!F$43) + IF(OthersDept!F$44=0,0,COUNTIFS(OthersDept!$B$9:$B$37,OthersDept!$B$44,OthersDept!F$9:F$37,$B53)/OthersDept!F$44) + IF(OthersDept!F$45=0,0,COUNTIFS(OthersDept!$B$9:$B$37,OthersDept!$B$45,OthersDept!F$9:F$37,$B53)/OthersDept!F$45) + IF(OthersDept!F$46=0,0,COUNTIFS(OthersDept!$B$9:$B$37,OthersDept!$B$46,OthersDept!F$9:F$37,$B53)/OthersDept!F$46) + IF(OthersDept!F$47=0,0,COUNTIFS(OthersDept!$B$9:$B$37,OthersDept!$B$47,OthersDept!F$9:F$37,$B53)/OthersDept!F$47) + IF(OthersDept!F$48=0,0,COUNTIFS(OthersDept!$B$9:$B$37,OthersDept!$B$48,OthersDept!F$9:F$37,$B53)/OthersDept!F$48) + IF(OthersDept!F$49=0,0,COUNTIFS(OthersDept!$B$9:$B$37,OthersDept!$B$49,OthersDept!F$9:F$37,$B53)/OthersDept!F$49) + IF(OthersDept!F$50=0,0,COUNTIFS(OthersDept!$B$9:$B$37,OthersDept!$B$50,OthersDept!F$9:F$37,$B53)/OthersDept!F$50) + IF(OthersDept!F$51=0,0,COUNTIFS(OthersDept!$B$9:$B$37,OthersDept!$B$51,OthersDept!F$9:F$37,$B53)/OthersDept!F$51) + IF(OthersDept!F$52=0,0,COUNTIFS(OthersDept!$B$9:$B$37,OthersDept!$B$52,OthersDept!F$9:F$37,$B53)/OthersDept!F$52) +  IF(OthersDept!F$53=0,0,COUNTIFS(OthersDept!$B$9:$B$37,OthersDept!$B$53,OthersDept!F$9:F$37,$B53)/OthersDept!F$53))*150000)</f>
        <v>0</v>
      </c>
      <c r="G53" s="135">
        <f>IF($B53="","",(IF(OthersDept!G$42=0,0,COUNTIFS(OthersDept!$B$9:$B$37,OthersDept!$B$42,OthersDept!G$9:G$37,$B53)/OthersDept!G$42) + IF(OthersDept!G$43=0,0,COUNTIFS(OthersDept!$B$9:$B$37,OthersDept!$B$43,OthersDept!G$9:G$37,$B53)/OthersDept!G$43) + IF(OthersDept!G$44=0,0,COUNTIFS(OthersDept!$B$9:$B$37,OthersDept!$B$44,OthersDept!G$9:G$37,$B53)/OthersDept!G$44) + IF(OthersDept!G$45=0,0,COUNTIFS(OthersDept!$B$9:$B$37,OthersDept!$B$45,OthersDept!G$9:G$37,$B53)/OthersDept!G$45) + IF(OthersDept!G$46=0,0,COUNTIFS(OthersDept!$B$9:$B$37,OthersDept!$B$46,OthersDept!G$9:G$37,$B53)/OthersDept!G$46) + IF(OthersDept!G$47=0,0,COUNTIFS(OthersDept!$B$9:$B$37,OthersDept!$B$47,OthersDept!G$9:G$37,$B53)/OthersDept!G$47) + IF(OthersDept!G$48=0,0,COUNTIFS(OthersDept!$B$9:$B$37,OthersDept!$B$48,OthersDept!G$9:G$37,$B53)/OthersDept!G$48) + IF(OthersDept!G$49=0,0,COUNTIFS(OthersDept!$B$9:$B$37,OthersDept!$B$49,OthersDept!G$9:G$37,$B53)/OthersDept!G$49) + IF(OthersDept!G$50=0,0,COUNTIFS(OthersDept!$B$9:$B$37,OthersDept!$B$50,OthersDept!G$9:G$37,$B53)/OthersDept!G$50) + IF(OthersDept!G$51=0,0,COUNTIFS(OthersDept!$B$9:$B$37,OthersDept!$B$51,OthersDept!G$9:G$37,$B53)/OthersDept!G$51) + IF(OthersDept!G$52=0,0,COUNTIFS(OthersDept!$B$9:$B$37,OthersDept!$B$52,OthersDept!G$9:G$37,$B53)/OthersDept!G$52) +  IF(OthersDept!G$53=0,0,COUNTIFS(OthersDept!$B$9:$B$37,OthersDept!$B$53,OthersDept!G$9:G$37,$B53)/OthersDept!G$53))*150000)</f>
        <v>0</v>
      </c>
      <c r="H53" s="136">
        <f t="shared" si="1"/>
        <v>0</v>
      </c>
      <c r="I53" s="53"/>
      <c r="J53" s="53"/>
      <c r="K53" s="53"/>
      <c r="L53" s="53"/>
      <c r="M53" s="53"/>
      <c r="N53" s="53"/>
      <c r="P53" s="53"/>
    </row>
    <row r="54" spans="1:16" x14ac:dyDescent="0.25">
      <c r="A54" s="133">
        <f>IF(ISTEXT($B54),10,"")</f>
        <v>10</v>
      </c>
      <c r="B54" s="210" t="s">
        <v>407</v>
      </c>
      <c r="C54" s="135">
        <f>IF($B54="","",(IF(OthersDept!C$42=0,0,COUNTIFS(OthersDept!$B$9:$B$37,OthersDept!$B$42,OthersDept!C$9:C$37,$B54)/OthersDept!C$42) + IF(OthersDept!C$43=0,0,COUNTIFS(OthersDept!$B$9:$B$37,OthersDept!$B$43,OthersDept!C$9:C$37,$B54)/OthersDept!C$43) + IF(OthersDept!C$44=0,0,COUNTIFS(OthersDept!$B$9:$B$37,OthersDept!$B$44,OthersDept!C$9:C$37,$B54)/OthersDept!C$44) + IF(OthersDept!C$45=0,0,COUNTIFS(OthersDept!$B$9:$B$37,OthersDept!$B$45,OthersDept!C$9:C$37,$B54)/OthersDept!C$45) + IF(OthersDept!C$46=0,0,COUNTIFS(OthersDept!$B$9:$B$37,OthersDept!$B$46,OthersDept!C$9:C$37,$B54)/OthersDept!C$46) + IF(OthersDept!C$47=0,0,COUNTIFS(OthersDept!$B$9:$B$37,OthersDept!$B$47,OthersDept!C$9:C$37,$B54)/OthersDept!C$47) + IF(OthersDept!C$48=0,0,COUNTIFS(OthersDept!$B$9:$B$37,OthersDept!$B$48,OthersDept!C$9:C$37,$B54)/OthersDept!C$48) + IF(OthersDept!C$49=0,0,COUNTIFS(OthersDept!$B$9:$B$37,OthersDept!$B$49,OthersDept!C$9:C$37,$B54)/OthersDept!C$49) + IF(OthersDept!C$50=0,0,COUNTIFS(OthersDept!$B$9:$B$37,OthersDept!$B$50,OthersDept!C$9:C$37,$B54)/OthersDept!C$50) + IF(OthersDept!C$51=0,0,COUNTIFS(OthersDept!$B$9:$B$37,OthersDept!$B$51,OthersDept!C$9:C$37,$B54)/OthersDept!C$51) + IF(OthersDept!C$52=0,0,COUNTIFS(OthersDept!$B$9:$B$37,OthersDept!$B$52,OthersDept!C$9:C$37,$B54)/OthersDept!C$52) +  IF(OthersDept!C$53=0,0,COUNTIFS(OthersDept!$B$9:$B$37,OthersDept!$B$53,OthersDept!C$9:C$37,$B54)/OthersDept!C$53))*150000)</f>
        <v>0</v>
      </c>
      <c r="D54" s="135">
        <f>IF($B54="","",(IF(OthersDept!D$42=0,0,COUNTIFS(OthersDept!$B$9:$B$37,OthersDept!$B$42,OthersDept!D$9:D$37,$B54)/OthersDept!D$42) + IF(OthersDept!D$43=0,0,COUNTIFS(OthersDept!$B$9:$B$37,OthersDept!$B$43,OthersDept!D$9:D$37,$B54)/OthersDept!D$43) + IF(OthersDept!D$44=0,0,COUNTIFS(OthersDept!$B$9:$B$37,OthersDept!$B$44,OthersDept!D$9:D$37,$B54)/OthersDept!D$44) + IF(OthersDept!D$45=0,0,COUNTIFS(OthersDept!$B$9:$B$37,OthersDept!$B$45,OthersDept!D$9:D$37,$B54)/OthersDept!D$45) + IF(OthersDept!D$46=0,0,COUNTIFS(OthersDept!$B$9:$B$37,OthersDept!$B$46,OthersDept!D$9:D$37,$B54)/OthersDept!D$46) + IF(OthersDept!D$47=0,0,COUNTIFS(OthersDept!$B$9:$B$37,OthersDept!$B$47,OthersDept!D$9:D$37,$B54)/OthersDept!D$47) + IF(OthersDept!D$48=0,0,COUNTIFS(OthersDept!$B$9:$B$37,OthersDept!$B$48,OthersDept!D$9:D$37,$B54)/OthersDept!D$48) + IF(OthersDept!D$49=0,0,COUNTIFS(OthersDept!$B$9:$B$37,OthersDept!$B$49,OthersDept!D$9:D$37,$B54)/OthersDept!D$49) + IF(OthersDept!D$50=0,0,COUNTIFS(OthersDept!$B$9:$B$37,OthersDept!$B$50,OthersDept!D$9:D$37,$B54)/OthersDept!D$50) + IF(OthersDept!D$51=0,0,COUNTIFS(OthersDept!$B$9:$B$37,OthersDept!$B$51,OthersDept!D$9:D$37,$B54)/OthersDept!D$51) + IF(OthersDept!D$52=0,0,COUNTIFS(OthersDept!$B$9:$B$37,OthersDept!$B$52,OthersDept!D$9:D$37,$B54)/OthersDept!D$52) +  IF(OthersDept!D$53=0,0,COUNTIFS(OthersDept!$B$9:$B$37,OthersDept!$B$53,OthersDept!D$9:D$37,$B54)/OthersDept!D$53))*150000)</f>
        <v>0</v>
      </c>
      <c r="E54" s="135">
        <f>IF($B54="","",(IF(OthersDept!E$42=0,0,COUNTIFS(OthersDept!$B$9:$B$37,OthersDept!$B$42,OthersDept!E$9:E$37,$B54)/OthersDept!E$42) + IF(OthersDept!E$43=0,0,COUNTIFS(OthersDept!$B$9:$B$37,OthersDept!$B$43,OthersDept!E$9:E$37,$B54)/OthersDept!E$43) + IF(OthersDept!E$44=0,0,COUNTIFS(OthersDept!$B$9:$B$37,OthersDept!$B$44,OthersDept!E$9:E$37,$B54)/OthersDept!E$44) + IF(OthersDept!E$45=0,0,COUNTIFS(OthersDept!$B$9:$B$37,OthersDept!$B$45,OthersDept!E$9:E$37,$B54)/OthersDept!E$45) + IF(OthersDept!E$46=0,0,COUNTIFS(OthersDept!$B$9:$B$37,OthersDept!$B$46,OthersDept!E$9:E$37,$B54)/OthersDept!E$46) + IF(OthersDept!E$47=0,0,COUNTIFS(OthersDept!$B$9:$B$37,OthersDept!$B$47,OthersDept!E$9:E$37,$B54)/OthersDept!E$47) + IF(OthersDept!E$48=0,0,COUNTIFS(OthersDept!$B$9:$B$37,OthersDept!$B$48,OthersDept!E$9:E$37,$B54)/OthersDept!E$48) + IF(OthersDept!E$49=0,0,COUNTIFS(OthersDept!$B$9:$B$37,OthersDept!$B$49,OthersDept!E$9:E$37,$B54)/OthersDept!E$49) + IF(OthersDept!E$50=0,0,COUNTIFS(OthersDept!$B$9:$B$37,OthersDept!$B$50,OthersDept!E$9:E$37,$B54)/OthersDept!E$50) + IF(OthersDept!E$51=0,0,COUNTIFS(OthersDept!$B$9:$B$37,OthersDept!$B$51,OthersDept!E$9:E$37,$B54)/OthersDept!E$51) + IF(OthersDept!E$52=0,0,COUNTIFS(OthersDept!$B$9:$B$37,OthersDept!$B$52,OthersDept!E$9:E$37,$B54)/OthersDept!E$52) +  IF(OthersDept!E$53=0,0,COUNTIFS(OthersDept!$B$9:$B$37,OthersDept!$B$53,OthersDept!E$9:E$37,$B54)/OthersDept!E$53))*150000)</f>
        <v>0</v>
      </c>
      <c r="F54" s="135">
        <f>IF($B54="","",(IF(OthersDept!F$42=0,0,COUNTIFS(OthersDept!$B$9:$B$37,OthersDept!$B$42,OthersDept!F$9:F$37,$B54)/OthersDept!F$42) + IF(OthersDept!F$43=0,0,COUNTIFS(OthersDept!$B$9:$B$37,OthersDept!$B$43,OthersDept!F$9:F$37,$B54)/OthersDept!F$43) + IF(OthersDept!F$44=0,0,COUNTIFS(OthersDept!$B$9:$B$37,OthersDept!$B$44,OthersDept!F$9:F$37,$B54)/OthersDept!F$44) + IF(OthersDept!F$45=0,0,COUNTIFS(OthersDept!$B$9:$B$37,OthersDept!$B$45,OthersDept!F$9:F$37,$B54)/OthersDept!F$45) + IF(OthersDept!F$46=0,0,COUNTIFS(OthersDept!$B$9:$B$37,OthersDept!$B$46,OthersDept!F$9:F$37,$B54)/OthersDept!F$46) + IF(OthersDept!F$47=0,0,COUNTIFS(OthersDept!$B$9:$B$37,OthersDept!$B$47,OthersDept!F$9:F$37,$B54)/OthersDept!F$47) + IF(OthersDept!F$48=0,0,COUNTIFS(OthersDept!$B$9:$B$37,OthersDept!$B$48,OthersDept!F$9:F$37,$B54)/OthersDept!F$48) + IF(OthersDept!F$49=0,0,COUNTIFS(OthersDept!$B$9:$B$37,OthersDept!$B$49,OthersDept!F$9:F$37,$B54)/OthersDept!F$49) + IF(OthersDept!F$50=0,0,COUNTIFS(OthersDept!$B$9:$B$37,OthersDept!$B$50,OthersDept!F$9:F$37,$B54)/OthersDept!F$50) + IF(OthersDept!F$51=0,0,COUNTIFS(OthersDept!$B$9:$B$37,OthersDept!$B$51,OthersDept!F$9:F$37,$B54)/OthersDept!F$51) + IF(OthersDept!F$52=0,0,COUNTIFS(OthersDept!$B$9:$B$37,OthersDept!$B$52,OthersDept!F$9:F$37,$B54)/OthersDept!F$52) +  IF(OthersDept!F$53=0,0,COUNTIFS(OthersDept!$B$9:$B$37,OthersDept!$B$53,OthersDept!F$9:F$37,$B54)/OthersDept!F$53))*150000)</f>
        <v>0</v>
      </c>
      <c r="G54" s="135">
        <f>IF($B54="","",(IF(OthersDept!G$42=0,0,COUNTIFS(OthersDept!$B$9:$B$37,OthersDept!$B$42,OthersDept!G$9:G$37,$B54)/OthersDept!G$42) + IF(OthersDept!G$43=0,0,COUNTIFS(OthersDept!$B$9:$B$37,OthersDept!$B$43,OthersDept!G$9:G$37,$B54)/OthersDept!G$43) + IF(OthersDept!G$44=0,0,COUNTIFS(OthersDept!$B$9:$B$37,OthersDept!$B$44,OthersDept!G$9:G$37,$B54)/OthersDept!G$44) + IF(OthersDept!G$45=0,0,COUNTIFS(OthersDept!$B$9:$B$37,OthersDept!$B$45,OthersDept!G$9:G$37,$B54)/OthersDept!G$45) + IF(OthersDept!G$46=0,0,COUNTIFS(OthersDept!$B$9:$B$37,OthersDept!$B$46,OthersDept!G$9:G$37,$B54)/OthersDept!G$46) + IF(OthersDept!G$47=0,0,COUNTIFS(OthersDept!$B$9:$B$37,OthersDept!$B$47,OthersDept!G$9:G$37,$B54)/OthersDept!G$47) + IF(OthersDept!G$48=0,0,COUNTIFS(OthersDept!$B$9:$B$37,OthersDept!$B$48,OthersDept!G$9:G$37,$B54)/OthersDept!G$48) + IF(OthersDept!G$49=0,0,COUNTIFS(OthersDept!$B$9:$B$37,OthersDept!$B$49,OthersDept!G$9:G$37,$B54)/OthersDept!G$49) + IF(OthersDept!G$50=0,0,COUNTIFS(OthersDept!$B$9:$B$37,OthersDept!$B$50,OthersDept!G$9:G$37,$B54)/OthersDept!G$50) + IF(OthersDept!G$51=0,0,COUNTIFS(OthersDept!$B$9:$B$37,OthersDept!$B$51,OthersDept!G$9:G$37,$B54)/OthersDept!G$51) + IF(OthersDept!G$52=0,0,COUNTIFS(OthersDept!$B$9:$B$37,OthersDept!$B$52,OthersDept!G$9:G$37,$B54)/OthersDept!G$52) +  IF(OthersDept!G$53=0,0,COUNTIFS(OthersDept!$B$9:$B$37,OthersDept!$B$53,OthersDept!G$9:G$37,$B54)/OthersDept!G$53))*150000)</f>
        <v>0</v>
      </c>
      <c r="H54" s="136">
        <f t="shared" si="1"/>
        <v>0</v>
      </c>
      <c r="I54" s="53"/>
      <c r="J54" s="53"/>
      <c r="K54" s="53"/>
      <c r="L54" s="53"/>
      <c r="M54" s="53"/>
      <c r="N54" s="53"/>
      <c r="P54" s="53"/>
    </row>
    <row r="55" spans="1:16" x14ac:dyDescent="0.25">
      <c r="A55" s="133">
        <f>IF(ISTEXT($B55),11,"")</f>
        <v>11</v>
      </c>
      <c r="B55" s="65" t="s">
        <v>396</v>
      </c>
      <c r="C55" s="135">
        <f>IF($B55="","",(IF(OthersDept!C$42=0,0,COUNTIFS(OthersDept!$B$9:$B$37,OthersDept!$B$42,OthersDept!C$9:C$37,$B55)/OthersDept!C$42) + IF(OthersDept!C$43=0,0,COUNTIFS(OthersDept!$B$9:$B$37,OthersDept!$B$43,OthersDept!C$9:C$37,$B55)/OthersDept!C$43) + IF(OthersDept!C$44=0,0,COUNTIFS(OthersDept!$B$9:$B$37,OthersDept!$B$44,OthersDept!C$9:C$37,$B55)/OthersDept!C$44) + IF(OthersDept!C$45=0,0,COUNTIFS(OthersDept!$B$9:$B$37,OthersDept!$B$45,OthersDept!C$9:C$37,$B55)/OthersDept!C$45) + IF(OthersDept!C$46=0,0,COUNTIFS(OthersDept!$B$9:$B$37,OthersDept!$B$46,OthersDept!C$9:C$37,$B55)/OthersDept!C$46) + IF(OthersDept!C$47=0,0,COUNTIFS(OthersDept!$B$9:$B$37,OthersDept!$B$47,OthersDept!C$9:C$37,$B55)/OthersDept!C$47) + IF(OthersDept!C$48=0,0,COUNTIFS(OthersDept!$B$9:$B$37,OthersDept!$B$48,OthersDept!C$9:C$37,$B55)/OthersDept!C$48) + IF(OthersDept!C$49=0,0,COUNTIFS(OthersDept!$B$9:$B$37,OthersDept!$B$49,OthersDept!C$9:C$37,$B55)/OthersDept!C$49) + IF(OthersDept!C$50=0,0,COUNTIFS(OthersDept!$B$9:$B$37,OthersDept!$B$50,OthersDept!C$9:C$37,$B55)/OthersDept!C$50) + IF(OthersDept!C$51=0,0,COUNTIFS(OthersDept!$B$9:$B$37,OthersDept!$B$51,OthersDept!C$9:C$37,$B55)/OthersDept!C$51) + IF(OthersDept!C$52=0,0,COUNTIFS(OthersDept!$B$9:$B$37,OthersDept!$B$52,OthersDept!C$9:C$37,$B55)/OthersDept!C$52) +  IF(OthersDept!C$53=0,0,COUNTIFS(OthersDept!$B$9:$B$37,OthersDept!$B$53,OthersDept!C$9:C$37,$B55)/OthersDept!C$53))*150000)</f>
        <v>0</v>
      </c>
      <c r="D55" s="135">
        <f>IF($B55="","",(IF(OthersDept!D$42=0,0,COUNTIFS(OthersDept!$B$9:$B$37,OthersDept!$B$42,OthersDept!D$9:D$37,$B55)/OthersDept!D$42) + IF(OthersDept!D$43=0,0,COUNTIFS(OthersDept!$B$9:$B$37,OthersDept!$B$43,OthersDept!D$9:D$37,$B55)/OthersDept!D$43) + IF(OthersDept!D$44=0,0,COUNTIFS(OthersDept!$B$9:$B$37,OthersDept!$B$44,OthersDept!D$9:D$37,$B55)/OthersDept!D$44) + IF(OthersDept!D$45=0,0,COUNTIFS(OthersDept!$B$9:$B$37,OthersDept!$B$45,OthersDept!D$9:D$37,$B55)/OthersDept!D$45) + IF(OthersDept!D$46=0,0,COUNTIFS(OthersDept!$B$9:$B$37,OthersDept!$B$46,OthersDept!D$9:D$37,$B55)/OthersDept!D$46) + IF(OthersDept!D$47=0,0,COUNTIFS(OthersDept!$B$9:$B$37,OthersDept!$B$47,OthersDept!D$9:D$37,$B55)/OthersDept!D$47) + IF(OthersDept!D$48=0,0,COUNTIFS(OthersDept!$B$9:$B$37,OthersDept!$B$48,OthersDept!D$9:D$37,$B55)/OthersDept!D$48) + IF(OthersDept!D$49=0,0,COUNTIFS(OthersDept!$B$9:$B$37,OthersDept!$B$49,OthersDept!D$9:D$37,$B55)/OthersDept!D$49) + IF(OthersDept!D$50=0,0,COUNTIFS(OthersDept!$B$9:$B$37,OthersDept!$B$50,OthersDept!D$9:D$37,$B55)/OthersDept!D$50) + IF(OthersDept!D$51=0,0,COUNTIFS(OthersDept!$B$9:$B$37,OthersDept!$B$51,OthersDept!D$9:D$37,$B55)/OthersDept!D$51) + IF(OthersDept!D$52=0,0,COUNTIFS(OthersDept!$B$9:$B$37,OthersDept!$B$52,OthersDept!D$9:D$37,$B55)/OthersDept!D$52) +  IF(OthersDept!D$53=0,0,COUNTIFS(OthersDept!$B$9:$B$37,OthersDept!$B$53,OthersDept!D$9:D$37,$B55)/OthersDept!D$53))*150000)</f>
        <v>0</v>
      </c>
      <c r="E55" s="135">
        <f>IF($B55="","",(IF(OthersDept!E$42=0,0,COUNTIFS(OthersDept!$B$9:$B$37,OthersDept!$B$42,OthersDept!E$9:E$37,$B55)/OthersDept!E$42) + IF(OthersDept!E$43=0,0,COUNTIFS(OthersDept!$B$9:$B$37,OthersDept!$B$43,OthersDept!E$9:E$37,$B55)/OthersDept!E$43) + IF(OthersDept!E$44=0,0,COUNTIFS(OthersDept!$B$9:$B$37,OthersDept!$B$44,OthersDept!E$9:E$37,$B55)/OthersDept!E$44) + IF(OthersDept!E$45=0,0,COUNTIFS(OthersDept!$B$9:$B$37,OthersDept!$B$45,OthersDept!E$9:E$37,$B55)/OthersDept!E$45) + IF(OthersDept!E$46=0,0,COUNTIFS(OthersDept!$B$9:$B$37,OthersDept!$B$46,OthersDept!E$9:E$37,$B55)/OthersDept!E$46) + IF(OthersDept!E$47=0,0,COUNTIFS(OthersDept!$B$9:$B$37,OthersDept!$B$47,OthersDept!E$9:E$37,$B55)/OthersDept!E$47) + IF(OthersDept!E$48=0,0,COUNTIFS(OthersDept!$B$9:$B$37,OthersDept!$B$48,OthersDept!E$9:E$37,$B55)/OthersDept!E$48) + IF(OthersDept!E$49=0,0,COUNTIFS(OthersDept!$B$9:$B$37,OthersDept!$B$49,OthersDept!E$9:E$37,$B55)/OthersDept!E$49) + IF(OthersDept!E$50=0,0,COUNTIFS(OthersDept!$B$9:$B$37,OthersDept!$B$50,OthersDept!E$9:E$37,$B55)/OthersDept!E$50) + IF(OthersDept!E$51=0,0,COUNTIFS(OthersDept!$B$9:$B$37,OthersDept!$B$51,OthersDept!E$9:E$37,$B55)/OthersDept!E$51) + IF(OthersDept!E$52=0,0,COUNTIFS(OthersDept!$B$9:$B$37,OthersDept!$B$52,OthersDept!E$9:E$37,$B55)/OthersDept!E$52) +  IF(OthersDept!E$53=0,0,COUNTIFS(OthersDept!$B$9:$B$37,OthersDept!$B$53,OthersDept!E$9:E$37,$B55)/OthersDept!E$53))*150000)</f>
        <v>0</v>
      </c>
      <c r="F55" s="135">
        <f>IF($B55="","",(IF(OthersDept!F$42=0,0,COUNTIFS(OthersDept!$B$9:$B$37,OthersDept!$B$42,OthersDept!F$9:F$37,$B55)/OthersDept!F$42) + IF(OthersDept!F$43=0,0,COUNTIFS(OthersDept!$B$9:$B$37,OthersDept!$B$43,OthersDept!F$9:F$37,$B55)/OthersDept!F$43) + IF(OthersDept!F$44=0,0,COUNTIFS(OthersDept!$B$9:$B$37,OthersDept!$B$44,OthersDept!F$9:F$37,$B55)/OthersDept!F$44) + IF(OthersDept!F$45=0,0,COUNTIFS(OthersDept!$B$9:$B$37,OthersDept!$B$45,OthersDept!F$9:F$37,$B55)/OthersDept!F$45) + IF(OthersDept!F$46=0,0,COUNTIFS(OthersDept!$B$9:$B$37,OthersDept!$B$46,OthersDept!F$9:F$37,$B55)/OthersDept!F$46) + IF(OthersDept!F$47=0,0,COUNTIFS(OthersDept!$B$9:$B$37,OthersDept!$B$47,OthersDept!F$9:F$37,$B55)/OthersDept!F$47) + IF(OthersDept!F$48=0,0,COUNTIFS(OthersDept!$B$9:$B$37,OthersDept!$B$48,OthersDept!F$9:F$37,$B55)/OthersDept!F$48) + IF(OthersDept!F$49=0,0,COUNTIFS(OthersDept!$B$9:$B$37,OthersDept!$B$49,OthersDept!F$9:F$37,$B55)/OthersDept!F$49) + IF(OthersDept!F$50=0,0,COUNTIFS(OthersDept!$B$9:$B$37,OthersDept!$B$50,OthersDept!F$9:F$37,$B55)/OthersDept!F$50) + IF(OthersDept!F$51=0,0,COUNTIFS(OthersDept!$B$9:$B$37,OthersDept!$B$51,OthersDept!F$9:F$37,$B55)/OthersDept!F$51) + IF(OthersDept!F$52=0,0,COUNTIFS(OthersDept!$B$9:$B$37,OthersDept!$B$52,OthersDept!F$9:F$37,$B55)/OthersDept!F$52) +  IF(OthersDept!F$53=0,0,COUNTIFS(OthersDept!$B$9:$B$37,OthersDept!$B$53,OthersDept!F$9:F$37,$B55)/OthersDept!F$53))*150000)</f>
        <v>0</v>
      </c>
      <c r="G55" s="135">
        <f>IF($B55="","",(IF(OthersDept!G$42=0,0,COUNTIFS(OthersDept!$B$9:$B$37,OthersDept!$B$42,OthersDept!G$9:G$37,$B55)/OthersDept!G$42) + IF(OthersDept!G$43=0,0,COUNTIFS(OthersDept!$B$9:$B$37,OthersDept!$B$43,OthersDept!G$9:G$37,$B55)/OthersDept!G$43) + IF(OthersDept!G$44=0,0,COUNTIFS(OthersDept!$B$9:$B$37,OthersDept!$B$44,OthersDept!G$9:G$37,$B55)/OthersDept!G$44) + IF(OthersDept!G$45=0,0,COUNTIFS(OthersDept!$B$9:$B$37,OthersDept!$B$45,OthersDept!G$9:G$37,$B55)/OthersDept!G$45) + IF(OthersDept!G$46=0,0,COUNTIFS(OthersDept!$B$9:$B$37,OthersDept!$B$46,OthersDept!G$9:G$37,$B55)/OthersDept!G$46) + IF(OthersDept!G$47=0,0,COUNTIFS(OthersDept!$B$9:$B$37,OthersDept!$B$47,OthersDept!G$9:G$37,$B55)/OthersDept!G$47) + IF(OthersDept!G$48=0,0,COUNTIFS(OthersDept!$B$9:$B$37,OthersDept!$B$48,OthersDept!G$9:G$37,$B55)/OthersDept!G$48) + IF(OthersDept!G$49=0,0,COUNTIFS(OthersDept!$B$9:$B$37,OthersDept!$B$49,OthersDept!G$9:G$37,$B55)/OthersDept!G$49) + IF(OthersDept!G$50=0,0,COUNTIFS(OthersDept!$B$9:$B$37,OthersDept!$B$50,OthersDept!G$9:G$37,$B55)/OthersDept!G$50) + IF(OthersDept!G$51=0,0,COUNTIFS(OthersDept!$B$9:$B$37,OthersDept!$B$51,OthersDept!G$9:G$37,$B55)/OthersDept!G$51) + IF(OthersDept!G$52=0,0,COUNTIFS(OthersDept!$B$9:$B$37,OthersDept!$B$52,OthersDept!G$9:G$37,$B55)/OthersDept!G$52) +  IF(OthersDept!G$53=0,0,COUNTIFS(OthersDept!$B$9:$B$37,OthersDept!$B$53,OthersDept!G$9:G$37,$B55)/OthersDept!G$53))*150000)</f>
        <v>0</v>
      </c>
      <c r="H55" s="136">
        <f t="shared" si="1"/>
        <v>0</v>
      </c>
      <c r="I55" s="53"/>
      <c r="J55" s="53"/>
      <c r="K55" s="53"/>
      <c r="L55" s="53"/>
      <c r="M55" s="53"/>
      <c r="N55" s="53"/>
      <c r="P55" s="53"/>
    </row>
    <row r="56" spans="1:16" x14ac:dyDescent="0.25">
      <c r="A56" s="133">
        <f>IF(ISTEXT($B56),12,"")</f>
        <v>12</v>
      </c>
      <c r="B56" s="65" t="s">
        <v>435</v>
      </c>
      <c r="C56" s="135">
        <f>IF($B56="","",(IF(OthersDept!C$42=0,0,COUNTIFS(OthersDept!$B$9:$B$37,OthersDept!$B$42,OthersDept!C$9:C$37,$B56)/OthersDept!C$42) + IF(OthersDept!C$43=0,0,COUNTIFS(OthersDept!$B$9:$B$37,OthersDept!$B$43,OthersDept!C$9:C$37,$B56)/OthersDept!C$43) + IF(OthersDept!C$44=0,0,COUNTIFS(OthersDept!$B$9:$B$37,OthersDept!$B$44,OthersDept!C$9:C$37,$B56)/OthersDept!C$44) + IF(OthersDept!C$45=0,0,COUNTIFS(OthersDept!$B$9:$B$37,OthersDept!$B$45,OthersDept!C$9:C$37,$B56)/OthersDept!C$45) + IF(OthersDept!C$46=0,0,COUNTIFS(OthersDept!$B$9:$B$37,OthersDept!$B$46,OthersDept!C$9:C$37,$B56)/OthersDept!C$46) + IF(OthersDept!C$47=0,0,COUNTIFS(OthersDept!$B$9:$B$37,OthersDept!$B$47,OthersDept!C$9:C$37,$B56)/OthersDept!C$47) + IF(OthersDept!C$48=0,0,COUNTIFS(OthersDept!$B$9:$B$37,OthersDept!$B$48,OthersDept!C$9:C$37,$B56)/OthersDept!C$48) + IF(OthersDept!C$49=0,0,COUNTIFS(OthersDept!$B$9:$B$37,OthersDept!$B$49,OthersDept!C$9:C$37,$B56)/OthersDept!C$49) + IF(OthersDept!C$50=0,0,COUNTIFS(OthersDept!$B$9:$B$37,OthersDept!$B$50,OthersDept!C$9:C$37,$B56)/OthersDept!C$50) + IF(OthersDept!C$51=0,0,COUNTIFS(OthersDept!$B$9:$B$37,OthersDept!$B$51,OthersDept!C$9:C$37,$B56)/OthersDept!C$51) + IF(OthersDept!C$52=0,0,COUNTIFS(OthersDept!$B$9:$B$37,OthersDept!$B$52,OthersDept!C$9:C$37,$B56)/OthersDept!C$52) +  IF(OthersDept!C$53=0,0,COUNTIFS(OthersDept!$B$9:$B$37,OthersDept!$B$53,OthersDept!C$9:C$37,$B56)/OthersDept!C$53))*150000)</f>
        <v>0</v>
      </c>
      <c r="D56" s="135">
        <f>IF($B56="","",(IF(OthersDept!D$42=0,0,COUNTIFS(OthersDept!$B$9:$B$37,OthersDept!$B$42,OthersDept!D$9:D$37,$B56)/OthersDept!D$42) + IF(OthersDept!D$43=0,0,COUNTIFS(OthersDept!$B$9:$B$37,OthersDept!$B$43,OthersDept!D$9:D$37,$B56)/OthersDept!D$43) + IF(OthersDept!D$44=0,0,COUNTIFS(OthersDept!$B$9:$B$37,OthersDept!$B$44,OthersDept!D$9:D$37,$B56)/OthersDept!D$44) + IF(OthersDept!D$45=0,0,COUNTIFS(OthersDept!$B$9:$B$37,OthersDept!$B$45,OthersDept!D$9:D$37,$B56)/OthersDept!D$45) + IF(OthersDept!D$46=0,0,COUNTIFS(OthersDept!$B$9:$B$37,OthersDept!$B$46,OthersDept!D$9:D$37,$B56)/OthersDept!D$46) + IF(OthersDept!D$47=0,0,COUNTIFS(OthersDept!$B$9:$B$37,OthersDept!$B$47,OthersDept!D$9:D$37,$B56)/OthersDept!D$47) + IF(OthersDept!D$48=0,0,COUNTIFS(OthersDept!$B$9:$B$37,OthersDept!$B$48,OthersDept!D$9:D$37,$B56)/OthersDept!D$48) + IF(OthersDept!D$49=0,0,COUNTIFS(OthersDept!$B$9:$B$37,OthersDept!$B$49,OthersDept!D$9:D$37,$B56)/OthersDept!D$49) + IF(OthersDept!D$50=0,0,COUNTIFS(OthersDept!$B$9:$B$37,OthersDept!$B$50,OthersDept!D$9:D$37,$B56)/OthersDept!D$50) + IF(OthersDept!D$51=0,0,COUNTIFS(OthersDept!$B$9:$B$37,OthersDept!$B$51,OthersDept!D$9:D$37,$B56)/OthersDept!D$51) + IF(OthersDept!D$52=0,0,COUNTIFS(OthersDept!$B$9:$B$37,OthersDept!$B$52,OthersDept!D$9:D$37,$B56)/OthersDept!D$52) +  IF(OthersDept!D$53=0,0,COUNTIFS(OthersDept!$B$9:$B$37,OthersDept!$B$53,OthersDept!D$9:D$37,$B56)/OthersDept!D$53))*150000)</f>
        <v>0</v>
      </c>
      <c r="E56" s="135">
        <f>IF($B56="","",(IF(OthersDept!E$42=0,0,COUNTIFS(OthersDept!$B$9:$B$37,OthersDept!$B$42,OthersDept!E$9:E$37,$B56)/OthersDept!E$42) + IF(OthersDept!E$43=0,0,COUNTIFS(OthersDept!$B$9:$B$37,OthersDept!$B$43,OthersDept!E$9:E$37,$B56)/OthersDept!E$43) + IF(OthersDept!E$44=0,0,COUNTIFS(OthersDept!$B$9:$B$37,OthersDept!$B$44,OthersDept!E$9:E$37,$B56)/OthersDept!E$44) + IF(OthersDept!E$45=0,0,COUNTIFS(OthersDept!$B$9:$B$37,OthersDept!$B$45,OthersDept!E$9:E$37,$B56)/OthersDept!E$45) + IF(OthersDept!E$46=0,0,COUNTIFS(OthersDept!$B$9:$B$37,OthersDept!$B$46,OthersDept!E$9:E$37,$B56)/OthersDept!E$46) + IF(OthersDept!E$47=0,0,COUNTIFS(OthersDept!$B$9:$B$37,OthersDept!$B$47,OthersDept!E$9:E$37,$B56)/OthersDept!E$47) + IF(OthersDept!E$48=0,0,COUNTIFS(OthersDept!$B$9:$B$37,OthersDept!$B$48,OthersDept!E$9:E$37,$B56)/OthersDept!E$48) + IF(OthersDept!E$49=0,0,COUNTIFS(OthersDept!$B$9:$B$37,OthersDept!$B$49,OthersDept!E$9:E$37,$B56)/OthersDept!E$49) + IF(OthersDept!E$50=0,0,COUNTIFS(OthersDept!$B$9:$B$37,OthersDept!$B$50,OthersDept!E$9:E$37,$B56)/OthersDept!E$50) + IF(OthersDept!E$51=0,0,COUNTIFS(OthersDept!$B$9:$B$37,OthersDept!$B$51,OthersDept!E$9:E$37,$B56)/OthersDept!E$51) + IF(OthersDept!E$52=0,0,COUNTIFS(OthersDept!$B$9:$B$37,OthersDept!$B$52,OthersDept!E$9:E$37,$B56)/OthersDept!E$52) +  IF(OthersDept!E$53=0,0,COUNTIFS(OthersDept!$B$9:$B$37,OthersDept!$B$53,OthersDept!E$9:E$37,$B56)/OthersDept!E$53))*150000)</f>
        <v>0</v>
      </c>
      <c r="F56" s="135">
        <f>IF($B56="","",(IF(OthersDept!F$42=0,0,COUNTIFS(OthersDept!$B$9:$B$37,OthersDept!$B$42,OthersDept!F$9:F$37,$B56)/OthersDept!F$42) + IF(OthersDept!F$43=0,0,COUNTIFS(OthersDept!$B$9:$B$37,OthersDept!$B$43,OthersDept!F$9:F$37,$B56)/OthersDept!F$43) + IF(OthersDept!F$44=0,0,COUNTIFS(OthersDept!$B$9:$B$37,OthersDept!$B$44,OthersDept!F$9:F$37,$B56)/OthersDept!F$44) + IF(OthersDept!F$45=0,0,COUNTIFS(OthersDept!$B$9:$B$37,OthersDept!$B$45,OthersDept!F$9:F$37,$B56)/OthersDept!F$45) + IF(OthersDept!F$46=0,0,COUNTIFS(OthersDept!$B$9:$B$37,OthersDept!$B$46,OthersDept!F$9:F$37,$B56)/OthersDept!F$46) + IF(OthersDept!F$47=0,0,COUNTIFS(OthersDept!$B$9:$B$37,OthersDept!$B$47,OthersDept!F$9:F$37,$B56)/OthersDept!F$47) + IF(OthersDept!F$48=0,0,COUNTIFS(OthersDept!$B$9:$B$37,OthersDept!$B$48,OthersDept!F$9:F$37,$B56)/OthersDept!F$48) + IF(OthersDept!F$49=0,0,COUNTIFS(OthersDept!$B$9:$B$37,OthersDept!$B$49,OthersDept!F$9:F$37,$B56)/OthersDept!F$49) + IF(OthersDept!F$50=0,0,COUNTIFS(OthersDept!$B$9:$B$37,OthersDept!$B$50,OthersDept!F$9:F$37,$B56)/OthersDept!F$50) + IF(OthersDept!F$51=0,0,COUNTIFS(OthersDept!$B$9:$B$37,OthersDept!$B$51,OthersDept!F$9:F$37,$B56)/OthersDept!F$51) + IF(OthersDept!F$52=0,0,COUNTIFS(OthersDept!$B$9:$B$37,OthersDept!$B$52,OthersDept!F$9:F$37,$B56)/OthersDept!F$52) +  IF(OthersDept!F$53=0,0,COUNTIFS(OthersDept!$B$9:$B$37,OthersDept!$B$53,OthersDept!F$9:F$37,$B56)/OthersDept!F$53))*150000)</f>
        <v>0</v>
      </c>
      <c r="G56" s="135">
        <f>IF($B56="","",(IF(OthersDept!G$42=0,0,COUNTIFS(OthersDept!$B$9:$B$37,OthersDept!$B$42,OthersDept!G$9:G$37,$B56)/OthersDept!G$42) + IF(OthersDept!G$43=0,0,COUNTIFS(OthersDept!$B$9:$B$37,OthersDept!$B$43,OthersDept!G$9:G$37,$B56)/OthersDept!G$43) + IF(OthersDept!G$44=0,0,COUNTIFS(OthersDept!$B$9:$B$37,OthersDept!$B$44,OthersDept!G$9:G$37,$B56)/OthersDept!G$44) + IF(OthersDept!G$45=0,0,COUNTIFS(OthersDept!$B$9:$B$37,OthersDept!$B$45,OthersDept!G$9:G$37,$B56)/OthersDept!G$45) + IF(OthersDept!G$46=0,0,COUNTIFS(OthersDept!$B$9:$B$37,OthersDept!$B$46,OthersDept!G$9:G$37,$B56)/OthersDept!G$46) + IF(OthersDept!G$47=0,0,COUNTIFS(OthersDept!$B$9:$B$37,OthersDept!$B$47,OthersDept!G$9:G$37,$B56)/OthersDept!G$47) + IF(OthersDept!G$48=0,0,COUNTIFS(OthersDept!$B$9:$B$37,OthersDept!$B$48,OthersDept!G$9:G$37,$B56)/OthersDept!G$48) + IF(OthersDept!G$49=0,0,COUNTIFS(OthersDept!$B$9:$B$37,OthersDept!$B$49,OthersDept!G$9:G$37,$B56)/OthersDept!G$49) + IF(OthersDept!G$50=0,0,COUNTIFS(OthersDept!$B$9:$B$37,OthersDept!$B$50,OthersDept!G$9:G$37,$B56)/OthersDept!G$50) + IF(OthersDept!G$51=0,0,COUNTIFS(OthersDept!$B$9:$B$37,OthersDept!$B$51,OthersDept!G$9:G$37,$B56)/OthersDept!G$51) + IF(OthersDept!G$52=0,0,COUNTIFS(OthersDept!$B$9:$B$37,OthersDept!$B$52,OthersDept!G$9:G$37,$B56)/OthersDept!G$52) +  IF(OthersDept!G$53=0,0,COUNTIFS(OthersDept!$B$9:$B$37,OthersDept!$B$53,OthersDept!G$9:G$37,$B56)/OthersDept!G$53))*150000)</f>
        <v>0</v>
      </c>
      <c r="H56" s="136">
        <f t="shared" si="1"/>
        <v>0</v>
      </c>
      <c r="I56" s="53"/>
      <c r="J56" s="53"/>
      <c r="K56" s="53"/>
      <c r="L56" s="53"/>
      <c r="M56" s="53"/>
      <c r="N56" s="53"/>
      <c r="P56" s="53"/>
    </row>
    <row r="57" spans="1:16" x14ac:dyDescent="0.25">
      <c r="A57" s="133">
        <f>IF(ISTEXT($B57),13,"")</f>
        <v>13</v>
      </c>
      <c r="B57" s="65" t="s">
        <v>402</v>
      </c>
      <c r="C57" s="135">
        <f>IF($B57="","",(IF(OthersDept!C$42=0,0,COUNTIFS(OthersDept!$B$9:$B$37,OthersDept!$B$42,OthersDept!C$9:C$37,$B57)/OthersDept!C$42) + IF(OthersDept!C$43=0,0,COUNTIFS(OthersDept!$B$9:$B$37,OthersDept!$B$43,OthersDept!C$9:C$37,$B57)/OthersDept!C$43) + IF(OthersDept!C$44=0,0,COUNTIFS(OthersDept!$B$9:$B$37,OthersDept!$B$44,OthersDept!C$9:C$37,$B57)/OthersDept!C$44) + IF(OthersDept!C$45=0,0,COUNTIFS(OthersDept!$B$9:$B$37,OthersDept!$B$45,OthersDept!C$9:C$37,$B57)/OthersDept!C$45) + IF(OthersDept!C$46=0,0,COUNTIFS(OthersDept!$B$9:$B$37,OthersDept!$B$46,OthersDept!C$9:C$37,$B57)/OthersDept!C$46) + IF(OthersDept!C$47=0,0,COUNTIFS(OthersDept!$B$9:$B$37,OthersDept!$B$47,OthersDept!C$9:C$37,$B57)/OthersDept!C$47) + IF(OthersDept!C$48=0,0,COUNTIFS(OthersDept!$B$9:$B$37,OthersDept!$B$48,OthersDept!C$9:C$37,$B57)/OthersDept!C$48) + IF(OthersDept!C$49=0,0,COUNTIFS(OthersDept!$B$9:$B$37,OthersDept!$B$49,OthersDept!C$9:C$37,$B57)/OthersDept!C$49) + IF(OthersDept!C$50=0,0,COUNTIFS(OthersDept!$B$9:$B$37,OthersDept!$B$50,OthersDept!C$9:C$37,$B57)/OthersDept!C$50) + IF(OthersDept!C$51=0,0,COUNTIFS(OthersDept!$B$9:$B$37,OthersDept!$B$51,OthersDept!C$9:C$37,$B57)/OthersDept!C$51) + IF(OthersDept!C$52=0,0,COUNTIFS(OthersDept!$B$9:$B$37,OthersDept!$B$52,OthersDept!C$9:C$37,$B57)/OthersDept!C$52) +  IF(OthersDept!C$53=0,0,COUNTIFS(OthersDept!$B$9:$B$37,OthersDept!$B$53,OthersDept!C$9:C$37,$B57)/OthersDept!C$53))*150000)</f>
        <v>0</v>
      </c>
      <c r="D57" s="135">
        <f>IF($B57="","",(IF(OthersDept!D$42=0,0,COUNTIFS(OthersDept!$B$9:$B$37,OthersDept!$B$42,OthersDept!D$9:D$37,$B57)/OthersDept!D$42) + IF(OthersDept!D$43=0,0,COUNTIFS(OthersDept!$B$9:$B$37,OthersDept!$B$43,OthersDept!D$9:D$37,$B57)/OthersDept!D$43) + IF(OthersDept!D$44=0,0,COUNTIFS(OthersDept!$B$9:$B$37,OthersDept!$B$44,OthersDept!D$9:D$37,$B57)/OthersDept!D$44) + IF(OthersDept!D$45=0,0,COUNTIFS(OthersDept!$B$9:$B$37,OthersDept!$B$45,OthersDept!D$9:D$37,$B57)/OthersDept!D$45) + IF(OthersDept!D$46=0,0,COUNTIFS(OthersDept!$B$9:$B$37,OthersDept!$B$46,OthersDept!D$9:D$37,$B57)/OthersDept!D$46) + IF(OthersDept!D$47=0,0,COUNTIFS(OthersDept!$B$9:$B$37,OthersDept!$B$47,OthersDept!D$9:D$37,$B57)/OthersDept!D$47) + IF(OthersDept!D$48=0,0,COUNTIFS(OthersDept!$B$9:$B$37,OthersDept!$B$48,OthersDept!D$9:D$37,$B57)/OthersDept!D$48) + IF(OthersDept!D$49=0,0,COUNTIFS(OthersDept!$B$9:$B$37,OthersDept!$B$49,OthersDept!D$9:D$37,$B57)/OthersDept!D$49) + IF(OthersDept!D$50=0,0,COUNTIFS(OthersDept!$B$9:$B$37,OthersDept!$B$50,OthersDept!D$9:D$37,$B57)/OthersDept!D$50) + IF(OthersDept!D$51=0,0,COUNTIFS(OthersDept!$B$9:$B$37,OthersDept!$B$51,OthersDept!D$9:D$37,$B57)/OthersDept!D$51) + IF(OthersDept!D$52=0,0,COUNTIFS(OthersDept!$B$9:$B$37,OthersDept!$B$52,OthersDept!D$9:D$37,$B57)/OthersDept!D$52) +  IF(OthersDept!D$53=0,0,COUNTIFS(OthersDept!$B$9:$B$37,OthersDept!$B$53,OthersDept!D$9:D$37,$B57)/OthersDept!D$53))*150000)</f>
        <v>0</v>
      </c>
      <c r="E57" s="135">
        <f>IF($B57="","",(IF(OthersDept!E$42=0,0,COUNTIFS(OthersDept!$B$9:$B$37,OthersDept!$B$42,OthersDept!E$9:E$37,$B57)/OthersDept!E$42) + IF(OthersDept!E$43=0,0,COUNTIFS(OthersDept!$B$9:$B$37,OthersDept!$B$43,OthersDept!E$9:E$37,$B57)/OthersDept!E$43) + IF(OthersDept!E$44=0,0,COUNTIFS(OthersDept!$B$9:$B$37,OthersDept!$B$44,OthersDept!E$9:E$37,$B57)/OthersDept!E$44) + IF(OthersDept!E$45=0,0,COUNTIFS(OthersDept!$B$9:$B$37,OthersDept!$B$45,OthersDept!E$9:E$37,$B57)/OthersDept!E$45) + IF(OthersDept!E$46=0,0,COUNTIFS(OthersDept!$B$9:$B$37,OthersDept!$B$46,OthersDept!E$9:E$37,$B57)/OthersDept!E$46) + IF(OthersDept!E$47=0,0,COUNTIFS(OthersDept!$B$9:$B$37,OthersDept!$B$47,OthersDept!E$9:E$37,$B57)/OthersDept!E$47) + IF(OthersDept!E$48=0,0,COUNTIFS(OthersDept!$B$9:$B$37,OthersDept!$B$48,OthersDept!E$9:E$37,$B57)/OthersDept!E$48) + IF(OthersDept!E$49=0,0,COUNTIFS(OthersDept!$B$9:$B$37,OthersDept!$B$49,OthersDept!E$9:E$37,$B57)/OthersDept!E$49) + IF(OthersDept!E$50=0,0,COUNTIFS(OthersDept!$B$9:$B$37,OthersDept!$B$50,OthersDept!E$9:E$37,$B57)/OthersDept!E$50) + IF(OthersDept!E$51=0,0,COUNTIFS(OthersDept!$B$9:$B$37,OthersDept!$B$51,OthersDept!E$9:E$37,$B57)/OthersDept!E$51) + IF(OthersDept!E$52=0,0,COUNTIFS(OthersDept!$B$9:$B$37,OthersDept!$B$52,OthersDept!E$9:E$37,$B57)/OthersDept!E$52) +  IF(OthersDept!E$53=0,0,COUNTIFS(OthersDept!$B$9:$B$37,OthersDept!$B$53,OthersDept!E$9:E$37,$B57)/OthersDept!E$53))*150000)</f>
        <v>0</v>
      </c>
      <c r="F57" s="135">
        <f>IF($B57="","",(IF(OthersDept!F$42=0,0,COUNTIFS(OthersDept!$B$9:$B$37,OthersDept!$B$42,OthersDept!F$9:F$37,$B57)/OthersDept!F$42) + IF(OthersDept!F$43=0,0,COUNTIFS(OthersDept!$B$9:$B$37,OthersDept!$B$43,OthersDept!F$9:F$37,$B57)/OthersDept!F$43) + IF(OthersDept!F$44=0,0,COUNTIFS(OthersDept!$B$9:$B$37,OthersDept!$B$44,OthersDept!F$9:F$37,$B57)/OthersDept!F$44) + IF(OthersDept!F$45=0,0,COUNTIFS(OthersDept!$B$9:$B$37,OthersDept!$B$45,OthersDept!F$9:F$37,$B57)/OthersDept!F$45) + IF(OthersDept!F$46=0,0,COUNTIFS(OthersDept!$B$9:$B$37,OthersDept!$B$46,OthersDept!F$9:F$37,$B57)/OthersDept!F$46) + IF(OthersDept!F$47=0,0,COUNTIFS(OthersDept!$B$9:$B$37,OthersDept!$B$47,OthersDept!F$9:F$37,$B57)/OthersDept!F$47) + IF(OthersDept!F$48=0,0,COUNTIFS(OthersDept!$B$9:$B$37,OthersDept!$B$48,OthersDept!F$9:F$37,$B57)/OthersDept!F$48) + IF(OthersDept!F$49=0,0,COUNTIFS(OthersDept!$B$9:$B$37,OthersDept!$B$49,OthersDept!F$9:F$37,$B57)/OthersDept!F$49) + IF(OthersDept!F$50=0,0,COUNTIFS(OthersDept!$B$9:$B$37,OthersDept!$B$50,OthersDept!F$9:F$37,$B57)/OthersDept!F$50) + IF(OthersDept!F$51=0,0,COUNTIFS(OthersDept!$B$9:$B$37,OthersDept!$B$51,OthersDept!F$9:F$37,$B57)/OthersDept!F$51) + IF(OthersDept!F$52=0,0,COUNTIFS(OthersDept!$B$9:$B$37,OthersDept!$B$52,OthersDept!F$9:F$37,$B57)/OthersDept!F$52) +  IF(OthersDept!F$53=0,0,COUNTIFS(OthersDept!$B$9:$B$37,OthersDept!$B$53,OthersDept!F$9:F$37,$B57)/OthersDept!F$53))*150000)</f>
        <v>0</v>
      </c>
      <c r="G57" s="135">
        <f>IF($B57="","",(IF(OthersDept!G$42=0,0,COUNTIFS(OthersDept!$B$9:$B$37,OthersDept!$B$42,OthersDept!G$9:G$37,$B57)/OthersDept!G$42) + IF(OthersDept!G$43=0,0,COUNTIFS(OthersDept!$B$9:$B$37,OthersDept!$B$43,OthersDept!G$9:G$37,$B57)/OthersDept!G$43) + IF(OthersDept!G$44=0,0,COUNTIFS(OthersDept!$B$9:$B$37,OthersDept!$B$44,OthersDept!G$9:G$37,$B57)/OthersDept!G$44) + IF(OthersDept!G$45=0,0,COUNTIFS(OthersDept!$B$9:$B$37,OthersDept!$B$45,OthersDept!G$9:G$37,$B57)/OthersDept!G$45) + IF(OthersDept!G$46=0,0,COUNTIFS(OthersDept!$B$9:$B$37,OthersDept!$B$46,OthersDept!G$9:G$37,$B57)/OthersDept!G$46) + IF(OthersDept!G$47=0,0,COUNTIFS(OthersDept!$B$9:$B$37,OthersDept!$B$47,OthersDept!G$9:G$37,$B57)/OthersDept!G$47) + IF(OthersDept!G$48=0,0,COUNTIFS(OthersDept!$B$9:$B$37,OthersDept!$B$48,OthersDept!G$9:G$37,$B57)/OthersDept!G$48) + IF(OthersDept!G$49=0,0,COUNTIFS(OthersDept!$B$9:$B$37,OthersDept!$B$49,OthersDept!G$9:G$37,$B57)/OthersDept!G$49) + IF(OthersDept!G$50=0,0,COUNTIFS(OthersDept!$B$9:$B$37,OthersDept!$B$50,OthersDept!G$9:G$37,$B57)/OthersDept!G$50) + IF(OthersDept!G$51=0,0,COUNTIFS(OthersDept!$B$9:$B$37,OthersDept!$B$51,OthersDept!G$9:G$37,$B57)/OthersDept!G$51) + IF(OthersDept!G$52=0,0,COUNTIFS(OthersDept!$B$9:$B$37,OthersDept!$B$52,OthersDept!G$9:G$37,$B57)/OthersDept!G$52) +  IF(OthersDept!G$53=0,0,COUNTIFS(OthersDept!$B$9:$B$37,OthersDept!$B$53,OthersDept!G$9:G$37,$B57)/OthersDept!G$53))*150000)</f>
        <v>0</v>
      </c>
      <c r="H57" s="136">
        <f t="shared" si="1"/>
        <v>0</v>
      </c>
      <c r="I57" s="53"/>
      <c r="J57" s="53"/>
      <c r="K57" s="53"/>
      <c r="L57" s="53"/>
      <c r="M57" s="53"/>
      <c r="N57" s="53"/>
      <c r="P57" s="53"/>
    </row>
    <row r="58" spans="1:16" x14ac:dyDescent="0.25">
      <c r="A58" s="133">
        <f>IF(ISTEXT($B58),14,"")</f>
        <v>14</v>
      </c>
      <c r="B58" s="210" t="s">
        <v>398</v>
      </c>
      <c r="C58" s="135">
        <f>IF($B58="","",(IF(OthersDept!C$42=0,0,COUNTIFS(OthersDept!$B$9:$B$37,OthersDept!$B$42,OthersDept!C$9:C$37,$B58)/OthersDept!C$42) + IF(OthersDept!C$43=0,0,COUNTIFS(OthersDept!$B$9:$B$37,OthersDept!$B$43,OthersDept!C$9:C$37,$B58)/OthersDept!C$43) + IF(OthersDept!C$44=0,0,COUNTIFS(OthersDept!$B$9:$B$37,OthersDept!$B$44,OthersDept!C$9:C$37,$B58)/OthersDept!C$44) + IF(OthersDept!C$45=0,0,COUNTIFS(OthersDept!$B$9:$B$37,OthersDept!$B$45,OthersDept!C$9:C$37,$B58)/OthersDept!C$45) + IF(OthersDept!C$46=0,0,COUNTIFS(OthersDept!$B$9:$B$37,OthersDept!$B$46,OthersDept!C$9:C$37,$B58)/OthersDept!C$46) + IF(OthersDept!C$47=0,0,COUNTIFS(OthersDept!$B$9:$B$37,OthersDept!$B$47,OthersDept!C$9:C$37,$B58)/OthersDept!C$47) + IF(OthersDept!C$48=0,0,COUNTIFS(OthersDept!$B$9:$B$37,OthersDept!$B$48,OthersDept!C$9:C$37,$B58)/OthersDept!C$48) + IF(OthersDept!C$49=0,0,COUNTIFS(OthersDept!$B$9:$B$37,OthersDept!$B$49,OthersDept!C$9:C$37,$B58)/OthersDept!C$49) + IF(OthersDept!C$50=0,0,COUNTIFS(OthersDept!$B$9:$B$37,OthersDept!$B$50,OthersDept!C$9:C$37,$B58)/OthersDept!C$50) + IF(OthersDept!C$51=0,0,COUNTIFS(OthersDept!$B$9:$B$37,OthersDept!$B$51,OthersDept!C$9:C$37,$B58)/OthersDept!C$51) + IF(OthersDept!C$52=0,0,COUNTIFS(OthersDept!$B$9:$B$37,OthersDept!$B$52,OthersDept!C$9:C$37,$B58)/OthersDept!C$52) +  IF(OthersDept!C$53=0,0,COUNTIFS(OthersDept!$B$9:$B$37,OthersDept!$B$53,OthersDept!C$9:C$37,$B58)/OthersDept!C$53))*150000)</f>
        <v>0</v>
      </c>
      <c r="D58" s="135">
        <f>IF($B58="","",(IF(OthersDept!D$42=0,0,COUNTIFS(OthersDept!$B$9:$B$37,OthersDept!$B$42,OthersDept!D$9:D$37,$B58)/OthersDept!D$42) + IF(OthersDept!D$43=0,0,COUNTIFS(OthersDept!$B$9:$B$37,OthersDept!$B$43,OthersDept!D$9:D$37,$B58)/OthersDept!D$43) + IF(OthersDept!D$44=0,0,COUNTIFS(OthersDept!$B$9:$B$37,OthersDept!$B$44,OthersDept!D$9:D$37,$B58)/OthersDept!D$44) + IF(OthersDept!D$45=0,0,COUNTIFS(OthersDept!$B$9:$B$37,OthersDept!$B$45,OthersDept!D$9:D$37,$B58)/OthersDept!D$45) + IF(OthersDept!D$46=0,0,COUNTIFS(OthersDept!$B$9:$B$37,OthersDept!$B$46,OthersDept!D$9:D$37,$B58)/OthersDept!D$46) + IF(OthersDept!D$47=0,0,COUNTIFS(OthersDept!$B$9:$B$37,OthersDept!$B$47,OthersDept!D$9:D$37,$B58)/OthersDept!D$47) + IF(OthersDept!D$48=0,0,COUNTIFS(OthersDept!$B$9:$B$37,OthersDept!$B$48,OthersDept!D$9:D$37,$B58)/OthersDept!D$48) + IF(OthersDept!D$49=0,0,COUNTIFS(OthersDept!$B$9:$B$37,OthersDept!$B$49,OthersDept!D$9:D$37,$B58)/OthersDept!D$49) + IF(OthersDept!D$50=0,0,COUNTIFS(OthersDept!$B$9:$B$37,OthersDept!$B$50,OthersDept!D$9:D$37,$B58)/OthersDept!D$50) + IF(OthersDept!D$51=0,0,COUNTIFS(OthersDept!$B$9:$B$37,OthersDept!$B$51,OthersDept!D$9:D$37,$B58)/OthersDept!D$51) + IF(OthersDept!D$52=0,0,COUNTIFS(OthersDept!$B$9:$B$37,OthersDept!$B$52,OthersDept!D$9:D$37,$B58)/OthersDept!D$52) +  IF(OthersDept!D$53=0,0,COUNTIFS(OthersDept!$B$9:$B$37,OthersDept!$B$53,OthersDept!D$9:D$37,$B58)/OthersDept!D$53))*150000)</f>
        <v>0</v>
      </c>
      <c r="E58" s="135">
        <f>IF($B58="","",(IF(OthersDept!E$42=0,0,COUNTIFS(OthersDept!$B$9:$B$37,OthersDept!$B$42,OthersDept!E$9:E$37,$B58)/OthersDept!E$42) + IF(OthersDept!E$43=0,0,COUNTIFS(OthersDept!$B$9:$B$37,OthersDept!$B$43,OthersDept!E$9:E$37,$B58)/OthersDept!E$43) + IF(OthersDept!E$44=0,0,COUNTIFS(OthersDept!$B$9:$B$37,OthersDept!$B$44,OthersDept!E$9:E$37,$B58)/OthersDept!E$44) + IF(OthersDept!E$45=0,0,COUNTIFS(OthersDept!$B$9:$B$37,OthersDept!$B$45,OthersDept!E$9:E$37,$B58)/OthersDept!E$45) + IF(OthersDept!E$46=0,0,COUNTIFS(OthersDept!$B$9:$B$37,OthersDept!$B$46,OthersDept!E$9:E$37,$B58)/OthersDept!E$46) + IF(OthersDept!E$47=0,0,COUNTIFS(OthersDept!$B$9:$B$37,OthersDept!$B$47,OthersDept!E$9:E$37,$B58)/OthersDept!E$47) + IF(OthersDept!E$48=0,0,COUNTIFS(OthersDept!$B$9:$B$37,OthersDept!$B$48,OthersDept!E$9:E$37,$B58)/OthersDept!E$48) + IF(OthersDept!E$49=0,0,COUNTIFS(OthersDept!$B$9:$B$37,OthersDept!$B$49,OthersDept!E$9:E$37,$B58)/OthersDept!E$49) + IF(OthersDept!E$50=0,0,COUNTIFS(OthersDept!$B$9:$B$37,OthersDept!$B$50,OthersDept!E$9:E$37,$B58)/OthersDept!E$50) + IF(OthersDept!E$51=0,0,COUNTIFS(OthersDept!$B$9:$B$37,OthersDept!$B$51,OthersDept!E$9:E$37,$B58)/OthersDept!E$51) + IF(OthersDept!E$52=0,0,COUNTIFS(OthersDept!$B$9:$B$37,OthersDept!$B$52,OthersDept!E$9:E$37,$B58)/OthersDept!E$52) +  IF(OthersDept!E$53=0,0,COUNTIFS(OthersDept!$B$9:$B$37,OthersDept!$B$53,OthersDept!E$9:E$37,$B58)/OthersDept!E$53))*150000)</f>
        <v>0</v>
      </c>
      <c r="F58" s="135">
        <f>IF($B58="","",(IF(OthersDept!F$42=0,0,COUNTIFS(OthersDept!$B$9:$B$37,OthersDept!$B$42,OthersDept!F$9:F$37,$B58)/OthersDept!F$42) + IF(OthersDept!F$43=0,0,COUNTIFS(OthersDept!$B$9:$B$37,OthersDept!$B$43,OthersDept!F$9:F$37,$B58)/OthersDept!F$43) + IF(OthersDept!F$44=0,0,COUNTIFS(OthersDept!$B$9:$B$37,OthersDept!$B$44,OthersDept!F$9:F$37,$B58)/OthersDept!F$44) + IF(OthersDept!F$45=0,0,COUNTIFS(OthersDept!$B$9:$B$37,OthersDept!$B$45,OthersDept!F$9:F$37,$B58)/OthersDept!F$45) + IF(OthersDept!F$46=0,0,COUNTIFS(OthersDept!$B$9:$B$37,OthersDept!$B$46,OthersDept!F$9:F$37,$B58)/OthersDept!F$46) + IF(OthersDept!F$47=0,0,COUNTIFS(OthersDept!$B$9:$B$37,OthersDept!$B$47,OthersDept!F$9:F$37,$B58)/OthersDept!F$47) + IF(OthersDept!F$48=0,0,COUNTIFS(OthersDept!$B$9:$B$37,OthersDept!$B$48,OthersDept!F$9:F$37,$B58)/OthersDept!F$48) + IF(OthersDept!F$49=0,0,COUNTIFS(OthersDept!$B$9:$B$37,OthersDept!$B$49,OthersDept!F$9:F$37,$B58)/OthersDept!F$49) + IF(OthersDept!F$50=0,0,COUNTIFS(OthersDept!$B$9:$B$37,OthersDept!$B$50,OthersDept!F$9:F$37,$B58)/OthersDept!F$50) + IF(OthersDept!F$51=0,0,COUNTIFS(OthersDept!$B$9:$B$37,OthersDept!$B$51,OthersDept!F$9:F$37,$B58)/OthersDept!F$51) + IF(OthersDept!F$52=0,0,COUNTIFS(OthersDept!$B$9:$B$37,OthersDept!$B$52,OthersDept!F$9:F$37,$B58)/OthersDept!F$52) +  IF(OthersDept!F$53=0,0,COUNTIFS(OthersDept!$B$9:$B$37,OthersDept!$B$53,OthersDept!F$9:F$37,$B58)/OthersDept!F$53))*150000)</f>
        <v>0</v>
      </c>
      <c r="G58" s="135">
        <f>IF($B58="","",(IF(OthersDept!G$42=0,0,COUNTIFS(OthersDept!$B$9:$B$37,OthersDept!$B$42,OthersDept!G$9:G$37,$B58)/OthersDept!G$42) + IF(OthersDept!G$43=0,0,COUNTIFS(OthersDept!$B$9:$B$37,OthersDept!$B$43,OthersDept!G$9:G$37,$B58)/OthersDept!G$43) + IF(OthersDept!G$44=0,0,COUNTIFS(OthersDept!$B$9:$B$37,OthersDept!$B$44,OthersDept!G$9:G$37,$B58)/OthersDept!G$44) + IF(OthersDept!G$45=0,0,COUNTIFS(OthersDept!$B$9:$B$37,OthersDept!$B$45,OthersDept!G$9:G$37,$B58)/OthersDept!G$45) + IF(OthersDept!G$46=0,0,COUNTIFS(OthersDept!$B$9:$B$37,OthersDept!$B$46,OthersDept!G$9:G$37,$B58)/OthersDept!G$46) + IF(OthersDept!G$47=0,0,COUNTIFS(OthersDept!$B$9:$B$37,OthersDept!$B$47,OthersDept!G$9:G$37,$B58)/OthersDept!G$47) + IF(OthersDept!G$48=0,0,COUNTIFS(OthersDept!$B$9:$B$37,OthersDept!$B$48,OthersDept!G$9:G$37,$B58)/OthersDept!G$48) + IF(OthersDept!G$49=0,0,COUNTIFS(OthersDept!$B$9:$B$37,OthersDept!$B$49,OthersDept!G$9:G$37,$B58)/OthersDept!G$49) + IF(OthersDept!G$50=0,0,COUNTIFS(OthersDept!$B$9:$B$37,OthersDept!$B$50,OthersDept!G$9:G$37,$B58)/OthersDept!G$50) + IF(OthersDept!G$51=0,0,COUNTIFS(OthersDept!$B$9:$B$37,OthersDept!$B$51,OthersDept!G$9:G$37,$B58)/OthersDept!G$51) + IF(OthersDept!G$52=0,0,COUNTIFS(OthersDept!$B$9:$B$37,OthersDept!$B$52,OthersDept!G$9:G$37,$B58)/OthersDept!G$52) +  IF(OthersDept!G$53=0,0,COUNTIFS(OthersDept!$B$9:$B$37,OthersDept!$B$53,OthersDept!G$9:G$37,$B58)/OthersDept!G$53))*150000)</f>
        <v>0</v>
      </c>
      <c r="H58" s="136">
        <f t="shared" si="1"/>
        <v>0</v>
      </c>
      <c r="I58" s="53"/>
      <c r="J58" s="53"/>
      <c r="K58" s="53"/>
      <c r="L58" s="53"/>
      <c r="M58" s="53"/>
      <c r="N58" s="53"/>
      <c r="P58" s="53"/>
    </row>
    <row r="59" spans="1:16" x14ac:dyDescent="0.25">
      <c r="A59" s="133">
        <f>IF(ISTEXT($B59),15,"")</f>
        <v>15</v>
      </c>
      <c r="B59" s="65" t="s">
        <v>403</v>
      </c>
      <c r="C59" s="135">
        <f>IF($B59="","",(IF(OthersDept!C$42=0,0,COUNTIFS(OthersDept!$B$9:$B$37,OthersDept!$B$42,OthersDept!C$9:C$37,$B59)/OthersDept!C$42) + IF(OthersDept!C$43=0,0,COUNTIFS(OthersDept!$B$9:$B$37,OthersDept!$B$43,OthersDept!C$9:C$37,$B59)/OthersDept!C$43) + IF(OthersDept!C$44=0,0,COUNTIFS(OthersDept!$B$9:$B$37,OthersDept!$B$44,OthersDept!C$9:C$37,$B59)/OthersDept!C$44) + IF(OthersDept!C$45=0,0,COUNTIFS(OthersDept!$B$9:$B$37,OthersDept!$B$45,OthersDept!C$9:C$37,$B59)/OthersDept!C$45) + IF(OthersDept!C$46=0,0,COUNTIFS(OthersDept!$B$9:$B$37,OthersDept!$B$46,OthersDept!C$9:C$37,$B59)/OthersDept!C$46) + IF(OthersDept!C$47=0,0,COUNTIFS(OthersDept!$B$9:$B$37,OthersDept!$B$47,OthersDept!C$9:C$37,$B59)/OthersDept!C$47) + IF(OthersDept!C$48=0,0,COUNTIFS(OthersDept!$B$9:$B$37,OthersDept!$B$48,OthersDept!C$9:C$37,$B59)/OthersDept!C$48) + IF(OthersDept!C$49=0,0,COUNTIFS(OthersDept!$B$9:$B$37,OthersDept!$B$49,OthersDept!C$9:C$37,$B59)/OthersDept!C$49) + IF(OthersDept!C$50=0,0,COUNTIFS(OthersDept!$B$9:$B$37,OthersDept!$B$50,OthersDept!C$9:C$37,$B59)/OthersDept!C$50) + IF(OthersDept!C$51=0,0,COUNTIFS(OthersDept!$B$9:$B$37,OthersDept!$B$51,OthersDept!C$9:C$37,$B59)/OthersDept!C$51) + IF(OthersDept!C$52=0,0,COUNTIFS(OthersDept!$B$9:$B$37,OthersDept!$B$52,OthersDept!C$9:C$37,$B59)/OthersDept!C$52) +  IF(OthersDept!C$53=0,0,COUNTIFS(OthersDept!$B$9:$B$37,OthersDept!$B$53,OthersDept!C$9:C$37,$B59)/OthersDept!C$53))*150000)</f>
        <v>0</v>
      </c>
      <c r="D59" s="135">
        <f>IF($B59="","",(IF(OthersDept!D$42=0,0,COUNTIFS(OthersDept!$B$9:$B$37,OthersDept!$B$42,OthersDept!D$9:D$37,$B59)/OthersDept!D$42) + IF(OthersDept!D$43=0,0,COUNTIFS(OthersDept!$B$9:$B$37,OthersDept!$B$43,OthersDept!D$9:D$37,$B59)/OthersDept!D$43) + IF(OthersDept!D$44=0,0,COUNTIFS(OthersDept!$B$9:$B$37,OthersDept!$B$44,OthersDept!D$9:D$37,$B59)/OthersDept!D$44) + IF(OthersDept!D$45=0,0,COUNTIFS(OthersDept!$B$9:$B$37,OthersDept!$B$45,OthersDept!D$9:D$37,$B59)/OthersDept!D$45) + IF(OthersDept!D$46=0,0,COUNTIFS(OthersDept!$B$9:$B$37,OthersDept!$B$46,OthersDept!D$9:D$37,$B59)/OthersDept!D$46) + IF(OthersDept!D$47=0,0,COUNTIFS(OthersDept!$B$9:$B$37,OthersDept!$B$47,OthersDept!D$9:D$37,$B59)/OthersDept!D$47) + IF(OthersDept!D$48=0,0,COUNTIFS(OthersDept!$B$9:$B$37,OthersDept!$B$48,OthersDept!D$9:D$37,$B59)/OthersDept!D$48) + IF(OthersDept!D$49=0,0,COUNTIFS(OthersDept!$B$9:$B$37,OthersDept!$B$49,OthersDept!D$9:D$37,$B59)/OthersDept!D$49) + IF(OthersDept!D$50=0,0,COUNTIFS(OthersDept!$B$9:$B$37,OthersDept!$B$50,OthersDept!D$9:D$37,$B59)/OthersDept!D$50) + IF(OthersDept!D$51=0,0,COUNTIFS(OthersDept!$B$9:$B$37,OthersDept!$B$51,OthersDept!D$9:D$37,$B59)/OthersDept!D$51) + IF(OthersDept!D$52=0,0,COUNTIFS(OthersDept!$B$9:$B$37,OthersDept!$B$52,OthersDept!D$9:D$37,$B59)/OthersDept!D$52) +  IF(OthersDept!D$53=0,0,COUNTIFS(OthersDept!$B$9:$B$37,OthersDept!$B$53,OthersDept!D$9:D$37,$B59)/OthersDept!D$53))*150000)</f>
        <v>0</v>
      </c>
      <c r="E59" s="135">
        <f>IF($B59="","",(IF(OthersDept!E$42=0,0,COUNTIFS(OthersDept!$B$9:$B$37,OthersDept!$B$42,OthersDept!E$9:E$37,$B59)/OthersDept!E$42) + IF(OthersDept!E$43=0,0,COUNTIFS(OthersDept!$B$9:$B$37,OthersDept!$B$43,OthersDept!E$9:E$37,$B59)/OthersDept!E$43) + IF(OthersDept!E$44=0,0,COUNTIFS(OthersDept!$B$9:$B$37,OthersDept!$B$44,OthersDept!E$9:E$37,$B59)/OthersDept!E$44) + IF(OthersDept!E$45=0,0,COUNTIFS(OthersDept!$B$9:$B$37,OthersDept!$B$45,OthersDept!E$9:E$37,$B59)/OthersDept!E$45) + IF(OthersDept!E$46=0,0,COUNTIFS(OthersDept!$B$9:$B$37,OthersDept!$B$46,OthersDept!E$9:E$37,$B59)/OthersDept!E$46) + IF(OthersDept!E$47=0,0,COUNTIFS(OthersDept!$B$9:$B$37,OthersDept!$B$47,OthersDept!E$9:E$37,$B59)/OthersDept!E$47) + IF(OthersDept!E$48=0,0,COUNTIFS(OthersDept!$B$9:$B$37,OthersDept!$B$48,OthersDept!E$9:E$37,$B59)/OthersDept!E$48) + IF(OthersDept!E$49=0,0,COUNTIFS(OthersDept!$B$9:$B$37,OthersDept!$B$49,OthersDept!E$9:E$37,$B59)/OthersDept!E$49) + IF(OthersDept!E$50=0,0,COUNTIFS(OthersDept!$B$9:$B$37,OthersDept!$B$50,OthersDept!E$9:E$37,$B59)/OthersDept!E$50) + IF(OthersDept!E$51=0,0,COUNTIFS(OthersDept!$B$9:$B$37,OthersDept!$B$51,OthersDept!E$9:E$37,$B59)/OthersDept!E$51) + IF(OthersDept!E$52=0,0,COUNTIFS(OthersDept!$B$9:$B$37,OthersDept!$B$52,OthersDept!E$9:E$37,$B59)/OthersDept!E$52) +  IF(OthersDept!E$53=0,0,COUNTIFS(OthersDept!$B$9:$B$37,OthersDept!$B$53,OthersDept!E$9:E$37,$B59)/OthersDept!E$53))*150000)</f>
        <v>0</v>
      </c>
      <c r="F59" s="135">
        <f>IF($B59="","",(IF(OthersDept!F$42=0,0,COUNTIFS(OthersDept!$B$9:$B$37,OthersDept!$B$42,OthersDept!F$9:F$37,$B59)/OthersDept!F$42) + IF(OthersDept!F$43=0,0,COUNTIFS(OthersDept!$B$9:$B$37,OthersDept!$B$43,OthersDept!F$9:F$37,$B59)/OthersDept!F$43) + IF(OthersDept!F$44=0,0,COUNTIFS(OthersDept!$B$9:$B$37,OthersDept!$B$44,OthersDept!F$9:F$37,$B59)/OthersDept!F$44) + IF(OthersDept!F$45=0,0,COUNTIFS(OthersDept!$B$9:$B$37,OthersDept!$B$45,OthersDept!F$9:F$37,$B59)/OthersDept!F$45) + IF(OthersDept!F$46=0,0,COUNTIFS(OthersDept!$B$9:$B$37,OthersDept!$B$46,OthersDept!F$9:F$37,$B59)/OthersDept!F$46) + IF(OthersDept!F$47=0,0,COUNTIFS(OthersDept!$B$9:$B$37,OthersDept!$B$47,OthersDept!F$9:F$37,$B59)/OthersDept!F$47) + IF(OthersDept!F$48=0,0,COUNTIFS(OthersDept!$B$9:$B$37,OthersDept!$B$48,OthersDept!F$9:F$37,$B59)/OthersDept!F$48) + IF(OthersDept!F$49=0,0,COUNTIFS(OthersDept!$B$9:$B$37,OthersDept!$B$49,OthersDept!F$9:F$37,$B59)/OthersDept!F$49) + IF(OthersDept!F$50=0,0,COUNTIFS(OthersDept!$B$9:$B$37,OthersDept!$B$50,OthersDept!F$9:F$37,$B59)/OthersDept!F$50) + IF(OthersDept!F$51=0,0,COUNTIFS(OthersDept!$B$9:$B$37,OthersDept!$B$51,OthersDept!F$9:F$37,$B59)/OthersDept!F$51) + IF(OthersDept!F$52=0,0,COUNTIFS(OthersDept!$B$9:$B$37,OthersDept!$B$52,OthersDept!F$9:F$37,$B59)/OthersDept!F$52) +  IF(OthersDept!F$53=0,0,COUNTIFS(OthersDept!$B$9:$B$37,OthersDept!$B$53,OthersDept!F$9:F$37,$B59)/OthersDept!F$53))*150000)</f>
        <v>0</v>
      </c>
      <c r="G59" s="135">
        <f>IF($B59="","",(IF(OthersDept!G$42=0,0,COUNTIFS(OthersDept!$B$9:$B$37,OthersDept!$B$42,OthersDept!G$9:G$37,$B59)/OthersDept!G$42) + IF(OthersDept!G$43=0,0,COUNTIFS(OthersDept!$B$9:$B$37,OthersDept!$B$43,OthersDept!G$9:G$37,$B59)/OthersDept!G$43) + IF(OthersDept!G$44=0,0,COUNTIFS(OthersDept!$B$9:$B$37,OthersDept!$B$44,OthersDept!G$9:G$37,$B59)/OthersDept!G$44) + IF(OthersDept!G$45=0,0,COUNTIFS(OthersDept!$B$9:$B$37,OthersDept!$B$45,OthersDept!G$9:G$37,$B59)/OthersDept!G$45) + IF(OthersDept!G$46=0,0,COUNTIFS(OthersDept!$B$9:$B$37,OthersDept!$B$46,OthersDept!G$9:G$37,$B59)/OthersDept!G$46) + IF(OthersDept!G$47=0,0,COUNTIFS(OthersDept!$B$9:$B$37,OthersDept!$B$47,OthersDept!G$9:G$37,$B59)/OthersDept!G$47) + IF(OthersDept!G$48=0,0,COUNTIFS(OthersDept!$B$9:$B$37,OthersDept!$B$48,OthersDept!G$9:G$37,$B59)/OthersDept!G$48) + IF(OthersDept!G$49=0,0,COUNTIFS(OthersDept!$B$9:$B$37,OthersDept!$B$49,OthersDept!G$9:G$37,$B59)/OthersDept!G$49) + IF(OthersDept!G$50=0,0,COUNTIFS(OthersDept!$B$9:$B$37,OthersDept!$B$50,OthersDept!G$9:G$37,$B59)/OthersDept!G$50) + IF(OthersDept!G$51=0,0,COUNTIFS(OthersDept!$B$9:$B$37,OthersDept!$B$51,OthersDept!G$9:G$37,$B59)/OthersDept!G$51) + IF(OthersDept!G$52=0,0,COUNTIFS(OthersDept!$B$9:$B$37,OthersDept!$B$52,OthersDept!G$9:G$37,$B59)/OthersDept!G$52) +  IF(OthersDept!G$53=0,0,COUNTIFS(OthersDept!$B$9:$B$37,OthersDept!$B$53,OthersDept!G$9:G$37,$B59)/OthersDept!G$53))*150000)</f>
        <v>0</v>
      </c>
      <c r="H59" s="136">
        <f t="shared" si="1"/>
        <v>0</v>
      </c>
      <c r="I59" s="53"/>
      <c r="J59" s="53"/>
      <c r="K59" s="53"/>
      <c r="L59" s="53"/>
      <c r="M59" s="53"/>
      <c r="N59" s="53"/>
      <c r="P59" s="53"/>
    </row>
    <row r="60" spans="1:16" x14ac:dyDescent="0.25">
      <c r="A60" s="133">
        <f>IF(ISTEXT($B60),16,"")</f>
        <v>16</v>
      </c>
      <c r="B60" s="65" t="s">
        <v>399</v>
      </c>
      <c r="C60" s="135">
        <f>IF($B60="","",(IF(OthersDept!C$42=0,0,COUNTIFS(OthersDept!$B$9:$B$37,OthersDept!$B$42,OthersDept!C$9:C$37,$B60)/OthersDept!C$42) + IF(OthersDept!C$43=0,0,COUNTIFS(OthersDept!$B$9:$B$37,OthersDept!$B$43,OthersDept!C$9:C$37,$B60)/OthersDept!C$43) + IF(OthersDept!C$44=0,0,COUNTIFS(OthersDept!$B$9:$B$37,OthersDept!$B$44,OthersDept!C$9:C$37,$B60)/OthersDept!C$44) + IF(OthersDept!C$45=0,0,COUNTIFS(OthersDept!$B$9:$B$37,OthersDept!$B$45,OthersDept!C$9:C$37,$B60)/OthersDept!C$45) + IF(OthersDept!C$46=0,0,COUNTIFS(OthersDept!$B$9:$B$37,OthersDept!$B$46,OthersDept!C$9:C$37,$B60)/OthersDept!C$46) + IF(OthersDept!C$47=0,0,COUNTIFS(OthersDept!$B$9:$B$37,OthersDept!$B$47,OthersDept!C$9:C$37,$B60)/OthersDept!C$47) + IF(OthersDept!C$48=0,0,COUNTIFS(OthersDept!$B$9:$B$37,OthersDept!$B$48,OthersDept!C$9:C$37,$B60)/OthersDept!C$48) + IF(OthersDept!C$49=0,0,COUNTIFS(OthersDept!$B$9:$B$37,OthersDept!$B$49,OthersDept!C$9:C$37,$B60)/OthersDept!C$49) + IF(OthersDept!C$50=0,0,COUNTIFS(OthersDept!$B$9:$B$37,OthersDept!$B$50,OthersDept!C$9:C$37,$B60)/OthersDept!C$50) + IF(OthersDept!C$51=0,0,COUNTIFS(OthersDept!$B$9:$B$37,OthersDept!$B$51,OthersDept!C$9:C$37,$B60)/OthersDept!C$51) + IF(OthersDept!C$52=0,0,COUNTIFS(OthersDept!$B$9:$B$37,OthersDept!$B$52,OthersDept!C$9:C$37,$B60)/OthersDept!C$52) +  IF(OthersDept!C$53=0,0,COUNTIFS(OthersDept!$B$9:$B$37,OthersDept!$B$53,OthersDept!C$9:C$37,$B60)/OthersDept!C$53))*150000)</f>
        <v>0</v>
      </c>
      <c r="D60" s="135">
        <f>IF($B60="","",(IF(OthersDept!D$42=0,0,COUNTIFS(OthersDept!$B$9:$B$37,OthersDept!$B$42,OthersDept!D$9:D$37,$B60)/OthersDept!D$42) + IF(OthersDept!D$43=0,0,COUNTIFS(OthersDept!$B$9:$B$37,OthersDept!$B$43,OthersDept!D$9:D$37,$B60)/OthersDept!D$43) + IF(OthersDept!D$44=0,0,COUNTIFS(OthersDept!$B$9:$B$37,OthersDept!$B$44,OthersDept!D$9:D$37,$B60)/OthersDept!D$44) + IF(OthersDept!D$45=0,0,COUNTIFS(OthersDept!$B$9:$B$37,OthersDept!$B$45,OthersDept!D$9:D$37,$B60)/OthersDept!D$45) + IF(OthersDept!D$46=0,0,COUNTIFS(OthersDept!$B$9:$B$37,OthersDept!$B$46,OthersDept!D$9:D$37,$B60)/OthersDept!D$46) + IF(OthersDept!D$47=0,0,COUNTIFS(OthersDept!$B$9:$B$37,OthersDept!$B$47,OthersDept!D$9:D$37,$B60)/OthersDept!D$47) + IF(OthersDept!D$48=0,0,COUNTIFS(OthersDept!$B$9:$B$37,OthersDept!$B$48,OthersDept!D$9:D$37,$B60)/OthersDept!D$48) + IF(OthersDept!D$49=0,0,COUNTIFS(OthersDept!$B$9:$B$37,OthersDept!$B$49,OthersDept!D$9:D$37,$B60)/OthersDept!D$49) + IF(OthersDept!D$50=0,0,COUNTIFS(OthersDept!$B$9:$B$37,OthersDept!$B$50,OthersDept!D$9:D$37,$B60)/OthersDept!D$50) + IF(OthersDept!D$51=0,0,COUNTIFS(OthersDept!$B$9:$B$37,OthersDept!$B$51,OthersDept!D$9:D$37,$B60)/OthersDept!D$51) + IF(OthersDept!D$52=0,0,COUNTIFS(OthersDept!$B$9:$B$37,OthersDept!$B$52,OthersDept!D$9:D$37,$B60)/OthersDept!D$52) +  IF(OthersDept!D$53=0,0,COUNTIFS(OthersDept!$B$9:$B$37,OthersDept!$B$53,OthersDept!D$9:D$37,$B60)/OthersDept!D$53))*150000)</f>
        <v>0</v>
      </c>
      <c r="E60" s="135">
        <f>IF($B60="","",(IF(OthersDept!E$42=0,0,COUNTIFS(OthersDept!$B$9:$B$37,OthersDept!$B$42,OthersDept!E$9:E$37,$B60)/OthersDept!E$42) + IF(OthersDept!E$43=0,0,COUNTIFS(OthersDept!$B$9:$B$37,OthersDept!$B$43,OthersDept!E$9:E$37,$B60)/OthersDept!E$43) + IF(OthersDept!E$44=0,0,COUNTIFS(OthersDept!$B$9:$B$37,OthersDept!$B$44,OthersDept!E$9:E$37,$B60)/OthersDept!E$44) + IF(OthersDept!E$45=0,0,COUNTIFS(OthersDept!$B$9:$B$37,OthersDept!$B$45,OthersDept!E$9:E$37,$B60)/OthersDept!E$45) + IF(OthersDept!E$46=0,0,COUNTIFS(OthersDept!$B$9:$B$37,OthersDept!$B$46,OthersDept!E$9:E$37,$B60)/OthersDept!E$46) + IF(OthersDept!E$47=0,0,COUNTIFS(OthersDept!$B$9:$B$37,OthersDept!$B$47,OthersDept!E$9:E$37,$B60)/OthersDept!E$47) + IF(OthersDept!E$48=0,0,COUNTIFS(OthersDept!$B$9:$B$37,OthersDept!$B$48,OthersDept!E$9:E$37,$B60)/OthersDept!E$48) + IF(OthersDept!E$49=0,0,COUNTIFS(OthersDept!$B$9:$B$37,OthersDept!$B$49,OthersDept!E$9:E$37,$B60)/OthersDept!E$49) + IF(OthersDept!E$50=0,0,COUNTIFS(OthersDept!$B$9:$B$37,OthersDept!$B$50,OthersDept!E$9:E$37,$B60)/OthersDept!E$50) + IF(OthersDept!E$51=0,0,COUNTIFS(OthersDept!$B$9:$B$37,OthersDept!$B$51,OthersDept!E$9:E$37,$B60)/OthersDept!E$51) + IF(OthersDept!E$52=0,0,COUNTIFS(OthersDept!$B$9:$B$37,OthersDept!$B$52,OthersDept!E$9:E$37,$B60)/OthersDept!E$52) +  IF(OthersDept!E$53=0,0,COUNTIFS(OthersDept!$B$9:$B$37,OthersDept!$B$53,OthersDept!E$9:E$37,$B60)/OthersDept!E$53))*150000)</f>
        <v>0</v>
      </c>
      <c r="F60" s="135">
        <f>IF($B60="","",(IF(OthersDept!F$42=0,0,COUNTIFS(OthersDept!$B$9:$B$37,OthersDept!$B$42,OthersDept!F$9:F$37,$B60)/OthersDept!F$42) + IF(OthersDept!F$43=0,0,COUNTIFS(OthersDept!$B$9:$B$37,OthersDept!$B$43,OthersDept!F$9:F$37,$B60)/OthersDept!F$43) + IF(OthersDept!F$44=0,0,COUNTIFS(OthersDept!$B$9:$B$37,OthersDept!$B$44,OthersDept!F$9:F$37,$B60)/OthersDept!F$44) + IF(OthersDept!F$45=0,0,COUNTIFS(OthersDept!$B$9:$B$37,OthersDept!$B$45,OthersDept!F$9:F$37,$B60)/OthersDept!F$45) + IF(OthersDept!F$46=0,0,COUNTIFS(OthersDept!$B$9:$B$37,OthersDept!$B$46,OthersDept!F$9:F$37,$B60)/OthersDept!F$46) + IF(OthersDept!F$47=0,0,COUNTIFS(OthersDept!$B$9:$B$37,OthersDept!$B$47,OthersDept!F$9:F$37,$B60)/OthersDept!F$47) + IF(OthersDept!F$48=0,0,COUNTIFS(OthersDept!$B$9:$B$37,OthersDept!$B$48,OthersDept!F$9:F$37,$B60)/OthersDept!F$48) + IF(OthersDept!F$49=0,0,COUNTIFS(OthersDept!$B$9:$B$37,OthersDept!$B$49,OthersDept!F$9:F$37,$B60)/OthersDept!F$49) + IF(OthersDept!F$50=0,0,COUNTIFS(OthersDept!$B$9:$B$37,OthersDept!$B$50,OthersDept!F$9:F$37,$B60)/OthersDept!F$50) + IF(OthersDept!F$51=0,0,COUNTIFS(OthersDept!$B$9:$B$37,OthersDept!$B$51,OthersDept!F$9:F$37,$B60)/OthersDept!F$51) + IF(OthersDept!F$52=0,0,COUNTIFS(OthersDept!$B$9:$B$37,OthersDept!$B$52,OthersDept!F$9:F$37,$B60)/OthersDept!F$52) +  IF(OthersDept!F$53=0,0,COUNTIFS(OthersDept!$B$9:$B$37,OthersDept!$B$53,OthersDept!F$9:F$37,$B60)/OthersDept!F$53))*150000)</f>
        <v>0</v>
      </c>
      <c r="G60" s="135">
        <f>IF($B60="","",(IF(OthersDept!G$42=0,0,COUNTIFS(OthersDept!$B$9:$B$37,OthersDept!$B$42,OthersDept!G$9:G$37,$B60)/OthersDept!G$42) + IF(OthersDept!G$43=0,0,COUNTIFS(OthersDept!$B$9:$B$37,OthersDept!$B$43,OthersDept!G$9:G$37,$B60)/OthersDept!G$43) + IF(OthersDept!G$44=0,0,COUNTIFS(OthersDept!$B$9:$B$37,OthersDept!$B$44,OthersDept!G$9:G$37,$B60)/OthersDept!G$44) + IF(OthersDept!G$45=0,0,COUNTIFS(OthersDept!$B$9:$B$37,OthersDept!$B$45,OthersDept!G$9:G$37,$B60)/OthersDept!G$45) + IF(OthersDept!G$46=0,0,COUNTIFS(OthersDept!$B$9:$B$37,OthersDept!$B$46,OthersDept!G$9:G$37,$B60)/OthersDept!G$46) + IF(OthersDept!G$47=0,0,COUNTIFS(OthersDept!$B$9:$B$37,OthersDept!$B$47,OthersDept!G$9:G$37,$B60)/OthersDept!G$47) + IF(OthersDept!G$48=0,0,COUNTIFS(OthersDept!$B$9:$B$37,OthersDept!$B$48,OthersDept!G$9:G$37,$B60)/OthersDept!G$48) + IF(OthersDept!G$49=0,0,COUNTIFS(OthersDept!$B$9:$B$37,OthersDept!$B$49,OthersDept!G$9:G$37,$B60)/OthersDept!G$49) + IF(OthersDept!G$50=0,0,COUNTIFS(OthersDept!$B$9:$B$37,OthersDept!$B$50,OthersDept!G$9:G$37,$B60)/OthersDept!G$50) + IF(OthersDept!G$51=0,0,COUNTIFS(OthersDept!$B$9:$B$37,OthersDept!$B$51,OthersDept!G$9:G$37,$B60)/OthersDept!G$51) + IF(OthersDept!G$52=0,0,COUNTIFS(OthersDept!$B$9:$B$37,OthersDept!$B$52,OthersDept!G$9:G$37,$B60)/OthersDept!G$52) +  IF(OthersDept!G$53=0,0,COUNTIFS(OthersDept!$B$9:$B$37,OthersDept!$B$53,OthersDept!G$9:G$37,$B60)/OthersDept!G$53))*150000)</f>
        <v>0</v>
      </c>
      <c r="H60" s="136">
        <f t="shared" si="1"/>
        <v>0</v>
      </c>
      <c r="I60" s="53"/>
      <c r="J60" s="53"/>
      <c r="K60" s="53"/>
      <c r="L60" s="53"/>
      <c r="M60" s="53"/>
      <c r="N60" s="53"/>
      <c r="P60" s="53"/>
    </row>
    <row r="61" spans="1:16" x14ac:dyDescent="0.25">
      <c r="A61" s="133">
        <f>IF(ISTEXT($B61),17,"")</f>
        <v>17</v>
      </c>
      <c r="B61" s="65" t="s">
        <v>400</v>
      </c>
      <c r="C61" s="135">
        <f>IF($B61="","",(IF(OthersDept!C$42=0,0,COUNTIFS(OthersDept!$B$9:$B$37,OthersDept!$B$42,OthersDept!C$9:C$37,$B61)/OthersDept!C$42) + IF(OthersDept!C$43=0,0,COUNTIFS(OthersDept!$B$9:$B$37,OthersDept!$B$43,OthersDept!C$9:C$37,$B61)/OthersDept!C$43) + IF(OthersDept!C$44=0,0,COUNTIFS(OthersDept!$B$9:$B$37,OthersDept!$B$44,OthersDept!C$9:C$37,$B61)/OthersDept!C$44) + IF(OthersDept!C$45=0,0,COUNTIFS(OthersDept!$B$9:$B$37,OthersDept!$B$45,OthersDept!C$9:C$37,$B61)/OthersDept!C$45) + IF(OthersDept!C$46=0,0,COUNTIFS(OthersDept!$B$9:$B$37,OthersDept!$B$46,OthersDept!C$9:C$37,$B61)/OthersDept!C$46) + IF(OthersDept!C$47=0,0,COUNTIFS(OthersDept!$B$9:$B$37,OthersDept!$B$47,OthersDept!C$9:C$37,$B61)/OthersDept!C$47) + IF(OthersDept!C$48=0,0,COUNTIFS(OthersDept!$B$9:$B$37,OthersDept!$B$48,OthersDept!C$9:C$37,$B61)/OthersDept!C$48) + IF(OthersDept!C$49=0,0,COUNTIFS(OthersDept!$B$9:$B$37,OthersDept!$B$49,OthersDept!C$9:C$37,$B61)/OthersDept!C$49) + IF(OthersDept!C$50=0,0,COUNTIFS(OthersDept!$B$9:$B$37,OthersDept!$B$50,OthersDept!C$9:C$37,$B61)/OthersDept!C$50) + IF(OthersDept!C$51=0,0,COUNTIFS(OthersDept!$B$9:$B$37,OthersDept!$B$51,OthersDept!C$9:C$37,$B61)/OthersDept!C$51) + IF(OthersDept!C$52=0,0,COUNTIFS(OthersDept!$B$9:$B$37,OthersDept!$B$52,OthersDept!C$9:C$37,$B61)/OthersDept!C$52) +  IF(OthersDept!C$53=0,0,COUNTIFS(OthersDept!$B$9:$B$37,OthersDept!$B$53,OthersDept!C$9:C$37,$B61)/OthersDept!C$53))*150000)</f>
        <v>0</v>
      </c>
      <c r="D61" s="135">
        <f>IF($B61="","",(IF(OthersDept!D$42=0,0,COUNTIFS(OthersDept!$B$9:$B$37,OthersDept!$B$42,OthersDept!D$9:D$37,$B61)/OthersDept!D$42) + IF(OthersDept!D$43=0,0,COUNTIFS(OthersDept!$B$9:$B$37,OthersDept!$B$43,OthersDept!D$9:D$37,$B61)/OthersDept!D$43) + IF(OthersDept!D$44=0,0,COUNTIFS(OthersDept!$B$9:$B$37,OthersDept!$B$44,OthersDept!D$9:D$37,$B61)/OthersDept!D$44) + IF(OthersDept!D$45=0,0,COUNTIFS(OthersDept!$B$9:$B$37,OthersDept!$B$45,OthersDept!D$9:D$37,$B61)/OthersDept!D$45) + IF(OthersDept!D$46=0,0,COUNTIFS(OthersDept!$B$9:$B$37,OthersDept!$B$46,OthersDept!D$9:D$37,$B61)/OthersDept!D$46) + IF(OthersDept!D$47=0,0,COUNTIFS(OthersDept!$B$9:$B$37,OthersDept!$B$47,OthersDept!D$9:D$37,$B61)/OthersDept!D$47) + IF(OthersDept!D$48=0,0,COUNTIFS(OthersDept!$B$9:$B$37,OthersDept!$B$48,OthersDept!D$9:D$37,$B61)/OthersDept!D$48) + IF(OthersDept!D$49=0,0,COUNTIFS(OthersDept!$B$9:$B$37,OthersDept!$B$49,OthersDept!D$9:D$37,$B61)/OthersDept!D$49) + IF(OthersDept!D$50=0,0,COUNTIFS(OthersDept!$B$9:$B$37,OthersDept!$B$50,OthersDept!D$9:D$37,$B61)/OthersDept!D$50) + IF(OthersDept!D$51=0,0,COUNTIFS(OthersDept!$B$9:$B$37,OthersDept!$B$51,OthersDept!D$9:D$37,$B61)/OthersDept!D$51) + IF(OthersDept!D$52=0,0,COUNTIFS(OthersDept!$B$9:$B$37,OthersDept!$B$52,OthersDept!D$9:D$37,$B61)/OthersDept!D$52) +  IF(OthersDept!D$53=0,0,COUNTIFS(OthersDept!$B$9:$B$37,OthersDept!$B$53,OthersDept!D$9:D$37,$B61)/OthersDept!D$53))*150000)</f>
        <v>0</v>
      </c>
      <c r="E61" s="135">
        <f>IF($B61="","",(IF(OthersDept!E$42=0,0,COUNTIFS(OthersDept!$B$9:$B$37,OthersDept!$B$42,OthersDept!E$9:E$37,$B61)/OthersDept!E$42) + IF(OthersDept!E$43=0,0,COUNTIFS(OthersDept!$B$9:$B$37,OthersDept!$B$43,OthersDept!E$9:E$37,$B61)/OthersDept!E$43) + IF(OthersDept!E$44=0,0,COUNTIFS(OthersDept!$B$9:$B$37,OthersDept!$B$44,OthersDept!E$9:E$37,$B61)/OthersDept!E$44) + IF(OthersDept!E$45=0,0,COUNTIFS(OthersDept!$B$9:$B$37,OthersDept!$B$45,OthersDept!E$9:E$37,$B61)/OthersDept!E$45) + IF(OthersDept!E$46=0,0,COUNTIFS(OthersDept!$B$9:$B$37,OthersDept!$B$46,OthersDept!E$9:E$37,$B61)/OthersDept!E$46) + IF(OthersDept!E$47=0,0,COUNTIFS(OthersDept!$B$9:$B$37,OthersDept!$B$47,OthersDept!E$9:E$37,$B61)/OthersDept!E$47) + IF(OthersDept!E$48=0,0,COUNTIFS(OthersDept!$B$9:$B$37,OthersDept!$B$48,OthersDept!E$9:E$37,$B61)/OthersDept!E$48) + IF(OthersDept!E$49=0,0,COUNTIFS(OthersDept!$B$9:$B$37,OthersDept!$B$49,OthersDept!E$9:E$37,$B61)/OthersDept!E$49) + IF(OthersDept!E$50=0,0,COUNTIFS(OthersDept!$B$9:$B$37,OthersDept!$B$50,OthersDept!E$9:E$37,$B61)/OthersDept!E$50) + IF(OthersDept!E$51=0,0,COUNTIFS(OthersDept!$B$9:$B$37,OthersDept!$B$51,OthersDept!E$9:E$37,$B61)/OthersDept!E$51) + IF(OthersDept!E$52=0,0,COUNTIFS(OthersDept!$B$9:$B$37,OthersDept!$B$52,OthersDept!E$9:E$37,$B61)/OthersDept!E$52) +  IF(OthersDept!E$53=0,0,COUNTIFS(OthersDept!$B$9:$B$37,OthersDept!$B$53,OthersDept!E$9:E$37,$B61)/OthersDept!E$53))*150000)</f>
        <v>0</v>
      </c>
      <c r="F61" s="135">
        <f>IF($B61="","",(IF(OthersDept!F$42=0,0,COUNTIFS(OthersDept!$B$9:$B$37,OthersDept!$B$42,OthersDept!F$9:F$37,$B61)/OthersDept!F$42) + IF(OthersDept!F$43=0,0,COUNTIFS(OthersDept!$B$9:$B$37,OthersDept!$B$43,OthersDept!F$9:F$37,$B61)/OthersDept!F$43) + IF(OthersDept!F$44=0,0,COUNTIFS(OthersDept!$B$9:$B$37,OthersDept!$B$44,OthersDept!F$9:F$37,$B61)/OthersDept!F$44) + IF(OthersDept!F$45=0,0,COUNTIFS(OthersDept!$B$9:$B$37,OthersDept!$B$45,OthersDept!F$9:F$37,$B61)/OthersDept!F$45) + IF(OthersDept!F$46=0,0,COUNTIFS(OthersDept!$B$9:$B$37,OthersDept!$B$46,OthersDept!F$9:F$37,$B61)/OthersDept!F$46) + IF(OthersDept!F$47=0,0,COUNTIFS(OthersDept!$B$9:$B$37,OthersDept!$B$47,OthersDept!F$9:F$37,$B61)/OthersDept!F$47) + IF(OthersDept!F$48=0,0,COUNTIFS(OthersDept!$B$9:$B$37,OthersDept!$B$48,OthersDept!F$9:F$37,$B61)/OthersDept!F$48) + IF(OthersDept!F$49=0,0,COUNTIFS(OthersDept!$B$9:$B$37,OthersDept!$B$49,OthersDept!F$9:F$37,$B61)/OthersDept!F$49) + IF(OthersDept!F$50=0,0,COUNTIFS(OthersDept!$B$9:$B$37,OthersDept!$B$50,OthersDept!F$9:F$37,$B61)/OthersDept!F$50) + IF(OthersDept!F$51=0,0,COUNTIFS(OthersDept!$B$9:$B$37,OthersDept!$B$51,OthersDept!F$9:F$37,$B61)/OthersDept!F$51) + IF(OthersDept!F$52=0,0,COUNTIFS(OthersDept!$B$9:$B$37,OthersDept!$B$52,OthersDept!F$9:F$37,$B61)/OthersDept!F$52) +  IF(OthersDept!F$53=0,0,COUNTIFS(OthersDept!$B$9:$B$37,OthersDept!$B$53,OthersDept!F$9:F$37,$B61)/OthersDept!F$53))*150000)</f>
        <v>0</v>
      </c>
      <c r="G61" s="135">
        <f>IF($B61="","",(IF(OthersDept!G$42=0,0,COUNTIFS(OthersDept!$B$9:$B$37,OthersDept!$B$42,OthersDept!G$9:G$37,$B61)/OthersDept!G$42) + IF(OthersDept!G$43=0,0,COUNTIFS(OthersDept!$B$9:$B$37,OthersDept!$B$43,OthersDept!G$9:G$37,$B61)/OthersDept!G$43) + IF(OthersDept!G$44=0,0,COUNTIFS(OthersDept!$B$9:$B$37,OthersDept!$B$44,OthersDept!G$9:G$37,$B61)/OthersDept!G$44) + IF(OthersDept!G$45=0,0,COUNTIFS(OthersDept!$B$9:$B$37,OthersDept!$B$45,OthersDept!G$9:G$37,$B61)/OthersDept!G$45) + IF(OthersDept!G$46=0,0,COUNTIFS(OthersDept!$B$9:$B$37,OthersDept!$B$46,OthersDept!G$9:G$37,$B61)/OthersDept!G$46) + IF(OthersDept!G$47=0,0,COUNTIFS(OthersDept!$B$9:$B$37,OthersDept!$B$47,OthersDept!G$9:G$37,$B61)/OthersDept!G$47) + IF(OthersDept!G$48=0,0,COUNTIFS(OthersDept!$B$9:$B$37,OthersDept!$B$48,OthersDept!G$9:G$37,$B61)/OthersDept!G$48) + IF(OthersDept!G$49=0,0,COUNTIFS(OthersDept!$B$9:$B$37,OthersDept!$B$49,OthersDept!G$9:G$37,$B61)/OthersDept!G$49) + IF(OthersDept!G$50=0,0,COUNTIFS(OthersDept!$B$9:$B$37,OthersDept!$B$50,OthersDept!G$9:G$37,$B61)/OthersDept!G$50) + IF(OthersDept!G$51=0,0,COUNTIFS(OthersDept!$B$9:$B$37,OthersDept!$B$51,OthersDept!G$9:G$37,$B61)/OthersDept!G$51) + IF(OthersDept!G$52=0,0,COUNTIFS(OthersDept!$B$9:$B$37,OthersDept!$B$52,OthersDept!G$9:G$37,$B61)/OthersDept!G$52) +  IF(OthersDept!G$53=0,0,COUNTIFS(OthersDept!$B$9:$B$37,OthersDept!$B$53,OthersDept!G$9:G$37,$B61)/OthersDept!G$53))*150000)</f>
        <v>0</v>
      </c>
      <c r="H61" s="136">
        <f t="shared" si="1"/>
        <v>0</v>
      </c>
      <c r="I61" s="53"/>
      <c r="J61" s="53"/>
      <c r="K61" s="53"/>
      <c r="L61" s="53"/>
      <c r="M61" s="53"/>
      <c r="N61" s="53"/>
      <c r="P61" s="53"/>
    </row>
    <row r="62" spans="1:16" x14ac:dyDescent="0.25">
      <c r="A62" s="133">
        <f>IF(ISTEXT($B62),18,"")</f>
        <v>18</v>
      </c>
      <c r="B62" s="65" t="s">
        <v>405</v>
      </c>
      <c r="C62" s="135">
        <f>IF($B62="","",(IF(OthersDept!C$42=0,0,COUNTIFS(OthersDept!$B$9:$B$37,OthersDept!$B$42,OthersDept!C$9:C$37,$B62)/OthersDept!C$42) + IF(OthersDept!C$43=0,0,COUNTIFS(OthersDept!$B$9:$B$37,OthersDept!$B$43,OthersDept!C$9:C$37,$B62)/OthersDept!C$43) + IF(OthersDept!C$44=0,0,COUNTIFS(OthersDept!$B$9:$B$37,OthersDept!$B$44,OthersDept!C$9:C$37,$B62)/OthersDept!C$44) + IF(OthersDept!C$45=0,0,COUNTIFS(OthersDept!$B$9:$B$37,OthersDept!$B$45,OthersDept!C$9:C$37,$B62)/OthersDept!C$45) + IF(OthersDept!C$46=0,0,COUNTIFS(OthersDept!$B$9:$B$37,OthersDept!$B$46,OthersDept!C$9:C$37,$B62)/OthersDept!C$46) + IF(OthersDept!C$47=0,0,COUNTIFS(OthersDept!$B$9:$B$37,OthersDept!$B$47,OthersDept!C$9:C$37,$B62)/OthersDept!C$47) + IF(OthersDept!C$48=0,0,COUNTIFS(OthersDept!$B$9:$B$37,OthersDept!$B$48,OthersDept!C$9:C$37,$B62)/OthersDept!C$48) + IF(OthersDept!C$49=0,0,COUNTIFS(OthersDept!$B$9:$B$37,OthersDept!$B$49,OthersDept!C$9:C$37,$B62)/OthersDept!C$49) + IF(OthersDept!C$50=0,0,COUNTIFS(OthersDept!$B$9:$B$37,OthersDept!$B$50,OthersDept!C$9:C$37,$B62)/OthersDept!C$50) + IF(OthersDept!C$51=0,0,COUNTIFS(OthersDept!$B$9:$B$37,OthersDept!$B$51,OthersDept!C$9:C$37,$B62)/OthersDept!C$51) + IF(OthersDept!C$52=0,0,COUNTIFS(OthersDept!$B$9:$B$37,OthersDept!$B$52,OthersDept!C$9:C$37,$B62)/OthersDept!C$52) +  IF(OthersDept!C$53=0,0,COUNTIFS(OthersDept!$B$9:$B$37,OthersDept!$B$53,OthersDept!C$9:C$37,$B62)/OthersDept!C$53))*150000)</f>
        <v>0</v>
      </c>
      <c r="D62" s="135">
        <f>IF($B62="","",(IF(OthersDept!D$42=0,0,COUNTIFS(OthersDept!$B$9:$B$37,OthersDept!$B$42,OthersDept!D$9:D$37,$B62)/OthersDept!D$42) + IF(OthersDept!D$43=0,0,COUNTIFS(OthersDept!$B$9:$B$37,OthersDept!$B$43,OthersDept!D$9:D$37,$B62)/OthersDept!D$43) + IF(OthersDept!D$44=0,0,COUNTIFS(OthersDept!$B$9:$B$37,OthersDept!$B$44,OthersDept!D$9:D$37,$B62)/OthersDept!D$44) + IF(OthersDept!D$45=0,0,COUNTIFS(OthersDept!$B$9:$B$37,OthersDept!$B$45,OthersDept!D$9:D$37,$B62)/OthersDept!D$45) + IF(OthersDept!D$46=0,0,COUNTIFS(OthersDept!$B$9:$B$37,OthersDept!$B$46,OthersDept!D$9:D$37,$B62)/OthersDept!D$46) + IF(OthersDept!D$47=0,0,COUNTIFS(OthersDept!$B$9:$B$37,OthersDept!$B$47,OthersDept!D$9:D$37,$B62)/OthersDept!D$47) + IF(OthersDept!D$48=0,0,COUNTIFS(OthersDept!$B$9:$B$37,OthersDept!$B$48,OthersDept!D$9:D$37,$B62)/OthersDept!D$48) + IF(OthersDept!D$49=0,0,COUNTIFS(OthersDept!$B$9:$B$37,OthersDept!$B$49,OthersDept!D$9:D$37,$B62)/OthersDept!D$49) + IF(OthersDept!D$50=0,0,COUNTIFS(OthersDept!$B$9:$B$37,OthersDept!$B$50,OthersDept!D$9:D$37,$B62)/OthersDept!D$50) + IF(OthersDept!D$51=0,0,COUNTIFS(OthersDept!$B$9:$B$37,OthersDept!$B$51,OthersDept!D$9:D$37,$B62)/OthersDept!D$51) + IF(OthersDept!D$52=0,0,COUNTIFS(OthersDept!$B$9:$B$37,OthersDept!$B$52,OthersDept!D$9:D$37,$B62)/OthersDept!D$52) +  IF(OthersDept!D$53=0,0,COUNTIFS(OthersDept!$B$9:$B$37,OthersDept!$B$53,OthersDept!D$9:D$37,$B62)/OthersDept!D$53))*150000)</f>
        <v>0</v>
      </c>
      <c r="E62" s="135">
        <f>IF($B62="","",(IF(OthersDept!E$42=0,0,COUNTIFS(OthersDept!$B$9:$B$37,OthersDept!$B$42,OthersDept!E$9:E$37,$B62)/OthersDept!E$42) + IF(OthersDept!E$43=0,0,COUNTIFS(OthersDept!$B$9:$B$37,OthersDept!$B$43,OthersDept!E$9:E$37,$B62)/OthersDept!E$43) + IF(OthersDept!E$44=0,0,COUNTIFS(OthersDept!$B$9:$B$37,OthersDept!$B$44,OthersDept!E$9:E$37,$B62)/OthersDept!E$44) + IF(OthersDept!E$45=0,0,COUNTIFS(OthersDept!$B$9:$B$37,OthersDept!$B$45,OthersDept!E$9:E$37,$B62)/OthersDept!E$45) + IF(OthersDept!E$46=0,0,COUNTIFS(OthersDept!$B$9:$B$37,OthersDept!$B$46,OthersDept!E$9:E$37,$B62)/OthersDept!E$46) + IF(OthersDept!E$47=0,0,COUNTIFS(OthersDept!$B$9:$B$37,OthersDept!$B$47,OthersDept!E$9:E$37,$B62)/OthersDept!E$47) + IF(OthersDept!E$48=0,0,COUNTIFS(OthersDept!$B$9:$B$37,OthersDept!$B$48,OthersDept!E$9:E$37,$B62)/OthersDept!E$48) + IF(OthersDept!E$49=0,0,COUNTIFS(OthersDept!$B$9:$B$37,OthersDept!$B$49,OthersDept!E$9:E$37,$B62)/OthersDept!E$49) + IF(OthersDept!E$50=0,0,COUNTIFS(OthersDept!$B$9:$B$37,OthersDept!$B$50,OthersDept!E$9:E$37,$B62)/OthersDept!E$50) + IF(OthersDept!E$51=0,0,COUNTIFS(OthersDept!$B$9:$B$37,OthersDept!$B$51,OthersDept!E$9:E$37,$B62)/OthersDept!E$51) + IF(OthersDept!E$52=0,0,COUNTIFS(OthersDept!$B$9:$B$37,OthersDept!$B$52,OthersDept!E$9:E$37,$B62)/OthersDept!E$52) +  IF(OthersDept!E$53=0,0,COUNTIFS(OthersDept!$B$9:$B$37,OthersDept!$B$53,OthersDept!E$9:E$37,$B62)/OthersDept!E$53))*150000)</f>
        <v>0</v>
      </c>
      <c r="F62" s="135">
        <f>IF($B62="","",(IF(OthersDept!F$42=0,0,COUNTIFS(OthersDept!$B$9:$B$37,OthersDept!$B$42,OthersDept!F$9:F$37,$B62)/OthersDept!F$42) + IF(OthersDept!F$43=0,0,COUNTIFS(OthersDept!$B$9:$B$37,OthersDept!$B$43,OthersDept!F$9:F$37,$B62)/OthersDept!F$43) + IF(OthersDept!F$44=0,0,COUNTIFS(OthersDept!$B$9:$B$37,OthersDept!$B$44,OthersDept!F$9:F$37,$B62)/OthersDept!F$44) + IF(OthersDept!F$45=0,0,COUNTIFS(OthersDept!$B$9:$B$37,OthersDept!$B$45,OthersDept!F$9:F$37,$B62)/OthersDept!F$45) + IF(OthersDept!F$46=0,0,COUNTIFS(OthersDept!$B$9:$B$37,OthersDept!$B$46,OthersDept!F$9:F$37,$B62)/OthersDept!F$46) + IF(OthersDept!F$47=0,0,COUNTIFS(OthersDept!$B$9:$B$37,OthersDept!$B$47,OthersDept!F$9:F$37,$B62)/OthersDept!F$47) + IF(OthersDept!F$48=0,0,COUNTIFS(OthersDept!$B$9:$B$37,OthersDept!$B$48,OthersDept!F$9:F$37,$B62)/OthersDept!F$48) + IF(OthersDept!F$49=0,0,COUNTIFS(OthersDept!$B$9:$B$37,OthersDept!$B$49,OthersDept!F$9:F$37,$B62)/OthersDept!F$49) + IF(OthersDept!F$50=0,0,COUNTIFS(OthersDept!$B$9:$B$37,OthersDept!$B$50,OthersDept!F$9:F$37,$B62)/OthersDept!F$50) + IF(OthersDept!F$51=0,0,COUNTIFS(OthersDept!$B$9:$B$37,OthersDept!$B$51,OthersDept!F$9:F$37,$B62)/OthersDept!F$51) + IF(OthersDept!F$52=0,0,COUNTIFS(OthersDept!$B$9:$B$37,OthersDept!$B$52,OthersDept!F$9:F$37,$B62)/OthersDept!F$52) +  IF(OthersDept!F$53=0,0,COUNTIFS(OthersDept!$B$9:$B$37,OthersDept!$B$53,OthersDept!F$9:F$37,$B62)/OthersDept!F$53))*150000)</f>
        <v>0</v>
      </c>
      <c r="G62" s="135">
        <f>IF($B62="","",(IF(OthersDept!G$42=0,0,COUNTIFS(OthersDept!$B$9:$B$37,OthersDept!$B$42,OthersDept!G$9:G$37,$B62)/OthersDept!G$42) + IF(OthersDept!G$43=0,0,COUNTIFS(OthersDept!$B$9:$B$37,OthersDept!$B$43,OthersDept!G$9:G$37,$B62)/OthersDept!G$43) + IF(OthersDept!G$44=0,0,COUNTIFS(OthersDept!$B$9:$B$37,OthersDept!$B$44,OthersDept!G$9:G$37,$B62)/OthersDept!G$44) + IF(OthersDept!G$45=0,0,COUNTIFS(OthersDept!$B$9:$B$37,OthersDept!$B$45,OthersDept!G$9:G$37,$B62)/OthersDept!G$45) + IF(OthersDept!G$46=0,0,COUNTIFS(OthersDept!$B$9:$B$37,OthersDept!$B$46,OthersDept!G$9:G$37,$B62)/OthersDept!G$46) + IF(OthersDept!G$47=0,0,COUNTIFS(OthersDept!$B$9:$B$37,OthersDept!$B$47,OthersDept!G$9:G$37,$B62)/OthersDept!G$47) + IF(OthersDept!G$48=0,0,COUNTIFS(OthersDept!$B$9:$B$37,OthersDept!$B$48,OthersDept!G$9:G$37,$B62)/OthersDept!G$48) + IF(OthersDept!G$49=0,0,COUNTIFS(OthersDept!$B$9:$B$37,OthersDept!$B$49,OthersDept!G$9:G$37,$B62)/OthersDept!G$49) + IF(OthersDept!G$50=0,0,COUNTIFS(OthersDept!$B$9:$B$37,OthersDept!$B$50,OthersDept!G$9:G$37,$B62)/OthersDept!G$50) + IF(OthersDept!G$51=0,0,COUNTIFS(OthersDept!$B$9:$B$37,OthersDept!$B$51,OthersDept!G$9:G$37,$B62)/OthersDept!G$51) + IF(OthersDept!G$52=0,0,COUNTIFS(OthersDept!$B$9:$B$37,OthersDept!$B$52,OthersDept!G$9:G$37,$B62)/OthersDept!G$52) +  IF(OthersDept!G$53=0,0,COUNTIFS(OthersDept!$B$9:$B$37,OthersDept!$B$53,OthersDept!G$9:G$37,$B62)/OthersDept!G$53))*150000)</f>
        <v>0</v>
      </c>
      <c r="H62" s="136">
        <f t="shared" si="1"/>
        <v>0</v>
      </c>
      <c r="I62" s="53"/>
      <c r="J62" s="53"/>
      <c r="K62" s="53"/>
      <c r="L62" s="53"/>
      <c r="M62" s="53"/>
      <c r="N62" s="53"/>
      <c r="P62" s="53"/>
    </row>
    <row r="63" spans="1:16" x14ac:dyDescent="0.25">
      <c r="A63" s="133">
        <f>IF(ISTEXT($B63),19,"")</f>
        <v>19</v>
      </c>
      <c r="B63" s="65" t="s">
        <v>406</v>
      </c>
      <c r="C63" s="135">
        <f>IF($B63="","",(IF(OthersDept!C$42=0,0,COUNTIFS(OthersDept!$B$9:$B$37,OthersDept!$B$42,OthersDept!C$9:C$37,$B63)/OthersDept!C$42) + IF(OthersDept!C$43=0,0,COUNTIFS(OthersDept!$B$9:$B$37,OthersDept!$B$43,OthersDept!C$9:C$37,$B63)/OthersDept!C$43) + IF(OthersDept!C$44=0,0,COUNTIFS(OthersDept!$B$9:$B$37,OthersDept!$B$44,OthersDept!C$9:C$37,$B63)/OthersDept!C$44) + IF(OthersDept!C$45=0,0,COUNTIFS(OthersDept!$B$9:$B$37,OthersDept!$B$45,OthersDept!C$9:C$37,$B63)/OthersDept!C$45) + IF(OthersDept!C$46=0,0,COUNTIFS(OthersDept!$B$9:$B$37,OthersDept!$B$46,OthersDept!C$9:C$37,$B63)/OthersDept!C$46) + IF(OthersDept!C$47=0,0,COUNTIFS(OthersDept!$B$9:$B$37,OthersDept!$B$47,OthersDept!C$9:C$37,$B63)/OthersDept!C$47) + IF(OthersDept!C$48=0,0,COUNTIFS(OthersDept!$B$9:$B$37,OthersDept!$B$48,OthersDept!C$9:C$37,$B63)/OthersDept!C$48) + IF(OthersDept!C$49=0,0,COUNTIFS(OthersDept!$B$9:$B$37,OthersDept!$B$49,OthersDept!C$9:C$37,$B63)/OthersDept!C$49) + IF(OthersDept!C$50=0,0,COUNTIFS(OthersDept!$B$9:$B$37,OthersDept!$B$50,OthersDept!C$9:C$37,$B63)/OthersDept!C$50) + IF(OthersDept!C$51=0,0,COUNTIFS(OthersDept!$B$9:$B$37,OthersDept!$B$51,OthersDept!C$9:C$37,$B63)/OthersDept!C$51) + IF(OthersDept!C$52=0,0,COUNTIFS(OthersDept!$B$9:$B$37,OthersDept!$B$52,OthersDept!C$9:C$37,$B63)/OthersDept!C$52) +  IF(OthersDept!C$53=0,0,COUNTIFS(OthersDept!$B$9:$B$37,OthersDept!$B$53,OthersDept!C$9:C$37,$B63)/OthersDept!C$53))*150000)</f>
        <v>0</v>
      </c>
      <c r="D63" s="135">
        <f>IF($B63="","",(IF(OthersDept!D$42=0,0,COUNTIFS(OthersDept!$B$9:$B$37,OthersDept!$B$42,OthersDept!D$9:D$37,$B63)/OthersDept!D$42) + IF(OthersDept!D$43=0,0,COUNTIFS(OthersDept!$B$9:$B$37,OthersDept!$B$43,OthersDept!D$9:D$37,$B63)/OthersDept!D$43) + IF(OthersDept!D$44=0,0,COUNTIFS(OthersDept!$B$9:$B$37,OthersDept!$B$44,OthersDept!D$9:D$37,$B63)/OthersDept!D$44) + IF(OthersDept!D$45=0,0,COUNTIFS(OthersDept!$B$9:$B$37,OthersDept!$B$45,OthersDept!D$9:D$37,$B63)/OthersDept!D$45) + IF(OthersDept!D$46=0,0,COUNTIFS(OthersDept!$B$9:$B$37,OthersDept!$B$46,OthersDept!D$9:D$37,$B63)/OthersDept!D$46) + IF(OthersDept!D$47=0,0,COUNTIFS(OthersDept!$B$9:$B$37,OthersDept!$B$47,OthersDept!D$9:D$37,$B63)/OthersDept!D$47) + IF(OthersDept!D$48=0,0,COUNTIFS(OthersDept!$B$9:$B$37,OthersDept!$B$48,OthersDept!D$9:D$37,$B63)/OthersDept!D$48) + IF(OthersDept!D$49=0,0,COUNTIFS(OthersDept!$B$9:$B$37,OthersDept!$B$49,OthersDept!D$9:D$37,$B63)/OthersDept!D$49) + IF(OthersDept!D$50=0,0,COUNTIFS(OthersDept!$B$9:$B$37,OthersDept!$B$50,OthersDept!D$9:D$37,$B63)/OthersDept!D$50) + IF(OthersDept!D$51=0,0,COUNTIFS(OthersDept!$B$9:$B$37,OthersDept!$B$51,OthersDept!D$9:D$37,$B63)/OthersDept!D$51) + IF(OthersDept!D$52=0,0,COUNTIFS(OthersDept!$B$9:$B$37,OthersDept!$B$52,OthersDept!D$9:D$37,$B63)/OthersDept!D$52) +  IF(OthersDept!D$53=0,0,COUNTIFS(OthersDept!$B$9:$B$37,OthersDept!$B$53,OthersDept!D$9:D$37,$B63)/OthersDept!D$53))*150000)</f>
        <v>0</v>
      </c>
      <c r="E63" s="135">
        <f>IF($B63="","",(IF(OthersDept!E$42=0,0,COUNTIFS(OthersDept!$B$9:$B$37,OthersDept!$B$42,OthersDept!E$9:E$37,$B63)/OthersDept!E$42) + IF(OthersDept!E$43=0,0,COUNTIFS(OthersDept!$B$9:$B$37,OthersDept!$B$43,OthersDept!E$9:E$37,$B63)/OthersDept!E$43) + IF(OthersDept!E$44=0,0,COUNTIFS(OthersDept!$B$9:$B$37,OthersDept!$B$44,OthersDept!E$9:E$37,$B63)/OthersDept!E$44) + IF(OthersDept!E$45=0,0,COUNTIFS(OthersDept!$B$9:$B$37,OthersDept!$B$45,OthersDept!E$9:E$37,$B63)/OthersDept!E$45) + IF(OthersDept!E$46=0,0,COUNTIFS(OthersDept!$B$9:$B$37,OthersDept!$B$46,OthersDept!E$9:E$37,$B63)/OthersDept!E$46) + IF(OthersDept!E$47=0,0,COUNTIFS(OthersDept!$B$9:$B$37,OthersDept!$B$47,OthersDept!E$9:E$37,$B63)/OthersDept!E$47) + IF(OthersDept!E$48=0,0,COUNTIFS(OthersDept!$B$9:$B$37,OthersDept!$B$48,OthersDept!E$9:E$37,$B63)/OthersDept!E$48) + IF(OthersDept!E$49=0,0,COUNTIFS(OthersDept!$B$9:$B$37,OthersDept!$B$49,OthersDept!E$9:E$37,$B63)/OthersDept!E$49) + IF(OthersDept!E$50=0,0,COUNTIFS(OthersDept!$B$9:$B$37,OthersDept!$B$50,OthersDept!E$9:E$37,$B63)/OthersDept!E$50) + IF(OthersDept!E$51=0,0,COUNTIFS(OthersDept!$B$9:$B$37,OthersDept!$B$51,OthersDept!E$9:E$37,$B63)/OthersDept!E$51) + IF(OthersDept!E$52=0,0,COUNTIFS(OthersDept!$B$9:$B$37,OthersDept!$B$52,OthersDept!E$9:E$37,$B63)/OthersDept!E$52) +  IF(OthersDept!E$53=0,0,COUNTIFS(OthersDept!$B$9:$B$37,OthersDept!$B$53,OthersDept!E$9:E$37,$B63)/OthersDept!E$53))*150000)</f>
        <v>0</v>
      </c>
      <c r="F63" s="135">
        <f>IF($B63="","",(IF(OthersDept!F$42=0,0,COUNTIFS(OthersDept!$B$9:$B$37,OthersDept!$B$42,OthersDept!F$9:F$37,$B63)/OthersDept!F$42) + IF(OthersDept!F$43=0,0,COUNTIFS(OthersDept!$B$9:$B$37,OthersDept!$B$43,OthersDept!F$9:F$37,$B63)/OthersDept!F$43) + IF(OthersDept!F$44=0,0,COUNTIFS(OthersDept!$B$9:$B$37,OthersDept!$B$44,OthersDept!F$9:F$37,$B63)/OthersDept!F$44) + IF(OthersDept!F$45=0,0,COUNTIFS(OthersDept!$B$9:$B$37,OthersDept!$B$45,OthersDept!F$9:F$37,$B63)/OthersDept!F$45) + IF(OthersDept!F$46=0,0,COUNTIFS(OthersDept!$B$9:$B$37,OthersDept!$B$46,OthersDept!F$9:F$37,$B63)/OthersDept!F$46) + IF(OthersDept!F$47=0,0,COUNTIFS(OthersDept!$B$9:$B$37,OthersDept!$B$47,OthersDept!F$9:F$37,$B63)/OthersDept!F$47) + IF(OthersDept!F$48=0,0,COUNTIFS(OthersDept!$B$9:$B$37,OthersDept!$B$48,OthersDept!F$9:F$37,$B63)/OthersDept!F$48) + IF(OthersDept!F$49=0,0,COUNTIFS(OthersDept!$B$9:$B$37,OthersDept!$B$49,OthersDept!F$9:F$37,$B63)/OthersDept!F$49) + IF(OthersDept!F$50=0,0,COUNTIFS(OthersDept!$B$9:$B$37,OthersDept!$B$50,OthersDept!F$9:F$37,$B63)/OthersDept!F$50) + IF(OthersDept!F$51=0,0,COUNTIFS(OthersDept!$B$9:$B$37,OthersDept!$B$51,OthersDept!F$9:F$37,$B63)/OthersDept!F$51) + IF(OthersDept!F$52=0,0,COUNTIFS(OthersDept!$B$9:$B$37,OthersDept!$B$52,OthersDept!F$9:F$37,$B63)/OthersDept!F$52) +  IF(OthersDept!F$53=0,0,COUNTIFS(OthersDept!$B$9:$B$37,OthersDept!$B$53,OthersDept!F$9:F$37,$B63)/OthersDept!F$53))*150000)</f>
        <v>0</v>
      </c>
      <c r="G63" s="135">
        <f>IF($B63="","",(IF(OthersDept!G$42=0,0,COUNTIFS(OthersDept!$B$9:$B$37,OthersDept!$B$42,OthersDept!G$9:G$37,$B63)/OthersDept!G$42) + IF(OthersDept!G$43=0,0,COUNTIFS(OthersDept!$B$9:$B$37,OthersDept!$B$43,OthersDept!G$9:G$37,$B63)/OthersDept!G$43) + IF(OthersDept!G$44=0,0,COUNTIFS(OthersDept!$B$9:$B$37,OthersDept!$B$44,OthersDept!G$9:G$37,$B63)/OthersDept!G$44) + IF(OthersDept!G$45=0,0,COUNTIFS(OthersDept!$B$9:$B$37,OthersDept!$B$45,OthersDept!G$9:G$37,$B63)/OthersDept!G$45) + IF(OthersDept!G$46=0,0,COUNTIFS(OthersDept!$B$9:$B$37,OthersDept!$B$46,OthersDept!G$9:G$37,$B63)/OthersDept!G$46) + IF(OthersDept!G$47=0,0,COUNTIFS(OthersDept!$B$9:$B$37,OthersDept!$B$47,OthersDept!G$9:G$37,$B63)/OthersDept!G$47) + IF(OthersDept!G$48=0,0,COUNTIFS(OthersDept!$B$9:$B$37,OthersDept!$B$48,OthersDept!G$9:G$37,$B63)/OthersDept!G$48) + IF(OthersDept!G$49=0,0,COUNTIFS(OthersDept!$B$9:$B$37,OthersDept!$B$49,OthersDept!G$9:G$37,$B63)/OthersDept!G$49) + IF(OthersDept!G$50=0,0,COUNTIFS(OthersDept!$B$9:$B$37,OthersDept!$B$50,OthersDept!G$9:G$37,$B63)/OthersDept!G$50) + IF(OthersDept!G$51=0,0,COUNTIFS(OthersDept!$B$9:$B$37,OthersDept!$B$51,OthersDept!G$9:G$37,$B63)/OthersDept!G$51) + IF(OthersDept!G$52=0,0,COUNTIFS(OthersDept!$B$9:$B$37,OthersDept!$B$52,OthersDept!G$9:G$37,$B63)/OthersDept!G$52) +  IF(OthersDept!G$53=0,0,COUNTIFS(OthersDept!$B$9:$B$37,OthersDept!$B$53,OthersDept!G$9:G$37,$B63)/OthersDept!G$53))*150000)</f>
        <v>0</v>
      </c>
      <c r="H63" s="136">
        <f t="shared" si="1"/>
        <v>0</v>
      </c>
      <c r="I63" s="53"/>
      <c r="J63" s="53"/>
      <c r="K63" s="53"/>
      <c r="L63" s="53"/>
      <c r="M63" s="53"/>
      <c r="N63" s="53"/>
      <c r="P63" s="53"/>
    </row>
    <row r="64" spans="1:16" x14ac:dyDescent="0.25">
      <c r="A64" s="133">
        <f>IF(ISTEXT($B64),20,"")</f>
        <v>20</v>
      </c>
      <c r="B64" s="210" t="s">
        <v>408</v>
      </c>
      <c r="C64" s="135">
        <f>IF($B64="","",(IF(OthersDept!C$42=0,0,COUNTIFS(OthersDept!$B$9:$B$37,OthersDept!$B$42,OthersDept!C$9:C$37,$B64)/OthersDept!C$42) + IF(OthersDept!C$43=0,0,COUNTIFS(OthersDept!$B$9:$B$37,OthersDept!$B$43,OthersDept!C$9:C$37,$B64)/OthersDept!C$43) + IF(OthersDept!C$44=0,0,COUNTIFS(OthersDept!$B$9:$B$37,OthersDept!$B$44,OthersDept!C$9:C$37,$B64)/OthersDept!C$44) + IF(OthersDept!C$45=0,0,COUNTIFS(OthersDept!$B$9:$B$37,OthersDept!$B$45,OthersDept!C$9:C$37,$B64)/OthersDept!C$45) + IF(OthersDept!C$46=0,0,COUNTIFS(OthersDept!$B$9:$B$37,OthersDept!$B$46,OthersDept!C$9:C$37,$B64)/OthersDept!C$46) + IF(OthersDept!C$47=0,0,COUNTIFS(OthersDept!$B$9:$B$37,OthersDept!$B$47,OthersDept!C$9:C$37,$B64)/OthersDept!C$47) + IF(OthersDept!C$48=0,0,COUNTIFS(OthersDept!$B$9:$B$37,OthersDept!$B$48,OthersDept!C$9:C$37,$B64)/OthersDept!C$48) + IF(OthersDept!C$49=0,0,COUNTIFS(OthersDept!$B$9:$B$37,OthersDept!$B$49,OthersDept!C$9:C$37,$B64)/OthersDept!C$49) + IF(OthersDept!C$50=0,0,COUNTIFS(OthersDept!$B$9:$B$37,OthersDept!$B$50,OthersDept!C$9:C$37,$B64)/OthersDept!C$50) + IF(OthersDept!C$51=0,0,COUNTIFS(OthersDept!$B$9:$B$37,OthersDept!$B$51,OthersDept!C$9:C$37,$B64)/OthersDept!C$51) + IF(OthersDept!C$52=0,0,COUNTIFS(OthersDept!$B$9:$B$37,OthersDept!$B$52,OthersDept!C$9:C$37,$B64)/OthersDept!C$52) +  IF(OthersDept!C$53=0,0,COUNTIFS(OthersDept!$B$9:$B$37,OthersDept!$B$53,OthersDept!C$9:C$37,$B64)/OthersDept!C$53))*150000)</f>
        <v>0</v>
      </c>
      <c r="D64" s="135">
        <f>IF($B64="","",(IF(OthersDept!D$42=0,0,COUNTIFS(OthersDept!$B$9:$B$37,OthersDept!$B$42,OthersDept!D$9:D$37,$B64)/OthersDept!D$42) + IF(OthersDept!D$43=0,0,COUNTIFS(OthersDept!$B$9:$B$37,OthersDept!$B$43,OthersDept!D$9:D$37,$B64)/OthersDept!D$43) + IF(OthersDept!D$44=0,0,COUNTIFS(OthersDept!$B$9:$B$37,OthersDept!$B$44,OthersDept!D$9:D$37,$B64)/OthersDept!D$44) + IF(OthersDept!D$45=0,0,COUNTIFS(OthersDept!$B$9:$B$37,OthersDept!$B$45,OthersDept!D$9:D$37,$B64)/OthersDept!D$45) + IF(OthersDept!D$46=0,0,COUNTIFS(OthersDept!$B$9:$B$37,OthersDept!$B$46,OthersDept!D$9:D$37,$B64)/OthersDept!D$46) + IF(OthersDept!D$47=0,0,COUNTIFS(OthersDept!$B$9:$B$37,OthersDept!$B$47,OthersDept!D$9:D$37,$B64)/OthersDept!D$47) + IF(OthersDept!D$48=0,0,COUNTIFS(OthersDept!$B$9:$B$37,OthersDept!$B$48,OthersDept!D$9:D$37,$B64)/OthersDept!D$48) + IF(OthersDept!D$49=0,0,COUNTIFS(OthersDept!$B$9:$B$37,OthersDept!$B$49,OthersDept!D$9:D$37,$B64)/OthersDept!D$49) + IF(OthersDept!D$50=0,0,COUNTIFS(OthersDept!$B$9:$B$37,OthersDept!$B$50,OthersDept!D$9:D$37,$B64)/OthersDept!D$50) + IF(OthersDept!D$51=0,0,COUNTIFS(OthersDept!$B$9:$B$37,OthersDept!$B$51,OthersDept!D$9:D$37,$B64)/OthersDept!D$51) + IF(OthersDept!D$52=0,0,COUNTIFS(OthersDept!$B$9:$B$37,OthersDept!$B$52,OthersDept!D$9:D$37,$B64)/OthersDept!D$52) +  IF(OthersDept!D$53=0,0,COUNTIFS(OthersDept!$B$9:$B$37,OthersDept!$B$53,OthersDept!D$9:D$37,$B64)/OthersDept!D$53))*150000)</f>
        <v>0</v>
      </c>
      <c r="E64" s="135">
        <f>IF($B64="","",(IF(OthersDept!E$42=0,0,COUNTIFS(OthersDept!$B$9:$B$37,OthersDept!$B$42,OthersDept!E$9:E$37,$B64)/OthersDept!E$42) + IF(OthersDept!E$43=0,0,COUNTIFS(OthersDept!$B$9:$B$37,OthersDept!$B$43,OthersDept!E$9:E$37,$B64)/OthersDept!E$43) + IF(OthersDept!E$44=0,0,COUNTIFS(OthersDept!$B$9:$B$37,OthersDept!$B$44,OthersDept!E$9:E$37,$B64)/OthersDept!E$44) + IF(OthersDept!E$45=0,0,COUNTIFS(OthersDept!$B$9:$B$37,OthersDept!$B$45,OthersDept!E$9:E$37,$B64)/OthersDept!E$45) + IF(OthersDept!E$46=0,0,COUNTIFS(OthersDept!$B$9:$B$37,OthersDept!$B$46,OthersDept!E$9:E$37,$B64)/OthersDept!E$46) + IF(OthersDept!E$47=0,0,COUNTIFS(OthersDept!$B$9:$B$37,OthersDept!$B$47,OthersDept!E$9:E$37,$B64)/OthersDept!E$47) + IF(OthersDept!E$48=0,0,COUNTIFS(OthersDept!$B$9:$B$37,OthersDept!$B$48,OthersDept!E$9:E$37,$B64)/OthersDept!E$48) + IF(OthersDept!E$49=0,0,COUNTIFS(OthersDept!$B$9:$B$37,OthersDept!$B$49,OthersDept!E$9:E$37,$B64)/OthersDept!E$49) + IF(OthersDept!E$50=0,0,COUNTIFS(OthersDept!$B$9:$B$37,OthersDept!$B$50,OthersDept!E$9:E$37,$B64)/OthersDept!E$50) + IF(OthersDept!E$51=0,0,COUNTIFS(OthersDept!$B$9:$B$37,OthersDept!$B$51,OthersDept!E$9:E$37,$B64)/OthersDept!E$51) + IF(OthersDept!E$52=0,0,COUNTIFS(OthersDept!$B$9:$B$37,OthersDept!$B$52,OthersDept!E$9:E$37,$B64)/OthersDept!E$52) +  IF(OthersDept!E$53=0,0,COUNTIFS(OthersDept!$B$9:$B$37,OthersDept!$B$53,OthersDept!E$9:E$37,$B64)/OthersDept!E$53))*150000)</f>
        <v>0</v>
      </c>
      <c r="F64" s="135">
        <f>IF($B64="","",(IF(OthersDept!F$42=0,0,COUNTIFS(OthersDept!$B$9:$B$37,OthersDept!$B$42,OthersDept!F$9:F$37,$B64)/OthersDept!F$42) + IF(OthersDept!F$43=0,0,COUNTIFS(OthersDept!$B$9:$B$37,OthersDept!$B$43,OthersDept!F$9:F$37,$B64)/OthersDept!F$43) + IF(OthersDept!F$44=0,0,COUNTIFS(OthersDept!$B$9:$B$37,OthersDept!$B$44,OthersDept!F$9:F$37,$B64)/OthersDept!F$44) + IF(OthersDept!F$45=0,0,COUNTIFS(OthersDept!$B$9:$B$37,OthersDept!$B$45,OthersDept!F$9:F$37,$B64)/OthersDept!F$45) + IF(OthersDept!F$46=0,0,COUNTIFS(OthersDept!$B$9:$B$37,OthersDept!$B$46,OthersDept!F$9:F$37,$B64)/OthersDept!F$46) + IF(OthersDept!F$47=0,0,COUNTIFS(OthersDept!$B$9:$B$37,OthersDept!$B$47,OthersDept!F$9:F$37,$B64)/OthersDept!F$47) + IF(OthersDept!F$48=0,0,COUNTIFS(OthersDept!$B$9:$B$37,OthersDept!$B$48,OthersDept!F$9:F$37,$B64)/OthersDept!F$48) + IF(OthersDept!F$49=0,0,COUNTIFS(OthersDept!$B$9:$B$37,OthersDept!$B$49,OthersDept!F$9:F$37,$B64)/OthersDept!F$49) + IF(OthersDept!F$50=0,0,COUNTIFS(OthersDept!$B$9:$B$37,OthersDept!$B$50,OthersDept!F$9:F$37,$B64)/OthersDept!F$50) + IF(OthersDept!F$51=0,0,COUNTIFS(OthersDept!$B$9:$B$37,OthersDept!$B$51,OthersDept!F$9:F$37,$B64)/OthersDept!F$51) + IF(OthersDept!F$52=0,0,COUNTIFS(OthersDept!$B$9:$B$37,OthersDept!$B$52,OthersDept!F$9:F$37,$B64)/OthersDept!F$52) +  IF(OthersDept!F$53=0,0,COUNTIFS(OthersDept!$B$9:$B$37,OthersDept!$B$53,OthersDept!F$9:F$37,$B64)/OthersDept!F$53))*150000)</f>
        <v>0</v>
      </c>
      <c r="G64" s="135">
        <f>IF($B64="","",(IF(OthersDept!G$42=0,0,COUNTIFS(OthersDept!$B$9:$B$37,OthersDept!$B$42,OthersDept!G$9:G$37,$B64)/OthersDept!G$42) + IF(OthersDept!G$43=0,0,COUNTIFS(OthersDept!$B$9:$B$37,OthersDept!$B$43,OthersDept!G$9:G$37,$B64)/OthersDept!G$43) + IF(OthersDept!G$44=0,0,COUNTIFS(OthersDept!$B$9:$B$37,OthersDept!$B$44,OthersDept!G$9:G$37,$B64)/OthersDept!G$44) + IF(OthersDept!G$45=0,0,COUNTIFS(OthersDept!$B$9:$B$37,OthersDept!$B$45,OthersDept!G$9:G$37,$B64)/OthersDept!G$45) + IF(OthersDept!G$46=0,0,COUNTIFS(OthersDept!$B$9:$B$37,OthersDept!$B$46,OthersDept!G$9:G$37,$B64)/OthersDept!G$46) + IF(OthersDept!G$47=0,0,COUNTIFS(OthersDept!$B$9:$B$37,OthersDept!$B$47,OthersDept!G$9:G$37,$B64)/OthersDept!G$47) + IF(OthersDept!G$48=0,0,COUNTIFS(OthersDept!$B$9:$B$37,OthersDept!$B$48,OthersDept!G$9:G$37,$B64)/OthersDept!G$48) + IF(OthersDept!G$49=0,0,COUNTIFS(OthersDept!$B$9:$B$37,OthersDept!$B$49,OthersDept!G$9:G$37,$B64)/OthersDept!G$49) + IF(OthersDept!G$50=0,0,COUNTIFS(OthersDept!$B$9:$B$37,OthersDept!$B$50,OthersDept!G$9:G$37,$B64)/OthersDept!G$50) + IF(OthersDept!G$51=0,0,COUNTIFS(OthersDept!$B$9:$B$37,OthersDept!$B$51,OthersDept!G$9:G$37,$B64)/OthersDept!G$51) + IF(OthersDept!G$52=0,0,COUNTIFS(OthersDept!$B$9:$B$37,OthersDept!$B$52,OthersDept!G$9:G$37,$B64)/OthersDept!G$52) +  IF(OthersDept!G$53=0,0,COUNTIFS(OthersDept!$B$9:$B$37,OthersDept!$B$53,OthersDept!G$9:G$37,$B64)/OthersDept!G$53))*150000)</f>
        <v>0</v>
      </c>
      <c r="H64" s="136">
        <f t="shared" si="1"/>
        <v>0</v>
      </c>
      <c r="I64" s="53"/>
      <c r="J64" s="53"/>
      <c r="K64" s="53"/>
      <c r="L64" s="53"/>
      <c r="M64" s="53"/>
      <c r="N64" s="53"/>
      <c r="P64" s="53"/>
    </row>
    <row r="65" spans="1:16" x14ac:dyDescent="0.25">
      <c r="A65" s="133">
        <f>IF(ISTEXT($B65),21,"")</f>
        <v>21</v>
      </c>
      <c r="B65" s="210" t="s">
        <v>392</v>
      </c>
      <c r="C65" s="135">
        <f>IF($B65="","",(IF(OthersDept!C$42=0,0,COUNTIFS(OthersDept!$B$9:$B$37,OthersDept!$B$42,OthersDept!C$9:C$37,$B65)/OthersDept!C$42) + IF(OthersDept!C$43=0,0,COUNTIFS(OthersDept!$B$9:$B$37,OthersDept!$B$43,OthersDept!C$9:C$37,$B65)/OthersDept!C$43) + IF(OthersDept!C$44=0,0,COUNTIFS(OthersDept!$B$9:$B$37,OthersDept!$B$44,OthersDept!C$9:C$37,$B65)/OthersDept!C$44) + IF(OthersDept!C$45=0,0,COUNTIFS(OthersDept!$B$9:$B$37,OthersDept!$B$45,OthersDept!C$9:C$37,$B65)/OthersDept!C$45) + IF(OthersDept!C$46=0,0,COUNTIFS(OthersDept!$B$9:$B$37,OthersDept!$B$46,OthersDept!C$9:C$37,$B65)/OthersDept!C$46) + IF(OthersDept!C$47=0,0,COUNTIFS(OthersDept!$B$9:$B$37,OthersDept!$B$47,OthersDept!C$9:C$37,$B65)/OthersDept!C$47) + IF(OthersDept!C$48=0,0,COUNTIFS(OthersDept!$B$9:$B$37,OthersDept!$B$48,OthersDept!C$9:C$37,$B65)/OthersDept!C$48) + IF(OthersDept!C$49=0,0,COUNTIFS(OthersDept!$B$9:$B$37,OthersDept!$B$49,OthersDept!C$9:C$37,$B65)/OthersDept!C$49) + IF(OthersDept!C$50=0,0,COUNTIFS(OthersDept!$B$9:$B$37,OthersDept!$B$50,OthersDept!C$9:C$37,$B65)/OthersDept!C$50) + IF(OthersDept!C$51=0,0,COUNTIFS(OthersDept!$B$9:$B$37,OthersDept!$B$51,OthersDept!C$9:C$37,$B65)/OthersDept!C$51) + IF(OthersDept!C$52=0,0,COUNTIFS(OthersDept!$B$9:$B$37,OthersDept!$B$52,OthersDept!C$9:C$37,$B65)/OthersDept!C$52) +  IF(OthersDept!C$53=0,0,COUNTIFS(OthersDept!$B$9:$B$37,OthersDept!$B$53,OthersDept!C$9:C$37,$B65)/OthersDept!C$53))*150000)</f>
        <v>0</v>
      </c>
      <c r="D65" s="135">
        <f>IF($B65="","",(IF(OthersDept!D$42=0,0,COUNTIFS(OthersDept!$B$9:$B$37,OthersDept!$B$42,OthersDept!D$9:D$37,$B65)/OthersDept!D$42) + IF(OthersDept!D$43=0,0,COUNTIFS(OthersDept!$B$9:$B$37,OthersDept!$B$43,OthersDept!D$9:D$37,$B65)/OthersDept!D$43) + IF(OthersDept!D$44=0,0,COUNTIFS(OthersDept!$B$9:$B$37,OthersDept!$B$44,OthersDept!D$9:D$37,$B65)/OthersDept!D$44) + IF(OthersDept!D$45=0,0,COUNTIFS(OthersDept!$B$9:$B$37,OthersDept!$B$45,OthersDept!D$9:D$37,$B65)/OthersDept!D$45) + IF(OthersDept!D$46=0,0,COUNTIFS(OthersDept!$B$9:$B$37,OthersDept!$B$46,OthersDept!D$9:D$37,$B65)/OthersDept!D$46) + IF(OthersDept!D$47=0,0,COUNTIFS(OthersDept!$B$9:$B$37,OthersDept!$B$47,OthersDept!D$9:D$37,$B65)/OthersDept!D$47) + IF(OthersDept!D$48=0,0,COUNTIFS(OthersDept!$B$9:$B$37,OthersDept!$B$48,OthersDept!D$9:D$37,$B65)/OthersDept!D$48) + IF(OthersDept!D$49=0,0,COUNTIFS(OthersDept!$B$9:$B$37,OthersDept!$B$49,OthersDept!D$9:D$37,$B65)/OthersDept!D$49) + IF(OthersDept!D$50=0,0,COUNTIFS(OthersDept!$B$9:$B$37,OthersDept!$B$50,OthersDept!D$9:D$37,$B65)/OthersDept!D$50) + IF(OthersDept!D$51=0,0,COUNTIFS(OthersDept!$B$9:$B$37,OthersDept!$B$51,OthersDept!D$9:D$37,$B65)/OthersDept!D$51) + IF(OthersDept!D$52=0,0,COUNTIFS(OthersDept!$B$9:$B$37,OthersDept!$B$52,OthersDept!D$9:D$37,$B65)/OthersDept!D$52) +  IF(OthersDept!D$53=0,0,COUNTIFS(OthersDept!$B$9:$B$37,OthersDept!$B$53,OthersDept!D$9:D$37,$B65)/OthersDept!D$53))*150000)</f>
        <v>0</v>
      </c>
      <c r="E65" s="135">
        <f>IF($B65="","",(IF(OthersDept!E$42=0,0,COUNTIFS(OthersDept!$B$9:$B$37,OthersDept!$B$42,OthersDept!E$9:E$37,$B65)/OthersDept!E$42) + IF(OthersDept!E$43=0,0,COUNTIFS(OthersDept!$B$9:$B$37,OthersDept!$B$43,OthersDept!E$9:E$37,$B65)/OthersDept!E$43) + IF(OthersDept!E$44=0,0,COUNTIFS(OthersDept!$B$9:$B$37,OthersDept!$B$44,OthersDept!E$9:E$37,$B65)/OthersDept!E$44) + IF(OthersDept!E$45=0,0,COUNTIFS(OthersDept!$B$9:$B$37,OthersDept!$B$45,OthersDept!E$9:E$37,$B65)/OthersDept!E$45) + IF(OthersDept!E$46=0,0,COUNTIFS(OthersDept!$B$9:$B$37,OthersDept!$B$46,OthersDept!E$9:E$37,$B65)/OthersDept!E$46) + IF(OthersDept!E$47=0,0,COUNTIFS(OthersDept!$B$9:$B$37,OthersDept!$B$47,OthersDept!E$9:E$37,$B65)/OthersDept!E$47) + IF(OthersDept!E$48=0,0,COUNTIFS(OthersDept!$B$9:$B$37,OthersDept!$B$48,OthersDept!E$9:E$37,$B65)/OthersDept!E$48) + IF(OthersDept!E$49=0,0,COUNTIFS(OthersDept!$B$9:$B$37,OthersDept!$B$49,OthersDept!E$9:E$37,$B65)/OthersDept!E$49) + IF(OthersDept!E$50=0,0,COUNTIFS(OthersDept!$B$9:$B$37,OthersDept!$B$50,OthersDept!E$9:E$37,$B65)/OthersDept!E$50) + IF(OthersDept!E$51=0,0,COUNTIFS(OthersDept!$B$9:$B$37,OthersDept!$B$51,OthersDept!E$9:E$37,$B65)/OthersDept!E$51) + IF(OthersDept!E$52=0,0,COUNTIFS(OthersDept!$B$9:$B$37,OthersDept!$B$52,OthersDept!E$9:E$37,$B65)/OthersDept!E$52) +  IF(OthersDept!E$53=0,0,COUNTIFS(OthersDept!$B$9:$B$37,OthersDept!$B$53,OthersDept!E$9:E$37,$B65)/OthersDept!E$53))*150000)</f>
        <v>0</v>
      </c>
      <c r="F65" s="135">
        <f>IF($B65="","",(IF(OthersDept!F$42=0,0,COUNTIFS(OthersDept!$B$9:$B$37,OthersDept!$B$42,OthersDept!F$9:F$37,$B65)/OthersDept!F$42) + IF(OthersDept!F$43=0,0,COUNTIFS(OthersDept!$B$9:$B$37,OthersDept!$B$43,OthersDept!F$9:F$37,$B65)/OthersDept!F$43) + IF(OthersDept!F$44=0,0,COUNTIFS(OthersDept!$B$9:$B$37,OthersDept!$B$44,OthersDept!F$9:F$37,$B65)/OthersDept!F$44) + IF(OthersDept!F$45=0,0,COUNTIFS(OthersDept!$B$9:$B$37,OthersDept!$B$45,OthersDept!F$9:F$37,$B65)/OthersDept!F$45) + IF(OthersDept!F$46=0,0,COUNTIFS(OthersDept!$B$9:$B$37,OthersDept!$B$46,OthersDept!F$9:F$37,$B65)/OthersDept!F$46) + IF(OthersDept!F$47=0,0,COUNTIFS(OthersDept!$B$9:$B$37,OthersDept!$B$47,OthersDept!F$9:F$37,$B65)/OthersDept!F$47) + IF(OthersDept!F$48=0,0,COUNTIFS(OthersDept!$B$9:$B$37,OthersDept!$B$48,OthersDept!F$9:F$37,$B65)/OthersDept!F$48) + IF(OthersDept!F$49=0,0,COUNTIFS(OthersDept!$B$9:$B$37,OthersDept!$B$49,OthersDept!F$9:F$37,$B65)/OthersDept!F$49) + IF(OthersDept!F$50=0,0,COUNTIFS(OthersDept!$B$9:$B$37,OthersDept!$B$50,OthersDept!F$9:F$37,$B65)/OthersDept!F$50) + IF(OthersDept!F$51=0,0,COUNTIFS(OthersDept!$B$9:$B$37,OthersDept!$B$51,OthersDept!F$9:F$37,$B65)/OthersDept!F$51) + IF(OthersDept!F$52=0,0,COUNTIFS(OthersDept!$B$9:$B$37,OthersDept!$B$52,OthersDept!F$9:F$37,$B65)/OthersDept!F$52) +  IF(OthersDept!F$53=0,0,COUNTIFS(OthersDept!$B$9:$B$37,OthersDept!$B$53,OthersDept!F$9:F$37,$B65)/OthersDept!F$53))*150000)</f>
        <v>0</v>
      </c>
      <c r="G65" s="135">
        <f>IF($B65="","",(IF(OthersDept!G$42=0,0,COUNTIFS(OthersDept!$B$9:$B$37,OthersDept!$B$42,OthersDept!G$9:G$37,$B65)/OthersDept!G$42) + IF(OthersDept!G$43=0,0,COUNTIFS(OthersDept!$B$9:$B$37,OthersDept!$B$43,OthersDept!G$9:G$37,$B65)/OthersDept!G$43) + IF(OthersDept!G$44=0,0,COUNTIFS(OthersDept!$B$9:$B$37,OthersDept!$B$44,OthersDept!G$9:G$37,$B65)/OthersDept!G$44) + IF(OthersDept!G$45=0,0,COUNTIFS(OthersDept!$B$9:$B$37,OthersDept!$B$45,OthersDept!G$9:G$37,$B65)/OthersDept!G$45) + IF(OthersDept!G$46=0,0,COUNTIFS(OthersDept!$B$9:$B$37,OthersDept!$B$46,OthersDept!G$9:G$37,$B65)/OthersDept!G$46) + IF(OthersDept!G$47=0,0,COUNTIFS(OthersDept!$B$9:$B$37,OthersDept!$B$47,OthersDept!G$9:G$37,$B65)/OthersDept!G$47) + IF(OthersDept!G$48=0,0,COUNTIFS(OthersDept!$B$9:$B$37,OthersDept!$B$48,OthersDept!G$9:G$37,$B65)/OthersDept!G$48) + IF(OthersDept!G$49=0,0,COUNTIFS(OthersDept!$B$9:$B$37,OthersDept!$B$49,OthersDept!G$9:G$37,$B65)/OthersDept!G$49) + IF(OthersDept!G$50=0,0,COUNTIFS(OthersDept!$B$9:$B$37,OthersDept!$B$50,OthersDept!G$9:G$37,$B65)/OthersDept!G$50) + IF(OthersDept!G$51=0,0,COUNTIFS(OthersDept!$B$9:$B$37,OthersDept!$B$51,OthersDept!G$9:G$37,$B65)/OthersDept!G$51) + IF(OthersDept!G$52=0,0,COUNTIFS(OthersDept!$B$9:$B$37,OthersDept!$B$52,OthersDept!G$9:G$37,$B65)/OthersDept!G$52) +  IF(OthersDept!G$53=0,0,COUNTIFS(OthersDept!$B$9:$B$37,OthersDept!$B$53,OthersDept!G$9:G$37,$B65)/OthersDept!G$53))*150000)</f>
        <v>0</v>
      </c>
      <c r="H65" s="136">
        <f t="shared" si="1"/>
        <v>0</v>
      </c>
      <c r="I65" s="53"/>
      <c r="J65" s="53"/>
      <c r="K65" s="53"/>
      <c r="L65" s="53"/>
      <c r="M65" s="53"/>
      <c r="N65" s="53"/>
      <c r="P65" s="53"/>
    </row>
    <row r="66" spans="1:16" x14ac:dyDescent="0.25">
      <c r="A66" s="133">
        <f>IF(ISTEXT($B66),22,"")</f>
        <v>22</v>
      </c>
      <c r="B66" s="65" t="s">
        <v>411</v>
      </c>
      <c r="C66" s="135">
        <f>IF($B66="","",(IF(OthersDept!C$42=0,0,COUNTIFS(OthersDept!$B$9:$B$37,OthersDept!$B$42,OthersDept!C$9:C$37,$B66)/OthersDept!C$42) + IF(OthersDept!C$43=0,0,COUNTIFS(OthersDept!$B$9:$B$37,OthersDept!$B$43,OthersDept!C$9:C$37,$B66)/OthersDept!C$43) + IF(OthersDept!C$44=0,0,COUNTIFS(OthersDept!$B$9:$B$37,OthersDept!$B$44,OthersDept!C$9:C$37,$B66)/OthersDept!C$44) + IF(OthersDept!C$45=0,0,COUNTIFS(OthersDept!$B$9:$B$37,OthersDept!$B$45,OthersDept!C$9:C$37,$B66)/OthersDept!C$45) + IF(OthersDept!C$46=0,0,COUNTIFS(OthersDept!$B$9:$B$37,OthersDept!$B$46,OthersDept!C$9:C$37,$B66)/OthersDept!C$46) + IF(OthersDept!C$47=0,0,COUNTIFS(OthersDept!$B$9:$B$37,OthersDept!$B$47,OthersDept!C$9:C$37,$B66)/OthersDept!C$47) + IF(OthersDept!C$48=0,0,COUNTIFS(OthersDept!$B$9:$B$37,OthersDept!$B$48,OthersDept!C$9:C$37,$B66)/OthersDept!C$48) + IF(OthersDept!C$49=0,0,COUNTIFS(OthersDept!$B$9:$B$37,OthersDept!$B$49,OthersDept!C$9:C$37,$B66)/OthersDept!C$49) + IF(OthersDept!C$50=0,0,COUNTIFS(OthersDept!$B$9:$B$37,OthersDept!$B$50,OthersDept!C$9:C$37,$B66)/OthersDept!C$50) + IF(OthersDept!C$51=0,0,COUNTIFS(OthersDept!$B$9:$B$37,OthersDept!$B$51,OthersDept!C$9:C$37,$B66)/OthersDept!C$51) + IF(OthersDept!C$52=0,0,COUNTIFS(OthersDept!$B$9:$B$37,OthersDept!$B$52,OthersDept!C$9:C$37,$B66)/OthersDept!C$52) +  IF(OthersDept!C$53=0,0,COUNTIFS(OthersDept!$B$9:$B$37,OthersDept!$B$53,OthersDept!C$9:C$37,$B66)/OthersDept!C$53))*150000)</f>
        <v>0</v>
      </c>
      <c r="D66" s="135">
        <f>IF($B66="","",(IF(OthersDept!D$42=0,0,COUNTIFS(OthersDept!$B$9:$B$37,OthersDept!$B$42,OthersDept!D$9:D$37,$B66)/OthersDept!D$42) + IF(OthersDept!D$43=0,0,COUNTIFS(OthersDept!$B$9:$B$37,OthersDept!$B$43,OthersDept!D$9:D$37,$B66)/OthersDept!D$43) + IF(OthersDept!D$44=0,0,COUNTIFS(OthersDept!$B$9:$B$37,OthersDept!$B$44,OthersDept!D$9:D$37,$B66)/OthersDept!D$44) + IF(OthersDept!D$45=0,0,COUNTIFS(OthersDept!$B$9:$B$37,OthersDept!$B$45,OthersDept!D$9:D$37,$B66)/OthersDept!D$45) + IF(OthersDept!D$46=0,0,COUNTIFS(OthersDept!$B$9:$B$37,OthersDept!$B$46,OthersDept!D$9:D$37,$B66)/OthersDept!D$46) + IF(OthersDept!D$47=0,0,COUNTIFS(OthersDept!$B$9:$B$37,OthersDept!$B$47,OthersDept!D$9:D$37,$B66)/OthersDept!D$47) + IF(OthersDept!D$48=0,0,COUNTIFS(OthersDept!$B$9:$B$37,OthersDept!$B$48,OthersDept!D$9:D$37,$B66)/OthersDept!D$48) + IF(OthersDept!D$49=0,0,COUNTIFS(OthersDept!$B$9:$B$37,OthersDept!$B$49,OthersDept!D$9:D$37,$B66)/OthersDept!D$49) + IF(OthersDept!D$50=0,0,COUNTIFS(OthersDept!$B$9:$B$37,OthersDept!$B$50,OthersDept!D$9:D$37,$B66)/OthersDept!D$50) + IF(OthersDept!D$51=0,0,COUNTIFS(OthersDept!$B$9:$B$37,OthersDept!$B$51,OthersDept!D$9:D$37,$B66)/OthersDept!D$51) + IF(OthersDept!D$52=0,0,COUNTIFS(OthersDept!$B$9:$B$37,OthersDept!$B$52,OthersDept!D$9:D$37,$B66)/OthersDept!D$52) +  IF(OthersDept!D$53=0,0,COUNTIFS(OthersDept!$B$9:$B$37,OthersDept!$B$53,OthersDept!D$9:D$37,$B66)/OthersDept!D$53))*150000)</f>
        <v>0</v>
      </c>
      <c r="E66" s="135">
        <f>IF($B66="","",(IF(OthersDept!E$42=0,0,COUNTIFS(OthersDept!$B$9:$B$37,OthersDept!$B$42,OthersDept!E$9:E$37,$B66)/OthersDept!E$42) + IF(OthersDept!E$43=0,0,COUNTIFS(OthersDept!$B$9:$B$37,OthersDept!$B$43,OthersDept!E$9:E$37,$B66)/OthersDept!E$43) + IF(OthersDept!E$44=0,0,COUNTIFS(OthersDept!$B$9:$B$37,OthersDept!$B$44,OthersDept!E$9:E$37,$B66)/OthersDept!E$44) + IF(OthersDept!E$45=0,0,COUNTIFS(OthersDept!$B$9:$B$37,OthersDept!$B$45,OthersDept!E$9:E$37,$B66)/OthersDept!E$45) + IF(OthersDept!E$46=0,0,COUNTIFS(OthersDept!$B$9:$B$37,OthersDept!$B$46,OthersDept!E$9:E$37,$B66)/OthersDept!E$46) + IF(OthersDept!E$47=0,0,COUNTIFS(OthersDept!$B$9:$B$37,OthersDept!$B$47,OthersDept!E$9:E$37,$B66)/OthersDept!E$47) + IF(OthersDept!E$48=0,0,COUNTIFS(OthersDept!$B$9:$B$37,OthersDept!$B$48,OthersDept!E$9:E$37,$B66)/OthersDept!E$48) + IF(OthersDept!E$49=0,0,COUNTIFS(OthersDept!$B$9:$B$37,OthersDept!$B$49,OthersDept!E$9:E$37,$B66)/OthersDept!E$49) + IF(OthersDept!E$50=0,0,COUNTIFS(OthersDept!$B$9:$B$37,OthersDept!$B$50,OthersDept!E$9:E$37,$B66)/OthersDept!E$50) + IF(OthersDept!E$51=0,0,COUNTIFS(OthersDept!$B$9:$B$37,OthersDept!$B$51,OthersDept!E$9:E$37,$B66)/OthersDept!E$51) + IF(OthersDept!E$52=0,0,COUNTIFS(OthersDept!$B$9:$B$37,OthersDept!$B$52,OthersDept!E$9:E$37,$B66)/OthersDept!E$52) +  IF(OthersDept!E$53=0,0,COUNTIFS(OthersDept!$B$9:$B$37,OthersDept!$B$53,OthersDept!E$9:E$37,$B66)/OthersDept!E$53))*150000)</f>
        <v>0</v>
      </c>
      <c r="F66" s="135">
        <f>IF($B66="","",(IF(OthersDept!F$42=0,0,COUNTIFS(OthersDept!$B$9:$B$37,OthersDept!$B$42,OthersDept!F$9:F$37,$B66)/OthersDept!F$42) + IF(OthersDept!F$43=0,0,COUNTIFS(OthersDept!$B$9:$B$37,OthersDept!$B$43,OthersDept!F$9:F$37,$B66)/OthersDept!F$43) + IF(OthersDept!F$44=0,0,COUNTIFS(OthersDept!$B$9:$B$37,OthersDept!$B$44,OthersDept!F$9:F$37,$B66)/OthersDept!F$44) + IF(OthersDept!F$45=0,0,COUNTIFS(OthersDept!$B$9:$B$37,OthersDept!$B$45,OthersDept!F$9:F$37,$B66)/OthersDept!F$45) + IF(OthersDept!F$46=0,0,COUNTIFS(OthersDept!$B$9:$B$37,OthersDept!$B$46,OthersDept!F$9:F$37,$B66)/OthersDept!F$46) + IF(OthersDept!F$47=0,0,COUNTIFS(OthersDept!$B$9:$B$37,OthersDept!$B$47,OthersDept!F$9:F$37,$B66)/OthersDept!F$47) + IF(OthersDept!F$48=0,0,COUNTIFS(OthersDept!$B$9:$B$37,OthersDept!$B$48,OthersDept!F$9:F$37,$B66)/OthersDept!F$48) + IF(OthersDept!F$49=0,0,COUNTIFS(OthersDept!$B$9:$B$37,OthersDept!$B$49,OthersDept!F$9:F$37,$B66)/OthersDept!F$49) + IF(OthersDept!F$50=0,0,COUNTIFS(OthersDept!$B$9:$B$37,OthersDept!$B$50,OthersDept!F$9:F$37,$B66)/OthersDept!F$50) + IF(OthersDept!F$51=0,0,COUNTIFS(OthersDept!$B$9:$B$37,OthersDept!$B$51,OthersDept!F$9:F$37,$B66)/OthersDept!F$51) + IF(OthersDept!F$52=0,0,COUNTIFS(OthersDept!$B$9:$B$37,OthersDept!$B$52,OthersDept!F$9:F$37,$B66)/OthersDept!F$52) +  IF(OthersDept!F$53=0,0,COUNTIFS(OthersDept!$B$9:$B$37,OthersDept!$B$53,OthersDept!F$9:F$37,$B66)/OthersDept!F$53))*150000)</f>
        <v>0</v>
      </c>
      <c r="G66" s="135">
        <f>IF($B66="","",(IF(OthersDept!G$42=0,0,COUNTIFS(OthersDept!$B$9:$B$37,OthersDept!$B$42,OthersDept!G$9:G$37,$B66)/OthersDept!G$42) + IF(OthersDept!G$43=0,0,COUNTIFS(OthersDept!$B$9:$B$37,OthersDept!$B$43,OthersDept!G$9:G$37,$B66)/OthersDept!G$43) + IF(OthersDept!G$44=0,0,COUNTIFS(OthersDept!$B$9:$B$37,OthersDept!$B$44,OthersDept!G$9:G$37,$B66)/OthersDept!G$44) + IF(OthersDept!G$45=0,0,COUNTIFS(OthersDept!$B$9:$B$37,OthersDept!$B$45,OthersDept!G$9:G$37,$B66)/OthersDept!G$45) + IF(OthersDept!G$46=0,0,COUNTIFS(OthersDept!$B$9:$B$37,OthersDept!$B$46,OthersDept!G$9:G$37,$B66)/OthersDept!G$46) + IF(OthersDept!G$47=0,0,COUNTIFS(OthersDept!$B$9:$B$37,OthersDept!$B$47,OthersDept!G$9:G$37,$B66)/OthersDept!G$47) + IF(OthersDept!G$48=0,0,COUNTIFS(OthersDept!$B$9:$B$37,OthersDept!$B$48,OthersDept!G$9:G$37,$B66)/OthersDept!G$48) + IF(OthersDept!G$49=0,0,COUNTIFS(OthersDept!$B$9:$B$37,OthersDept!$B$49,OthersDept!G$9:G$37,$B66)/OthersDept!G$49) + IF(OthersDept!G$50=0,0,COUNTIFS(OthersDept!$B$9:$B$37,OthersDept!$B$50,OthersDept!G$9:G$37,$B66)/OthersDept!G$50) + IF(OthersDept!G$51=0,0,COUNTIFS(OthersDept!$B$9:$B$37,OthersDept!$B$51,OthersDept!G$9:G$37,$B66)/OthersDept!G$51) + IF(OthersDept!G$52=0,0,COUNTIFS(OthersDept!$B$9:$B$37,OthersDept!$B$52,OthersDept!G$9:G$37,$B66)/OthersDept!G$52) +  IF(OthersDept!G$53=0,0,COUNTIFS(OthersDept!$B$9:$B$37,OthersDept!$B$53,OthersDept!G$9:G$37,$B66)/OthersDept!G$53))*150000)</f>
        <v>0</v>
      </c>
      <c r="H66" s="136">
        <f t="shared" si="1"/>
        <v>0</v>
      </c>
      <c r="I66" s="53"/>
      <c r="J66" s="53"/>
      <c r="K66" s="53"/>
      <c r="L66" s="53"/>
      <c r="M66" s="53"/>
      <c r="N66" s="53"/>
      <c r="P66" s="53"/>
    </row>
    <row r="67" spans="1:16" x14ac:dyDescent="0.25">
      <c r="A67" s="133">
        <f>IF(ISTEXT($B67),231,"")</f>
        <v>231</v>
      </c>
      <c r="B67" s="65" t="s">
        <v>401</v>
      </c>
      <c r="C67" s="135">
        <f>IF($B67="","",(IF(OthersDept!C$42=0,0,COUNTIFS(OthersDept!$B$9:$B$37,OthersDept!$B$42,OthersDept!C$9:C$37,$B67)/OthersDept!C$42) + IF(OthersDept!C$43=0,0,COUNTIFS(OthersDept!$B$9:$B$37,OthersDept!$B$43,OthersDept!C$9:C$37,$B67)/OthersDept!C$43) + IF(OthersDept!C$44=0,0,COUNTIFS(OthersDept!$B$9:$B$37,OthersDept!$B$44,OthersDept!C$9:C$37,$B67)/OthersDept!C$44) + IF(OthersDept!C$45=0,0,COUNTIFS(OthersDept!$B$9:$B$37,OthersDept!$B$45,OthersDept!C$9:C$37,$B67)/OthersDept!C$45) + IF(OthersDept!C$46=0,0,COUNTIFS(OthersDept!$B$9:$B$37,OthersDept!$B$46,OthersDept!C$9:C$37,$B67)/OthersDept!C$46) + IF(OthersDept!C$47=0,0,COUNTIFS(OthersDept!$B$9:$B$37,OthersDept!$B$47,OthersDept!C$9:C$37,$B67)/OthersDept!C$47) + IF(OthersDept!C$48=0,0,COUNTIFS(OthersDept!$B$9:$B$37,OthersDept!$B$48,OthersDept!C$9:C$37,$B67)/OthersDept!C$48) + IF(OthersDept!C$49=0,0,COUNTIFS(OthersDept!$B$9:$B$37,OthersDept!$B$49,OthersDept!C$9:C$37,$B67)/OthersDept!C$49) + IF(OthersDept!C$50=0,0,COUNTIFS(OthersDept!$B$9:$B$37,OthersDept!$B$50,OthersDept!C$9:C$37,$B67)/OthersDept!C$50) + IF(OthersDept!C$51=0,0,COUNTIFS(OthersDept!$B$9:$B$37,OthersDept!$B$51,OthersDept!C$9:C$37,$B67)/OthersDept!C$51) + IF(OthersDept!C$52=0,0,COUNTIFS(OthersDept!$B$9:$B$37,OthersDept!$B$52,OthersDept!C$9:C$37,$B67)/OthersDept!C$52) +  IF(OthersDept!C$53=0,0,COUNTIFS(OthersDept!$B$9:$B$37,OthersDept!$B$53,OthersDept!C$9:C$37,$B67)/OthersDept!C$53))*150000)</f>
        <v>0</v>
      </c>
      <c r="D67" s="135">
        <f>IF($B67="","",(IF(OthersDept!D$42=0,0,COUNTIFS(OthersDept!$B$9:$B$37,OthersDept!$B$42,OthersDept!D$9:D$37,$B67)/OthersDept!D$42) + IF(OthersDept!D$43=0,0,COUNTIFS(OthersDept!$B$9:$B$37,OthersDept!$B$43,OthersDept!D$9:D$37,$B67)/OthersDept!D$43) + IF(OthersDept!D$44=0,0,COUNTIFS(OthersDept!$B$9:$B$37,OthersDept!$B$44,OthersDept!D$9:D$37,$B67)/OthersDept!D$44) + IF(OthersDept!D$45=0,0,COUNTIFS(OthersDept!$B$9:$B$37,OthersDept!$B$45,OthersDept!D$9:D$37,$B67)/OthersDept!D$45) + IF(OthersDept!D$46=0,0,COUNTIFS(OthersDept!$B$9:$B$37,OthersDept!$B$46,OthersDept!D$9:D$37,$B67)/OthersDept!D$46) + IF(OthersDept!D$47=0,0,COUNTIFS(OthersDept!$B$9:$B$37,OthersDept!$B$47,OthersDept!D$9:D$37,$B67)/OthersDept!D$47) + IF(OthersDept!D$48=0,0,COUNTIFS(OthersDept!$B$9:$B$37,OthersDept!$B$48,OthersDept!D$9:D$37,$B67)/OthersDept!D$48) + IF(OthersDept!D$49=0,0,COUNTIFS(OthersDept!$B$9:$B$37,OthersDept!$B$49,OthersDept!D$9:D$37,$B67)/OthersDept!D$49) + IF(OthersDept!D$50=0,0,COUNTIFS(OthersDept!$B$9:$B$37,OthersDept!$B$50,OthersDept!D$9:D$37,$B67)/OthersDept!D$50) + IF(OthersDept!D$51=0,0,COUNTIFS(OthersDept!$B$9:$B$37,OthersDept!$B$51,OthersDept!D$9:D$37,$B67)/OthersDept!D$51) + IF(OthersDept!D$52=0,0,COUNTIFS(OthersDept!$B$9:$B$37,OthersDept!$B$52,OthersDept!D$9:D$37,$B67)/OthersDept!D$52) +  IF(OthersDept!D$53=0,0,COUNTIFS(OthersDept!$B$9:$B$37,OthersDept!$B$53,OthersDept!D$9:D$37,$B67)/OthersDept!D$53))*150000)</f>
        <v>0</v>
      </c>
      <c r="E67" s="135">
        <f>IF($B67="","",(IF(OthersDept!E$42=0,0,COUNTIFS(OthersDept!$B$9:$B$37,OthersDept!$B$42,OthersDept!E$9:E$37,$B67)/OthersDept!E$42) + IF(OthersDept!E$43=0,0,COUNTIFS(OthersDept!$B$9:$B$37,OthersDept!$B$43,OthersDept!E$9:E$37,$B67)/OthersDept!E$43) + IF(OthersDept!E$44=0,0,COUNTIFS(OthersDept!$B$9:$B$37,OthersDept!$B$44,OthersDept!E$9:E$37,$B67)/OthersDept!E$44) + IF(OthersDept!E$45=0,0,COUNTIFS(OthersDept!$B$9:$B$37,OthersDept!$B$45,OthersDept!E$9:E$37,$B67)/OthersDept!E$45) + IF(OthersDept!E$46=0,0,COUNTIFS(OthersDept!$B$9:$B$37,OthersDept!$B$46,OthersDept!E$9:E$37,$B67)/OthersDept!E$46) + IF(OthersDept!E$47=0,0,COUNTIFS(OthersDept!$B$9:$B$37,OthersDept!$B$47,OthersDept!E$9:E$37,$B67)/OthersDept!E$47) + IF(OthersDept!E$48=0,0,COUNTIFS(OthersDept!$B$9:$B$37,OthersDept!$B$48,OthersDept!E$9:E$37,$B67)/OthersDept!E$48) + IF(OthersDept!E$49=0,0,COUNTIFS(OthersDept!$B$9:$B$37,OthersDept!$B$49,OthersDept!E$9:E$37,$B67)/OthersDept!E$49) + IF(OthersDept!E$50=0,0,COUNTIFS(OthersDept!$B$9:$B$37,OthersDept!$B$50,OthersDept!E$9:E$37,$B67)/OthersDept!E$50) + IF(OthersDept!E$51=0,0,COUNTIFS(OthersDept!$B$9:$B$37,OthersDept!$B$51,OthersDept!E$9:E$37,$B67)/OthersDept!E$51) + IF(OthersDept!E$52=0,0,COUNTIFS(OthersDept!$B$9:$B$37,OthersDept!$B$52,OthersDept!E$9:E$37,$B67)/OthersDept!E$52) +  IF(OthersDept!E$53=0,0,COUNTIFS(OthersDept!$B$9:$B$37,OthersDept!$B$53,OthersDept!E$9:E$37,$B67)/OthersDept!E$53))*150000)</f>
        <v>0</v>
      </c>
      <c r="F67" s="135">
        <f>IF($B67="","",(IF(OthersDept!F$42=0,0,COUNTIFS(OthersDept!$B$9:$B$37,OthersDept!$B$42,OthersDept!F$9:F$37,$B67)/OthersDept!F$42) + IF(OthersDept!F$43=0,0,COUNTIFS(OthersDept!$B$9:$B$37,OthersDept!$B$43,OthersDept!F$9:F$37,$B67)/OthersDept!F$43) + IF(OthersDept!F$44=0,0,COUNTIFS(OthersDept!$B$9:$B$37,OthersDept!$B$44,OthersDept!F$9:F$37,$B67)/OthersDept!F$44) + IF(OthersDept!F$45=0,0,COUNTIFS(OthersDept!$B$9:$B$37,OthersDept!$B$45,OthersDept!F$9:F$37,$B67)/OthersDept!F$45) + IF(OthersDept!F$46=0,0,COUNTIFS(OthersDept!$B$9:$B$37,OthersDept!$B$46,OthersDept!F$9:F$37,$B67)/OthersDept!F$46) + IF(OthersDept!F$47=0,0,COUNTIFS(OthersDept!$B$9:$B$37,OthersDept!$B$47,OthersDept!F$9:F$37,$B67)/OthersDept!F$47) + IF(OthersDept!F$48=0,0,COUNTIFS(OthersDept!$B$9:$B$37,OthersDept!$B$48,OthersDept!F$9:F$37,$B67)/OthersDept!F$48) + IF(OthersDept!F$49=0,0,COUNTIFS(OthersDept!$B$9:$B$37,OthersDept!$B$49,OthersDept!F$9:F$37,$B67)/OthersDept!F$49) + IF(OthersDept!F$50=0,0,COUNTIFS(OthersDept!$B$9:$B$37,OthersDept!$B$50,OthersDept!F$9:F$37,$B67)/OthersDept!F$50) + IF(OthersDept!F$51=0,0,COUNTIFS(OthersDept!$B$9:$B$37,OthersDept!$B$51,OthersDept!F$9:F$37,$B67)/OthersDept!F$51) + IF(OthersDept!F$52=0,0,COUNTIFS(OthersDept!$B$9:$B$37,OthersDept!$B$52,OthersDept!F$9:F$37,$B67)/OthersDept!F$52) +  IF(OthersDept!F$53=0,0,COUNTIFS(OthersDept!$B$9:$B$37,OthersDept!$B$53,OthersDept!F$9:F$37,$B67)/OthersDept!F$53))*150000)</f>
        <v>0</v>
      </c>
      <c r="G67" s="135">
        <f>IF($B67="","",(IF(OthersDept!G$42=0,0,COUNTIFS(OthersDept!$B$9:$B$37,OthersDept!$B$42,OthersDept!G$9:G$37,$B67)/OthersDept!G$42) + IF(OthersDept!G$43=0,0,COUNTIFS(OthersDept!$B$9:$B$37,OthersDept!$B$43,OthersDept!G$9:G$37,$B67)/OthersDept!G$43) + IF(OthersDept!G$44=0,0,COUNTIFS(OthersDept!$B$9:$B$37,OthersDept!$B$44,OthersDept!G$9:G$37,$B67)/OthersDept!G$44) + IF(OthersDept!G$45=0,0,COUNTIFS(OthersDept!$B$9:$B$37,OthersDept!$B$45,OthersDept!G$9:G$37,$B67)/OthersDept!G$45) + IF(OthersDept!G$46=0,0,COUNTIFS(OthersDept!$B$9:$B$37,OthersDept!$B$46,OthersDept!G$9:G$37,$B67)/OthersDept!G$46) + IF(OthersDept!G$47=0,0,COUNTIFS(OthersDept!$B$9:$B$37,OthersDept!$B$47,OthersDept!G$9:G$37,$B67)/OthersDept!G$47) + IF(OthersDept!G$48=0,0,COUNTIFS(OthersDept!$B$9:$B$37,OthersDept!$B$48,OthersDept!G$9:G$37,$B67)/OthersDept!G$48) + IF(OthersDept!G$49=0,0,COUNTIFS(OthersDept!$B$9:$B$37,OthersDept!$B$49,OthersDept!G$9:G$37,$B67)/OthersDept!G$49) + IF(OthersDept!G$50=0,0,COUNTIFS(OthersDept!$B$9:$B$37,OthersDept!$B$50,OthersDept!G$9:G$37,$B67)/OthersDept!G$50) + IF(OthersDept!G$51=0,0,COUNTIFS(OthersDept!$B$9:$B$37,OthersDept!$B$51,OthersDept!G$9:G$37,$B67)/OthersDept!G$51) + IF(OthersDept!G$52=0,0,COUNTIFS(OthersDept!$B$9:$B$37,OthersDept!$B$52,OthersDept!G$9:G$37,$B67)/OthersDept!G$52) +  IF(OthersDept!G$53=0,0,COUNTIFS(OthersDept!$B$9:$B$37,OthersDept!$B$53,OthersDept!G$9:G$37,$B67)/OthersDept!G$53))*150000)</f>
        <v>0</v>
      </c>
      <c r="H67" s="136">
        <f t="shared" si="1"/>
        <v>0</v>
      </c>
      <c r="I67" s="53"/>
      <c r="J67" s="53"/>
      <c r="K67" s="53"/>
      <c r="L67" s="53"/>
      <c r="M67" s="53"/>
      <c r="N67" s="53"/>
      <c r="P67" s="53"/>
    </row>
    <row r="68" spans="1:16" x14ac:dyDescent="0.25">
      <c r="A68" s="133">
        <f>IF(ISTEXT($B68),24,"")</f>
        <v>24</v>
      </c>
      <c r="B68" s="65" t="s">
        <v>390</v>
      </c>
      <c r="C68" s="135">
        <f>IF($B68="","",(IF(OthersDept!C$42=0,0,COUNTIFS(OthersDept!$B$9:$B$37,OthersDept!$B$42,OthersDept!C$9:C$37,$B68)/OthersDept!C$42) + IF(OthersDept!C$43=0,0,COUNTIFS(OthersDept!$B$9:$B$37,OthersDept!$B$43,OthersDept!C$9:C$37,$B68)/OthersDept!C$43) + IF(OthersDept!C$44=0,0,COUNTIFS(OthersDept!$B$9:$B$37,OthersDept!$B$44,OthersDept!C$9:C$37,$B68)/OthersDept!C$44) + IF(OthersDept!C$45=0,0,COUNTIFS(OthersDept!$B$9:$B$37,OthersDept!$B$45,OthersDept!C$9:C$37,$B68)/OthersDept!C$45) + IF(OthersDept!C$46=0,0,COUNTIFS(OthersDept!$B$9:$B$37,OthersDept!$B$46,OthersDept!C$9:C$37,$B68)/OthersDept!C$46) + IF(OthersDept!C$47=0,0,COUNTIFS(OthersDept!$B$9:$B$37,OthersDept!$B$47,OthersDept!C$9:C$37,$B68)/OthersDept!C$47) + IF(OthersDept!C$48=0,0,COUNTIFS(OthersDept!$B$9:$B$37,OthersDept!$B$48,OthersDept!C$9:C$37,$B68)/OthersDept!C$48) + IF(OthersDept!C$49=0,0,COUNTIFS(OthersDept!$B$9:$B$37,OthersDept!$B$49,OthersDept!C$9:C$37,$B68)/OthersDept!C$49) + IF(OthersDept!C$50=0,0,COUNTIFS(OthersDept!$B$9:$B$37,OthersDept!$B$50,OthersDept!C$9:C$37,$B68)/OthersDept!C$50) + IF(OthersDept!C$51=0,0,COUNTIFS(OthersDept!$B$9:$B$37,OthersDept!$B$51,OthersDept!C$9:C$37,$B68)/OthersDept!C$51) + IF(OthersDept!C$52=0,0,COUNTIFS(OthersDept!$B$9:$B$37,OthersDept!$B$52,OthersDept!C$9:C$37,$B68)/OthersDept!C$52) +  IF(OthersDept!C$53=0,0,COUNTIFS(OthersDept!$B$9:$B$37,OthersDept!$B$53,OthersDept!C$9:C$37,$B68)/OthersDept!C$53))*150000)</f>
        <v>0</v>
      </c>
      <c r="D68" s="135">
        <f>IF($B68="","",(IF(OthersDept!D$42=0,0,COUNTIFS(OthersDept!$B$9:$B$37,OthersDept!$B$42,OthersDept!D$9:D$37,$B68)/OthersDept!D$42) + IF(OthersDept!D$43=0,0,COUNTIFS(OthersDept!$B$9:$B$37,OthersDept!$B$43,OthersDept!D$9:D$37,$B68)/OthersDept!D$43) + IF(OthersDept!D$44=0,0,COUNTIFS(OthersDept!$B$9:$B$37,OthersDept!$B$44,OthersDept!D$9:D$37,$B68)/OthersDept!D$44) + IF(OthersDept!D$45=0,0,COUNTIFS(OthersDept!$B$9:$B$37,OthersDept!$B$45,OthersDept!D$9:D$37,$B68)/OthersDept!D$45) + IF(OthersDept!D$46=0,0,COUNTIFS(OthersDept!$B$9:$B$37,OthersDept!$B$46,OthersDept!D$9:D$37,$B68)/OthersDept!D$46) + IF(OthersDept!D$47=0,0,COUNTIFS(OthersDept!$B$9:$B$37,OthersDept!$B$47,OthersDept!D$9:D$37,$B68)/OthersDept!D$47) + IF(OthersDept!D$48=0,0,COUNTIFS(OthersDept!$B$9:$B$37,OthersDept!$B$48,OthersDept!D$9:D$37,$B68)/OthersDept!D$48) + IF(OthersDept!D$49=0,0,COUNTIFS(OthersDept!$B$9:$B$37,OthersDept!$B$49,OthersDept!D$9:D$37,$B68)/OthersDept!D$49) + IF(OthersDept!D$50=0,0,COUNTIFS(OthersDept!$B$9:$B$37,OthersDept!$B$50,OthersDept!D$9:D$37,$B68)/OthersDept!D$50) + IF(OthersDept!D$51=0,0,COUNTIFS(OthersDept!$B$9:$B$37,OthersDept!$B$51,OthersDept!D$9:D$37,$B68)/OthersDept!D$51) + IF(OthersDept!D$52=0,0,COUNTIFS(OthersDept!$B$9:$B$37,OthersDept!$B$52,OthersDept!D$9:D$37,$B68)/OthersDept!D$52) +  IF(OthersDept!D$53=0,0,COUNTIFS(OthersDept!$B$9:$B$37,OthersDept!$B$53,OthersDept!D$9:D$37,$B68)/OthersDept!D$53))*150000)</f>
        <v>0</v>
      </c>
      <c r="E68" s="135">
        <f>IF($B68="","",(IF(OthersDept!E$42=0,0,COUNTIFS(OthersDept!$B$9:$B$37,OthersDept!$B$42,OthersDept!E$9:E$37,$B68)/OthersDept!E$42) + IF(OthersDept!E$43=0,0,COUNTIFS(OthersDept!$B$9:$B$37,OthersDept!$B$43,OthersDept!E$9:E$37,$B68)/OthersDept!E$43) + IF(OthersDept!E$44=0,0,COUNTIFS(OthersDept!$B$9:$B$37,OthersDept!$B$44,OthersDept!E$9:E$37,$B68)/OthersDept!E$44) + IF(OthersDept!E$45=0,0,COUNTIFS(OthersDept!$B$9:$B$37,OthersDept!$B$45,OthersDept!E$9:E$37,$B68)/OthersDept!E$45) + IF(OthersDept!E$46=0,0,COUNTIFS(OthersDept!$B$9:$B$37,OthersDept!$B$46,OthersDept!E$9:E$37,$B68)/OthersDept!E$46) + IF(OthersDept!E$47=0,0,COUNTIFS(OthersDept!$B$9:$B$37,OthersDept!$B$47,OthersDept!E$9:E$37,$B68)/OthersDept!E$47) + IF(OthersDept!E$48=0,0,COUNTIFS(OthersDept!$B$9:$B$37,OthersDept!$B$48,OthersDept!E$9:E$37,$B68)/OthersDept!E$48) + IF(OthersDept!E$49=0,0,COUNTIFS(OthersDept!$B$9:$B$37,OthersDept!$B$49,OthersDept!E$9:E$37,$B68)/OthersDept!E$49) + IF(OthersDept!E$50=0,0,COUNTIFS(OthersDept!$B$9:$B$37,OthersDept!$B$50,OthersDept!E$9:E$37,$B68)/OthersDept!E$50) + IF(OthersDept!E$51=0,0,COUNTIFS(OthersDept!$B$9:$B$37,OthersDept!$B$51,OthersDept!E$9:E$37,$B68)/OthersDept!E$51) + IF(OthersDept!E$52=0,0,COUNTIFS(OthersDept!$B$9:$B$37,OthersDept!$B$52,OthersDept!E$9:E$37,$B68)/OthersDept!E$52) +  IF(OthersDept!E$53=0,0,COUNTIFS(OthersDept!$B$9:$B$37,OthersDept!$B$53,OthersDept!E$9:E$37,$B68)/OthersDept!E$53))*150000)</f>
        <v>0</v>
      </c>
      <c r="F68" s="135">
        <f>IF($B68="","",(IF(OthersDept!F$42=0,0,COUNTIFS(OthersDept!$B$9:$B$37,OthersDept!$B$42,OthersDept!F$9:F$37,$B68)/OthersDept!F$42) + IF(OthersDept!F$43=0,0,COUNTIFS(OthersDept!$B$9:$B$37,OthersDept!$B$43,OthersDept!F$9:F$37,$B68)/OthersDept!F$43) + IF(OthersDept!F$44=0,0,COUNTIFS(OthersDept!$B$9:$B$37,OthersDept!$B$44,OthersDept!F$9:F$37,$B68)/OthersDept!F$44) + IF(OthersDept!F$45=0,0,COUNTIFS(OthersDept!$B$9:$B$37,OthersDept!$B$45,OthersDept!F$9:F$37,$B68)/OthersDept!F$45) + IF(OthersDept!F$46=0,0,COUNTIFS(OthersDept!$B$9:$B$37,OthersDept!$B$46,OthersDept!F$9:F$37,$B68)/OthersDept!F$46) + IF(OthersDept!F$47=0,0,COUNTIFS(OthersDept!$B$9:$B$37,OthersDept!$B$47,OthersDept!F$9:F$37,$B68)/OthersDept!F$47) + IF(OthersDept!F$48=0,0,COUNTIFS(OthersDept!$B$9:$B$37,OthersDept!$B$48,OthersDept!F$9:F$37,$B68)/OthersDept!F$48) + IF(OthersDept!F$49=0,0,COUNTIFS(OthersDept!$B$9:$B$37,OthersDept!$B$49,OthersDept!F$9:F$37,$B68)/OthersDept!F$49) + IF(OthersDept!F$50=0,0,COUNTIFS(OthersDept!$B$9:$B$37,OthersDept!$B$50,OthersDept!F$9:F$37,$B68)/OthersDept!F$50) + IF(OthersDept!F$51=0,0,COUNTIFS(OthersDept!$B$9:$B$37,OthersDept!$B$51,OthersDept!F$9:F$37,$B68)/OthersDept!F$51) + IF(OthersDept!F$52=0,0,COUNTIFS(OthersDept!$B$9:$B$37,OthersDept!$B$52,OthersDept!F$9:F$37,$B68)/OthersDept!F$52) +  IF(OthersDept!F$53=0,0,COUNTIFS(OthersDept!$B$9:$B$37,OthersDept!$B$53,OthersDept!F$9:F$37,$B68)/OthersDept!F$53))*150000)</f>
        <v>0</v>
      </c>
      <c r="G68" s="135">
        <f>IF($B68="","",(IF(OthersDept!G$42=0,0,COUNTIFS(OthersDept!$B$9:$B$37,OthersDept!$B$42,OthersDept!G$9:G$37,$B68)/OthersDept!G$42) + IF(OthersDept!G$43=0,0,COUNTIFS(OthersDept!$B$9:$B$37,OthersDept!$B$43,OthersDept!G$9:G$37,$B68)/OthersDept!G$43) + IF(OthersDept!G$44=0,0,COUNTIFS(OthersDept!$B$9:$B$37,OthersDept!$B$44,OthersDept!G$9:G$37,$B68)/OthersDept!G$44) + IF(OthersDept!G$45=0,0,COUNTIFS(OthersDept!$B$9:$B$37,OthersDept!$B$45,OthersDept!G$9:G$37,$B68)/OthersDept!G$45) + IF(OthersDept!G$46=0,0,COUNTIFS(OthersDept!$B$9:$B$37,OthersDept!$B$46,OthersDept!G$9:G$37,$B68)/OthersDept!G$46) + IF(OthersDept!G$47=0,0,COUNTIFS(OthersDept!$B$9:$B$37,OthersDept!$B$47,OthersDept!G$9:G$37,$B68)/OthersDept!G$47) + IF(OthersDept!G$48=0,0,COUNTIFS(OthersDept!$B$9:$B$37,OthersDept!$B$48,OthersDept!G$9:G$37,$B68)/OthersDept!G$48) + IF(OthersDept!G$49=0,0,COUNTIFS(OthersDept!$B$9:$B$37,OthersDept!$B$49,OthersDept!G$9:G$37,$B68)/OthersDept!G$49) + IF(OthersDept!G$50=0,0,COUNTIFS(OthersDept!$B$9:$B$37,OthersDept!$B$50,OthersDept!G$9:G$37,$B68)/OthersDept!G$50) + IF(OthersDept!G$51=0,0,COUNTIFS(OthersDept!$B$9:$B$37,OthersDept!$B$51,OthersDept!G$9:G$37,$B68)/OthersDept!G$51) + IF(OthersDept!G$52=0,0,COUNTIFS(OthersDept!$B$9:$B$37,OthersDept!$B$52,OthersDept!G$9:G$37,$B68)/OthersDept!G$52) +  IF(OthersDept!G$53=0,0,COUNTIFS(OthersDept!$B$9:$B$37,OthersDept!$B$53,OthersDept!G$9:G$37,$B68)/OthersDept!G$53))*150000)</f>
        <v>0</v>
      </c>
      <c r="H68" s="136">
        <f t="shared" si="1"/>
        <v>0</v>
      </c>
      <c r="I68" s="53"/>
      <c r="J68" s="53"/>
      <c r="K68" s="53"/>
      <c r="L68" s="53"/>
      <c r="M68" s="53"/>
      <c r="N68" s="53"/>
      <c r="P68" s="53"/>
    </row>
    <row r="69" spans="1:16" x14ac:dyDescent="0.25">
      <c r="A69" s="133" t="str">
        <f>IF(ISTEXT($B69),25,"")</f>
        <v/>
      </c>
      <c r="B69" s="65"/>
      <c r="C69" s="135" t="str">
        <f>IF($B69="","",(IF(OthersDept!C$42=0,0,COUNTIFS(OthersDept!$B$9:$B$37,OthersDept!$B$42,OthersDept!C$9:C$37,$B69)/OthersDept!C$42) + IF(OthersDept!C$43=0,0,COUNTIFS(OthersDept!$B$9:$B$37,OthersDept!$B$43,OthersDept!C$9:C$37,$B69)/OthersDept!C$43) + IF(OthersDept!C$44=0,0,COUNTIFS(OthersDept!$B$9:$B$37,OthersDept!$B$44,OthersDept!C$9:C$37,$B69)/OthersDept!C$44) + IF(OthersDept!C$45=0,0,COUNTIFS(OthersDept!$B$9:$B$37,OthersDept!$B$45,OthersDept!C$9:C$37,$B69)/OthersDept!C$45) + IF(OthersDept!C$46=0,0,COUNTIFS(OthersDept!$B$9:$B$37,OthersDept!$B$46,OthersDept!C$9:C$37,$B69)/OthersDept!C$46) + IF(OthersDept!C$47=0,0,COUNTIFS(OthersDept!$B$9:$B$37,OthersDept!$B$47,OthersDept!C$9:C$37,$B69)/OthersDept!C$47) + IF(OthersDept!C$48=0,0,COUNTIFS(OthersDept!$B$9:$B$37,OthersDept!$B$48,OthersDept!C$9:C$37,$B69)/OthersDept!C$48) + IF(OthersDept!C$49=0,0,COUNTIFS(OthersDept!$B$9:$B$37,OthersDept!$B$49,OthersDept!C$9:C$37,$B69)/OthersDept!C$49) + IF(OthersDept!C$50=0,0,COUNTIFS(OthersDept!$B$9:$B$37,OthersDept!$B$50,OthersDept!C$9:C$37,$B69)/OthersDept!C$50) + IF(OthersDept!C$51=0,0,COUNTIFS(OthersDept!$B$9:$B$37,OthersDept!$B$51,OthersDept!C$9:C$37,$B69)/OthersDept!C$51) + IF(OthersDept!C$52=0,0,COUNTIFS(OthersDept!$B$9:$B$37,OthersDept!$B$52,OthersDept!C$9:C$37,$B69)/OthersDept!C$52) +  IF(OthersDept!C$53=0,0,COUNTIFS(OthersDept!$B$9:$B$37,OthersDept!$B$53,OthersDept!C$9:C$37,$B69)/OthersDept!C$53))*150000)</f>
        <v/>
      </c>
      <c r="D69" s="135" t="str">
        <f>IF($B69="","",(IF(OthersDept!D$42=0,0,COUNTIFS(OthersDept!$B$9:$B$37,OthersDept!$B$42,OthersDept!D$9:D$37,$B69)/OthersDept!D$42) + IF(OthersDept!D$43=0,0,COUNTIFS(OthersDept!$B$9:$B$37,OthersDept!$B$43,OthersDept!D$9:D$37,$B69)/OthersDept!D$43) + IF(OthersDept!D$44=0,0,COUNTIFS(OthersDept!$B$9:$B$37,OthersDept!$B$44,OthersDept!D$9:D$37,$B69)/OthersDept!D$44) + IF(OthersDept!D$45=0,0,COUNTIFS(OthersDept!$B$9:$B$37,OthersDept!$B$45,OthersDept!D$9:D$37,$B69)/OthersDept!D$45) + IF(OthersDept!D$46=0,0,COUNTIFS(OthersDept!$B$9:$B$37,OthersDept!$B$46,OthersDept!D$9:D$37,$B69)/OthersDept!D$46) + IF(OthersDept!D$47=0,0,COUNTIFS(OthersDept!$B$9:$B$37,OthersDept!$B$47,OthersDept!D$9:D$37,$B69)/OthersDept!D$47) + IF(OthersDept!D$48=0,0,COUNTIFS(OthersDept!$B$9:$B$37,OthersDept!$B$48,OthersDept!D$9:D$37,$B69)/OthersDept!D$48) + IF(OthersDept!D$49=0,0,COUNTIFS(OthersDept!$B$9:$B$37,OthersDept!$B$49,OthersDept!D$9:D$37,$B69)/OthersDept!D$49) + IF(OthersDept!D$50=0,0,COUNTIFS(OthersDept!$B$9:$B$37,OthersDept!$B$50,OthersDept!D$9:D$37,$B69)/OthersDept!D$50) + IF(OthersDept!D$51=0,0,COUNTIFS(OthersDept!$B$9:$B$37,OthersDept!$B$51,OthersDept!D$9:D$37,$B69)/OthersDept!D$51) + IF(OthersDept!D$52=0,0,COUNTIFS(OthersDept!$B$9:$B$37,OthersDept!$B$52,OthersDept!D$9:D$37,$B69)/OthersDept!D$52) +  IF(OthersDept!D$53=0,0,COUNTIFS(OthersDept!$B$9:$B$37,OthersDept!$B$53,OthersDept!D$9:D$37,$B69)/OthersDept!D$53))*150000)</f>
        <v/>
      </c>
      <c r="E69" s="135" t="str">
        <f>IF($B69="","",(IF(OthersDept!E$42=0,0,COUNTIFS(OthersDept!$B$9:$B$37,OthersDept!$B$42,OthersDept!E$9:E$37,$B69)/OthersDept!E$42) + IF(OthersDept!E$43=0,0,COUNTIFS(OthersDept!$B$9:$B$37,OthersDept!$B$43,OthersDept!E$9:E$37,$B69)/OthersDept!E$43) + IF(OthersDept!E$44=0,0,COUNTIFS(OthersDept!$B$9:$B$37,OthersDept!$B$44,OthersDept!E$9:E$37,$B69)/OthersDept!E$44) + IF(OthersDept!E$45=0,0,COUNTIFS(OthersDept!$B$9:$B$37,OthersDept!$B$45,OthersDept!E$9:E$37,$B69)/OthersDept!E$45) + IF(OthersDept!E$46=0,0,COUNTIFS(OthersDept!$B$9:$B$37,OthersDept!$B$46,OthersDept!E$9:E$37,$B69)/OthersDept!E$46) + IF(OthersDept!E$47=0,0,COUNTIFS(OthersDept!$B$9:$B$37,OthersDept!$B$47,OthersDept!E$9:E$37,$B69)/OthersDept!E$47) + IF(OthersDept!E$48=0,0,COUNTIFS(OthersDept!$B$9:$B$37,OthersDept!$B$48,OthersDept!E$9:E$37,$B69)/OthersDept!E$48) + IF(OthersDept!E$49=0,0,COUNTIFS(OthersDept!$B$9:$B$37,OthersDept!$B$49,OthersDept!E$9:E$37,$B69)/OthersDept!E$49) + IF(OthersDept!E$50=0,0,COUNTIFS(OthersDept!$B$9:$B$37,OthersDept!$B$50,OthersDept!E$9:E$37,$B69)/OthersDept!E$50) + IF(OthersDept!E$51=0,0,COUNTIFS(OthersDept!$B$9:$B$37,OthersDept!$B$51,OthersDept!E$9:E$37,$B69)/OthersDept!E$51) + IF(OthersDept!E$52=0,0,COUNTIFS(OthersDept!$B$9:$B$37,OthersDept!$B$52,OthersDept!E$9:E$37,$B69)/OthersDept!E$52) +  IF(OthersDept!E$53=0,0,COUNTIFS(OthersDept!$B$9:$B$37,OthersDept!$B$53,OthersDept!E$9:E$37,$B69)/OthersDept!E$53))*150000)</f>
        <v/>
      </c>
      <c r="F69" s="135" t="str">
        <f>IF($B69="","",(IF(OthersDept!F$42=0,0,COUNTIFS(OthersDept!$B$9:$B$37,OthersDept!$B$42,OthersDept!F$9:F$37,$B69)/OthersDept!F$42) + IF(OthersDept!F$43=0,0,COUNTIFS(OthersDept!$B$9:$B$37,OthersDept!$B$43,OthersDept!F$9:F$37,$B69)/OthersDept!F$43) + IF(OthersDept!F$44=0,0,COUNTIFS(OthersDept!$B$9:$B$37,OthersDept!$B$44,OthersDept!F$9:F$37,$B69)/OthersDept!F$44) + IF(OthersDept!F$45=0,0,COUNTIFS(OthersDept!$B$9:$B$37,OthersDept!$B$45,OthersDept!F$9:F$37,$B69)/OthersDept!F$45) + IF(OthersDept!F$46=0,0,COUNTIFS(OthersDept!$B$9:$B$37,OthersDept!$B$46,OthersDept!F$9:F$37,$B69)/OthersDept!F$46) + IF(OthersDept!F$47=0,0,COUNTIFS(OthersDept!$B$9:$B$37,OthersDept!$B$47,OthersDept!F$9:F$37,$B69)/OthersDept!F$47) + IF(OthersDept!F$48=0,0,COUNTIFS(OthersDept!$B$9:$B$37,OthersDept!$B$48,OthersDept!F$9:F$37,$B69)/OthersDept!F$48) + IF(OthersDept!F$49=0,0,COUNTIFS(OthersDept!$B$9:$B$37,OthersDept!$B$49,OthersDept!F$9:F$37,$B69)/OthersDept!F$49) + IF(OthersDept!F$50=0,0,COUNTIFS(OthersDept!$B$9:$B$37,OthersDept!$B$50,OthersDept!F$9:F$37,$B69)/OthersDept!F$50) + IF(OthersDept!F$51=0,0,COUNTIFS(OthersDept!$B$9:$B$37,OthersDept!$B$51,OthersDept!F$9:F$37,$B69)/OthersDept!F$51) + IF(OthersDept!F$52=0,0,COUNTIFS(OthersDept!$B$9:$B$37,OthersDept!$B$52,OthersDept!F$9:F$37,$B69)/OthersDept!F$52) +  IF(OthersDept!F$53=0,0,COUNTIFS(OthersDept!$B$9:$B$37,OthersDept!$B$53,OthersDept!F$9:F$37,$B69)/OthersDept!F$53))*150000)</f>
        <v/>
      </c>
      <c r="G69" s="135" t="str">
        <f>IF($B69="","",(IF(OthersDept!G$42=0,0,COUNTIFS(OthersDept!$B$9:$B$37,OthersDept!$B$42,OthersDept!G$9:G$37,$B69)/OthersDept!G$42) + IF(OthersDept!G$43=0,0,COUNTIFS(OthersDept!$B$9:$B$37,OthersDept!$B$43,OthersDept!G$9:G$37,$B69)/OthersDept!G$43) + IF(OthersDept!G$44=0,0,COUNTIFS(OthersDept!$B$9:$B$37,OthersDept!$B$44,OthersDept!G$9:G$37,$B69)/OthersDept!G$44) + IF(OthersDept!G$45=0,0,COUNTIFS(OthersDept!$B$9:$B$37,OthersDept!$B$45,OthersDept!G$9:G$37,$B69)/OthersDept!G$45) + IF(OthersDept!G$46=0,0,COUNTIFS(OthersDept!$B$9:$B$37,OthersDept!$B$46,OthersDept!G$9:G$37,$B69)/OthersDept!G$46) + IF(OthersDept!G$47=0,0,COUNTIFS(OthersDept!$B$9:$B$37,OthersDept!$B$47,OthersDept!G$9:G$37,$B69)/OthersDept!G$47) + IF(OthersDept!G$48=0,0,COUNTIFS(OthersDept!$B$9:$B$37,OthersDept!$B$48,OthersDept!G$9:G$37,$B69)/OthersDept!G$48) + IF(OthersDept!G$49=0,0,COUNTIFS(OthersDept!$B$9:$B$37,OthersDept!$B$49,OthersDept!G$9:G$37,$B69)/OthersDept!G$49) + IF(OthersDept!G$50=0,0,COUNTIFS(OthersDept!$B$9:$B$37,OthersDept!$B$50,OthersDept!G$9:G$37,$B69)/OthersDept!G$50) + IF(OthersDept!G$51=0,0,COUNTIFS(OthersDept!$B$9:$B$37,OthersDept!$B$51,OthersDept!G$9:G$37,$B69)/OthersDept!G$51) + IF(OthersDept!G$52=0,0,COUNTIFS(OthersDept!$B$9:$B$37,OthersDept!$B$52,OthersDept!G$9:G$37,$B69)/OthersDept!G$52) +  IF(OthersDept!G$53=0,0,COUNTIFS(OthersDept!$B$9:$B$37,OthersDept!$B$53,OthersDept!G$9:G$37,$B69)/OthersDept!G$53))*150000)</f>
        <v/>
      </c>
      <c r="H69" s="136" t="str">
        <f t="shared" si="1"/>
        <v/>
      </c>
      <c r="I69" s="53"/>
      <c r="J69" s="53"/>
      <c r="K69" s="53"/>
      <c r="L69" s="53"/>
      <c r="M69" s="53"/>
      <c r="N69" s="53"/>
      <c r="P69" s="53"/>
    </row>
    <row r="70" spans="1:16" x14ac:dyDescent="0.25">
      <c r="A70" s="133" t="str">
        <f>IF(ISTEXT($B70),26,"")</f>
        <v/>
      </c>
      <c r="B70" s="131"/>
      <c r="C70" s="135" t="str">
        <f>IF($B70="","",(IF(OthersDept!C$42=0,0,COUNTIFS(OthersDept!$B$9:$B$37,OthersDept!$B$42,OthersDept!C$9:C$37,$B70)/OthersDept!C$42) + IF(OthersDept!C$43=0,0,COUNTIFS(OthersDept!$B$9:$B$37,OthersDept!$B$43,OthersDept!C$9:C$37,$B70)/OthersDept!C$43) + IF(OthersDept!C$44=0,0,COUNTIFS(OthersDept!$B$9:$B$37,OthersDept!$B$44,OthersDept!C$9:C$37,$B70)/OthersDept!C$44) + IF(OthersDept!C$45=0,0,COUNTIFS(OthersDept!$B$9:$B$37,OthersDept!$B$45,OthersDept!C$9:C$37,$B70)/OthersDept!C$45) + IF(OthersDept!C$46=0,0,COUNTIFS(OthersDept!$B$9:$B$37,OthersDept!$B$46,OthersDept!C$9:C$37,$B70)/OthersDept!C$46) + IF(OthersDept!C$47=0,0,COUNTIFS(OthersDept!$B$9:$B$37,OthersDept!$B$47,OthersDept!C$9:C$37,$B70)/OthersDept!C$47) + IF(OthersDept!C$48=0,0,COUNTIFS(OthersDept!$B$9:$B$37,OthersDept!$B$48,OthersDept!C$9:C$37,$B70)/OthersDept!C$48) + IF(OthersDept!C$49=0,0,COUNTIFS(OthersDept!$B$9:$B$37,OthersDept!$B$49,OthersDept!C$9:C$37,$B70)/OthersDept!C$49) + IF(OthersDept!C$50=0,0,COUNTIFS(OthersDept!$B$9:$B$37,OthersDept!$B$50,OthersDept!C$9:C$37,$B70)/OthersDept!C$50) + IF(OthersDept!C$51=0,0,COUNTIFS(OthersDept!$B$9:$B$37,OthersDept!$B$51,OthersDept!C$9:C$37,$B70)/OthersDept!C$51) + IF(OthersDept!C$52=0,0,COUNTIFS(OthersDept!$B$9:$B$37,OthersDept!$B$52,OthersDept!C$9:C$37,$B70)/OthersDept!C$52) +  IF(OthersDept!C$53=0,0,COUNTIFS(OthersDept!$B$9:$B$37,OthersDept!$B$53,OthersDept!C$9:C$37,$B70)/OthersDept!C$53))*150000)</f>
        <v/>
      </c>
      <c r="D70" s="135" t="str">
        <f>IF($B70="","",(IF(OthersDept!D$42=0,0,COUNTIFS(OthersDept!$B$9:$B$37,OthersDept!$B$42,OthersDept!D$9:D$37,$B70)/OthersDept!D$42) + IF(OthersDept!D$43=0,0,COUNTIFS(OthersDept!$B$9:$B$37,OthersDept!$B$43,OthersDept!D$9:D$37,$B70)/OthersDept!D$43) + IF(OthersDept!D$44=0,0,COUNTIFS(OthersDept!$B$9:$B$37,OthersDept!$B$44,OthersDept!D$9:D$37,$B70)/OthersDept!D$44) + IF(OthersDept!D$45=0,0,COUNTIFS(OthersDept!$B$9:$B$37,OthersDept!$B$45,OthersDept!D$9:D$37,$B70)/OthersDept!D$45) + IF(OthersDept!D$46=0,0,COUNTIFS(OthersDept!$B$9:$B$37,OthersDept!$B$46,OthersDept!D$9:D$37,$B70)/OthersDept!D$46) + IF(OthersDept!D$47=0,0,COUNTIFS(OthersDept!$B$9:$B$37,OthersDept!$B$47,OthersDept!D$9:D$37,$B70)/OthersDept!D$47) + IF(OthersDept!D$48=0,0,COUNTIFS(OthersDept!$B$9:$B$37,OthersDept!$B$48,OthersDept!D$9:D$37,$B70)/OthersDept!D$48) + IF(OthersDept!D$49=0,0,COUNTIFS(OthersDept!$B$9:$B$37,OthersDept!$B$49,OthersDept!D$9:D$37,$B70)/OthersDept!D$49) + IF(OthersDept!D$50=0,0,COUNTIFS(OthersDept!$B$9:$B$37,OthersDept!$B$50,OthersDept!D$9:D$37,$B70)/OthersDept!D$50) + IF(OthersDept!D$51=0,0,COUNTIFS(OthersDept!$B$9:$B$37,OthersDept!$B$51,OthersDept!D$9:D$37,$B70)/OthersDept!D$51) + IF(OthersDept!D$52=0,0,COUNTIFS(OthersDept!$B$9:$B$37,OthersDept!$B$52,OthersDept!D$9:D$37,$B70)/OthersDept!D$52) +  IF(OthersDept!D$53=0,0,COUNTIFS(OthersDept!$B$9:$B$37,OthersDept!$B$53,OthersDept!D$9:D$37,$B70)/OthersDept!D$53))*150000)</f>
        <v/>
      </c>
      <c r="E70" s="135" t="str">
        <f>IF($B70="","",(IF(OthersDept!E$42=0,0,COUNTIFS(OthersDept!$B$9:$B$37,OthersDept!$B$42,OthersDept!E$9:E$37,$B70)/OthersDept!E$42) + IF(OthersDept!E$43=0,0,COUNTIFS(OthersDept!$B$9:$B$37,OthersDept!$B$43,OthersDept!E$9:E$37,$B70)/OthersDept!E$43) + IF(OthersDept!E$44=0,0,COUNTIFS(OthersDept!$B$9:$B$37,OthersDept!$B$44,OthersDept!E$9:E$37,$B70)/OthersDept!E$44) + IF(OthersDept!E$45=0,0,COUNTIFS(OthersDept!$B$9:$B$37,OthersDept!$B$45,OthersDept!E$9:E$37,$B70)/OthersDept!E$45) + IF(OthersDept!E$46=0,0,COUNTIFS(OthersDept!$B$9:$B$37,OthersDept!$B$46,OthersDept!E$9:E$37,$B70)/OthersDept!E$46) + IF(OthersDept!E$47=0,0,COUNTIFS(OthersDept!$B$9:$B$37,OthersDept!$B$47,OthersDept!E$9:E$37,$B70)/OthersDept!E$47) + IF(OthersDept!E$48=0,0,COUNTIFS(OthersDept!$B$9:$B$37,OthersDept!$B$48,OthersDept!E$9:E$37,$B70)/OthersDept!E$48) + IF(OthersDept!E$49=0,0,COUNTIFS(OthersDept!$B$9:$B$37,OthersDept!$B$49,OthersDept!E$9:E$37,$B70)/OthersDept!E$49) + IF(OthersDept!E$50=0,0,COUNTIFS(OthersDept!$B$9:$B$37,OthersDept!$B$50,OthersDept!E$9:E$37,$B70)/OthersDept!E$50) + IF(OthersDept!E$51=0,0,COUNTIFS(OthersDept!$B$9:$B$37,OthersDept!$B$51,OthersDept!E$9:E$37,$B70)/OthersDept!E$51) + IF(OthersDept!E$52=0,0,COUNTIFS(OthersDept!$B$9:$B$37,OthersDept!$B$52,OthersDept!E$9:E$37,$B70)/OthersDept!E$52) +  IF(OthersDept!E$53=0,0,COUNTIFS(OthersDept!$B$9:$B$37,OthersDept!$B$53,OthersDept!E$9:E$37,$B70)/OthersDept!E$53))*150000)</f>
        <v/>
      </c>
      <c r="F70" s="135" t="str">
        <f>IF($B70="","",(IF(OthersDept!F$42=0,0,COUNTIFS(OthersDept!$B$9:$B$37,OthersDept!$B$42,OthersDept!F$9:F$37,$B70)/OthersDept!F$42) + IF(OthersDept!F$43=0,0,COUNTIFS(OthersDept!$B$9:$B$37,OthersDept!$B$43,OthersDept!F$9:F$37,$B70)/OthersDept!F$43) + IF(OthersDept!F$44=0,0,COUNTIFS(OthersDept!$B$9:$B$37,OthersDept!$B$44,OthersDept!F$9:F$37,$B70)/OthersDept!F$44) + IF(OthersDept!F$45=0,0,COUNTIFS(OthersDept!$B$9:$B$37,OthersDept!$B$45,OthersDept!F$9:F$37,$B70)/OthersDept!F$45) + IF(OthersDept!F$46=0,0,COUNTIFS(OthersDept!$B$9:$B$37,OthersDept!$B$46,OthersDept!F$9:F$37,$B70)/OthersDept!F$46) + IF(OthersDept!F$47=0,0,COUNTIFS(OthersDept!$B$9:$B$37,OthersDept!$B$47,OthersDept!F$9:F$37,$B70)/OthersDept!F$47) + IF(OthersDept!F$48=0,0,COUNTIFS(OthersDept!$B$9:$B$37,OthersDept!$B$48,OthersDept!F$9:F$37,$B70)/OthersDept!F$48) + IF(OthersDept!F$49=0,0,COUNTIFS(OthersDept!$B$9:$B$37,OthersDept!$B$49,OthersDept!F$9:F$37,$B70)/OthersDept!F$49) + IF(OthersDept!F$50=0,0,COUNTIFS(OthersDept!$B$9:$B$37,OthersDept!$B$50,OthersDept!F$9:F$37,$B70)/OthersDept!F$50) + IF(OthersDept!F$51=0,0,COUNTIFS(OthersDept!$B$9:$B$37,OthersDept!$B$51,OthersDept!F$9:F$37,$B70)/OthersDept!F$51) + IF(OthersDept!F$52=0,0,COUNTIFS(OthersDept!$B$9:$B$37,OthersDept!$B$52,OthersDept!F$9:F$37,$B70)/OthersDept!F$52) +  IF(OthersDept!F$53=0,0,COUNTIFS(OthersDept!$B$9:$B$37,OthersDept!$B$53,OthersDept!F$9:F$37,$B70)/OthersDept!F$53))*150000)</f>
        <v/>
      </c>
      <c r="G70" s="135" t="str">
        <f>IF($B70="","",(IF(OthersDept!G$42=0,0,COUNTIFS(OthersDept!$B$9:$B$37,OthersDept!$B$42,OthersDept!G$9:G$37,$B70)/OthersDept!G$42) + IF(OthersDept!G$43=0,0,COUNTIFS(OthersDept!$B$9:$B$37,OthersDept!$B$43,OthersDept!G$9:G$37,$B70)/OthersDept!G$43) + IF(OthersDept!G$44=0,0,COUNTIFS(OthersDept!$B$9:$B$37,OthersDept!$B$44,OthersDept!G$9:G$37,$B70)/OthersDept!G$44) + IF(OthersDept!G$45=0,0,COUNTIFS(OthersDept!$B$9:$B$37,OthersDept!$B$45,OthersDept!G$9:G$37,$B70)/OthersDept!G$45) + IF(OthersDept!G$46=0,0,COUNTIFS(OthersDept!$B$9:$B$37,OthersDept!$B$46,OthersDept!G$9:G$37,$B70)/OthersDept!G$46) + IF(OthersDept!G$47=0,0,COUNTIFS(OthersDept!$B$9:$B$37,OthersDept!$B$47,OthersDept!G$9:G$37,$B70)/OthersDept!G$47) + IF(OthersDept!G$48=0,0,COUNTIFS(OthersDept!$B$9:$B$37,OthersDept!$B$48,OthersDept!G$9:G$37,$B70)/OthersDept!G$48) + IF(OthersDept!G$49=0,0,COUNTIFS(OthersDept!$B$9:$B$37,OthersDept!$B$49,OthersDept!G$9:G$37,$B70)/OthersDept!G$49) + IF(OthersDept!G$50=0,0,COUNTIFS(OthersDept!$B$9:$B$37,OthersDept!$B$50,OthersDept!G$9:G$37,$B70)/OthersDept!G$50) + IF(OthersDept!G$51=0,0,COUNTIFS(OthersDept!$B$9:$B$37,OthersDept!$B$51,OthersDept!G$9:G$37,$B70)/OthersDept!G$51) + IF(OthersDept!G$52=0,0,COUNTIFS(OthersDept!$B$9:$B$37,OthersDept!$B$52,OthersDept!G$9:G$37,$B70)/OthersDept!G$52) +  IF(OthersDept!G$53=0,0,COUNTIFS(OthersDept!$B$9:$B$37,OthersDept!$B$53,OthersDept!G$9:G$37,$B70)/OthersDept!G$53))*150000)</f>
        <v/>
      </c>
      <c r="H70" s="136" t="str">
        <f t="shared" si="1"/>
        <v/>
      </c>
      <c r="I70" s="53"/>
      <c r="J70" s="53"/>
      <c r="K70" s="53"/>
      <c r="L70" s="53"/>
      <c r="M70" s="53"/>
      <c r="N70" s="53"/>
      <c r="P70" s="53"/>
    </row>
    <row r="71" spans="1:16" x14ac:dyDescent="0.25">
      <c r="A71" s="133" t="str">
        <f>IF(ISTEXT($B71),27,"")</f>
        <v/>
      </c>
      <c r="B71" s="131"/>
      <c r="C71" s="135" t="str">
        <f>IF($B71="","",(IF(OthersDept!C$42=0,0,COUNTIFS(OthersDept!$B$9:$B$37,OthersDept!$B$42,OthersDept!C$9:C$37,$B71)/OthersDept!C$42) + IF(OthersDept!C$43=0,0,COUNTIFS(OthersDept!$B$9:$B$37,OthersDept!$B$43,OthersDept!C$9:C$37,$B71)/OthersDept!C$43) + IF(OthersDept!C$44=0,0,COUNTIFS(OthersDept!$B$9:$B$37,OthersDept!$B$44,OthersDept!C$9:C$37,$B71)/OthersDept!C$44) + IF(OthersDept!C$45=0,0,COUNTIFS(OthersDept!$B$9:$B$37,OthersDept!$B$45,OthersDept!C$9:C$37,$B71)/OthersDept!C$45) + IF(OthersDept!C$46=0,0,COUNTIFS(OthersDept!$B$9:$B$37,OthersDept!$B$46,OthersDept!C$9:C$37,$B71)/OthersDept!C$46) + IF(OthersDept!C$47=0,0,COUNTIFS(OthersDept!$B$9:$B$37,OthersDept!$B$47,OthersDept!C$9:C$37,$B71)/OthersDept!C$47) + IF(OthersDept!C$48=0,0,COUNTIFS(OthersDept!$B$9:$B$37,OthersDept!$B$48,OthersDept!C$9:C$37,$B71)/OthersDept!C$48) + IF(OthersDept!C$49=0,0,COUNTIFS(OthersDept!$B$9:$B$37,OthersDept!$B$49,OthersDept!C$9:C$37,$B71)/OthersDept!C$49) + IF(OthersDept!C$50=0,0,COUNTIFS(OthersDept!$B$9:$B$37,OthersDept!$B$50,OthersDept!C$9:C$37,$B71)/OthersDept!C$50) + IF(OthersDept!C$51=0,0,COUNTIFS(OthersDept!$B$9:$B$37,OthersDept!$B$51,OthersDept!C$9:C$37,$B71)/OthersDept!C$51) + IF(OthersDept!C$52=0,0,COUNTIFS(OthersDept!$B$9:$B$37,OthersDept!$B$52,OthersDept!C$9:C$37,$B71)/OthersDept!C$52) +  IF(OthersDept!C$53=0,0,COUNTIFS(OthersDept!$B$9:$B$37,OthersDept!$B$53,OthersDept!C$9:C$37,$B71)/OthersDept!C$53))*150000)</f>
        <v/>
      </c>
      <c r="D71" s="135" t="str">
        <f>IF($B71="","",(IF(OthersDept!D$42=0,0,COUNTIFS(OthersDept!$B$9:$B$37,OthersDept!$B$42,OthersDept!D$9:D$37,$B71)/OthersDept!D$42) + IF(OthersDept!D$43=0,0,COUNTIFS(OthersDept!$B$9:$B$37,OthersDept!$B$43,OthersDept!D$9:D$37,$B71)/OthersDept!D$43) + IF(OthersDept!D$44=0,0,COUNTIFS(OthersDept!$B$9:$B$37,OthersDept!$B$44,OthersDept!D$9:D$37,$B71)/OthersDept!D$44) + IF(OthersDept!D$45=0,0,COUNTIFS(OthersDept!$B$9:$B$37,OthersDept!$B$45,OthersDept!D$9:D$37,$B71)/OthersDept!D$45) + IF(OthersDept!D$46=0,0,COUNTIFS(OthersDept!$B$9:$B$37,OthersDept!$B$46,OthersDept!D$9:D$37,$B71)/OthersDept!D$46) + IF(OthersDept!D$47=0,0,COUNTIFS(OthersDept!$B$9:$B$37,OthersDept!$B$47,OthersDept!D$9:D$37,$B71)/OthersDept!D$47) + IF(OthersDept!D$48=0,0,COUNTIFS(OthersDept!$B$9:$B$37,OthersDept!$B$48,OthersDept!D$9:D$37,$B71)/OthersDept!D$48) + IF(OthersDept!D$49=0,0,COUNTIFS(OthersDept!$B$9:$B$37,OthersDept!$B$49,OthersDept!D$9:D$37,$B71)/OthersDept!D$49) + IF(OthersDept!D$50=0,0,COUNTIFS(OthersDept!$B$9:$B$37,OthersDept!$B$50,OthersDept!D$9:D$37,$B71)/OthersDept!D$50) + IF(OthersDept!D$51=0,0,COUNTIFS(OthersDept!$B$9:$B$37,OthersDept!$B$51,OthersDept!D$9:D$37,$B71)/OthersDept!D$51) + IF(OthersDept!D$52=0,0,COUNTIFS(OthersDept!$B$9:$B$37,OthersDept!$B$52,OthersDept!D$9:D$37,$B71)/OthersDept!D$52) +  IF(OthersDept!D$53=0,0,COUNTIFS(OthersDept!$B$9:$B$37,OthersDept!$B$53,OthersDept!D$9:D$37,$B71)/OthersDept!D$53))*150000)</f>
        <v/>
      </c>
      <c r="E71" s="135" t="str">
        <f>IF($B71="","",(IF(OthersDept!E$42=0,0,COUNTIFS(OthersDept!$B$9:$B$37,OthersDept!$B$42,OthersDept!E$9:E$37,$B71)/OthersDept!E$42) + IF(OthersDept!E$43=0,0,COUNTIFS(OthersDept!$B$9:$B$37,OthersDept!$B$43,OthersDept!E$9:E$37,$B71)/OthersDept!E$43) + IF(OthersDept!E$44=0,0,COUNTIFS(OthersDept!$B$9:$B$37,OthersDept!$B$44,OthersDept!E$9:E$37,$B71)/OthersDept!E$44) + IF(OthersDept!E$45=0,0,COUNTIFS(OthersDept!$B$9:$B$37,OthersDept!$B$45,OthersDept!E$9:E$37,$B71)/OthersDept!E$45) + IF(OthersDept!E$46=0,0,COUNTIFS(OthersDept!$B$9:$B$37,OthersDept!$B$46,OthersDept!E$9:E$37,$B71)/OthersDept!E$46) + IF(OthersDept!E$47=0,0,COUNTIFS(OthersDept!$B$9:$B$37,OthersDept!$B$47,OthersDept!E$9:E$37,$B71)/OthersDept!E$47) + IF(OthersDept!E$48=0,0,COUNTIFS(OthersDept!$B$9:$B$37,OthersDept!$B$48,OthersDept!E$9:E$37,$B71)/OthersDept!E$48) + IF(OthersDept!E$49=0,0,COUNTIFS(OthersDept!$B$9:$B$37,OthersDept!$B$49,OthersDept!E$9:E$37,$B71)/OthersDept!E$49) + IF(OthersDept!E$50=0,0,COUNTIFS(OthersDept!$B$9:$B$37,OthersDept!$B$50,OthersDept!E$9:E$37,$B71)/OthersDept!E$50) + IF(OthersDept!E$51=0,0,COUNTIFS(OthersDept!$B$9:$B$37,OthersDept!$B$51,OthersDept!E$9:E$37,$B71)/OthersDept!E$51) + IF(OthersDept!E$52=0,0,COUNTIFS(OthersDept!$B$9:$B$37,OthersDept!$B$52,OthersDept!E$9:E$37,$B71)/OthersDept!E$52) +  IF(OthersDept!E$53=0,0,COUNTIFS(OthersDept!$B$9:$B$37,OthersDept!$B$53,OthersDept!E$9:E$37,$B71)/OthersDept!E$53))*150000)</f>
        <v/>
      </c>
      <c r="F71" s="135" t="str">
        <f>IF($B71="","",(IF(OthersDept!F$42=0,0,COUNTIFS(OthersDept!$B$9:$B$37,OthersDept!$B$42,OthersDept!F$9:F$37,$B71)/OthersDept!F$42) + IF(OthersDept!F$43=0,0,COUNTIFS(OthersDept!$B$9:$B$37,OthersDept!$B$43,OthersDept!F$9:F$37,$B71)/OthersDept!F$43) + IF(OthersDept!F$44=0,0,COUNTIFS(OthersDept!$B$9:$B$37,OthersDept!$B$44,OthersDept!F$9:F$37,$B71)/OthersDept!F$44) + IF(OthersDept!F$45=0,0,COUNTIFS(OthersDept!$B$9:$B$37,OthersDept!$B$45,OthersDept!F$9:F$37,$B71)/OthersDept!F$45) + IF(OthersDept!F$46=0,0,COUNTIFS(OthersDept!$B$9:$B$37,OthersDept!$B$46,OthersDept!F$9:F$37,$B71)/OthersDept!F$46) + IF(OthersDept!F$47=0,0,COUNTIFS(OthersDept!$B$9:$B$37,OthersDept!$B$47,OthersDept!F$9:F$37,$B71)/OthersDept!F$47) + IF(OthersDept!F$48=0,0,COUNTIFS(OthersDept!$B$9:$B$37,OthersDept!$B$48,OthersDept!F$9:F$37,$B71)/OthersDept!F$48) + IF(OthersDept!F$49=0,0,COUNTIFS(OthersDept!$B$9:$B$37,OthersDept!$B$49,OthersDept!F$9:F$37,$B71)/OthersDept!F$49) + IF(OthersDept!F$50=0,0,COUNTIFS(OthersDept!$B$9:$B$37,OthersDept!$B$50,OthersDept!F$9:F$37,$B71)/OthersDept!F$50) + IF(OthersDept!F$51=0,0,COUNTIFS(OthersDept!$B$9:$B$37,OthersDept!$B$51,OthersDept!F$9:F$37,$B71)/OthersDept!F$51) + IF(OthersDept!F$52=0,0,COUNTIFS(OthersDept!$B$9:$B$37,OthersDept!$B$52,OthersDept!F$9:F$37,$B71)/OthersDept!F$52) +  IF(OthersDept!F$53=0,0,COUNTIFS(OthersDept!$B$9:$B$37,OthersDept!$B$53,OthersDept!F$9:F$37,$B71)/OthersDept!F$53))*150000)</f>
        <v/>
      </c>
      <c r="G71" s="135" t="str">
        <f>IF($B71="","",(IF(OthersDept!G$42=0,0,COUNTIFS(OthersDept!$B$9:$B$37,OthersDept!$B$42,OthersDept!G$9:G$37,$B71)/OthersDept!G$42) + IF(OthersDept!G$43=0,0,COUNTIFS(OthersDept!$B$9:$B$37,OthersDept!$B$43,OthersDept!G$9:G$37,$B71)/OthersDept!G$43) + IF(OthersDept!G$44=0,0,COUNTIFS(OthersDept!$B$9:$B$37,OthersDept!$B$44,OthersDept!G$9:G$37,$B71)/OthersDept!G$44) + IF(OthersDept!G$45=0,0,COUNTIFS(OthersDept!$B$9:$B$37,OthersDept!$B$45,OthersDept!G$9:G$37,$B71)/OthersDept!G$45) + IF(OthersDept!G$46=0,0,COUNTIFS(OthersDept!$B$9:$B$37,OthersDept!$B$46,OthersDept!G$9:G$37,$B71)/OthersDept!G$46) + IF(OthersDept!G$47=0,0,COUNTIFS(OthersDept!$B$9:$B$37,OthersDept!$B$47,OthersDept!G$9:G$37,$B71)/OthersDept!G$47) + IF(OthersDept!G$48=0,0,COUNTIFS(OthersDept!$B$9:$B$37,OthersDept!$B$48,OthersDept!G$9:G$37,$B71)/OthersDept!G$48) + IF(OthersDept!G$49=0,0,COUNTIFS(OthersDept!$B$9:$B$37,OthersDept!$B$49,OthersDept!G$9:G$37,$B71)/OthersDept!G$49) + IF(OthersDept!G$50=0,0,COUNTIFS(OthersDept!$B$9:$B$37,OthersDept!$B$50,OthersDept!G$9:G$37,$B71)/OthersDept!G$50) + IF(OthersDept!G$51=0,0,COUNTIFS(OthersDept!$B$9:$B$37,OthersDept!$B$51,OthersDept!G$9:G$37,$B71)/OthersDept!G$51) + IF(OthersDept!G$52=0,0,COUNTIFS(OthersDept!$B$9:$B$37,OthersDept!$B$52,OthersDept!G$9:G$37,$B71)/OthersDept!G$52) +  IF(OthersDept!G$53=0,0,COUNTIFS(OthersDept!$B$9:$B$37,OthersDept!$B$53,OthersDept!G$9:G$37,$B71)/OthersDept!G$53))*150000)</f>
        <v/>
      </c>
      <c r="H71" s="136" t="str">
        <f t="shared" si="1"/>
        <v/>
      </c>
      <c r="I71" s="53"/>
      <c r="J71" s="53"/>
      <c r="K71" s="53"/>
      <c r="L71" s="53"/>
      <c r="M71" s="53"/>
      <c r="N71" s="53"/>
      <c r="P71" s="53"/>
    </row>
    <row r="72" spans="1:16" x14ac:dyDescent="0.25">
      <c r="A72" s="133" t="str">
        <f>IF(ISTEXT($B72),28,"")</f>
        <v/>
      </c>
      <c r="B72" s="131"/>
      <c r="C72" s="135" t="str">
        <f>IF($B72="","",(IF(OthersDept!C$42=0,0,COUNTIFS(OthersDept!$B$9:$B$37,OthersDept!$B$42,OthersDept!C$9:C$37,$B72)/OthersDept!C$42) + IF(OthersDept!C$43=0,0,COUNTIFS(OthersDept!$B$9:$B$37,OthersDept!$B$43,OthersDept!C$9:C$37,$B72)/OthersDept!C$43) + IF(OthersDept!C$44=0,0,COUNTIFS(OthersDept!$B$9:$B$37,OthersDept!$B$44,OthersDept!C$9:C$37,$B72)/OthersDept!C$44) + IF(OthersDept!C$45=0,0,COUNTIFS(OthersDept!$B$9:$B$37,OthersDept!$B$45,OthersDept!C$9:C$37,$B72)/OthersDept!C$45) + IF(OthersDept!C$46=0,0,COUNTIFS(OthersDept!$B$9:$B$37,OthersDept!$B$46,OthersDept!C$9:C$37,$B72)/OthersDept!C$46) + IF(OthersDept!C$47=0,0,COUNTIFS(OthersDept!$B$9:$B$37,OthersDept!$B$47,OthersDept!C$9:C$37,$B72)/OthersDept!C$47) + IF(OthersDept!C$48=0,0,COUNTIFS(OthersDept!$B$9:$B$37,OthersDept!$B$48,OthersDept!C$9:C$37,$B72)/OthersDept!C$48) + IF(OthersDept!C$49=0,0,COUNTIFS(OthersDept!$B$9:$B$37,OthersDept!$B$49,OthersDept!C$9:C$37,$B72)/OthersDept!C$49) + IF(OthersDept!C$50=0,0,COUNTIFS(OthersDept!$B$9:$B$37,OthersDept!$B$50,OthersDept!C$9:C$37,$B72)/OthersDept!C$50) + IF(OthersDept!C$51=0,0,COUNTIFS(OthersDept!$B$9:$B$37,OthersDept!$B$51,OthersDept!C$9:C$37,$B72)/OthersDept!C$51) + IF(OthersDept!C$52=0,0,COUNTIFS(OthersDept!$B$9:$B$37,OthersDept!$B$52,OthersDept!C$9:C$37,$B72)/OthersDept!C$52) +  IF(OthersDept!C$53=0,0,COUNTIFS(OthersDept!$B$9:$B$37,OthersDept!$B$53,OthersDept!C$9:C$37,$B72)/OthersDept!C$53))*150000)</f>
        <v/>
      </c>
      <c r="D72" s="135" t="str">
        <f>IF($B72="","",(IF(OthersDept!D$42=0,0,COUNTIFS(OthersDept!$B$9:$B$37,OthersDept!$B$42,OthersDept!D$9:D$37,$B72)/OthersDept!D$42) + IF(OthersDept!D$43=0,0,COUNTIFS(OthersDept!$B$9:$B$37,OthersDept!$B$43,OthersDept!D$9:D$37,$B72)/OthersDept!D$43) + IF(OthersDept!D$44=0,0,COUNTIFS(OthersDept!$B$9:$B$37,OthersDept!$B$44,OthersDept!D$9:D$37,$B72)/OthersDept!D$44) + IF(OthersDept!D$45=0,0,COUNTIFS(OthersDept!$B$9:$B$37,OthersDept!$B$45,OthersDept!D$9:D$37,$B72)/OthersDept!D$45) + IF(OthersDept!D$46=0,0,COUNTIFS(OthersDept!$B$9:$B$37,OthersDept!$B$46,OthersDept!D$9:D$37,$B72)/OthersDept!D$46) + IF(OthersDept!D$47=0,0,COUNTIFS(OthersDept!$B$9:$B$37,OthersDept!$B$47,OthersDept!D$9:D$37,$B72)/OthersDept!D$47) + IF(OthersDept!D$48=0,0,COUNTIFS(OthersDept!$B$9:$B$37,OthersDept!$B$48,OthersDept!D$9:D$37,$B72)/OthersDept!D$48) + IF(OthersDept!D$49=0,0,COUNTIFS(OthersDept!$B$9:$B$37,OthersDept!$B$49,OthersDept!D$9:D$37,$B72)/OthersDept!D$49) + IF(OthersDept!D$50=0,0,COUNTIFS(OthersDept!$B$9:$B$37,OthersDept!$B$50,OthersDept!D$9:D$37,$B72)/OthersDept!D$50) + IF(OthersDept!D$51=0,0,COUNTIFS(OthersDept!$B$9:$B$37,OthersDept!$B$51,OthersDept!D$9:D$37,$B72)/OthersDept!D$51) + IF(OthersDept!D$52=0,0,COUNTIFS(OthersDept!$B$9:$B$37,OthersDept!$B$52,OthersDept!D$9:D$37,$B72)/OthersDept!D$52) +  IF(OthersDept!D$53=0,0,COUNTIFS(OthersDept!$B$9:$B$37,OthersDept!$B$53,OthersDept!D$9:D$37,$B72)/OthersDept!D$53))*150000)</f>
        <v/>
      </c>
      <c r="E72" s="135" t="str">
        <f>IF($B72="","",(IF(OthersDept!E$42=0,0,COUNTIFS(OthersDept!$B$9:$B$37,OthersDept!$B$42,OthersDept!E$9:E$37,$B72)/OthersDept!E$42) + IF(OthersDept!E$43=0,0,COUNTIFS(OthersDept!$B$9:$B$37,OthersDept!$B$43,OthersDept!E$9:E$37,$B72)/OthersDept!E$43) + IF(OthersDept!E$44=0,0,COUNTIFS(OthersDept!$B$9:$B$37,OthersDept!$B$44,OthersDept!E$9:E$37,$B72)/OthersDept!E$44) + IF(OthersDept!E$45=0,0,COUNTIFS(OthersDept!$B$9:$B$37,OthersDept!$B$45,OthersDept!E$9:E$37,$B72)/OthersDept!E$45) + IF(OthersDept!E$46=0,0,COUNTIFS(OthersDept!$B$9:$B$37,OthersDept!$B$46,OthersDept!E$9:E$37,$B72)/OthersDept!E$46) + IF(OthersDept!E$47=0,0,COUNTIFS(OthersDept!$B$9:$B$37,OthersDept!$B$47,OthersDept!E$9:E$37,$B72)/OthersDept!E$47) + IF(OthersDept!E$48=0,0,COUNTIFS(OthersDept!$B$9:$B$37,OthersDept!$B$48,OthersDept!E$9:E$37,$B72)/OthersDept!E$48) + IF(OthersDept!E$49=0,0,COUNTIFS(OthersDept!$B$9:$B$37,OthersDept!$B$49,OthersDept!E$9:E$37,$B72)/OthersDept!E$49) + IF(OthersDept!E$50=0,0,COUNTIFS(OthersDept!$B$9:$B$37,OthersDept!$B$50,OthersDept!E$9:E$37,$B72)/OthersDept!E$50) + IF(OthersDept!E$51=0,0,COUNTIFS(OthersDept!$B$9:$B$37,OthersDept!$B$51,OthersDept!E$9:E$37,$B72)/OthersDept!E$51) + IF(OthersDept!E$52=0,0,COUNTIFS(OthersDept!$B$9:$B$37,OthersDept!$B$52,OthersDept!E$9:E$37,$B72)/OthersDept!E$52) +  IF(OthersDept!E$53=0,0,COUNTIFS(OthersDept!$B$9:$B$37,OthersDept!$B$53,OthersDept!E$9:E$37,$B72)/OthersDept!E$53))*150000)</f>
        <v/>
      </c>
      <c r="F72" s="135" t="str">
        <f>IF($B72="","",(IF(OthersDept!F$42=0,0,COUNTIFS(OthersDept!$B$9:$B$37,OthersDept!$B$42,OthersDept!F$9:F$37,$B72)/OthersDept!F$42) + IF(OthersDept!F$43=0,0,COUNTIFS(OthersDept!$B$9:$B$37,OthersDept!$B$43,OthersDept!F$9:F$37,$B72)/OthersDept!F$43) + IF(OthersDept!F$44=0,0,COUNTIFS(OthersDept!$B$9:$B$37,OthersDept!$B$44,OthersDept!F$9:F$37,$B72)/OthersDept!F$44) + IF(OthersDept!F$45=0,0,COUNTIFS(OthersDept!$B$9:$B$37,OthersDept!$B$45,OthersDept!F$9:F$37,$B72)/OthersDept!F$45) + IF(OthersDept!F$46=0,0,COUNTIFS(OthersDept!$B$9:$B$37,OthersDept!$B$46,OthersDept!F$9:F$37,$B72)/OthersDept!F$46) + IF(OthersDept!F$47=0,0,COUNTIFS(OthersDept!$B$9:$B$37,OthersDept!$B$47,OthersDept!F$9:F$37,$B72)/OthersDept!F$47) + IF(OthersDept!F$48=0,0,COUNTIFS(OthersDept!$B$9:$B$37,OthersDept!$B$48,OthersDept!F$9:F$37,$B72)/OthersDept!F$48) + IF(OthersDept!F$49=0,0,COUNTIFS(OthersDept!$B$9:$B$37,OthersDept!$B$49,OthersDept!F$9:F$37,$B72)/OthersDept!F$49) + IF(OthersDept!F$50=0,0,COUNTIFS(OthersDept!$B$9:$B$37,OthersDept!$B$50,OthersDept!F$9:F$37,$B72)/OthersDept!F$50) + IF(OthersDept!F$51=0,0,COUNTIFS(OthersDept!$B$9:$B$37,OthersDept!$B$51,OthersDept!F$9:F$37,$B72)/OthersDept!F$51) + IF(OthersDept!F$52=0,0,COUNTIFS(OthersDept!$B$9:$B$37,OthersDept!$B$52,OthersDept!F$9:F$37,$B72)/OthersDept!F$52) +  IF(OthersDept!F$53=0,0,COUNTIFS(OthersDept!$B$9:$B$37,OthersDept!$B$53,OthersDept!F$9:F$37,$B72)/OthersDept!F$53))*150000)</f>
        <v/>
      </c>
      <c r="G72" s="135" t="str">
        <f>IF($B72="","",(IF(OthersDept!G$42=0,0,COUNTIFS(OthersDept!$B$9:$B$37,OthersDept!$B$42,OthersDept!G$9:G$37,$B72)/OthersDept!G$42) + IF(OthersDept!G$43=0,0,COUNTIFS(OthersDept!$B$9:$B$37,OthersDept!$B$43,OthersDept!G$9:G$37,$B72)/OthersDept!G$43) + IF(OthersDept!G$44=0,0,COUNTIFS(OthersDept!$B$9:$B$37,OthersDept!$B$44,OthersDept!G$9:G$37,$B72)/OthersDept!G$44) + IF(OthersDept!G$45=0,0,COUNTIFS(OthersDept!$B$9:$B$37,OthersDept!$B$45,OthersDept!G$9:G$37,$B72)/OthersDept!G$45) + IF(OthersDept!G$46=0,0,COUNTIFS(OthersDept!$B$9:$B$37,OthersDept!$B$46,OthersDept!G$9:G$37,$B72)/OthersDept!G$46) + IF(OthersDept!G$47=0,0,COUNTIFS(OthersDept!$B$9:$B$37,OthersDept!$B$47,OthersDept!G$9:G$37,$B72)/OthersDept!G$47) + IF(OthersDept!G$48=0,0,COUNTIFS(OthersDept!$B$9:$B$37,OthersDept!$B$48,OthersDept!G$9:G$37,$B72)/OthersDept!G$48) + IF(OthersDept!G$49=0,0,COUNTIFS(OthersDept!$B$9:$B$37,OthersDept!$B$49,OthersDept!G$9:G$37,$B72)/OthersDept!G$49) + IF(OthersDept!G$50=0,0,COUNTIFS(OthersDept!$B$9:$B$37,OthersDept!$B$50,OthersDept!G$9:G$37,$B72)/OthersDept!G$50) + IF(OthersDept!G$51=0,0,COUNTIFS(OthersDept!$B$9:$B$37,OthersDept!$B$51,OthersDept!G$9:G$37,$B72)/OthersDept!G$51) + IF(OthersDept!G$52=0,0,COUNTIFS(OthersDept!$B$9:$B$37,OthersDept!$B$52,OthersDept!G$9:G$37,$B72)/OthersDept!G$52) +  IF(OthersDept!G$53=0,0,COUNTIFS(OthersDept!$B$9:$B$37,OthersDept!$B$53,OthersDept!G$9:G$37,$B72)/OthersDept!G$53))*150000)</f>
        <v/>
      </c>
      <c r="H72" s="136" t="str">
        <f t="shared" si="1"/>
        <v/>
      </c>
      <c r="I72" s="53"/>
      <c r="J72" s="53"/>
      <c r="K72" s="53"/>
      <c r="L72" s="53"/>
      <c r="M72" s="53"/>
      <c r="N72" s="53"/>
      <c r="P72" s="53"/>
    </row>
    <row r="73" spans="1:16" x14ac:dyDescent="0.25">
      <c r="A73" s="133" t="str">
        <f>IF(ISTEXT($B73),29,"")</f>
        <v/>
      </c>
      <c r="B73" s="131"/>
      <c r="C73" s="135" t="str">
        <f>IF($B73="","",(IF(OthersDept!C$42=0,0,COUNTIFS(OthersDept!$B$9:$B$37,OthersDept!$B$42,OthersDept!C$9:C$37,$B73)/OthersDept!C$42) + IF(OthersDept!C$43=0,0,COUNTIFS(OthersDept!$B$9:$B$37,OthersDept!$B$43,OthersDept!C$9:C$37,$B73)/OthersDept!C$43) + IF(OthersDept!C$44=0,0,COUNTIFS(OthersDept!$B$9:$B$37,OthersDept!$B$44,OthersDept!C$9:C$37,$B73)/OthersDept!C$44) + IF(OthersDept!C$45=0,0,COUNTIFS(OthersDept!$B$9:$B$37,OthersDept!$B$45,OthersDept!C$9:C$37,$B73)/OthersDept!C$45) + IF(OthersDept!C$46=0,0,COUNTIFS(OthersDept!$B$9:$B$37,OthersDept!$B$46,OthersDept!C$9:C$37,$B73)/OthersDept!C$46) + IF(OthersDept!C$47=0,0,COUNTIFS(OthersDept!$B$9:$B$37,OthersDept!$B$47,OthersDept!C$9:C$37,$B73)/OthersDept!C$47) + IF(OthersDept!C$48=0,0,COUNTIFS(OthersDept!$B$9:$B$37,OthersDept!$B$48,OthersDept!C$9:C$37,$B73)/OthersDept!C$48) + IF(OthersDept!C$49=0,0,COUNTIFS(OthersDept!$B$9:$B$37,OthersDept!$B$49,OthersDept!C$9:C$37,$B73)/OthersDept!C$49) + IF(OthersDept!C$50=0,0,COUNTIFS(OthersDept!$B$9:$B$37,OthersDept!$B$50,OthersDept!C$9:C$37,$B73)/OthersDept!C$50) + IF(OthersDept!C$51=0,0,COUNTIFS(OthersDept!$B$9:$B$37,OthersDept!$B$51,OthersDept!C$9:C$37,$B73)/OthersDept!C$51) + IF(OthersDept!C$52=0,0,COUNTIFS(OthersDept!$B$9:$B$37,OthersDept!$B$52,OthersDept!C$9:C$37,$B73)/OthersDept!C$52) +  IF(OthersDept!C$53=0,0,COUNTIFS(OthersDept!$B$9:$B$37,OthersDept!$B$53,OthersDept!C$9:C$37,$B73)/OthersDept!C$53))*150000)</f>
        <v/>
      </c>
      <c r="D73" s="135" t="str">
        <f>IF($B73="","",(IF(OthersDept!D$42=0,0,COUNTIFS(OthersDept!$B$9:$B$37,OthersDept!$B$42,OthersDept!D$9:D$37,$B73)/OthersDept!D$42) + IF(OthersDept!D$43=0,0,COUNTIFS(OthersDept!$B$9:$B$37,OthersDept!$B$43,OthersDept!D$9:D$37,$B73)/OthersDept!D$43) + IF(OthersDept!D$44=0,0,COUNTIFS(OthersDept!$B$9:$B$37,OthersDept!$B$44,OthersDept!D$9:D$37,$B73)/OthersDept!D$44) + IF(OthersDept!D$45=0,0,COUNTIFS(OthersDept!$B$9:$B$37,OthersDept!$B$45,OthersDept!D$9:D$37,$B73)/OthersDept!D$45) + IF(OthersDept!D$46=0,0,COUNTIFS(OthersDept!$B$9:$B$37,OthersDept!$B$46,OthersDept!D$9:D$37,$B73)/OthersDept!D$46) + IF(OthersDept!D$47=0,0,COUNTIFS(OthersDept!$B$9:$B$37,OthersDept!$B$47,OthersDept!D$9:D$37,$B73)/OthersDept!D$47) + IF(OthersDept!D$48=0,0,COUNTIFS(OthersDept!$B$9:$B$37,OthersDept!$B$48,OthersDept!D$9:D$37,$B73)/OthersDept!D$48) + IF(OthersDept!D$49=0,0,COUNTIFS(OthersDept!$B$9:$B$37,OthersDept!$B$49,OthersDept!D$9:D$37,$B73)/OthersDept!D$49) + IF(OthersDept!D$50=0,0,COUNTIFS(OthersDept!$B$9:$B$37,OthersDept!$B$50,OthersDept!D$9:D$37,$B73)/OthersDept!D$50) + IF(OthersDept!D$51=0,0,COUNTIFS(OthersDept!$B$9:$B$37,OthersDept!$B$51,OthersDept!D$9:D$37,$B73)/OthersDept!D$51) + IF(OthersDept!D$52=0,0,COUNTIFS(OthersDept!$B$9:$B$37,OthersDept!$B$52,OthersDept!D$9:D$37,$B73)/OthersDept!D$52) +  IF(OthersDept!D$53=0,0,COUNTIFS(OthersDept!$B$9:$B$37,OthersDept!$B$53,OthersDept!D$9:D$37,$B73)/OthersDept!D$53))*150000)</f>
        <v/>
      </c>
      <c r="E73" s="135" t="str">
        <f>IF($B73="","",(IF(OthersDept!E$42=0,0,COUNTIFS(OthersDept!$B$9:$B$37,OthersDept!$B$42,OthersDept!E$9:E$37,$B73)/OthersDept!E$42) + IF(OthersDept!E$43=0,0,COUNTIFS(OthersDept!$B$9:$B$37,OthersDept!$B$43,OthersDept!E$9:E$37,$B73)/OthersDept!E$43) + IF(OthersDept!E$44=0,0,COUNTIFS(OthersDept!$B$9:$B$37,OthersDept!$B$44,OthersDept!E$9:E$37,$B73)/OthersDept!E$44) + IF(OthersDept!E$45=0,0,COUNTIFS(OthersDept!$B$9:$B$37,OthersDept!$B$45,OthersDept!E$9:E$37,$B73)/OthersDept!E$45) + IF(OthersDept!E$46=0,0,COUNTIFS(OthersDept!$B$9:$B$37,OthersDept!$B$46,OthersDept!E$9:E$37,$B73)/OthersDept!E$46) + IF(OthersDept!E$47=0,0,COUNTIFS(OthersDept!$B$9:$B$37,OthersDept!$B$47,OthersDept!E$9:E$37,$B73)/OthersDept!E$47) + IF(OthersDept!E$48=0,0,COUNTIFS(OthersDept!$B$9:$B$37,OthersDept!$B$48,OthersDept!E$9:E$37,$B73)/OthersDept!E$48) + IF(OthersDept!E$49=0,0,COUNTIFS(OthersDept!$B$9:$B$37,OthersDept!$B$49,OthersDept!E$9:E$37,$B73)/OthersDept!E$49) + IF(OthersDept!E$50=0,0,COUNTIFS(OthersDept!$B$9:$B$37,OthersDept!$B$50,OthersDept!E$9:E$37,$B73)/OthersDept!E$50) + IF(OthersDept!E$51=0,0,COUNTIFS(OthersDept!$B$9:$B$37,OthersDept!$B$51,OthersDept!E$9:E$37,$B73)/OthersDept!E$51) + IF(OthersDept!E$52=0,0,COUNTIFS(OthersDept!$B$9:$B$37,OthersDept!$B$52,OthersDept!E$9:E$37,$B73)/OthersDept!E$52) +  IF(OthersDept!E$53=0,0,COUNTIFS(OthersDept!$B$9:$B$37,OthersDept!$B$53,OthersDept!E$9:E$37,$B73)/OthersDept!E$53))*150000)</f>
        <v/>
      </c>
      <c r="F73" s="135" t="str">
        <f>IF($B73="","",(IF(OthersDept!F$42=0,0,COUNTIFS(OthersDept!$B$9:$B$37,OthersDept!$B$42,OthersDept!F$9:F$37,$B73)/OthersDept!F$42) + IF(OthersDept!F$43=0,0,COUNTIFS(OthersDept!$B$9:$B$37,OthersDept!$B$43,OthersDept!F$9:F$37,$B73)/OthersDept!F$43) + IF(OthersDept!F$44=0,0,COUNTIFS(OthersDept!$B$9:$B$37,OthersDept!$B$44,OthersDept!F$9:F$37,$B73)/OthersDept!F$44) + IF(OthersDept!F$45=0,0,COUNTIFS(OthersDept!$B$9:$B$37,OthersDept!$B$45,OthersDept!F$9:F$37,$B73)/OthersDept!F$45) + IF(OthersDept!F$46=0,0,COUNTIFS(OthersDept!$B$9:$B$37,OthersDept!$B$46,OthersDept!F$9:F$37,$B73)/OthersDept!F$46) + IF(OthersDept!F$47=0,0,COUNTIFS(OthersDept!$B$9:$B$37,OthersDept!$B$47,OthersDept!F$9:F$37,$B73)/OthersDept!F$47) + IF(OthersDept!F$48=0,0,COUNTIFS(OthersDept!$B$9:$B$37,OthersDept!$B$48,OthersDept!F$9:F$37,$B73)/OthersDept!F$48) + IF(OthersDept!F$49=0,0,COUNTIFS(OthersDept!$B$9:$B$37,OthersDept!$B$49,OthersDept!F$9:F$37,$B73)/OthersDept!F$49) + IF(OthersDept!F$50=0,0,COUNTIFS(OthersDept!$B$9:$B$37,OthersDept!$B$50,OthersDept!F$9:F$37,$B73)/OthersDept!F$50) + IF(OthersDept!F$51=0,0,COUNTIFS(OthersDept!$B$9:$B$37,OthersDept!$B$51,OthersDept!F$9:F$37,$B73)/OthersDept!F$51) + IF(OthersDept!F$52=0,0,COUNTIFS(OthersDept!$B$9:$B$37,OthersDept!$B$52,OthersDept!F$9:F$37,$B73)/OthersDept!F$52) +  IF(OthersDept!F$53=0,0,COUNTIFS(OthersDept!$B$9:$B$37,OthersDept!$B$53,OthersDept!F$9:F$37,$B73)/OthersDept!F$53))*150000)</f>
        <v/>
      </c>
      <c r="G73" s="135" t="str">
        <f>IF($B73="","",(IF(OthersDept!G$42=0,0,COUNTIFS(OthersDept!$B$9:$B$37,OthersDept!$B$42,OthersDept!G$9:G$37,$B73)/OthersDept!G$42) + IF(OthersDept!G$43=0,0,COUNTIFS(OthersDept!$B$9:$B$37,OthersDept!$B$43,OthersDept!G$9:G$37,$B73)/OthersDept!G$43) + IF(OthersDept!G$44=0,0,COUNTIFS(OthersDept!$B$9:$B$37,OthersDept!$B$44,OthersDept!G$9:G$37,$B73)/OthersDept!G$44) + IF(OthersDept!G$45=0,0,COUNTIFS(OthersDept!$B$9:$B$37,OthersDept!$B$45,OthersDept!G$9:G$37,$B73)/OthersDept!G$45) + IF(OthersDept!G$46=0,0,COUNTIFS(OthersDept!$B$9:$B$37,OthersDept!$B$46,OthersDept!G$9:G$37,$B73)/OthersDept!G$46) + IF(OthersDept!G$47=0,0,COUNTIFS(OthersDept!$B$9:$B$37,OthersDept!$B$47,OthersDept!G$9:G$37,$B73)/OthersDept!G$47) + IF(OthersDept!G$48=0,0,COUNTIFS(OthersDept!$B$9:$B$37,OthersDept!$B$48,OthersDept!G$9:G$37,$B73)/OthersDept!G$48) + IF(OthersDept!G$49=0,0,COUNTIFS(OthersDept!$B$9:$B$37,OthersDept!$B$49,OthersDept!G$9:G$37,$B73)/OthersDept!G$49) + IF(OthersDept!G$50=0,0,COUNTIFS(OthersDept!$B$9:$B$37,OthersDept!$B$50,OthersDept!G$9:G$37,$B73)/OthersDept!G$50) + IF(OthersDept!G$51=0,0,COUNTIFS(OthersDept!$B$9:$B$37,OthersDept!$B$51,OthersDept!G$9:G$37,$B73)/OthersDept!G$51) + IF(OthersDept!G$52=0,0,COUNTIFS(OthersDept!$B$9:$B$37,OthersDept!$B$52,OthersDept!G$9:G$37,$B73)/OthersDept!G$52) +  IF(OthersDept!G$53=0,0,COUNTIFS(OthersDept!$B$9:$B$37,OthersDept!$B$53,OthersDept!G$9:G$37,$B73)/OthersDept!G$53))*150000)</f>
        <v/>
      </c>
      <c r="H73" s="136" t="str">
        <f t="shared" si="1"/>
        <v/>
      </c>
      <c r="I73" s="53"/>
      <c r="J73" s="53"/>
      <c r="K73" s="53"/>
      <c r="L73" s="53"/>
      <c r="M73" s="53"/>
      <c r="N73" s="53"/>
      <c r="P73" s="53"/>
    </row>
    <row r="74" spans="1:16" x14ac:dyDescent="0.25">
      <c r="A74" s="133" t="str">
        <f>IF(ISTEXT($B74),30,"")</f>
        <v/>
      </c>
      <c r="B74" s="66"/>
      <c r="C74" s="135" t="str">
        <f>IF($B74="","",(IF(OthersDept!C$42=0,0,COUNTIFS(OthersDept!$B$9:$B$37,OthersDept!$B$42,OthersDept!C$9:C$37,$B74)/OthersDept!C$42) + IF(OthersDept!C$43=0,0,COUNTIFS(OthersDept!$B$9:$B$37,OthersDept!$B$43,OthersDept!C$9:C$37,$B74)/OthersDept!C$43) + IF(OthersDept!C$44=0,0,COUNTIFS(OthersDept!$B$9:$B$37,OthersDept!$B$44,OthersDept!C$9:C$37,$B74)/OthersDept!C$44) + IF(OthersDept!C$45=0,0,COUNTIFS(OthersDept!$B$9:$B$37,OthersDept!$B$45,OthersDept!C$9:C$37,$B74)/OthersDept!C$45) + IF(OthersDept!C$46=0,0,COUNTIFS(OthersDept!$B$9:$B$37,OthersDept!$B$46,OthersDept!C$9:C$37,$B74)/OthersDept!C$46) + IF(OthersDept!C$47=0,0,COUNTIFS(OthersDept!$B$9:$B$37,OthersDept!$B$47,OthersDept!C$9:C$37,$B74)/OthersDept!C$47) + IF(OthersDept!C$48=0,0,COUNTIFS(OthersDept!$B$9:$B$37,OthersDept!$B$48,OthersDept!C$9:C$37,$B74)/OthersDept!C$48) + IF(OthersDept!C$49=0,0,COUNTIFS(OthersDept!$B$9:$B$37,OthersDept!$B$49,OthersDept!C$9:C$37,$B74)/OthersDept!C$49) + IF(OthersDept!C$50=0,0,COUNTIFS(OthersDept!$B$9:$B$37,OthersDept!$B$50,OthersDept!C$9:C$37,$B74)/OthersDept!C$50) + IF(OthersDept!C$51=0,0,COUNTIFS(OthersDept!$B$9:$B$37,OthersDept!$B$51,OthersDept!C$9:C$37,$B74)/OthersDept!C$51) + IF(OthersDept!C$52=0,0,COUNTIFS(OthersDept!$B$9:$B$37,OthersDept!$B$52,OthersDept!C$9:C$37,$B74)/OthersDept!C$52) +  IF(OthersDept!C$53=0,0,COUNTIFS(OthersDept!$B$9:$B$37,OthersDept!$B$53,OthersDept!C$9:C$37,$B74)/OthersDept!C$53))*150000)</f>
        <v/>
      </c>
      <c r="D74" s="135" t="str">
        <f>IF($B74="","",(IF(OthersDept!D$42=0,0,COUNTIFS(OthersDept!$B$9:$B$37,OthersDept!$B$42,OthersDept!D$9:D$37,$B74)/OthersDept!D$42) + IF(OthersDept!D$43=0,0,COUNTIFS(OthersDept!$B$9:$B$37,OthersDept!$B$43,OthersDept!D$9:D$37,$B74)/OthersDept!D$43) + IF(OthersDept!D$44=0,0,COUNTIFS(OthersDept!$B$9:$B$37,OthersDept!$B$44,OthersDept!D$9:D$37,$B74)/OthersDept!D$44) + IF(OthersDept!D$45=0,0,COUNTIFS(OthersDept!$B$9:$B$37,OthersDept!$B$45,OthersDept!D$9:D$37,$B74)/OthersDept!D$45) + IF(OthersDept!D$46=0,0,COUNTIFS(OthersDept!$B$9:$B$37,OthersDept!$B$46,OthersDept!D$9:D$37,$B74)/OthersDept!D$46) + IF(OthersDept!D$47=0,0,COUNTIFS(OthersDept!$B$9:$B$37,OthersDept!$B$47,OthersDept!D$9:D$37,$B74)/OthersDept!D$47) + IF(OthersDept!D$48=0,0,COUNTIFS(OthersDept!$B$9:$B$37,OthersDept!$B$48,OthersDept!D$9:D$37,$B74)/OthersDept!D$48) + IF(OthersDept!D$49=0,0,COUNTIFS(OthersDept!$B$9:$B$37,OthersDept!$B$49,OthersDept!D$9:D$37,$B74)/OthersDept!D$49) + IF(OthersDept!D$50=0,0,COUNTIFS(OthersDept!$B$9:$B$37,OthersDept!$B$50,OthersDept!D$9:D$37,$B74)/OthersDept!D$50) + IF(OthersDept!D$51=0,0,COUNTIFS(OthersDept!$B$9:$B$37,OthersDept!$B$51,OthersDept!D$9:D$37,$B74)/OthersDept!D$51) + IF(OthersDept!D$52=0,0,COUNTIFS(OthersDept!$B$9:$B$37,OthersDept!$B$52,OthersDept!D$9:D$37,$B74)/OthersDept!D$52) +  IF(OthersDept!D$53=0,0,COUNTIFS(OthersDept!$B$9:$B$37,OthersDept!$B$53,OthersDept!D$9:D$37,$B74)/OthersDept!D$53))*150000)</f>
        <v/>
      </c>
      <c r="E74" s="135" t="str">
        <f>IF($B74="","",(IF(OthersDept!E$42=0,0,COUNTIFS(OthersDept!$B$9:$B$37,OthersDept!$B$42,OthersDept!E$9:E$37,$B74)/OthersDept!E$42) + IF(OthersDept!E$43=0,0,COUNTIFS(OthersDept!$B$9:$B$37,OthersDept!$B$43,OthersDept!E$9:E$37,$B74)/OthersDept!E$43) + IF(OthersDept!E$44=0,0,COUNTIFS(OthersDept!$B$9:$B$37,OthersDept!$B$44,OthersDept!E$9:E$37,$B74)/OthersDept!E$44) + IF(OthersDept!E$45=0,0,COUNTIFS(OthersDept!$B$9:$B$37,OthersDept!$B$45,OthersDept!E$9:E$37,$B74)/OthersDept!E$45) + IF(OthersDept!E$46=0,0,COUNTIFS(OthersDept!$B$9:$B$37,OthersDept!$B$46,OthersDept!E$9:E$37,$B74)/OthersDept!E$46) + IF(OthersDept!E$47=0,0,COUNTIFS(OthersDept!$B$9:$B$37,OthersDept!$B$47,OthersDept!E$9:E$37,$B74)/OthersDept!E$47) + IF(OthersDept!E$48=0,0,COUNTIFS(OthersDept!$B$9:$B$37,OthersDept!$B$48,OthersDept!E$9:E$37,$B74)/OthersDept!E$48) + IF(OthersDept!E$49=0,0,COUNTIFS(OthersDept!$B$9:$B$37,OthersDept!$B$49,OthersDept!E$9:E$37,$B74)/OthersDept!E$49) + IF(OthersDept!E$50=0,0,COUNTIFS(OthersDept!$B$9:$B$37,OthersDept!$B$50,OthersDept!E$9:E$37,$B74)/OthersDept!E$50) + IF(OthersDept!E$51=0,0,COUNTIFS(OthersDept!$B$9:$B$37,OthersDept!$B$51,OthersDept!E$9:E$37,$B74)/OthersDept!E$51) + IF(OthersDept!E$52=0,0,COUNTIFS(OthersDept!$B$9:$B$37,OthersDept!$B$52,OthersDept!E$9:E$37,$B74)/OthersDept!E$52) +  IF(OthersDept!E$53=0,0,COUNTIFS(OthersDept!$B$9:$B$37,OthersDept!$B$53,OthersDept!E$9:E$37,$B74)/OthersDept!E$53))*150000)</f>
        <v/>
      </c>
      <c r="F74" s="135" t="str">
        <f>IF($B74="","",(IF(OthersDept!F$42=0,0,COUNTIFS(OthersDept!$B$9:$B$37,OthersDept!$B$42,OthersDept!F$9:F$37,$B74)/OthersDept!F$42) + IF(OthersDept!F$43=0,0,COUNTIFS(OthersDept!$B$9:$B$37,OthersDept!$B$43,OthersDept!F$9:F$37,$B74)/OthersDept!F$43) + IF(OthersDept!F$44=0,0,COUNTIFS(OthersDept!$B$9:$B$37,OthersDept!$B$44,OthersDept!F$9:F$37,$B74)/OthersDept!F$44) + IF(OthersDept!F$45=0,0,COUNTIFS(OthersDept!$B$9:$B$37,OthersDept!$B$45,OthersDept!F$9:F$37,$B74)/OthersDept!F$45) + IF(OthersDept!F$46=0,0,COUNTIFS(OthersDept!$B$9:$B$37,OthersDept!$B$46,OthersDept!F$9:F$37,$B74)/OthersDept!F$46) + IF(OthersDept!F$47=0,0,COUNTIFS(OthersDept!$B$9:$B$37,OthersDept!$B$47,OthersDept!F$9:F$37,$B74)/OthersDept!F$47) + IF(OthersDept!F$48=0,0,COUNTIFS(OthersDept!$B$9:$B$37,OthersDept!$B$48,OthersDept!F$9:F$37,$B74)/OthersDept!F$48) + IF(OthersDept!F$49=0,0,COUNTIFS(OthersDept!$B$9:$B$37,OthersDept!$B$49,OthersDept!F$9:F$37,$B74)/OthersDept!F$49) + IF(OthersDept!F$50=0,0,COUNTIFS(OthersDept!$B$9:$B$37,OthersDept!$B$50,OthersDept!F$9:F$37,$B74)/OthersDept!F$50) + IF(OthersDept!F$51=0,0,COUNTIFS(OthersDept!$B$9:$B$37,OthersDept!$B$51,OthersDept!F$9:F$37,$B74)/OthersDept!F$51) + IF(OthersDept!F$52=0,0,COUNTIFS(OthersDept!$B$9:$B$37,OthersDept!$B$52,OthersDept!F$9:F$37,$B74)/OthersDept!F$52) +  IF(OthersDept!F$53=0,0,COUNTIFS(OthersDept!$B$9:$B$37,OthersDept!$B$53,OthersDept!F$9:F$37,$B74)/OthersDept!F$53))*150000)</f>
        <v/>
      </c>
      <c r="G74" s="135" t="str">
        <f>IF($B74="","",(IF(OthersDept!G$42=0,0,COUNTIFS(OthersDept!$B$9:$B$37,OthersDept!$B$42,OthersDept!G$9:G$37,$B74)/OthersDept!G$42) + IF(OthersDept!G$43=0,0,COUNTIFS(OthersDept!$B$9:$B$37,OthersDept!$B$43,OthersDept!G$9:G$37,$B74)/OthersDept!G$43) + IF(OthersDept!G$44=0,0,COUNTIFS(OthersDept!$B$9:$B$37,OthersDept!$B$44,OthersDept!G$9:G$37,$B74)/OthersDept!G$44) + IF(OthersDept!G$45=0,0,COUNTIFS(OthersDept!$B$9:$B$37,OthersDept!$B$45,OthersDept!G$9:G$37,$B74)/OthersDept!G$45) + IF(OthersDept!G$46=0,0,COUNTIFS(OthersDept!$B$9:$B$37,OthersDept!$B$46,OthersDept!G$9:G$37,$B74)/OthersDept!G$46) + IF(OthersDept!G$47=0,0,COUNTIFS(OthersDept!$B$9:$B$37,OthersDept!$B$47,OthersDept!G$9:G$37,$B74)/OthersDept!G$47) + IF(OthersDept!G$48=0,0,COUNTIFS(OthersDept!$B$9:$B$37,OthersDept!$B$48,OthersDept!G$9:G$37,$B74)/OthersDept!G$48) + IF(OthersDept!G$49=0,0,COUNTIFS(OthersDept!$B$9:$B$37,OthersDept!$B$49,OthersDept!G$9:G$37,$B74)/OthersDept!G$49) + IF(OthersDept!G$50=0,0,COUNTIFS(OthersDept!$B$9:$B$37,OthersDept!$B$50,OthersDept!G$9:G$37,$B74)/OthersDept!G$50) + IF(OthersDept!G$51=0,0,COUNTIFS(OthersDept!$B$9:$B$37,OthersDept!$B$51,OthersDept!G$9:G$37,$B74)/OthersDept!G$51) + IF(OthersDept!G$52=0,0,COUNTIFS(OthersDept!$B$9:$B$37,OthersDept!$B$52,OthersDept!G$9:G$37,$B74)/OthersDept!G$52) +  IF(OthersDept!G$53=0,0,COUNTIFS(OthersDept!$B$9:$B$37,OthersDept!$B$53,OthersDept!G$9:G$37,$B74)/OthersDept!G$53))*150000)</f>
        <v/>
      </c>
      <c r="H74" s="136" t="str">
        <f t="shared" si="1"/>
        <v/>
      </c>
      <c r="I74" s="55"/>
      <c r="J74" s="53"/>
      <c r="K74" s="53"/>
      <c r="L74" s="53"/>
      <c r="M74" s="53"/>
      <c r="N74" s="53"/>
      <c r="P74" s="53"/>
    </row>
    <row r="75" spans="1:16" x14ac:dyDescent="0.25">
      <c r="A75" s="2"/>
      <c r="B75" s="2"/>
      <c r="C75" s="2"/>
      <c r="D75" s="2"/>
      <c r="E75" s="2"/>
      <c r="F75" s="2"/>
      <c r="G75" s="2"/>
      <c r="H75" s="2"/>
    </row>
    <row r="76" spans="1:16" ht="15.75" x14ac:dyDescent="0.25">
      <c r="A76" s="22" t="s">
        <v>10</v>
      </c>
      <c r="B76" s="212" t="s">
        <v>23</v>
      </c>
      <c r="C76" s="212"/>
      <c r="D76" s="96"/>
      <c r="E76" s="96"/>
      <c r="F76" s="7"/>
      <c r="G76" s="2"/>
      <c r="H76" s="2"/>
    </row>
    <row r="77" spans="1:16" ht="15.75" x14ac:dyDescent="0.25">
      <c r="A77" s="7"/>
      <c r="B77" s="216" t="s">
        <v>24</v>
      </c>
      <c r="C77" s="216"/>
      <c r="D77" s="216"/>
      <c r="E77" s="98"/>
      <c r="F77" s="118"/>
      <c r="G77" s="2"/>
      <c r="H77" s="2"/>
    </row>
    <row r="78" spans="1:16" ht="15.75" x14ac:dyDescent="0.25">
      <c r="A78" s="7"/>
      <c r="B78" s="98"/>
      <c r="C78" s="98"/>
      <c r="D78" s="98"/>
      <c r="E78" s="98"/>
      <c r="F78" s="15"/>
      <c r="G78" s="2"/>
      <c r="H78" s="2"/>
    </row>
    <row r="79" spans="1:16" ht="15.75" x14ac:dyDescent="0.25">
      <c r="A79" s="7"/>
      <c r="B79" s="98" t="s">
        <v>25</v>
      </c>
      <c r="C79" s="98"/>
      <c r="D79" s="98"/>
      <c r="E79" s="98"/>
      <c r="F79" s="7" t="s">
        <v>21</v>
      </c>
      <c r="G79" s="2"/>
      <c r="H79" s="2"/>
    </row>
    <row r="80" spans="1:16" ht="15.75" x14ac:dyDescent="0.25">
      <c r="A80" s="7"/>
      <c r="B80" s="7"/>
      <c r="C80" s="7"/>
      <c r="D80" s="7"/>
      <c r="E80" s="7"/>
      <c r="F80" s="7"/>
      <c r="G80" s="2"/>
      <c r="H80" s="2"/>
    </row>
    <row r="81" spans="1:8" ht="15.75" x14ac:dyDescent="0.25">
      <c r="A81" s="22" t="s">
        <v>11</v>
      </c>
      <c r="B81" s="212" t="s">
        <v>27</v>
      </c>
      <c r="C81" s="212"/>
      <c r="D81" s="212"/>
      <c r="E81" s="96"/>
      <c r="F81" s="7"/>
      <c r="G81" s="2"/>
      <c r="H81" s="2"/>
    </row>
    <row r="82" spans="1:8" ht="15.75" x14ac:dyDescent="0.25">
      <c r="A82" s="7"/>
      <c r="B82" s="216" t="s">
        <v>28</v>
      </c>
      <c r="C82" s="216"/>
      <c r="D82" s="216"/>
      <c r="E82" s="98"/>
      <c r="F82" s="118"/>
      <c r="G82" s="2"/>
      <c r="H82" s="2"/>
    </row>
    <row r="83" spans="1:8" ht="15.75" x14ac:dyDescent="0.25">
      <c r="A83" s="7"/>
      <c r="B83" s="7"/>
      <c r="C83" s="7"/>
      <c r="D83" s="7"/>
      <c r="E83" s="7"/>
      <c r="F83" s="7"/>
      <c r="G83" s="2"/>
      <c r="H83" s="2"/>
    </row>
    <row r="84" spans="1:8" ht="15.75" x14ac:dyDescent="0.25">
      <c r="A84" s="7"/>
      <c r="B84" s="7" t="s">
        <v>29</v>
      </c>
      <c r="C84" s="98"/>
      <c r="D84" s="98"/>
      <c r="E84" s="98"/>
      <c r="F84" s="7" t="s">
        <v>21</v>
      </c>
      <c r="G84" s="2"/>
      <c r="H84" s="2"/>
    </row>
  </sheetData>
  <sheetProtection password="E9BA" sheet="1" objects="1" scenarios="1" formatCells="0" formatColumns="0" formatRows="0" insertRows="0" deleteRows="0" sort="0"/>
  <mergeCells count="7">
    <mergeCell ref="B77:D77"/>
    <mergeCell ref="B81:D81"/>
    <mergeCell ref="B82:D82"/>
    <mergeCell ref="G2:H2"/>
    <mergeCell ref="B76:C76"/>
    <mergeCell ref="C2:E2"/>
    <mergeCell ref="C43:D43"/>
  </mergeCells>
  <pageMargins left="0.31496062992125984" right="0.31496062992125984" top="0.74803149606299213" bottom="0.74803149606299213" header="0.31496062992125984" footer="0.31496062992125984"/>
  <pageSetup paperSize="9" orientation="landscape" blackAndWhite="1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Staff_List!$A$2:$A$53</xm:f>
          </x14:formula1>
          <xm:sqref>B12:B41 B45:B74</xm:sqref>
        </x14:dataValidation>
        <x14:dataValidation type="list" showInputMessage="1" showErrorMessage="1">
          <x14:formula1>
            <xm:f>Info_Lists!$D$2:$D$83</xm:f>
          </x14:formula1>
          <xm:sqref>C2</xm:sqref>
        </x14:dataValidation>
        <x14:dataValidation type="list" allowBlank="1" showInputMessage="1" showErrorMessage="1">
          <x14:formula1>
            <xm:f>Info_Lists!$C$2:$C$14</xm:f>
          </x14:formula1>
          <xm:sqref>G2:H2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8"/>
  <sheetViews>
    <sheetView topLeftCell="A37" workbookViewId="0">
      <selection activeCell="B42" sqref="B42"/>
    </sheetView>
  </sheetViews>
  <sheetFormatPr defaultRowHeight="15" x14ac:dyDescent="0.25"/>
  <cols>
    <col min="1" max="1" width="4.28515625" bestFit="1" customWidth="1"/>
    <col min="2" max="2" width="18.5703125" bestFit="1" customWidth="1"/>
    <col min="3" max="7" width="26.5703125" bestFit="1" customWidth="1"/>
    <col min="8" max="8" width="9.85546875" bestFit="1" customWidth="1"/>
  </cols>
  <sheetData>
    <row r="1" spans="1:8" x14ac:dyDescent="0.25">
      <c r="A1" s="21" t="s">
        <v>0</v>
      </c>
      <c r="B1" s="225" t="s">
        <v>60</v>
      </c>
      <c r="C1" s="225"/>
      <c r="D1" s="2"/>
      <c r="E1" s="2"/>
      <c r="F1" s="2"/>
      <c r="G1" s="2"/>
      <c r="H1" s="3"/>
    </row>
    <row r="2" spans="1:8" x14ac:dyDescent="0.25">
      <c r="A2" s="2"/>
      <c r="B2" s="16" t="s">
        <v>35</v>
      </c>
      <c r="C2" s="224" t="s">
        <v>146</v>
      </c>
      <c r="D2" s="224"/>
      <c r="E2" s="16" t="s">
        <v>4</v>
      </c>
      <c r="F2" s="99" t="s">
        <v>103</v>
      </c>
      <c r="G2" s="110"/>
      <c r="H2" s="102"/>
    </row>
    <row r="3" spans="1:8" x14ac:dyDescent="0.25">
      <c r="A3" s="2"/>
      <c r="B3" s="16" t="s">
        <v>172</v>
      </c>
      <c r="C3" s="224" t="s">
        <v>146</v>
      </c>
      <c r="D3" s="224"/>
      <c r="E3" s="110"/>
      <c r="F3" s="101"/>
      <c r="G3" s="110"/>
      <c r="H3" s="93"/>
    </row>
    <row r="4" spans="1:8" x14ac:dyDescent="0.25">
      <c r="A4" s="2"/>
      <c r="B4" s="2"/>
      <c r="C4" s="2"/>
      <c r="D4" s="2"/>
      <c r="E4" s="2"/>
      <c r="F4" s="2"/>
      <c r="G4" s="2"/>
    </row>
    <row r="5" spans="1:8" x14ac:dyDescent="0.25">
      <c r="A5" s="2"/>
      <c r="B5" s="2"/>
      <c r="C5" s="2"/>
      <c r="D5" s="2"/>
      <c r="E5" s="2"/>
      <c r="F5" s="2"/>
      <c r="G5" s="2"/>
    </row>
    <row r="6" spans="1:8" x14ac:dyDescent="0.25">
      <c r="A6" s="21" t="s">
        <v>7</v>
      </c>
      <c r="B6" s="120" t="s">
        <v>62</v>
      </c>
      <c r="C6" s="266" t="s">
        <v>296</v>
      </c>
      <c r="D6" s="266"/>
      <c r="E6" s="21"/>
      <c r="F6" s="21"/>
      <c r="G6" s="21"/>
    </row>
    <row r="7" spans="1:8" x14ac:dyDescent="0.25">
      <c r="A7" s="21"/>
      <c r="B7" s="105"/>
      <c r="C7" s="115" t="s">
        <v>314</v>
      </c>
      <c r="D7" s="115" t="s">
        <v>48</v>
      </c>
      <c r="E7" s="115" t="s">
        <v>49</v>
      </c>
      <c r="F7" s="115" t="s">
        <v>50</v>
      </c>
      <c r="G7" s="115" t="s">
        <v>51</v>
      </c>
    </row>
    <row r="8" spans="1:8" x14ac:dyDescent="0.25">
      <c r="A8" s="21"/>
      <c r="B8" s="121" t="s">
        <v>340</v>
      </c>
      <c r="C8" s="122"/>
      <c r="D8" s="16"/>
      <c r="E8" s="16"/>
      <c r="F8" s="16"/>
      <c r="G8" s="123"/>
    </row>
    <row r="9" spans="1:8" x14ac:dyDescent="0.25">
      <c r="A9" s="2"/>
      <c r="B9" s="111"/>
      <c r="C9" s="65"/>
      <c r="D9" s="65"/>
      <c r="E9" s="65"/>
      <c r="F9" s="65"/>
      <c r="G9" s="65"/>
    </row>
    <row r="10" spans="1:8" x14ac:dyDescent="0.25">
      <c r="A10" s="2"/>
      <c r="B10" s="111"/>
      <c r="C10" s="65"/>
      <c r="D10" s="65"/>
      <c r="E10" s="65"/>
      <c r="F10" s="65"/>
      <c r="G10" s="65"/>
    </row>
    <row r="11" spans="1:8" x14ac:dyDescent="0.25">
      <c r="A11" s="2"/>
      <c r="B11" s="111"/>
      <c r="C11" s="65"/>
      <c r="D11" s="65"/>
      <c r="E11" s="65"/>
      <c r="F11" s="65"/>
      <c r="G11" s="65"/>
    </row>
    <row r="12" spans="1:8" x14ac:dyDescent="0.25">
      <c r="A12" s="2"/>
      <c r="B12" s="111"/>
      <c r="C12" s="65"/>
      <c r="D12" s="65"/>
      <c r="E12" s="65"/>
      <c r="F12" s="65"/>
      <c r="G12" s="65"/>
    </row>
    <row r="13" spans="1:8" x14ac:dyDescent="0.25">
      <c r="A13" s="2"/>
      <c r="B13" s="111"/>
      <c r="C13" s="65"/>
      <c r="D13" s="65"/>
      <c r="E13" s="65"/>
      <c r="F13" s="65"/>
      <c r="G13" s="65"/>
    </row>
    <row r="14" spans="1:8" x14ac:dyDescent="0.25">
      <c r="A14" s="2"/>
      <c r="B14" s="111"/>
      <c r="C14" s="119"/>
      <c r="D14" s="65"/>
      <c r="E14" s="65"/>
      <c r="F14" s="65"/>
      <c r="G14" s="65"/>
    </row>
    <row r="15" spans="1:8" x14ac:dyDescent="0.25">
      <c r="A15" s="2"/>
      <c r="B15" s="111"/>
      <c r="C15" s="201"/>
      <c r="D15" s="201"/>
      <c r="E15" s="65"/>
      <c r="F15" s="65"/>
      <c r="G15" s="65"/>
    </row>
    <row r="16" spans="1:8" x14ac:dyDescent="0.25">
      <c r="A16" s="2"/>
      <c r="B16" s="111"/>
      <c r="C16" s="119"/>
      <c r="D16" s="119"/>
      <c r="E16" s="201"/>
      <c r="F16" s="65"/>
      <c r="G16" s="65"/>
    </row>
    <row r="17" spans="1:7" x14ac:dyDescent="0.25">
      <c r="A17" s="2"/>
      <c r="B17" s="111"/>
      <c r="C17" s="119"/>
      <c r="D17" s="119"/>
      <c r="E17" s="201"/>
      <c r="F17" s="65"/>
      <c r="G17" s="65"/>
    </row>
    <row r="18" spans="1:7" x14ac:dyDescent="0.25">
      <c r="A18" s="2"/>
      <c r="B18" s="111"/>
      <c r="C18" s="65"/>
      <c r="D18" s="65"/>
      <c r="E18" s="65"/>
      <c r="F18" s="65"/>
      <c r="G18" s="65"/>
    </row>
    <row r="19" spans="1:7" x14ac:dyDescent="0.25">
      <c r="A19" s="2"/>
      <c r="B19" s="111"/>
      <c r="C19" s="65"/>
      <c r="D19" s="65"/>
      <c r="E19" s="65"/>
      <c r="F19" s="65"/>
      <c r="G19" s="65"/>
    </row>
    <row r="20" spans="1:7" x14ac:dyDescent="0.25">
      <c r="A20" s="2"/>
      <c r="B20" s="111"/>
      <c r="C20" s="65"/>
      <c r="D20" s="65"/>
      <c r="E20" s="65"/>
      <c r="F20" s="65"/>
      <c r="G20" s="65"/>
    </row>
    <row r="21" spans="1:7" x14ac:dyDescent="0.25">
      <c r="A21" s="2"/>
      <c r="B21" s="111"/>
      <c r="C21" s="65"/>
      <c r="D21" s="65"/>
      <c r="E21" s="65"/>
      <c r="F21" s="65"/>
      <c r="G21" s="65"/>
    </row>
    <row r="22" spans="1:7" x14ac:dyDescent="0.25">
      <c r="A22" s="2"/>
      <c r="B22" s="111"/>
      <c r="C22" s="65"/>
      <c r="D22" s="65"/>
      <c r="E22" s="65"/>
      <c r="F22" s="65"/>
      <c r="G22" s="65"/>
    </row>
    <row r="23" spans="1:7" x14ac:dyDescent="0.25">
      <c r="A23" s="2"/>
      <c r="B23" s="111"/>
      <c r="C23" s="65"/>
      <c r="D23" s="65"/>
      <c r="E23" s="65"/>
      <c r="F23" s="65"/>
      <c r="G23" s="65"/>
    </row>
    <row r="24" spans="1:7" x14ac:dyDescent="0.25">
      <c r="A24" s="2"/>
      <c r="B24" s="111"/>
      <c r="C24" s="65"/>
      <c r="D24" s="65"/>
      <c r="E24" s="65"/>
      <c r="F24" s="65"/>
      <c r="G24" s="65"/>
    </row>
    <row r="25" spans="1:7" x14ac:dyDescent="0.25">
      <c r="A25" s="2"/>
      <c r="B25" s="111"/>
      <c r="C25" s="65"/>
      <c r="D25" s="65"/>
      <c r="E25" s="65"/>
      <c r="F25" s="65"/>
      <c r="G25" s="65"/>
    </row>
    <row r="26" spans="1:7" x14ac:dyDescent="0.25">
      <c r="A26" s="2"/>
      <c r="B26" s="111"/>
      <c r="C26" s="65"/>
      <c r="D26" s="65"/>
      <c r="E26" s="65"/>
      <c r="F26" s="65"/>
      <c r="G26" s="65"/>
    </row>
    <row r="27" spans="1:7" x14ac:dyDescent="0.25">
      <c r="A27" s="2"/>
      <c r="B27" s="111"/>
      <c r="C27" s="65"/>
      <c r="D27" s="65"/>
      <c r="E27" s="65"/>
      <c r="F27" s="65"/>
      <c r="G27" s="65"/>
    </row>
    <row r="28" spans="1:7" x14ac:dyDescent="0.25">
      <c r="A28" s="2"/>
      <c r="B28" s="111"/>
      <c r="C28" s="65"/>
      <c r="D28" s="65"/>
      <c r="E28" s="65"/>
      <c r="F28" s="65"/>
      <c r="G28" s="65"/>
    </row>
    <row r="29" spans="1:7" x14ac:dyDescent="0.25">
      <c r="A29" s="2"/>
      <c r="B29" s="111"/>
      <c r="C29" s="65"/>
      <c r="D29" s="65"/>
      <c r="E29" s="65"/>
      <c r="F29" s="65"/>
      <c r="G29" s="65"/>
    </row>
    <row r="30" spans="1:7" x14ac:dyDescent="0.25">
      <c r="A30" s="2"/>
      <c r="B30" s="111"/>
      <c r="C30" s="65"/>
      <c r="D30" s="65"/>
      <c r="E30" s="65"/>
      <c r="F30" s="65"/>
      <c r="G30" s="65"/>
    </row>
    <row r="31" spans="1:7" x14ac:dyDescent="0.25">
      <c r="A31" s="2"/>
      <c r="B31" s="111"/>
      <c r="C31" s="65"/>
      <c r="D31" s="65"/>
      <c r="E31" s="65"/>
      <c r="F31" s="65"/>
      <c r="G31" s="65"/>
    </row>
    <row r="32" spans="1:7" x14ac:dyDescent="0.25">
      <c r="A32" s="2"/>
      <c r="B32" s="111"/>
      <c r="C32" s="65"/>
      <c r="D32" s="65"/>
      <c r="E32" s="65"/>
      <c r="F32" s="65"/>
      <c r="G32" s="65"/>
    </row>
    <row r="33" spans="1:8" x14ac:dyDescent="0.25">
      <c r="A33" s="2"/>
      <c r="B33" s="111"/>
      <c r="C33" s="65"/>
      <c r="D33" s="65"/>
      <c r="E33" s="65"/>
      <c r="F33" s="65"/>
      <c r="G33" s="65"/>
    </row>
    <row r="34" spans="1:8" x14ac:dyDescent="0.25">
      <c r="A34" s="2"/>
      <c r="B34" s="111"/>
      <c r="C34" s="65"/>
      <c r="D34" s="65"/>
      <c r="E34" s="65"/>
      <c r="F34" s="65"/>
      <c r="G34" s="65"/>
    </row>
    <row r="35" spans="1:8" x14ac:dyDescent="0.25">
      <c r="A35" s="2"/>
      <c r="B35" s="111"/>
      <c r="C35" s="65"/>
      <c r="D35" s="65"/>
      <c r="E35" s="65"/>
      <c r="F35" s="65"/>
      <c r="G35" s="65"/>
    </row>
    <row r="36" spans="1:8" x14ac:dyDescent="0.25">
      <c r="A36" s="2"/>
      <c r="B36" s="111"/>
      <c r="C36" s="65"/>
      <c r="D36" s="65"/>
      <c r="E36" s="65"/>
      <c r="F36" s="65"/>
      <c r="G36" s="65"/>
    </row>
    <row r="37" spans="1:8" x14ac:dyDescent="0.25">
      <c r="A37" s="2"/>
      <c r="B37" s="111"/>
      <c r="C37" s="65"/>
      <c r="D37" s="65"/>
      <c r="E37" s="65"/>
      <c r="F37" s="65"/>
      <c r="G37" s="65"/>
    </row>
    <row r="38" spans="1:8" x14ac:dyDescent="0.25">
      <c r="A38" s="2"/>
      <c r="B38" s="2"/>
      <c r="C38" s="2"/>
      <c r="D38" s="2"/>
      <c r="E38" s="2"/>
      <c r="F38" s="2"/>
      <c r="G38" s="2"/>
    </row>
    <row r="39" spans="1:8" x14ac:dyDescent="0.25">
      <c r="A39" s="2"/>
      <c r="B39" s="2"/>
      <c r="C39" s="2"/>
      <c r="D39" s="2"/>
      <c r="E39" s="2"/>
      <c r="F39" s="2"/>
      <c r="G39" s="2"/>
    </row>
    <row r="40" spans="1:8" x14ac:dyDescent="0.25">
      <c r="A40" s="124" t="s">
        <v>10</v>
      </c>
      <c r="B40" s="267" t="s">
        <v>221</v>
      </c>
      <c r="C40" s="267"/>
      <c r="D40" s="2"/>
      <c r="E40" s="2"/>
      <c r="F40" s="2"/>
      <c r="G40" s="2"/>
      <c r="H40" s="47"/>
    </row>
    <row r="41" spans="1:8" x14ac:dyDescent="0.25">
      <c r="A41" s="125" t="s">
        <v>31</v>
      </c>
      <c r="B41" s="125" t="s">
        <v>116</v>
      </c>
      <c r="C41" s="115" t="s">
        <v>314</v>
      </c>
      <c r="D41" s="115" t="s">
        <v>48</v>
      </c>
      <c r="E41" s="115" t="s">
        <v>49</v>
      </c>
      <c r="F41" s="115" t="s">
        <v>50</v>
      </c>
      <c r="G41" s="115" t="s">
        <v>51</v>
      </c>
    </row>
    <row r="42" spans="1:8" x14ac:dyDescent="0.25">
      <c r="A42" s="126" t="str">
        <f>IF(ISTEXT($B42),1,"")</f>
        <v/>
      </c>
      <c r="B42" s="111"/>
      <c r="C42" s="108">
        <f>IF($B42="",0,COUNTIFS($B$9:$B$37,$B42,$C$9:$C$37,"&lt;&gt;-"))</f>
        <v>0</v>
      </c>
      <c r="D42" s="108">
        <f t="shared" ref="D42:G42" si="0">IF($B42="",0,COUNTIFS($B$9:$B$37,$B42,$C$9:$C$37,"&lt;&gt;-"))</f>
        <v>0</v>
      </c>
      <c r="E42" s="108">
        <f t="shared" si="0"/>
        <v>0</v>
      </c>
      <c r="F42" s="108">
        <f t="shared" si="0"/>
        <v>0</v>
      </c>
      <c r="G42" s="108">
        <f t="shared" si="0"/>
        <v>0</v>
      </c>
    </row>
    <row r="43" spans="1:8" x14ac:dyDescent="0.25">
      <c r="A43" s="126" t="str">
        <f>IF(ISTEXT($B43),2,"")</f>
        <v/>
      </c>
      <c r="B43" s="111"/>
      <c r="C43" s="108">
        <f t="shared" ref="C43:G67" si="1">IF($B43="",0,COUNTIFS($B$9:$B$37,$B43,$C$9:$C$37,"&lt;&gt;-"))</f>
        <v>0</v>
      </c>
      <c r="D43" s="108">
        <f t="shared" si="1"/>
        <v>0</v>
      </c>
      <c r="E43" s="108">
        <f t="shared" si="1"/>
        <v>0</v>
      </c>
      <c r="F43" s="108">
        <f t="shared" si="1"/>
        <v>0</v>
      </c>
      <c r="G43" s="108">
        <f t="shared" si="1"/>
        <v>0</v>
      </c>
    </row>
    <row r="44" spans="1:8" x14ac:dyDescent="0.25">
      <c r="A44" s="126" t="str">
        <f>IF(ISTEXT($B44),3,"")</f>
        <v/>
      </c>
      <c r="B44" s="111"/>
      <c r="C44" s="108">
        <f t="shared" si="1"/>
        <v>0</v>
      </c>
      <c r="D44" s="108">
        <f t="shared" si="1"/>
        <v>0</v>
      </c>
      <c r="E44" s="108">
        <f t="shared" si="1"/>
        <v>0</v>
      </c>
      <c r="F44" s="108">
        <f t="shared" si="1"/>
        <v>0</v>
      </c>
      <c r="G44" s="108">
        <f t="shared" si="1"/>
        <v>0</v>
      </c>
    </row>
    <row r="45" spans="1:8" x14ac:dyDescent="0.25">
      <c r="A45" s="126" t="str">
        <f>IF(ISTEXT($B45),4,"")</f>
        <v/>
      </c>
      <c r="B45" s="111"/>
      <c r="C45" s="108">
        <f t="shared" si="1"/>
        <v>0</v>
      </c>
      <c r="D45" s="108">
        <f t="shared" si="1"/>
        <v>0</v>
      </c>
      <c r="E45" s="108">
        <f t="shared" si="1"/>
        <v>0</v>
      </c>
      <c r="F45" s="108">
        <f t="shared" si="1"/>
        <v>0</v>
      </c>
      <c r="G45" s="108">
        <f t="shared" si="1"/>
        <v>0</v>
      </c>
    </row>
    <row r="46" spans="1:8" x14ac:dyDescent="0.25">
      <c r="A46" s="126" t="str">
        <f>IF(ISTEXT($B46),5,"")</f>
        <v/>
      </c>
      <c r="B46" s="111"/>
      <c r="C46" s="108">
        <f t="shared" si="1"/>
        <v>0</v>
      </c>
      <c r="D46" s="108">
        <f t="shared" si="1"/>
        <v>0</v>
      </c>
      <c r="E46" s="108">
        <f t="shared" si="1"/>
        <v>0</v>
      </c>
      <c r="F46" s="108">
        <f t="shared" si="1"/>
        <v>0</v>
      </c>
      <c r="G46" s="108">
        <f t="shared" si="1"/>
        <v>0</v>
      </c>
    </row>
    <row r="47" spans="1:8" x14ac:dyDescent="0.25">
      <c r="A47" s="126" t="str">
        <f>IF(ISTEXT($B47),6,"")</f>
        <v/>
      </c>
      <c r="B47" s="111"/>
      <c r="C47" s="108">
        <f t="shared" si="1"/>
        <v>0</v>
      </c>
      <c r="D47" s="108">
        <f t="shared" si="1"/>
        <v>0</v>
      </c>
      <c r="E47" s="108">
        <f t="shared" si="1"/>
        <v>0</v>
      </c>
      <c r="F47" s="108">
        <f t="shared" si="1"/>
        <v>0</v>
      </c>
      <c r="G47" s="108">
        <f t="shared" si="1"/>
        <v>0</v>
      </c>
    </row>
    <row r="48" spans="1:8" x14ac:dyDescent="0.25">
      <c r="A48" s="126" t="str">
        <f>IF(ISTEXT($B48),7,"")</f>
        <v/>
      </c>
      <c r="B48" s="111"/>
      <c r="C48" s="108">
        <f t="shared" si="1"/>
        <v>0</v>
      </c>
      <c r="D48" s="108">
        <f t="shared" si="1"/>
        <v>0</v>
      </c>
      <c r="E48" s="108">
        <f t="shared" si="1"/>
        <v>0</v>
      </c>
      <c r="F48" s="108">
        <f t="shared" si="1"/>
        <v>0</v>
      </c>
      <c r="G48" s="108">
        <f t="shared" si="1"/>
        <v>0</v>
      </c>
    </row>
    <row r="49" spans="1:7" x14ac:dyDescent="0.25">
      <c r="A49" s="126" t="str">
        <f>IF(ISTEXT($B49),8,"")</f>
        <v/>
      </c>
      <c r="B49" s="111"/>
      <c r="C49" s="108">
        <f t="shared" si="1"/>
        <v>0</v>
      </c>
      <c r="D49" s="108">
        <f t="shared" si="1"/>
        <v>0</v>
      </c>
      <c r="E49" s="108">
        <f t="shared" si="1"/>
        <v>0</v>
      </c>
      <c r="F49" s="108">
        <f t="shared" si="1"/>
        <v>0</v>
      </c>
      <c r="G49" s="108">
        <f t="shared" si="1"/>
        <v>0</v>
      </c>
    </row>
    <row r="50" spans="1:7" x14ac:dyDescent="0.25">
      <c r="A50" s="126" t="str">
        <f>IF(ISTEXT($B50),9,"")</f>
        <v/>
      </c>
      <c r="B50" s="111"/>
      <c r="C50" s="108">
        <f t="shared" si="1"/>
        <v>0</v>
      </c>
      <c r="D50" s="108">
        <f t="shared" si="1"/>
        <v>0</v>
      </c>
      <c r="E50" s="108">
        <f t="shared" si="1"/>
        <v>0</v>
      </c>
      <c r="F50" s="108">
        <f t="shared" si="1"/>
        <v>0</v>
      </c>
      <c r="G50" s="108">
        <f t="shared" si="1"/>
        <v>0</v>
      </c>
    </row>
    <row r="51" spans="1:7" x14ac:dyDescent="0.25">
      <c r="A51" s="126" t="str">
        <f>IF(ISTEXT($B51),10,"")</f>
        <v/>
      </c>
      <c r="B51" s="111"/>
      <c r="C51" s="108">
        <f t="shared" si="1"/>
        <v>0</v>
      </c>
      <c r="D51" s="108">
        <f t="shared" si="1"/>
        <v>0</v>
      </c>
      <c r="E51" s="108">
        <f t="shared" si="1"/>
        <v>0</v>
      </c>
      <c r="F51" s="108">
        <f t="shared" si="1"/>
        <v>0</v>
      </c>
      <c r="G51" s="108">
        <f t="shared" si="1"/>
        <v>0</v>
      </c>
    </row>
    <row r="52" spans="1:7" x14ac:dyDescent="0.25">
      <c r="A52" s="126" t="str">
        <f>IF(ISTEXT($B52),11,"")</f>
        <v/>
      </c>
      <c r="B52" s="111"/>
      <c r="C52" s="108">
        <f t="shared" si="1"/>
        <v>0</v>
      </c>
      <c r="D52" s="108">
        <f t="shared" si="1"/>
        <v>0</v>
      </c>
      <c r="E52" s="108">
        <f t="shared" si="1"/>
        <v>0</v>
      </c>
      <c r="F52" s="108">
        <f t="shared" si="1"/>
        <v>0</v>
      </c>
      <c r="G52" s="108">
        <f t="shared" si="1"/>
        <v>0</v>
      </c>
    </row>
    <row r="53" spans="1:7" x14ac:dyDescent="0.25">
      <c r="A53" s="126" t="str">
        <f>IF(ISTEXT($B53),12,"")</f>
        <v/>
      </c>
      <c r="B53" s="111"/>
      <c r="C53" s="108">
        <f t="shared" si="1"/>
        <v>0</v>
      </c>
      <c r="D53" s="108">
        <f t="shared" si="1"/>
        <v>0</v>
      </c>
      <c r="E53" s="108">
        <f t="shared" si="1"/>
        <v>0</v>
      </c>
      <c r="F53" s="108">
        <f t="shared" si="1"/>
        <v>0</v>
      </c>
      <c r="G53" s="108">
        <f t="shared" si="1"/>
        <v>0</v>
      </c>
    </row>
    <row r="54" spans="1:7" x14ac:dyDescent="0.25">
      <c r="A54" s="126"/>
      <c r="B54" s="111"/>
      <c r="C54" s="108">
        <f t="shared" si="1"/>
        <v>0</v>
      </c>
      <c r="D54" s="108">
        <f t="shared" si="1"/>
        <v>0</v>
      </c>
      <c r="E54" s="108">
        <f t="shared" si="1"/>
        <v>0</v>
      </c>
      <c r="F54" s="108">
        <f t="shared" si="1"/>
        <v>0</v>
      </c>
      <c r="G54" s="108">
        <f t="shared" si="1"/>
        <v>0</v>
      </c>
    </row>
    <row r="55" spans="1:7" x14ac:dyDescent="0.25">
      <c r="A55" s="126"/>
      <c r="B55" s="111"/>
      <c r="C55" s="108">
        <f t="shared" si="1"/>
        <v>0</v>
      </c>
      <c r="D55" s="108">
        <f t="shared" si="1"/>
        <v>0</v>
      </c>
      <c r="E55" s="108">
        <f t="shared" si="1"/>
        <v>0</v>
      </c>
      <c r="F55" s="108">
        <f t="shared" si="1"/>
        <v>0</v>
      </c>
      <c r="G55" s="108">
        <f t="shared" si="1"/>
        <v>0</v>
      </c>
    </row>
    <row r="56" spans="1:7" x14ac:dyDescent="0.25">
      <c r="A56" s="126"/>
      <c r="B56" s="111"/>
      <c r="C56" s="108">
        <f t="shared" si="1"/>
        <v>0</v>
      </c>
      <c r="D56" s="108">
        <f t="shared" si="1"/>
        <v>0</v>
      </c>
      <c r="E56" s="108">
        <f t="shared" si="1"/>
        <v>0</v>
      </c>
      <c r="F56" s="108">
        <f t="shared" si="1"/>
        <v>0</v>
      </c>
      <c r="G56" s="108">
        <f t="shared" si="1"/>
        <v>0</v>
      </c>
    </row>
    <row r="57" spans="1:7" x14ac:dyDescent="0.25">
      <c r="A57" s="126"/>
      <c r="B57" s="111"/>
      <c r="C57" s="108">
        <f t="shared" si="1"/>
        <v>0</v>
      </c>
      <c r="D57" s="108">
        <f t="shared" si="1"/>
        <v>0</v>
      </c>
      <c r="E57" s="108">
        <f t="shared" si="1"/>
        <v>0</v>
      </c>
      <c r="F57" s="108">
        <f t="shared" si="1"/>
        <v>0</v>
      </c>
      <c r="G57" s="108">
        <f t="shared" si="1"/>
        <v>0</v>
      </c>
    </row>
    <row r="58" spans="1:7" x14ac:dyDescent="0.25">
      <c r="A58" s="126"/>
      <c r="B58" s="111"/>
      <c r="C58" s="108">
        <f t="shared" si="1"/>
        <v>0</v>
      </c>
      <c r="D58" s="108">
        <f t="shared" si="1"/>
        <v>0</v>
      </c>
      <c r="E58" s="108">
        <f t="shared" si="1"/>
        <v>0</v>
      </c>
      <c r="F58" s="108">
        <f t="shared" si="1"/>
        <v>0</v>
      </c>
      <c r="G58" s="108">
        <f t="shared" si="1"/>
        <v>0</v>
      </c>
    </row>
    <row r="59" spans="1:7" x14ac:dyDescent="0.25">
      <c r="A59" s="126"/>
      <c r="B59" s="111"/>
      <c r="C59" s="108">
        <f t="shared" si="1"/>
        <v>0</v>
      </c>
      <c r="D59" s="108">
        <f t="shared" si="1"/>
        <v>0</v>
      </c>
      <c r="E59" s="108">
        <f t="shared" si="1"/>
        <v>0</v>
      </c>
      <c r="F59" s="108">
        <f t="shared" si="1"/>
        <v>0</v>
      </c>
      <c r="G59" s="108">
        <f t="shared" si="1"/>
        <v>0</v>
      </c>
    </row>
    <row r="60" spans="1:7" x14ac:dyDescent="0.25">
      <c r="A60" s="126"/>
      <c r="B60" s="111"/>
      <c r="C60" s="108">
        <f t="shared" si="1"/>
        <v>0</v>
      </c>
      <c r="D60" s="108">
        <f t="shared" si="1"/>
        <v>0</v>
      </c>
      <c r="E60" s="108">
        <f t="shared" si="1"/>
        <v>0</v>
      </c>
      <c r="F60" s="108">
        <f t="shared" si="1"/>
        <v>0</v>
      </c>
      <c r="G60" s="108">
        <f t="shared" si="1"/>
        <v>0</v>
      </c>
    </row>
    <row r="61" spans="1:7" x14ac:dyDescent="0.25">
      <c r="A61" s="126"/>
      <c r="B61" s="111"/>
      <c r="C61" s="108">
        <f t="shared" si="1"/>
        <v>0</v>
      </c>
      <c r="D61" s="108">
        <f t="shared" si="1"/>
        <v>0</v>
      </c>
      <c r="E61" s="108">
        <f t="shared" si="1"/>
        <v>0</v>
      </c>
      <c r="F61" s="108">
        <f t="shared" si="1"/>
        <v>0</v>
      </c>
      <c r="G61" s="108">
        <f t="shared" si="1"/>
        <v>0</v>
      </c>
    </row>
    <row r="62" spans="1:7" x14ac:dyDescent="0.25">
      <c r="A62" s="126"/>
      <c r="B62" s="111"/>
      <c r="C62" s="108">
        <f t="shared" si="1"/>
        <v>0</v>
      </c>
      <c r="D62" s="108">
        <f t="shared" si="1"/>
        <v>0</v>
      </c>
      <c r="E62" s="108">
        <f t="shared" si="1"/>
        <v>0</v>
      </c>
      <c r="F62" s="108">
        <f t="shared" si="1"/>
        <v>0</v>
      </c>
      <c r="G62" s="108">
        <f t="shared" si="1"/>
        <v>0</v>
      </c>
    </row>
    <row r="63" spans="1:7" x14ac:dyDescent="0.25">
      <c r="A63" s="126"/>
      <c r="B63" s="111"/>
      <c r="C63" s="108">
        <f t="shared" si="1"/>
        <v>0</v>
      </c>
      <c r="D63" s="108">
        <f t="shared" si="1"/>
        <v>0</v>
      </c>
      <c r="E63" s="108">
        <f t="shared" si="1"/>
        <v>0</v>
      </c>
      <c r="F63" s="108">
        <f t="shared" si="1"/>
        <v>0</v>
      </c>
      <c r="G63" s="108">
        <f t="shared" si="1"/>
        <v>0</v>
      </c>
    </row>
    <row r="64" spans="1:7" x14ac:dyDescent="0.25">
      <c r="A64" s="126"/>
      <c r="B64" s="111"/>
      <c r="C64" s="108">
        <f t="shared" si="1"/>
        <v>0</v>
      </c>
      <c r="D64" s="108">
        <f t="shared" si="1"/>
        <v>0</v>
      </c>
      <c r="E64" s="108">
        <f t="shared" si="1"/>
        <v>0</v>
      </c>
      <c r="F64" s="108">
        <f t="shared" si="1"/>
        <v>0</v>
      </c>
      <c r="G64" s="108">
        <f t="shared" si="1"/>
        <v>0</v>
      </c>
    </row>
    <row r="65" spans="1:7" x14ac:dyDescent="0.25">
      <c r="A65" s="126"/>
      <c r="B65" s="111"/>
      <c r="C65" s="108">
        <f t="shared" si="1"/>
        <v>0</v>
      </c>
      <c r="D65" s="108">
        <f t="shared" si="1"/>
        <v>0</v>
      </c>
      <c r="E65" s="108">
        <f t="shared" si="1"/>
        <v>0</v>
      </c>
      <c r="F65" s="108">
        <f t="shared" si="1"/>
        <v>0</v>
      </c>
      <c r="G65" s="108">
        <f t="shared" si="1"/>
        <v>0</v>
      </c>
    </row>
    <row r="66" spans="1:7" x14ac:dyDescent="0.25">
      <c r="A66" s="126"/>
      <c r="B66" s="111"/>
      <c r="C66" s="108">
        <f t="shared" si="1"/>
        <v>0</v>
      </c>
      <c r="D66" s="108">
        <f t="shared" si="1"/>
        <v>0</v>
      </c>
      <c r="E66" s="108">
        <f t="shared" si="1"/>
        <v>0</v>
      </c>
      <c r="F66" s="108">
        <f t="shared" si="1"/>
        <v>0</v>
      </c>
      <c r="G66" s="108">
        <f t="shared" si="1"/>
        <v>0</v>
      </c>
    </row>
    <row r="67" spans="1:7" x14ac:dyDescent="0.25">
      <c r="A67" s="126"/>
      <c r="B67" s="65"/>
      <c r="C67" s="108">
        <f t="shared" si="1"/>
        <v>0</v>
      </c>
      <c r="D67" s="108">
        <f t="shared" si="1"/>
        <v>0</v>
      </c>
      <c r="E67" s="108">
        <f t="shared" si="1"/>
        <v>0</v>
      </c>
      <c r="F67" s="108">
        <f t="shared" si="1"/>
        <v>0</v>
      </c>
      <c r="G67" s="108">
        <f t="shared" si="1"/>
        <v>0</v>
      </c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ht="15.75" x14ac:dyDescent="0.25">
      <c r="A70" s="22" t="s">
        <v>11</v>
      </c>
      <c r="B70" s="212" t="s">
        <v>23</v>
      </c>
      <c r="C70" s="212"/>
      <c r="D70" s="212"/>
      <c r="E70" s="212"/>
      <c r="F70" s="7"/>
      <c r="G70" s="2"/>
    </row>
    <row r="71" spans="1:7" ht="15.75" x14ac:dyDescent="0.25">
      <c r="A71" s="7"/>
      <c r="B71" s="216" t="s">
        <v>24</v>
      </c>
      <c r="C71" s="216"/>
      <c r="D71" s="216"/>
      <c r="E71" s="216"/>
      <c r="F71" s="118"/>
      <c r="G71" s="2"/>
    </row>
    <row r="72" spans="1:7" ht="15.75" x14ac:dyDescent="0.25">
      <c r="A72" s="7"/>
      <c r="B72" s="98"/>
      <c r="C72" s="98"/>
      <c r="D72" s="98"/>
      <c r="E72" s="98"/>
      <c r="F72" s="15"/>
      <c r="G72" s="2"/>
    </row>
    <row r="73" spans="1:7" ht="15.75" x14ac:dyDescent="0.25">
      <c r="A73" s="7"/>
      <c r="B73" s="216" t="s">
        <v>25</v>
      </c>
      <c r="C73" s="216"/>
      <c r="D73" s="216"/>
      <c r="E73" s="216"/>
      <c r="F73" s="7" t="s">
        <v>21</v>
      </c>
      <c r="G73" s="2"/>
    </row>
    <row r="74" spans="1:7" ht="15.75" x14ac:dyDescent="0.25">
      <c r="A74" s="7"/>
      <c r="B74" s="7"/>
      <c r="C74" s="7"/>
      <c r="D74" s="7"/>
      <c r="E74" s="7"/>
      <c r="F74" s="7"/>
      <c r="G74" s="2"/>
    </row>
    <row r="75" spans="1:7" ht="15.75" x14ac:dyDescent="0.25">
      <c r="A75" s="22" t="s">
        <v>12</v>
      </c>
      <c r="B75" s="212" t="s">
        <v>27</v>
      </c>
      <c r="C75" s="212"/>
      <c r="D75" s="212"/>
      <c r="E75" s="212"/>
      <c r="F75" s="7"/>
      <c r="G75" s="2"/>
    </row>
    <row r="76" spans="1:7" ht="15.75" x14ac:dyDescent="0.25">
      <c r="A76" s="7"/>
      <c r="B76" s="216" t="s">
        <v>28</v>
      </c>
      <c r="C76" s="216"/>
      <c r="D76" s="216"/>
      <c r="E76" s="216"/>
      <c r="F76" s="118"/>
      <c r="G76" s="2"/>
    </row>
    <row r="77" spans="1:7" ht="15.75" x14ac:dyDescent="0.25">
      <c r="A77" s="7"/>
      <c r="B77" s="7"/>
      <c r="C77" s="7"/>
      <c r="D77" s="7"/>
      <c r="E77" s="7"/>
      <c r="F77" s="7"/>
      <c r="G77" s="2"/>
    </row>
    <row r="78" spans="1:7" ht="15.75" x14ac:dyDescent="0.25">
      <c r="A78" s="7"/>
      <c r="B78" s="7" t="s">
        <v>29</v>
      </c>
      <c r="C78" s="216"/>
      <c r="D78" s="216"/>
      <c r="E78" s="216"/>
      <c r="F78" s="7" t="s">
        <v>21</v>
      </c>
      <c r="G78" s="2"/>
    </row>
  </sheetData>
  <sheetProtection formatCells="0" formatColumns="0" formatRows="0" insertRows="0" deleteRows="0"/>
  <mergeCells count="12">
    <mergeCell ref="B73:C73"/>
    <mergeCell ref="D73:E73"/>
    <mergeCell ref="B75:E75"/>
    <mergeCell ref="B76:E76"/>
    <mergeCell ref="C78:E78"/>
    <mergeCell ref="B71:E71"/>
    <mergeCell ref="B40:C40"/>
    <mergeCell ref="C6:D6"/>
    <mergeCell ref="B1:C1"/>
    <mergeCell ref="C2:D2"/>
    <mergeCell ref="C3:D3"/>
    <mergeCell ref="B70:E70"/>
  </mergeCells>
  <dataValidations count="2">
    <dataValidation type="list" allowBlank="1" showInputMessage="1" showErrorMessage="1" sqref="B42:B67">
      <formula1>$B$9:$B$37</formula1>
    </dataValidation>
    <dataValidation type="list" allowBlank="1" showInputMessage="1" showErrorMessage="1" sqref="H3">
      <formula1>"2009/2010,2010/2011,2011/2012"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>
          <x14:formula1>
            <xm:f>Info_Lists!$E$14:$E$94</xm:f>
          </x14:formula1>
          <xm:sqref>C3:D3</xm:sqref>
        </x14:dataValidation>
        <x14:dataValidation type="list" showInputMessage="1" showErrorMessage="1">
          <x14:formula1>
            <xm:f>Info_Lists!$D$2:$D$83</xm:f>
          </x14:formula1>
          <xm:sqref>C2:D2</xm:sqref>
        </x14:dataValidation>
        <x14:dataValidation type="list" allowBlank="1" showInputMessage="1" showErrorMessage="1">
          <x14:formula1>
            <xm:f>Staff_List!$A$2:$A$53</xm:f>
          </x14:formula1>
          <xm:sqref>C9:G37</xm:sqref>
        </x14:dataValidation>
        <x14:dataValidation type="list" allowBlank="1" showInputMessage="1" showErrorMessage="1">
          <x14:formula1>
            <xm:f>Info_Lists!$C$2:$C$14</xm:f>
          </x14:formula1>
          <xm:sqref>F2</xm:sqref>
        </x14:dataValidation>
        <x14:dataValidation type="list" allowBlank="1" showInputMessage="1" showErrorMessage="1">
          <x14:formula1>
            <xm:f>Info_Lists!$H$2:$H111</xm:f>
          </x14:formula1>
          <xm:sqref>B37</xm:sqref>
        </x14:dataValidation>
        <x14:dataValidation type="list" allowBlank="1" showInputMessage="1" showErrorMessage="1">
          <x14:formula1>
            <xm:f>Info_Lists!$H$2:$H111</xm:f>
          </x14:formula1>
          <xm:sqref>B36</xm:sqref>
        </x14:dataValidation>
        <x14:dataValidation type="list" allowBlank="1" showInputMessage="1" showErrorMessage="1">
          <x14:formula1>
            <xm:f>Info_Lists!$H$2:$H105</xm:f>
          </x14:formula1>
          <xm:sqref>B18:B23</xm:sqref>
        </x14:dataValidation>
        <x14:dataValidation type="list" allowBlank="1" showInputMessage="1" showErrorMessage="1">
          <x14:formula1>
            <xm:f>Info_Lists!$H$2:$H110</xm:f>
          </x14:formula1>
          <xm:sqref>B24:B25</xm:sqref>
        </x14:dataValidation>
        <x14:dataValidation type="list" allowBlank="1" showInputMessage="1" showErrorMessage="1">
          <x14:formula1>
            <xm:f>Info_Lists!$H$2:$H95</xm:f>
          </x14:formula1>
          <xm:sqref>B9:B17</xm:sqref>
        </x14:dataValidation>
        <x14:dataValidation type="list" allowBlank="1" showInputMessage="1" showErrorMessage="1">
          <x14:formula1>
            <xm:f>Info_Lists!$H$2:$H111</xm:f>
          </x14:formula1>
          <xm:sqref>B26:B35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N36"/>
  <sheetViews>
    <sheetView topLeftCell="A17" workbookViewId="0">
      <selection activeCell="C25" sqref="C25"/>
    </sheetView>
  </sheetViews>
  <sheetFormatPr defaultRowHeight="15" x14ac:dyDescent="0.25"/>
  <cols>
    <col min="1" max="1" width="4.28515625" bestFit="1" customWidth="1"/>
    <col min="2" max="2" width="18.5703125" bestFit="1" customWidth="1"/>
    <col min="3" max="7" width="26.5703125" bestFit="1" customWidth="1"/>
    <col min="8" max="8" width="9.85546875" bestFit="1" customWidth="1"/>
    <col min="9" max="9" width="9.85546875" customWidth="1"/>
    <col min="10" max="10" width="11" customWidth="1"/>
    <col min="11" max="11" width="32.5703125" bestFit="1" customWidth="1"/>
  </cols>
  <sheetData>
    <row r="1" spans="1:14" x14ac:dyDescent="0.25">
      <c r="A1" s="21" t="s">
        <v>0</v>
      </c>
      <c r="B1" s="225" t="s">
        <v>60</v>
      </c>
      <c r="C1" s="225"/>
      <c r="D1" s="2"/>
      <c r="E1" s="2"/>
      <c r="F1" s="2"/>
      <c r="G1" s="2"/>
      <c r="H1" s="3"/>
      <c r="I1" s="3"/>
      <c r="J1" s="2"/>
      <c r="K1" s="2"/>
    </row>
    <row r="2" spans="1:14" x14ac:dyDescent="0.25">
      <c r="A2" s="2"/>
      <c r="B2" s="16" t="s">
        <v>35</v>
      </c>
      <c r="C2" s="224" t="s">
        <v>147</v>
      </c>
      <c r="D2" s="224"/>
      <c r="E2" s="16" t="s">
        <v>4</v>
      </c>
      <c r="F2" s="99" t="s">
        <v>103</v>
      </c>
      <c r="G2" s="16" t="s">
        <v>6</v>
      </c>
      <c r="H2" s="76" t="s">
        <v>313</v>
      </c>
      <c r="I2" s="76"/>
    </row>
    <row r="3" spans="1:14" x14ac:dyDescent="0.25">
      <c r="A3" s="2"/>
      <c r="B3" s="16" t="s">
        <v>172</v>
      </c>
      <c r="C3" s="224" t="s">
        <v>147</v>
      </c>
      <c r="D3" s="224"/>
      <c r="E3" s="110"/>
      <c r="F3" s="101"/>
      <c r="G3" s="110"/>
      <c r="H3" s="101"/>
      <c r="I3" s="199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</row>
    <row r="5" spans="1:14" x14ac:dyDescent="0.25">
      <c r="A5" s="21" t="s">
        <v>7</v>
      </c>
      <c r="B5" s="113" t="s">
        <v>62</v>
      </c>
      <c r="C5" s="113" t="s">
        <v>63</v>
      </c>
      <c r="D5" s="21"/>
      <c r="E5" s="21"/>
      <c r="F5" s="21"/>
      <c r="G5" s="21"/>
      <c r="H5" s="2"/>
      <c r="I5" s="2"/>
    </row>
    <row r="6" spans="1:14" x14ac:dyDescent="0.25">
      <c r="A6" s="21"/>
      <c r="B6" s="114"/>
      <c r="C6" s="115" t="s">
        <v>314</v>
      </c>
      <c r="D6" s="115" t="s">
        <v>48</v>
      </c>
      <c r="E6" s="115" t="s">
        <v>49</v>
      </c>
      <c r="F6" s="115" t="s">
        <v>50</v>
      </c>
      <c r="G6" s="115" t="s">
        <v>51</v>
      </c>
      <c r="H6" s="2"/>
      <c r="I6" s="2"/>
    </row>
    <row r="7" spans="1:14" x14ac:dyDescent="0.25">
      <c r="A7" s="21"/>
      <c r="B7" s="16" t="s">
        <v>52</v>
      </c>
      <c r="C7" s="116"/>
      <c r="D7" s="116"/>
      <c r="E7" s="116"/>
      <c r="F7" s="116"/>
      <c r="G7" s="117"/>
      <c r="H7" s="2"/>
      <c r="I7" s="2"/>
    </row>
    <row r="8" spans="1:14" x14ac:dyDescent="0.25">
      <c r="A8" s="2"/>
      <c r="B8" s="111">
        <v>100</v>
      </c>
      <c r="C8" s="65" t="s">
        <v>407</v>
      </c>
      <c r="D8" s="65" t="s">
        <v>409</v>
      </c>
      <c r="E8" s="65" t="s">
        <v>404</v>
      </c>
      <c r="F8" s="65" t="s">
        <v>435</v>
      </c>
      <c r="G8" s="65" t="s">
        <v>411</v>
      </c>
      <c r="H8" s="2"/>
      <c r="I8" s="2">
        <v>100</v>
      </c>
      <c r="J8">
        <f t="shared" ref="J8:J13" si="0">COUNTIFS($B$8:$B$17,$I8,C$8:C$17,"=-")+COUNTIFS($B$8:$B$17,$I8,C$8:C$17,"=")+COUNTIFS($B$8:$B$17,$I8,C$8:C$17,"=Not Applicable")</f>
        <v>0</v>
      </c>
      <c r="K8">
        <f t="shared" ref="K8:N13" si="1">COUNTIFS($B$8:$B$17,$I8,D$8:D$17,"=-")+COUNTIFS($B$8:$B$17,$I8,D$8:D$17,"= ")+COUNTIFS($B$8:$B$17,$I8,D$8:D$17,"=Not Applicable")</f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1:14" x14ac:dyDescent="0.25">
      <c r="A9" s="2"/>
      <c r="B9" s="111">
        <v>200</v>
      </c>
      <c r="C9" s="65" t="s">
        <v>404</v>
      </c>
      <c r="D9" s="65" t="s">
        <v>407</v>
      </c>
      <c r="E9" s="65" t="s">
        <v>409</v>
      </c>
      <c r="F9" s="65" t="s">
        <v>404</v>
      </c>
      <c r="G9" s="65" t="s">
        <v>435</v>
      </c>
      <c r="H9" s="2"/>
      <c r="I9" s="2">
        <v>200</v>
      </c>
      <c r="J9">
        <f t="shared" si="0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1:14" x14ac:dyDescent="0.25">
      <c r="A10" s="2"/>
      <c r="B10" s="111">
        <v>300</v>
      </c>
      <c r="C10" s="65" t="s">
        <v>400</v>
      </c>
      <c r="D10" s="65" t="s">
        <v>403</v>
      </c>
      <c r="E10" s="65" t="s">
        <v>407</v>
      </c>
      <c r="F10" s="65" t="s">
        <v>409</v>
      </c>
      <c r="G10" s="65" t="s">
        <v>404</v>
      </c>
      <c r="H10" s="2"/>
      <c r="I10" s="2">
        <v>300</v>
      </c>
      <c r="J10">
        <f t="shared" si="0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25">
      <c r="A11" s="2"/>
      <c r="B11" s="111">
        <v>400</v>
      </c>
      <c r="C11" s="65" t="s">
        <v>402</v>
      </c>
      <c r="D11" s="65" t="s">
        <v>400</v>
      </c>
      <c r="E11" s="65" t="s">
        <v>403</v>
      </c>
      <c r="F11" s="65" t="s">
        <v>407</v>
      </c>
      <c r="G11" s="65" t="s">
        <v>409</v>
      </c>
      <c r="H11" s="2"/>
      <c r="I11" s="2">
        <v>400</v>
      </c>
      <c r="J11">
        <f t="shared" si="0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1:14" x14ac:dyDescent="0.25">
      <c r="A12" s="2"/>
      <c r="B12" s="111">
        <v>500</v>
      </c>
      <c r="C12" s="65" t="s">
        <v>406</v>
      </c>
      <c r="D12" s="65" t="s">
        <v>402</v>
      </c>
      <c r="E12" s="65" t="s">
        <v>400</v>
      </c>
      <c r="F12" s="65" t="s">
        <v>403</v>
      </c>
      <c r="G12" s="65" t="s">
        <v>407</v>
      </c>
      <c r="H12" s="2"/>
      <c r="I12" s="2">
        <v>500</v>
      </c>
      <c r="J12">
        <f t="shared" si="0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1:14" x14ac:dyDescent="0.25">
      <c r="A13" s="2"/>
      <c r="B13" s="111"/>
      <c r="C13" s="112"/>
      <c r="D13" s="65"/>
      <c r="E13" s="65"/>
      <c r="F13" s="65"/>
      <c r="G13" s="65"/>
      <c r="H13" s="2"/>
      <c r="I13" s="2">
        <v>600</v>
      </c>
      <c r="J13">
        <f t="shared" si="0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1:14" x14ac:dyDescent="0.25">
      <c r="A14" s="2"/>
      <c r="B14" s="111"/>
      <c r="C14" s="112"/>
      <c r="D14" s="112"/>
      <c r="E14" s="65"/>
      <c r="F14" s="65"/>
      <c r="G14" s="65"/>
      <c r="H14" s="2"/>
      <c r="I14" s="2"/>
      <c r="J14">
        <f>ROWS($B$8:$B$17)</f>
        <v>10</v>
      </c>
    </row>
    <row r="15" spans="1:14" x14ac:dyDescent="0.25">
      <c r="A15" s="2"/>
      <c r="B15" s="111"/>
      <c r="C15" s="112"/>
      <c r="D15" s="112"/>
      <c r="E15" s="112"/>
      <c r="F15" s="65"/>
      <c r="G15" s="65"/>
      <c r="H15" s="2"/>
      <c r="I15" s="2"/>
    </row>
    <row r="16" spans="1:14" x14ac:dyDescent="0.25">
      <c r="A16" s="2"/>
      <c r="B16" s="111"/>
      <c r="C16" s="112"/>
      <c r="D16" s="112"/>
      <c r="E16" s="112"/>
      <c r="F16" s="65"/>
      <c r="G16" s="65"/>
      <c r="H16" s="2"/>
      <c r="I16" s="2"/>
    </row>
    <row r="17" spans="1:10" x14ac:dyDescent="0.25">
      <c r="A17" s="2"/>
      <c r="B17" s="111"/>
      <c r="C17" s="65"/>
      <c r="D17" s="65"/>
      <c r="E17" s="65"/>
      <c r="F17" s="65"/>
      <c r="G17" s="65"/>
      <c r="H17" s="2"/>
      <c r="I17" s="2"/>
    </row>
    <row r="18" spans="1:10" x14ac:dyDescent="0.25">
      <c r="A18" s="2"/>
      <c r="B18" s="111" t="s">
        <v>55</v>
      </c>
      <c r="C18" s="65" t="s">
        <v>391</v>
      </c>
      <c r="D18" s="65" t="s">
        <v>394</v>
      </c>
      <c r="E18" s="65" t="s">
        <v>394</v>
      </c>
      <c r="F18" s="65" t="s">
        <v>394</v>
      </c>
      <c r="G18" s="65" t="s">
        <v>394</v>
      </c>
      <c r="H18" s="2"/>
      <c r="I18" s="2"/>
      <c r="J18" s="50"/>
    </row>
    <row r="19" spans="1:10" x14ac:dyDescent="0.25">
      <c r="A19" s="2"/>
      <c r="B19" s="111" t="s">
        <v>56</v>
      </c>
      <c r="C19" s="65" t="s">
        <v>398</v>
      </c>
      <c r="D19" s="65" t="s">
        <v>398</v>
      </c>
      <c r="E19" s="65" t="s">
        <v>398</v>
      </c>
      <c r="F19" s="65" t="s">
        <v>398</v>
      </c>
      <c r="G19" s="65" t="s">
        <v>398</v>
      </c>
      <c r="H19" s="2"/>
      <c r="I19" s="2"/>
      <c r="J19" s="50"/>
    </row>
    <row r="20" spans="1:10" x14ac:dyDescent="0.25">
      <c r="A20" s="2"/>
      <c r="B20" s="111" t="s">
        <v>57</v>
      </c>
      <c r="C20" s="65" t="s">
        <v>407</v>
      </c>
      <c r="D20" s="65" t="s">
        <v>409</v>
      </c>
      <c r="E20" s="65" t="s">
        <v>404</v>
      </c>
      <c r="F20" s="65" t="s">
        <v>435</v>
      </c>
      <c r="G20" s="65" t="s">
        <v>411</v>
      </c>
      <c r="H20" s="2"/>
      <c r="I20" s="2"/>
      <c r="J20" s="50"/>
    </row>
    <row r="21" spans="1:10" x14ac:dyDescent="0.25">
      <c r="A21" s="2"/>
      <c r="B21" s="111" t="s">
        <v>59</v>
      </c>
      <c r="C21" s="65" t="s">
        <v>405</v>
      </c>
      <c r="D21" s="65" t="s">
        <v>405</v>
      </c>
      <c r="E21" s="65" t="s">
        <v>405</v>
      </c>
      <c r="F21" s="65" t="s">
        <v>405</v>
      </c>
      <c r="G21" s="65" t="s">
        <v>405</v>
      </c>
      <c r="H21" s="2"/>
      <c r="I21" s="2"/>
      <c r="J21" s="51"/>
    </row>
    <row r="22" spans="1:10" x14ac:dyDescent="0.25">
      <c r="A22" s="2"/>
      <c r="B22" s="111" t="s">
        <v>58</v>
      </c>
      <c r="C22" s="206" t="s">
        <v>402</v>
      </c>
      <c r="D22" s="206" t="s">
        <v>402</v>
      </c>
      <c r="E22" s="206" t="s">
        <v>402</v>
      </c>
      <c r="F22" s="206" t="s">
        <v>402</v>
      </c>
      <c r="G22" s="65" t="s">
        <v>402</v>
      </c>
      <c r="H22" s="2"/>
      <c r="I22" s="2"/>
      <c r="J22" s="51"/>
    </row>
    <row r="23" spans="1:10" x14ac:dyDescent="0.25">
      <c r="A23" s="2"/>
      <c r="B23" s="111" t="s">
        <v>301</v>
      </c>
      <c r="C23" s="65" t="s">
        <v>406</v>
      </c>
      <c r="D23" s="65" t="s">
        <v>406</v>
      </c>
      <c r="E23" s="65" t="s">
        <v>406</v>
      </c>
      <c r="F23" s="65" t="s">
        <v>406</v>
      </c>
      <c r="G23" s="65" t="s">
        <v>406</v>
      </c>
      <c r="H23" s="2"/>
      <c r="I23" s="2"/>
    </row>
    <row r="24" spans="1:10" x14ac:dyDescent="0.25">
      <c r="A24" s="2"/>
      <c r="B24" s="111" t="s">
        <v>325</v>
      </c>
      <c r="C24" s="65" t="s">
        <v>405</v>
      </c>
      <c r="D24" s="65" t="s">
        <v>405</v>
      </c>
      <c r="E24" s="65" t="s">
        <v>405</v>
      </c>
      <c r="F24" s="65" t="s">
        <v>405</v>
      </c>
      <c r="G24" s="65" t="s">
        <v>405</v>
      </c>
      <c r="H24" s="2"/>
      <c r="I24" s="2"/>
    </row>
    <row r="25" spans="1:10" x14ac:dyDescent="0.25">
      <c r="A25" s="2"/>
      <c r="B25" s="111" t="s">
        <v>388</v>
      </c>
      <c r="C25" s="65" t="s">
        <v>395</v>
      </c>
      <c r="D25" s="65" t="s">
        <v>395</v>
      </c>
      <c r="E25" s="65" t="s">
        <v>395</v>
      </c>
      <c r="F25" s="65"/>
      <c r="G25" s="65"/>
      <c r="H25" s="2"/>
      <c r="I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47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10" ht="15.75" x14ac:dyDescent="0.25">
      <c r="A28" s="7" t="s">
        <v>9</v>
      </c>
      <c r="B28" s="212" t="s">
        <v>23</v>
      </c>
      <c r="C28" s="212"/>
      <c r="D28" s="212"/>
      <c r="E28" s="212"/>
      <c r="F28" s="7"/>
      <c r="G28" s="2"/>
      <c r="H28" s="2"/>
      <c r="I28" s="2"/>
    </row>
    <row r="29" spans="1:10" ht="15.75" x14ac:dyDescent="0.25">
      <c r="A29" s="7"/>
      <c r="B29" s="216" t="s">
        <v>24</v>
      </c>
      <c r="C29" s="216"/>
      <c r="D29" s="216"/>
      <c r="E29" s="216"/>
      <c r="F29" s="26"/>
      <c r="G29" s="2"/>
      <c r="H29" s="2"/>
      <c r="I29" s="2"/>
    </row>
    <row r="30" spans="1:10" ht="15.75" x14ac:dyDescent="0.25">
      <c r="A30" s="7"/>
      <c r="B30" s="98"/>
      <c r="C30" s="98"/>
      <c r="D30" s="98"/>
      <c r="E30" s="98"/>
      <c r="F30" s="15"/>
      <c r="G30" s="2"/>
      <c r="H30" s="2"/>
      <c r="I30" s="2"/>
    </row>
    <row r="31" spans="1:10" ht="15.75" x14ac:dyDescent="0.25">
      <c r="A31" s="7"/>
      <c r="B31" s="216" t="s">
        <v>25</v>
      </c>
      <c r="C31" s="216"/>
      <c r="D31" s="216"/>
      <c r="E31" s="216"/>
      <c r="F31" s="7" t="s">
        <v>21</v>
      </c>
      <c r="G31" s="2"/>
      <c r="H31" s="2"/>
      <c r="I31" s="2"/>
    </row>
    <row r="32" spans="1:10" ht="15.75" x14ac:dyDescent="0.25">
      <c r="A32" s="7"/>
      <c r="B32" s="7"/>
      <c r="C32" s="7"/>
      <c r="D32" s="7"/>
      <c r="E32" s="7"/>
      <c r="F32" s="7"/>
      <c r="G32" s="2"/>
      <c r="H32" s="2"/>
      <c r="I32" s="2"/>
    </row>
    <row r="33" spans="1:9" ht="15.75" x14ac:dyDescent="0.25">
      <c r="A33" s="7" t="s">
        <v>10</v>
      </c>
      <c r="B33" s="212" t="s">
        <v>27</v>
      </c>
      <c r="C33" s="212"/>
      <c r="D33" s="212"/>
      <c r="E33" s="212"/>
      <c r="F33" s="7"/>
      <c r="G33" s="2"/>
      <c r="H33" s="2"/>
      <c r="I33" s="2"/>
    </row>
    <row r="34" spans="1:9" ht="15.75" x14ac:dyDescent="0.25">
      <c r="A34" s="7"/>
      <c r="B34" s="216" t="s">
        <v>28</v>
      </c>
      <c r="C34" s="216"/>
      <c r="D34" s="216"/>
      <c r="E34" s="216"/>
      <c r="F34" s="26"/>
      <c r="G34" s="2"/>
      <c r="H34" s="2"/>
      <c r="I34" s="2"/>
    </row>
    <row r="35" spans="1:9" ht="15.75" x14ac:dyDescent="0.25">
      <c r="A35" s="7"/>
      <c r="B35" s="7"/>
      <c r="C35" s="7"/>
      <c r="D35" s="7"/>
      <c r="E35" s="7"/>
      <c r="F35" s="7"/>
      <c r="G35" s="2"/>
      <c r="H35" s="2"/>
      <c r="I35" s="2"/>
    </row>
    <row r="36" spans="1:9" ht="15.75" x14ac:dyDescent="0.25">
      <c r="A36" s="7"/>
      <c r="B36" s="7" t="s">
        <v>29</v>
      </c>
      <c r="C36" s="216"/>
      <c r="D36" s="216"/>
      <c r="E36" s="216"/>
      <c r="F36" s="7" t="s">
        <v>21</v>
      </c>
      <c r="G36" s="2"/>
      <c r="H36" s="2"/>
      <c r="I36" s="2"/>
    </row>
  </sheetData>
  <sheetProtection password="E9BA" sheet="1" objects="1" scenarios="1" formatCells="0" formatColumns="0" formatRows="0" insertColumns="0" insertRows="0" deleteRows="0"/>
  <dataConsolidate/>
  <mergeCells count="10">
    <mergeCell ref="B1:C1"/>
    <mergeCell ref="C2:D2"/>
    <mergeCell ref="B28:E28"/>
    <mergeCell ref="B29:E29"/>
    <mergeCell ref="C3:D3"/>
    <mergeCell ref="B31:C31"/>
    <mergeCell ref="D31:E31"/>
    <mergeCell ref="B33:E33"/>
    <mergeCell ref="B34:E34"/>
    <mergeCell ref="C36:E36"/>
  </mergeCells>
  <dataValidations count="1">
    <dataValidation type="list" allowBlank="1" showInputMessage="1" showErrorMessage="1" sqref="H3:I3">
      <formula1>"2009/2010,2010/2011,2011/2012"</formula1>
    </dataValidation>
  </dataValidations>
  <pageMargins left="0.11811023622047245" right="0.11811023622047245" top="0.94488188976377963" bottom="0.74803149606299213" header="0.31496062992125984" footer="0.31496062992125984"/>
  <pageSetup paperSize="9" scale="88" orientation="landscape" blackAndWhite="1" r:id="rId1"/>
  <headerFooter>
    <oddHeader>&amp;C&amp;"-,Bold"&amp;16UNIVERSITY OF LAGOS&amp;12
Departmental Responsibilty Form</oddHead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Staff_List!$A$2:$A$53</xm:f>
          </x14:formula1>
          <xm:sqref>C8:G25</xm:sqref>
        </x14:dataValidation>
        <x14:dataValidation type="list" showInputMessage="1" showErrorMessage="1">
          <x14:formula1>
            <xm:f>Info_Lists!$D$2:$D$83</xm:f>
          </x14:formula1>
          <xm:sqref>C2:D2</xm:sqref>
        </x14:dataValidation>
        <x14:dataValidation type="list" allowBlank="1" showInputMessage="1" showErrorMessage="1">
          <x14:formula1>
            <xm:f>Info_Lists!$B$2:$B$7</xm:f>
          </x14:formula1>
          <xm:sqref>H2:I2</xm:sqref>
        </x14:dataValidation>
        <x14:dataValidation type="list" showInputMessage="1" showErrorMessage="1">
          <x14:formula1>
            <xm:f>Info_Lists!$E$14:$E$94</xm:f>
          </x14:formula1>
          <xm:sqref>C3:D3</xm:sqref>
        </x14:dataValidation>
        <x14:dataValidation type="list" allowBlank="1" showInputMessage="1" showErrorMessage="1">
          <x14:formula1>
            <xm:f>Info_Lists!$A$2:$A$9</xm:f>
          </x14:formula1>
          <xm:sqref>B8:B17</xm:sqref>
        </x14:dataValidation>
        <x14:dataValidation type="list" allowBlank="1" showInputMessage="1" showErrorMessage="1">
          <x14:formula1>
            <xm:f>Info_Lists!$C$2:$C$14</xm:f>
          </x14:formula1>
          <xm:sqref>F2:F3</xm:sqref>
        </x14:dataValidation>
        <x14:dataValidation type="list" allowBlank="1" showInputMessage="1" showErrorMessage="1">
          <x14:formula1>
            <xm:f>Info_Lists!$G$2:$G$30</xm:f>
          </x14:formula1>
          <xm:sqref>B18:B25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1"/>
  <sheetViews>
    <sheetView zoomScale="115" zoomScaleNormal="115" workbookViewId="0">
      <selection activeCell="G22" sqref="G22:H22"/>
    </sheetView>
  </sheetViews>
  <sheetFormatPr defaultRowHeight="15" x14ac:dyDescent="0.25"/>
  <cols>
    <col min="1" max="1" width="7.85546875" customWidth="1"/>
    <col min="2" max="2" width="25.7109375" customWidth="1"/>
    <col min="3" max="3" width="1.7109375" customWidth="1"/>
    <col min="4" max="4" width="15.7109375" customWidth="1"/>
    <col min="5" max="5" width="15.85546875" customWidth="1"/>
    <col min="6" max="6" width="15.42578125" bestFit="1" customWidth="1"/>
    <col min="7" max="8" width="21.85546875" customWidth="1"/>
    <col min="9" max="9" width="1.7109375" customWidth="1"/>
  </cols>
  <sheetData>
    <row r="1" spans="1:9" ht="15.75" x14ac:dyDescent="0.25">
      <c r="A1" s="155" t="s">
        <v>348</v>
      </c>
      <c r="B1" s="2"/>
      <c r="C1" s="2"/>
      <c r="D1" s="245" t="s">
        <v>373</v>
      </c>
      <c r="E1" s="245"/>
      <c r="F1" s="21"/>
      <c r="G1" s="2"/>
      <c r="H1" s="2"/>
      <c r="I1" s="2"/>
    </row>
    <row r="2" spans="1:9" ht="15.75" x14ac:dyDescent="0.25">
      <c r="A2" s="155" t="s">
        <v>349</v>
      </c>
      <c r="B2" s="2"/>
      <c r="C2" s="2"/>
      <c r="D2" s="246" t="str">
        <f>Excess_Workload!$C$4</f>
        <v>Estate Management</v>
      </c>
      <c r="E2" s="246"/>
      <c r="F2" s="246"/>
      <c r="G2" s="2"/>
      <c r="H2" s="2"/>
      <c r="I2" s="2"/>
    </row>
    <row r="3" spans="1:9" ht="15.75" x14ac:dyDescent="0.25">
      <c r="A3" s="155" t="s">
        <v>350</v>
      </c>
      <c r="B3" s="2"/>
      <c r="C3" s="2"/>
      <c r="D3" s="246" t="str">
        <f>Excess_Workload!$C$2</f>
        <v>Dr. A.C. Otegbulu</v>
      </c>
      <c r="E3" s="246"/>
      <c r="F3" s="63"/>
      <c r="G3" s="2"/>
      <c r="H3" s="2"/>
      <c r="I3" s="2"/>
    </row>
    <row r="4" spans="1:9" ht="15.75" x14ac:dyDescent="0.25">
      <c r="A4" s="155" t="s">
        <v>351</v>
      </c>
      <c r="B4" s="2"/>
      <c r="C4" s="2"/>
      <c r="D4" s="246" t="str">
        <f>Excess_Workload!$G$4</f>
        <v>Lecturer I</v>
      </c>
      <c r="E4" s="246"/>
      <c r="F4" s="63"/>
      <c r="G4" s="2"/>
      <c r="H4" s="2"/>
      <c r="I4" s="2"/>
    </row>
    <row r="5" spans="1:9" ht="15.75" x14ac:dyDescent="0.25">
      <c r="A5" s="155" t="s">
        <v>352</v>
      </c>
      <c r="B5" s="2"/>
      <c r="C5" s="2"/>
      <c r="D5" s="63" t="str">
        <f>Excess_Workload!$G$2</f>
        <v>A7581</v>
      </c>
      <c r="E5" s="21"/>
      <c r="F5" s="21"/>
      <c r="G5" s="2"/>
      <c r="H5" s="2"/>
      <c r="I5" s="2"/>
    </row>
    <row r="6" spans="1:9" ht="15.75" x14ac:dyDescent="0.25">
      <c r="A6" s="155" t="s">
        <v>353</v>
      </c>
      <c r="B6" s="2"/>
      <c r="C6" s="2"/>
      <c r="D6" s="224" t="s">
        <v>490</v>
      </c>
      <c r="E6" s="224"/>
      <c r="F6" s="2"/>
      <c r="G6" s="2"/>
      <c r="H6" s="2"/>
      <c r="I6" s="2"/>
    </row>
    <row r="7" spans="1:9" ht="15.75" x14ac:dyDescent="0.25">
      <c r="A7" s="155" t="s">
        <v>354</v>
      </c>
      <c r="B7" s="2"/>
      <c r="C7" s="2"/>
      <c r="D7" s="170" t="str">
        <f>Excess_Workload!$I$4</f>
        <v>2008/2009</v>
      </c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31.5" x14ac:dyDescent="0.25">
      <c r="A9" s="156" t="s">
        <v>371</v>
      </c>
      <c r="B9" s="157" t="s">
        <v>45</v>
      </c>
      <c r="C9" s="158"/>
      <c r="D9" s="159"/>
      <c r="E9" s="159"/>
      <c r="F9" s="159"/>
      <c r="G9" s="159"/>
      <c r="H9" s="159"/>
      <c r="I9" s="160"/>
    </row>
    <row r="10" spans="1:9" ht="15" customHeight="1" x14ac:dyDescent="0.25">
      <c r="A10" s="228"/>
      <c r="B10" s="229" t="str">
        <f>"Postgraduate        Supervision              Allowance                              ("&amp;"NGN "&amp;IF(OR(LEFT($D$4,1)="P",LEFT($D$4,1)="R"),"25,000.00",IF(LEFT($D$4,1)="S","20,000.00",IF(AND(LEFT($D$4,1)="L",OR(RIGHT($D$4,2)=" I",RIGHT($D$4,2)="II")),"15,000.00","ERROR")))&amp;" Per Student, Per Annum) A maximum of 5 Students"</f>
        <v>Postgraduate        Supervision              Allowance                              (NGN 15,000.00 Per Student, Per Annum) A maximum of 5 Students</v>
      </c>
      <c r="C10" s="171"/>
      <c r="D10" s="172" t="s">
        <v>355</v>
      </c>
      <c r="E10" s="172"/>
      <c r="F10" s="172"/>
      <c r="G10" s="161"/>
      <c r="H10" s="161"/>
      <c r="I10" s="162"/>
    </row>
    <row r="11" spans="1:9" ht="15" customHeight="1" x14ac:dyDescent="0.25">
      <c r="A11" s="228"/>
      <c r="B11" s="230"/>
      <c r="C11" s="173"/>
      <c r="D11" s="233" t="s">
        <v>356</v>
      </c>
      <c r="E11" s="234"/>
      <c r="F11" s="105" t="s">
        <v>357</v>
      </c>
      <c r="G11" s="252" t="s">
        <v>358</v>
      </c>
      <c r="H11" s="252"/>
      <c r="I11" s="164"/>
    </row>
    <row r="12" spans="1:9" ht="15" customHeight="1" x14ac:dyDescent="0.25">
      <c r="A12" s="228"/>
      <c r="B12" s="230"/>
      <c r="C12" s="173"/>
      <c r="D12" s="247" t="str">
        <f>IF(PG_Supervision!E9="","",PG_Supervision!E9)</f>
        <v>Shittu Oyewale</v>
      </c>
      <c r="E12" s="248"/>
      <c r="F12" s="174" t="str">
        <f>IF(PG_Supervision!D9="","",PG_Supervision!D9)</f>
        <v>079053007</v>
      </c>
      <c r="G12" s="232"/>
      <c r="H12" s="232"/>
      <c r="I12" s="164"/>
    </row>
    <row r="13" spans="1:9" ht="15" customHeight="1" x14ac:dyDescent="0.25">
      <c r="A13" s="228"/>
      <c r="B13" s="230"/>
      <c r="C13" s="173"/>
      <c r="D13" s="247" t="str">
        <f>IF(PG_Supervision!E10="","",PG_Supervision!E10)</f>
        <v>Olukolayo michael</v>
      </c>
      <c r="E13" s="248"/>
      <c r="F13" s="174" t="str">
        <f>IF(PG_Supervision!D10="","",PG_Supervision!D10)</f>
        <v>069054005</v>
      </c>
      <c r="G13" s="232"/>
      <c r="H13" s="232"/>
      <c r="I13" s="164"/>
    </row>
    <row r="14" spans="1:9" ht="15" customHeight="1" x14ac:dyDescent="0.25">
      <c r="A14" s="228"/>
      <c r="B14" s="230"/>
      <c r="C14" s="173"/>
      <c r="D14" s="247" t="str">
        <f>IF(PG_Supervision!E11="","",PG_Supervision!E11)</f>
        <v>Alabi Afees</v>
      </c>
      <c r="E14" s="248"/>
      <c r="F14" s="174" t="str">
        <f>IF(PG_Supervision!D11="","",PG_Supervision!D11)</f>
        <v>990502020</v>
      </c>
      <c r="G14" s="232"/>
      <c r="H14" s="232"/>
      <c r="I14" s="164"/>
    </row>
    <row r="15" spans="1:9" ht="15" customHeight="1" x14ac:dyDescent="0.25">
      <c r="A15" s="228"/>
      <c r="B15" s="230"/>
      <c r="C15" s="173"/>
      <c r="D15" s="247" t="str">
        <f>IF(PG_Supervision!E12="","",PG_Supervision!E12)</f>
        <v>Ogungbemi Abel</v>
      </c>
      <c r="E15" s="248"/>
      <c r="F15" s="174" t="str">
        <f>IF(PG_Supervision!D12="","",PG_Supervision!D12)</f>
        <v>059053007</v>
      </c>
      <c r="G15" s="232"/>
      <c r="H15" s="232"/>
      <c r="I15" s="164"/>
    </row>
    <row r="16" spans="1:9" ht="15" customHeight="1" x14ac:dyDescent="0.25">
      <c r="A16" s="228"/>
      <c r="B16" s="175">
        <f>PG_Supervision!$E$15</f>
        <v>30000</v>
      </c>
      <c r="C16" s="176"/>
      <c r="D16" s="247" t="str">
        <f>IF(PG_Supervision!E13="","",PG_Supervision!E13)</f>
        <v/>
      </c>
      <c r="E16" s="248"/>
      <c r="F16" s="174" t="str">
        <f>IF(PG_Supervision!D13="","",PG_Supervision!D13)</f>
        <v/>
      </c>
      <c r="G16" s="232"/>
      <c r="H16" s="232"/>
      <c r="I16" s="165"/>
    </row>
    <row r="17" spans="1:9" ht="15" customHeight="1" x14ac:dyDescent="0.25">
      <c r="A17" s="228"/>
      <c r="B17" s="229" t="str">
        <f>"Teaching    Practice/Industrial Supervision/ Field Trip Allowances           (NGN "&amp;IF(OR(LEFT($D$4,1)="P",LEFT($D$4,1)="R"),"100,000.00",IF(LEFT($D$4,1)="S","80,000.00",IF(OR(LEFT($D$4,1)="L",LEFT($D$4,1)="L",LEFT($D$4,1)="A"),"60,000.00","#ERROR")))&amp;" Per Annum)"</f>
        <v>Teaching    Practice/Industrial Supervision/ Field Trip Allowances           (NGN 60,000.00 Per Annum)</v>
      </c>
      <c r="C17" s="173"/>
      <c r="D17" s="177" t="s">
        <v>359</v>
      </c>
      <c r="E17" s="177"/>
      <c r="F17" s="177"/>
      <c r="G17" s="166"/>
      <c r="H17" s="166"/>
      <c r="I17" s="164"/>
    </row>
    <row r="18" spans="1:9" x14ac:dyDescent="0.25">
      <c r="A18" s="228"/>
      <c r="B18" s="230"/>
      <c r="C18" s="173"/>
      <c r="D18" s="233" t="s">
        <v>356</v>
      </c>
      <c r="E18" s="234"/>
      <c r="F18" s="105" t="s">
        <v>357</v>
      </c>
      <c r="G18" s="252" t="s">
        <v>360</v>
      </c>
      <c r="H18" s="252"/>
      <c r="I18" s="164"/>
    </row>
    <row r="19" spans="1:9" x14ac:dyDescent="0.25">
      <c r="A19" s="228"/>
      <c r="B19" s="230"/>
      <c r="C19" s="173"/>
      <c r="D19" s="226"/>
      <c r="E19" s="227"/>
      <c r="F19" s="178" t="str">
        <f>IF(TP_IS_FT_Allowance!D9="","",TP_IS_FT_Allowance!D9)</f>
        <v>030502017</v>
      </c>
      <c r="G19" s="232" t="s">
        <v>583</v>
      </c>
      <c r="H19" s="232"/>
      <c r="I19" s="164"/>
    </row>
    <row r="20" spans="1:9" x14ac:dyDescent="0.25">
      <c r="A20" s="228"/>
      <c r="B20" s="230"/>
      <c r="C20" s="173"/>
      <c r="D20" s="226"/>
      <c r="E20" s="227"/>
      <c r="F20" s="178" t="str">
        <f>IF(TP_IS_FT_Allowance!D10="","",TP_IS_FT_Allowance!D10)</f>
        <v>030502020</v>
      </c>
      <c r="G20" s="232" t="s">
        <v>584</v>
      </c>
      <c r="H20" s="232"/>
      <c r="I20" s="164"/>
    </row>
    <row r="21" spans="1:9" x14ac:dyDescent="0.25">
      <c r="A21" s="228"/>
      <c r="B21" s="230"/>
      <c r="C21" s="173"/>
      <c r="D21" s="226" t="str">
        <f>IF(TP_IS_FT_Allowance!E11="","",TP_IS_FT_Allowance!E11)</f>
        <v>JOLAOYE AMOS</v>
      </c>
      <c r="E21" s="227"/>
      <c r="F21" s="178" t="str">
        <f>IF(TP_IS_FT_Allowance!D11="","",TP_IS_FT_Allowance!D11)</f>
        <v>030502024</v>
      </c>
      <c r="G21" s="232" t="s">
        <v>583</v>
      </c>
      <c r="H21" s="232"/>
      <c r="I21" s="164"/>
    </row>
    <row r="22" spans="1:9" x14ac:dyDescent="0.25">
      <c r="A22" s="228"/>
      <c r="B22" s="230"/>
      <c r="C22" s="173"/>
      <c r="D22" s="226" t="str">
        <f>IF(TP_IS_FT_Allowance!E12="","",TP_IS_FT_Allowance!E12)</f>
        <v>OJEWALE SARAH</v>
      </c>
      <c r="E22" s="227"/>
      <c r="F22" s="178" t="str">
        <f>IF(TP_IS_FT_Allowance!D12="","",TP_IS_FT_Allowance!D12)</f>
        <v>030502035</v>
      </c>
      <c r="G22" s="232" t="s">
        <v>585</v>
      </c>
      <c r="H22" s="232"/>
      <c r="I22" s="164"/>
    </row>
    <row r="23" spans="1:9" x14ac:dyDescent="0.25">
      <c r="A23" s="228"/>
      <c r="B23" s="179"/>
      <c r="C23" s="173"/>
      <c r="D23" s="226" t="str">
        <f>IF(TP_IS_FT_Allowance!E13="","",TP_IS_FT_Allowance!E13)</f>
        <v/>
      </c>
      <c r="E23" s="227"/>
      <c r="F23" s="178" t="str">
        <f>IF(TP_IS_FT_Allowance!D13="","",TP_IS_FT_Allowance!D13)</f>
        <v/>
      </c>
      <c r="G23" s="232"/>
      <c r="H23" s="232"/>
      <c r="I23" s="164"/>
    </row>
    <row r="24" spans="1:9" ht="15.75" x14ac:dyDescent="0.25">
      <c r="A24" s="228"/>
      <c r="B24" s="180">
        <f>TP_IS_FT_Allowance!$F$32</f>
        <v>30000</v>
      </c>
      <c r="C24" s="173"/>
      <c r="D24" s="226" t="str">
        <f>IF(TP_IS_FT_Allowance!E14="","",TP_IS_FT_Allowance!E14)</f>
        <v/>
      </c>
      <c r="E24" s="227"/>
      <c r="F24" s="178" t="str">
        <f>IF(TP_IS_FT_Allowance!D14="","",TP_IS_FT_Allowance!D14)</f>
        <v/>
      </c>
      <c r="G24" s="232"/>
      <c r="H24" s="232"/>
      <c r="I24" s="164"/>
    </row>
    <row r="25" spans="1:9" x14ac:dyDescent="0.25">
      <c r="A25" s="228"/>
      <c r="B25" s="179"/>
      <c r="C25" s="173"/>
      <c r="D25" s="226" t="str">
        <f>IF(TP_IS_FT_Allowance!E15="","",TP_IS_FT_Allowance!E15)</f>
        <v/>
      </c>
      <c r="E25" s="227"/>
      <c r="F25" s="178" t="str">
        <f>IF(TP_IS_FT_Allowance!D15="","",TP_IS_FT_Allowance!D15)</f>
        <v/>
      </c>
      <c r="G25" s="232"/>
      <c r="H25" s="232"/>
      <c r="I25" s="164"/>
    </row>
    <row r="26" spans="1:9" x14ac:dyDescent="0.25">
      <c r="A26" s="228"/>
      <c r="B26" s="179"/>
      <c r="C26" s="173"/>
      <c r="D26" s="226" t="str">
        <f>IF(TP_IS_FT_Allowance!E16="","",TP_IS_FT_Allowance!E16)</f>
        <v/>
      </c>
      <c r="E26" s="227"/>
      <c r="F26" s="178" t="str">
        <f>IF(TP_IS_FT_Allowance!D16="","",TP_IS_FT_Allowance!D16)</f>
        <v/>
      </c>
      <c r="G26" s="232"/>
      <c r="H26" s="232"/>
      <c r="I26" s="164"/>
    </row>
    <row r="27" spans="1:9" x14ac:dyDescent="0.25">
      <c r="A27" s="228"/>
      <c r="B27" s="179"/>
      <c r="C27" s="173"/>
      <c r="D27" s="226" t="str">
        <f>IF(TP_IS_FT_Allowance!E17="","",TP_IS_FT_Allowance!E17)</f>
        <v/>
      </c>
      <c r="E27" s="227"/>
      <c r="F27" s="178" t="str">
        <f>IF(TP_IS_FT_Allowance!D17="","",TP_IS_FT_Allowance!D17)</f>
        <v/>
      </c>
      <c r="G27" s="232"/>
      <c r="H27" s="232"/>
      <c r="I27" s="164"/>
    </row>
    <row r="28" spans="1:9" x14ac:dyDescent="0.25">
      <c r="A28" s="228"/>
      <c r="B28" s="179"/>
      <c r="C28" s="173"/>
      <c r="D28" s="226" t="str">
        <f>IF(TP_IS_FT_Allowance!E18="","",TP_IS_FT_Allowance!E18)</f>
        <v/>
      </c>
      <c r="E28" s="227"/>
      <c r="F28" s="178" t="str">
        <f>IF(TP_IS_FT_Allowance!D18="","",TP_IS_FT_Allowance!D18)</f>
        <v/>
      </c>
      <c r="G28" s="232"/>
      <c r="H28" s="232"/>
      <c r="I28" s="164"/>
    </row>
    <row r="29" spans="1:9" x14ac:dyDescent="0.25">
      <c r="A29" s="228"/>
      <c r="B29" s="179"/>
      <c r="C29" s="173"/>
      <c r="D29" s="226" t="str">
        <f>IF(TP_IS_FT_Allowance!E19="","",TP_IS_FT_Allowance!E19)</f>
        <v/>
      </c>
      <c r="E29" s="227"/>
      <c r="F29" s="178" t="str">
        <f>IF(TP_IS_FT_Allowance!D19="","",TP_IS_FT_Allowance!D19)</f>
        <v/>
      </c>
      <c r="G29" s="232"/>
      <c r="H29" s="232"/>
      <c r="I29" s="164"/>
    </row>
    <row r="30" spans="1:9" x14ac:dyDescent="0.25">
      <c r="A30" s="228"/>
      <c r="B30" s="179"/>
      <c r="C30" s="173"/>
      <c r="D30" s="226" t="str">
        <f>IF(TP_IS_FT_Allowance!E20="","",TP_IS_FT_Allowance!E20)</f>
        <v/>
      </c>
      <c r="E30" s="227"/>
      <c r="F30" s="178" t="str">
        <f>IF(TP_IS_FT_Allowance!D20="","",TP_IS_FT_Allowance!D20)</f>
        <v/>
      </c>
      <c r="G30" s="232"/>
      <c r="H30" s="232"/>
      <c r="I30" s="164"/>
    </row>
    <row r="31" spans="1:9" x14ac:dyDescent="0.25">
      <c r="A31" s="228"/>
      <c r="B31" s="179"/>
      <c r="C31" s="173"/>
      <c r="D31" s="226" t="str">
        <f>IF(TP_IS_FT_Allowance!E21="","",TP_IS_FT_Allowance!E21)</f>
        <v/>
      </c>
      <c r="E31" s="227"/>
      <c r="F31" s="178" t="str">
        <f>IF(TP_IS_FT_Allowance!D21="","",TP_IS_FT_Allowance!D21)</f>
        <v/>
      </c>
      <c r="G31" s="232"/>
      <c r="H31" s="232"/>
      <c r="I31" s="164"/>
    </row>
    <row r="32" spans="1:9" x14ac:dyDescent="0.25">
      <c r="A32" s="228"/>
      <c r="B32" s="179"/>
      <c r="C32" s="173"/>
      <c r="D32" s="226" t="str">
        <f>IF(TP_IS_FT_Allowance!E22="","",TP_IS_FT_Allowance!E22)</f>
        <v/>
      </c>
      <c r="E32" s="227"/>
      <c r="F32" s="178" t="str">
        <f>IF(TP_IS_FT_Allowance!D22="","",TP_IS_FT_Allowance!D22)</f>
        <v/>
      </c>
      <c r="G32" s="232"/>
      <c r="H32" s="232"/>
      <c r="I32" s="164"/>
    </row>
    <row r="33" spans="1:9" x14ac:dyDescent="0.25">
      <c r="A33" s="228"/>
      <c r="B33" s="181"/>
      <c r="C33" s="173"/>
      <c r="D33" s="249" t="str">
        <f>IF(TP_IS_FT_Allowance!E23="","",TP_IS_FT_Allowance!E23)</f>
        <v/>
      </c>
      <c r="E33" s="250"/>
      <c r="F33" s="182" t="str">
        <f>IF(TP_IS_FT_Allowance!D23="","",TP_IS_FT_Allowance!D23)</f>
        <v/>
      </c>
      <c r="G33" s="251"/>
      <c r="H33" s="251"/>
      <c r="I33" s="164"/>
    </row>
    <row r="34" spans="1:9" ht="30" x14ac:dyDescent="0.25">
      <c r="A34" s="228"/>
      <c r="B34" s="167" t="s">
        <v>361</v>
      </c>
      <c r="C34" s="168"/>
      <c r="D34" s="253" t="s">
        <v>362</v>
      </c>
      <c r="E34" s="253"/>
      <c r="F34" s="253"/>
      <c r="G34" s="253"/>
      <c r="H34" s="161"/>
      <c r="I34" s="162"/>
    </row>
    <row r="35" spans="1:9" ht="54.75" customHeight="1" x14ac:dyDescent="0.25">
      <c r="A35" s="228"/>
      <c r="B35" s="65"/>
      <c r="C35" s="169"/>
      <c r="D35" s="231" t="s">
        <v>374</v>
      </c>
      <c r="E35" s="231"/>
      <c r="F35" s="231"/>
      <c r="G35" s="231"/>
      <c r="H35" s="231"/>
      <c r="I35" s="165"/>
    </row>
    <row r="36" spans="1:9" ht="15" customHeight="1" x14ac:dyDescent="0.25">
      <c r="A36" s="228"/>
      <c r="B36" s="229" t="s">
        <v>366</v>
      </c>
      <c r="C36" s="183"/>
      <c r="D36" s="172" t="s">
        <v>363</v>
      </c>
      <c r="E36" s="172"/>
      <c r="F36" s="172"/>
      <c r="G36" s="172"/>
      <c r="H36" s="161"/>
      <c r="I36" s="162"/>
    </row>
    <row r="37" spans="1:9" x14ac:dyDescent="0.25">
      <c r="A37" s="228"/>
      <c r="B37" s="230"/>
      <c r="C37" s="184"/>
      <c r="D37" s="233" t="s">
        <v>364</v>
      </c>
      <c r="E37" s="234"/>
      <c r="F37" s="234"/>
      <c r="G37" s="235"/>
      <c r="H37" s="163" t="s">
        <v>365</v>
      </c>
      <c r="I37" s="164"/>
    </row>
    <row r="38" spans="1:9" x14ac:dyDescent="0.25">
      <c r="A38" s="228"/>
      <c r="B38" s="185" t="str">
        <f>IF($D38="","","NGN "&amp;IF(OR($D38="Deputy Vice Chancellor",$D38="Librarian"),"750,000.00",IF(OR($D38="Provost",$D38="Dean",$D38="Director"),"500,000.00",IF(OR($D38="Deputy Provost",$D38="Deputy Dean"),"350,000.00",IF(OR($D38="Head of Department",$D38="Sub Dean"),"250,000.00","150,000.00"))))&amp;" Per Annum")</f>
        <v/>
      </c>
      <c r="C38" s="184"/>
      <c r="D38" s="236" t="str">
        <f>IF(Responsibility!D8="","",Responsibility!D8)</f>
        <v/>
      </c>
      <c r="E38" s="237"/>
      <c r="F38" s="237"/>
      <c r="G38" s="238"/>
      <c r="H38" s="65"/>
      <c r="I38" s="164"/>
    </row>
    <row r="39" spans="1:9" x14ac:dyDescent="0.25">
      <c r="A39" s="228"/>
      <c r="B39" s="185" t="str">
        <f>IF($D39="","","NGN "&amp;IF(OR($D39="Deputy Vice Chancellor",$D39="Librarian"),"750,000.00",IF(OR($D39="Provost",$D39="Dean",$D39="Director"),"500,000.00",IF(OR($D39="Deputy Provost",$D39="Deputy Dean"),"350,000.00",IF(OR($D39="Head of Department",$D39="Sub Dean"),"250,000.00","150,000.00"))))&amp;" Per Annum")</f>
        <v/>
      </c>
      <c r="C39" s="184"/>
      <c r="D39" s="236" t="str">
        <f>IF(Responsibility!D9="","",Responsibility!D9)</f>
        <v/>
      </c>
      <c r="E39" s="237"/>
      <c r="F39" s="237"/>
      <c r="G39" s="238"/>
      <c r="H39" s="65"/>
      <c r="I39" s="164"/>
    </row>
    <row r="40" spans="1:9" x14ac:dyDescent="0.25">
      <c r="A40" s="228"/>
      <c r="B40" s="185" t="str">
        <f>IF($D40="","","NGN "&amp;IF(OR($D40="Deputy Vice Chancellor",$D40="Librarian"),"750,000.00",IF(OR($D40="Provost",$D40="Dean",$D40="Director"),"500,000.00",IF(OR($D40="Deputy Provost",$D40="Deputy Dean"),"350,000.00",IF(OR($D40="Head of Department",$D40="Sub Dean"),"250,000.00","150,000.00"))))&amp;" Per Annum")</f>
        <v/>
      </c>
      <c r="C40" s="184"/>
      <c r="D40" s="236" t="str">
        <f>IF(Responsibility!D10="","",Responsibility!D10)</f>
        <v/>
      </c>
      <c r="E40" s="237"/>
      <c r="F40" s="237"/>
      <c r="G40" s="238"/>
      <c r="H40" s="65"/>
      <c r="I40" s="164"/>
    </row>
    <row r="41" spans="1:9" x14ac:dyDescent="0.25">
      <c r="A41" s="228"/>
      <c r="B41" s="185" t="str">
        <f>IF($D41="","","NGN "&amp;IF(OR($D41="Deputy Vice Chancellor",$D41="Librarian"),"750,000.00",IF(OR($D41="Provost",$D41="Dean",$D41="Director"),"500,000.00",IF(OR($D41="Deputy Provost",$D41="Deputy Dean"),"350,000.00",IF(OR($D41="Head of Department",$D41="Sub Dean"),"250,000.00","150,000.00"))))&amp;" Per Annum")</f>
        <v/>
      </c>
      <c r="C41" s="184"/>
      <c r="D41" s="236" t="str">
        <f>IF(Responsibility!D11="","",Responsibility!D11)</f>
        <v/>
      </c>
      <c r="E41" s="237"/>
      <c r="F41" s="237"/>
      <c r="G41" s="238"/>
      <c r="H41" s="65"/>
      <c r="I41" s="164"/>
    </row>
    <row r="42" spans="1:9" x14ac:dyDescent="0.25">
      <c r="A42" s="228"/>
      <c r="B42" s="185" t="str">
        <f>IF($D42="","","NGN "&amp;IF(OR($D42="Deputy Vice Chancellor",$D42="Librarian"),"750,000.00",IF(OR($D42="Provost",$D42="Dean",$D42="Director"),"500,000.00",IF(OR($D42="Deputy Provost",$D42="Deputy Dean"),"350,000.00",IF(OR($D42="Head of Department",$D42="Sub Dean"),"250,000.00","150,000.00"))))&amp;" Per Annum")</f>
        <v/>
      </c>
      <c r="C42" s="184"/>
      <c r="D42" s="236" t="str">
        <f>IF(Responsibility!D12="","",Responsibility!D12)</f>
        <v/>
      </c>
      <c r="E42" s="237"/>
      <c r="F42" s="237"/>
      <c r="G42" s="238"/>
      <c r="H42" s="65"/>
      <c r="I42" s="164"/>
    </row>
    <row r="43" spans="1:9" x14ac:dyDescent="0.25">
      <c r="A43" s="228"/>
      <c r="B43" s="179"/>
      <c r="C43" s="184"/>
      <c r="D43" s="239" t="str">
        <f>IF(Responsibility!D11="","",Responsibility!D11)</f>
        <v/>
      </c>
      <c r="E43" s="240"/>
      <c r="F43" s="240"/>
      <c r="G43" s="241"/>
      <c r="H43" s="65"/>
      <c r="I43" s="164"/>
    </row>
    <row r="44" spans="1:9" x14ac:dyDescent="0.25">
      <c r="A44" s="228"/>
      <c r="B44" s="186">
        <f>Responsibility!$E$13</f>
        <v>0</v>
      </c>
      <c r="C44" s="187"/>
      <c r="D44" s="239" t="str">
        <f>IF(Responsibility!D12="","",Responsibility!D12)</f>
        <v/>
      </c>
      <c r="E44" s="240"/>
      <c r="F44" s="240"/>
      <c r="G44" s="241"/>
      <c r="H44" s="65"/>
      <c r="I44" s="165"/>
    </row>
    <row r="45" spans="1:9" ht="15" customHeight="1" x14ac:dyDescent="0.25">
      <c r="A45" s="228"/>
      <c r="B45" s="229" t="str">
        <f>"Excess    Workload Allowance (NGN "&amp;IF(OR(LEFT($D$4,1)="U",LEFT($D$4,1)="P",LEFT($D$4,1)="R",LEFT($D$4,1)="S"),"3,500.00","2,000.00")&amp;" Per Hour)"</f>
        <v>Excess    Workload Allowance (NGN 2,000.00 Per Hour)</v>
      </c>
      <c r="C45" s="183"/>
      <c r="D45" s="172" t="s">
        <v>367</v>
      </c>
      <c r="E45" s="172"/>
      <c r="F45" s="172"/>
      <c r="G45" s="172"/>
      <c r="H45" s="172"/>
      <c r="I45" s="162"/>
    </row>
    <row r="46" spans="1:9" ht="30" x14ac:dyDescent="0.25">
      <c r="A46" s="228"/>
      <c r="B46" s="230"/>
      <c r="C46" s="184"/>
      <c r="D46" s="105" t="s">
        <v>189</v>
      </c>
      <c r="E46" s="105" t="s">
        <v>368</v>
      </c>
      <c r="F46" s="188" t="s">
        <v>369</v>
      </c>
      <c r="G46" s="242" t="s">
        <v>370</v>
      </c>
      <c r="H46" s="243"/>
      <c r="I46" s="164"/>
    </row>
    <row r="47" spans="1:9" x14ac:dyDescent="0.25">
      <c r="A47" s="228"/>
      <c r="B47" s="179"/>
      <c r="C47" s="184"/>
      <c r="D47" s="189" t="str">
        <f>IF(Excess_Workload!B9="","",Excess_Workload!B9)</f>
        <v>ESM592</v>
      </c>
      <c r="E47" s="189">
        <f>IF(Excess_Workload!C9="","",Excess_Workload!C9)</f>
        <v>2</v>
      </c>
      <c r="F47" s="189">
        <f>IF(Excess_Workload!E9="","",Excess_Workload!E9)</f>
        <v>1</v>
      </c>
      <c r="G47" s="244">
        <f>IF(Excess_Workload!D9="","",Excess_Workload!D9)</f>
        <v>87</v>
      </c>
      <c r="H47" s="244"/>
      <c r="I47" s="164"/>
    </row>
    <row r="48" spans="1:9" x14ac:dyDescent="0.25">
      <c r="A48" s="228"/>
      <c r="B48" s="179"/>
      <c r="C48" s="184"/>
      <c r="D48" s="189" t="str">
        <f>IF(Excess_Workload!B10="","",Excess_Workload!B10)</f>
        <v>ESM532</v>
      </c>
      <c r="E48" s="189">
        <f>IF(Excess_Workload!C10="","",Excess_Workload!C10)</f>
        <v>2</v>
      </c>
      <c r="F48" s="189">
        <f>IF(Excess_Workload!E10="","",Excess_Workload!E10)</f>
        <v>1</v>
      </c>
      <c r="G48" s="244">
        <f>IF(Excess_Workload!D10="","",Excess_Workload!D10)</f>
        <v>83</v>
      </c>
      <c r="H48" s="244"/>
      <c r="I48" s="164"/>
    </row>
    <row r="49" spans="1:9" x14ac:dyDescent="0.25">
      <c r="A49" s="228"/>
      <c r="B49" s="190">
        <f>Excess_Workload!$E$50</f>
        <v>312500</v>
      </c>
      <c r="C49" s="184"/>
      <c r="D49" s="189" t="str">
        <f>IF(Excess_Workload!B11="","",Excess_Workload!B11)</f>
        <v/>
      </c>
      <c r="E49" s="189" t="str">
        <f>IF(Excess_Workload!C11="","",Excess_Workload!C11)</f>
        <v/>
      </c>
      <c r="F49" s="189" t="str">
        <f>IF(Excess_Workload!E11="","",Excess_Workload!E11)</f>
        <v/>
      </c>
      <c r="G49" s="244" t="str">
        <f>IF(Excess_Workload!D11="","",Excess_Workload!D11)</f>
        <v/>
      </c>
      <c r="H49" s="244"/>
      <c r="I49" s="164"/>
    </row>
    <row r="50" spans="1:9" x14ac:dyDescent="0.25">
      <c r="A50" s="228"/>
      <c r="B50" s="179"/>
      <c r="C50" s="184"/>
      <c r="D50" s="189" t="str">
        <f>IF(Excess_Workload!B12="","",Excess_Workload!B12)</f>
        <v/>
      </c>
      <c r="E50" s="189" t="str">
        <f>IF(Excess_Workload!C12="","",Excess_Workload!C12)</f>
        <v/>
      </c>
      <c r="F50" s="189" t="str">
        <f>IF(Excess_Workload!E12="","",Excess_Workload!E12)</f>
        <v/>
      </c>
      <c r="G50" s="244" t="str">
        <f>IF(Excess_Workload!D12="","",Excess_Workload!D12)</f>
        <v/>
      </c>
      <c r="H50" s="244"/>
      <c r="I50" s="164"/>
    </row>
    <row r="51" spans="1:9" x14ac:dyDescent="0.25">
      <c r="A51" s="228"/>
      <c r="B51" s="179"/>
      <c r="C51" s="184"/>
      <c r="D51" s="189" t="str">
        <f>IF(Excess_Workload!B13="","",Excess_Workload!B13)</f>
        <v/>
      </c>
      <c r="E51" s="189" t="str">
        <f>IF(Excess_Workload!C13="","",Excess_Workload!C13)</f>
        <v/>
      </c>
      <c r="F51" s="189" t="str">
        <f>IF(Excess_Workload!E13="","",Excess_Workload!E13)</f>
        <v/>
      </c>
      <c r="G51" s="244" t="str">
        <f>IF(Excess_Workload!D13="","",Excess_Workload!D13)</f>
        <v/>
      </c>
      <c r="H51" s="244"/>
      <c r="I51" s="164"/>
    </row>
    <row r="52" spans="1:9" x14ac:dyDescent="0.25">
      <c r="A52" s="228"/>
      <c r="B52" s="179"/>
      <c r="C52" s="184"/>
      <c r="D52" s="189" t="str">
        <f>IF(Excess_Workload!B14="","",Excess_Workload!B14)</f>
        <v/>
      </c>
      <c r="E52" s="189" t="str">
        <f>IF(Excess_Workload!C14="","",Excess_Workload!C14)</f>
        <v/>
      </c>
      <c r="F52" s="189" t="str">
        <f>IF(Excess_Workload!E14="","",Excess_Workload!E14)</f>
        <v/>
      </c>
      <c r="G52" s="244" t="str">
        <f>IF(Excess_Workload!D14="","",Excess_Workload!D14)</f>
        <v/>
      </c>
      <c r="H52" s="244"/>
      <c r="I52" s="164"/>
    </row>
    <row r="53" spans="1:9" x14ac:dyDescent="0.25">
      <c r="A53" s="228"/>
      <c r="B53" s="179"/>
      <c r="C53" s="184"/>
      <c r="D53" s="189" t="str">
        <f>IF(Excess_Workload!B15="","",Excess_Workload!B15)</f>
        <v/>
      </c>
      <c r="E53" s="189" t="str">
        <f>IF(Excess_Workload!C15="","",Excess_Workload!C15)</f>
        <v/>
      </c>
      <c r="F53" s="189" t="str">
        <f>IF(Excess_Workload!E15="","",Excess_Workload!E15)</f>
        <v/>
      </c>
      <c r="G53" s="244" t="str">
        <f>IF(Excess_Workload!D15="","",Excess_Workload!D15)</f>
        <v/>
      </c>
      <c r="H53" s="244"/>
      <c r="I53" s="164"/>
    </row>
    <row r="54" spans="1:9" x14ac:dyDescent="0.25">
      <c r="A54" s="228"/>
      <c r="B54" s="179"/>
      <c r="C54" s="184"/>
      <c r="D54" s="189" t="str">
        <f>IF(Excess_Workload!B16="","",Excess_Workload!B16)</f>
        <v/>
      </c>
      <c r="E54" s="189" t="str">
        <f>IF(Excess_Workload!C16="","",Excess_Workload!C16)</f>
        <v/>
      </c>
      <c r="F54" s="189" t="str">
        <f>IF(Excess_Workload!E16="","",Excess_Workload!E16)</f>
        <v/>
      </c>
      <c r="G54" s="244" t="str">
        <f>IF(Excess_Workload!D16="","",Excess_Workload!D16)</f>
        <v/>
      </c>
      <c r="H54" s="244"/>
      <c r="I54" s="164"/>
    </row>
    <row r="55" spans="1:9" x14ac:dyDescent="0.25">
      <c r="A55" s="228"/>
      <c r="B55" s="179"/>
      <c r="C55" s="184"/>
      <c r="D55" s="189" t="str">
        <f>IF(Excess_Workload!B17="","",Excess_Workload!B17)</f>
        <v/>
      </c>
      <c r="E55" s="189" t="str">
        <f>IF(Excess_Workload!C17="","",Excess_Workload!C17)</f>
        <v/>
      </c>
      <c r="F55" s="189" t="str">
        <f>IF(Excess_Workload!E17="","",Excess_Workload!E17)</f>
        <v/>
      </c>
      <c r="G55" s="244" t="str">
        <f>IF(Excess_Workload!D17="","",Excess_Workload!D17)</f>
        <v/>
      </c>
      <c r="H55" s="244"/>
      <c r="I55" s="164"/>
    </row>
    <row r="56" spans="1:9" x14ac:dyDescent="0.25">
      <c r="A56" s="228"/>
      <c r="B56" s="179"/>
      <c r="C56" s="184"/>
      <c r="D56" s="189" t="str">
        <f>IF(Excess_Workload!B18="","",Excess_Workload!B18)</f>
        <v/>
      </c>
      <c r="E56" s="189" t="str">
        <f>IF(Excess_Workload!C18="","",Excess_Workload!C18)</f>
        <v/>
      </c>
      <c r="F56" s="189" t="str">
        <f>IF(Excess_Workload!E18="","",Excess_Workload!E18)</f>
        <v/>
      </c>
      <c r="G56" s="244" t="str">
        <f>IF(Excess_Workload!D18="","",Excess_Workload!D18)</f>
        <v/>
      </c>
      <c r="H56" s="244"/>
      <c r="I56" s="164"/>
    </row>
    <row r="57" spans="1:9" x14ac:dyDescent="0.25">
      <c r="A57" s="228"/>
      <c r="B57" s="179"/>
      <c r="C57" s="184"/>
      <c r="D57" s="189" t="str">
        <f>IF(Excess_Workload!B19="","",Excess_Workload!B19)</f>
        <v/>
      </c>
      <c r="E57" s="189" t="str">
        <f>IF(Excess_Workload!C19="","",Excess_Workload!C19)</f>
        <v/>
      </c>
      <c r="F57" s="189" t="str">
        <f>IF(Excess_Workload!E19="","",Excess_Workload!E19)</f>
        <v/>
      </c>
      <c r="G57" s="244" t="str">
        <f>IF(Excess_Workload!D19="","",Excess_Workload!D19)</f>
        <v/>
      </c>
      <c r="H57" s="244"/>
      <c r="I57" s="164"/>
    </row>
    <row r="58" spans="1:9" x14ac:dyDescent="0.25">
      <c r="A58" s="228"/>
      <c r="B58" s="181"/>
      <c r="C58" s="187"/>
      <c r="D58" s="189" t="str">
        <f>IF(Excess_Workload!B20="","",Excess_Workload!B20)</f>
        <v/>
      </c>
      <c r="E58" s="189" t="str">
        <f>IF(Excess_Workload!C20="","",Excess_Workload!C20)</f>
        <v/>
      </c>
      <c r="F58" s="189" t="str">
        <f>IF(Excess_Workload!E20="","",Excess_Workload!E20)</f>
        <v/>
      </c>
      <c r="G58" s="244" t="str">
        <f>IF(Excess_Workload!D20="","",Excess_Workload!D20)</f>
        <v/>
      </c>
      <c r="H58" s="244"/>
      <c r="I58" s="165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 t="s">
        <v>372</v>
      </c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</sheetData>
  <sheetProtection password="E9BA" sheet="1" objects="1" scenarios="1" formatCells="0" formatColumns="0" formatRows="0" insertRows="0" deleteRows="0"/>
  <mergeCells count="81">
    <mergeCell ref="G57:H57"/>
    <mergeCell ref="G58:H58"/>
    <mergeCell ref="B45:B46"/>
    <mergeCell ref="B10:B15"/>
    <mergeCell ref="B36:B37"/>
    <mergeCell ref="D43:G43"/>
    <mergeCell ref="D42:G42"/>
    <mergeCell ref="G32:H32"/>
    <mergeCell ref="G33:H33"/>
    <mergeCell ref="G18:H18"/>
    <mergeCell ref="G25:H25"/>
    <mergeCell ref="G12:H12"/>
    <mergeCell ref="G11:H11"/>
    <mergeCell ref="G13:H13"/>
    <mergeCell ref="G14:H14"/>
    <mergeCell ref="D34:G34"/>
    <mergeCell ref="D16:E16"/>
    <mergeCell ref="D19:E19"/>
    <mergeCell ref="G54:H54"/>
    <mergeCell ref="G55:H55"/>
    <mergeCell ref="G16:H16"/>
    <mergeCell ref="G19:H19"/>
    <mergeCell ref="G24:H24"/>
    <mergeCell ref="D32:E32"/>
    <mergeCell ref="D18:E18"/>
    <mergeCell ref="G53:H53"/>
    <mergeCell ref="D20:E20"/>
    <mergeCell ref="D21:E21"/>
    <mergeCell ref="D33:E33"/>
    <mergeCell ref="D22:E22"/>
    <mergeCell ref="D23:E23"/>
    <mergeCell ref="D29:E29"/>
    <mergeCell ref="D12:E12"/>
    <mergeCell ref="D13:E13"/>
    <mergeCell ref="D14:E14"/>
    <mergeCell ref="D15:E15"/>
    <mergeCell ref="G15:H15"/>
    <mergeCell ref="D1:E1"/>
    <mergeCell ref="D2:F2"/>
    <mergeCell ref="D3:E3"/>
    <mergeCell ref="D4:E4"/>
    <mergeCell ref="D6:E6"/>
    <mergeCell ref="A36:A44"/>
    <mergeCell ref="A45:A58"/>
    <mergeCell ref="D37:G37"/>
    <mergeCell ref="D38:G38"/>
    <mergeCell ref="D39:G39"/>
    <mergeCell ref="D40:G40"/>
    <mergeCell ref="D41:G41"/>
    <mergeCell ref="D44:G44"/>
    <mergeCell ref="G46:H46"/>
    <mergeCell ref="G47:H47"/>
    <mergeCell ref="G48:H48"/>
    <mergeCell ref="G49:H49"/>
    <mergeCell ref="G50:H50"/>
    <mergeCell ref="G51:H51"/>
    <mergeCell ref="G52:H52"/>
    <mergeCell ref="G56:H56"/>
    <mergeCell ref="A10:A16"/>
    <mergeCell ref="A17:A33"/>
    <mergeCell ref="A34:A35"/>
    <mergeCell ref="B17:B22"/>
    <mergeCell ref="D35:H35"/>
    <mergeCell ref="G26:H26"/>
    <mergeCell ref="G27:H27"/>
    <mergeCell ref="G28:H28"/>
    <mergeCell ref="G29:H29"/>
    <mergeCell ref="G30:H30"/>
    <mergeCell ref="G31:H31"/>
    <mergeCell ref="G20:H20"/>
    <mergeCell ref="G21:H21"/>
    <mergeCell ref="G22:H22"/>
    <mergeCell ref="G23:H23"/>
    <mergeCell ref="D11:E11"/>
    <mergeCell ref="D30:E30"/>
    <mergeCell ref="D31:E31"/>
    <mergeCell ref="D24:E24"/>
    <mergeCell ref="D25:E25"/>
    <mergeCell ref="D26:E26"/>
    <mergeCell ref="D27:E27"/>
    <mergeCell ref="D28:E28"/>
  </mergeCells>
  <dataValidations count="1">
    <dataValidation type="list" allowBlank="1" showInputMessage="1" showErrorMessage="1" sqref="D35:H35">
      <formula1>"Not Applicable,Photocopy Herewith Attached"</formula1>
    </dataValidation>
  </dataValidations>
  <pageMargins left="0.70866141732283472" right="0.70866141732283472" top="1.5354330708661419" bottom="0.74803149606299213" header="0.31496062992125984" footer="0.31496062992125984"/>
  <pageSetup paperSize="9" orientation="landscape" blackAndWhite="1" verticalDpi="0" r:id="rId1"/>
  <headerFooter>
    <oddHeader>&amp;C&amp;"Times New Roman,Regular"&amp;22IMPLEMENTATION MONITORING COMMITTEE
EARNED ALLOWANCES FORM&amp;"-,Regular"&amp;11
&amp;"Times New Roman,Bold"&amp;12(To be completed by Academic Staff Only)</oddHeader>
    <oddFooter>&amp;C&amp;P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J36"/>
  <sheetViews>
    <sheetView workbookViewId="0">
      <selection activeCell="D5" sqref="D5"/>
    </sheetView>
  </sheetViews>
  <sheetFormatPr defaultRowHeight="15" x14ac:dyDescent="0.25"/>
  <cols>
    <col min="1" max="1" width="2.85546875" bestFit="1" customWidth="1"/>
    <col min="2" max="2" width="18.5703125" bestFit="1" customWidth="1"/>
    <col min="3" max="3" width="26.5703125" bestFit="1" customWidth="1"/>
    <col min="4" max="4" width="26.42578125" bestFit="1" customWidth="1"/>
    <col min="5" max="6" width="26.5703125" bestFit="1" customWidth="1"/>
    <col min="7" max="7" width="30.42578125" bestFit="1" customWidth="1"/>
    <col min="8" max="8" width="9.85546875" bestFit="1" customWidth="1"/>
  </cols>
  <sheetData>
    <row r="1" spans="1:10" x14ac:dyDescent="0.25">
      <c r="A1" s="21" t="s">
        <v>0</v>
      </c>
      <c r="B1" s="225" t="s">
        <v>60</v>
      </c>
      <c r="C1" s="225"/>
      <c r="D1" s="2"/>
      <c r="E1" s="2"/>
      <c r="F1" s="2"/>
      <c r="G1" s="2"/>
      <c r="H1" s="3"/>
      <c r="I1" s="2"/>
      <c r="J1" s="2"/>
    </row>
    <row r="2" spans="1:10" x14ac:dyDescent="0.25">
      <c r="A2" s="2"/>
      <c r="B2" s="16" t="s">
        <v>35</v>
      </c>
      <c r="C2" s="224" t="s">
        <v>77</v>
      </c>
      <c r="D2" s="224"/>
      <c r="E2" s="16" t="s">
        <v>4</v>
      </c>
      <c r="F2" s="99" t="s">
        <v>74</v>
      </c>
      <c r="G2" s="67"/>
      <c r="H2" s="102"/>
    </row>
    <row r="3" spans="1:10" x14ac:dyDescent="0.25">
      <c r="A3" s="2"/>
      <c r="B3" s="16" t="s">
        <v>172</v>
      </c>
      <c r="C3" s="224" t="s">
        <v>170</v>
      </c>
      <c r="D3" s="224"/>
      <c r="E3" s="110"/>
      <c r="F3" s="101"/>
      <c r="G3" s="110"/>
      <c r="H3" s="101"/>
    </row>
    <row r="4" spans="1:10" x14ac:dyDescent="0.25">
      <c r="A4" s="2"/>
      <c r="B4" s="2"/>
      <c r="C4" s="2"/>
      <c r="D4" s="2"/>
      <c r="E4" s="2"/>
      <c r="F4" s="2"/>
      <c r="G4" s="2"/>
      <c r="H4" s="2"/>
    </row>
    <row r="5" spans="1:10" x14ac:dyDescent="0.25">
      <c r="A5" s="21" t="s">
        <v>7</v>
      </c>
      <c r="B5" s="113" t="s">
        <v>62</v>
      </c>
      <c r="C5" s="113" t="s">
        <v>63</v>
      </c>
      <c r="D5" s="21"/>
      <c r="E5" s="21"/>
      <c r="F5" s="21"/>
      <c r="G5" s="21"/>
      <c r="H5" s="2"/>
    </row>
    <row r="6" spans="1:10" x14ac:dyDescent="0.25">
      <c r="A6" s="21"/>
      <c r="B6" s="114"/>
      <c r="C6" s="115" t="s">
        <v>314</v>
      </c>
      <c r="D6" s="115" t="s">
        <v>48</v>
      </c>
      <c r="E6" s="115" t="s">
        <v>49</v>
      </c>
      <c r="F6" s="115" t="s">
        <v>50</v>
      </c>
      <c r="G6" s="115" t="s">
        <v>51</v>
      </c>
      <c r="H6" s="2"/>
    </row>
    <row r="7" spans="1:10" x14ac:dyDescent="0.25">
      <c r="A7" s="21"/>
      <c r="B7" s="16" t="s">
        <v>52</v>
      </c>
      <c r="C7" s="116"/>
      <c r="D7" s="116"/>
      <c r="E7" s="116"/>
      <c r="F7" s="116"/>
      <c r="G7" s="117"/>
      <c r="H7" s="2"/>
    </row>
    <row r="8" spans="1:10" x14ac:dyDescent="0.25">
      <c r="A8" s="2"/>
      <c r="B8" s="111">
        <v>100</v>
      </c>
      <c r="C8" s="65"/>
      <c r="D8" s="65"/>
      <c r="E8" s="65"/>
      <c r="F8" s="65"/>
      <c r="G8" s="65"/>
      <c r="H8" s="2"/>
    </row>
    <row r="9" spans="1:10" x14ac:dyDescent="0.25">
      <c r="A9" s="2"/>
      <c r="B9" s="111">
        <v>200</v>
      </c>
      <c r="C9" s="65"/>
      <c r="D9" s="65"/>
      <c r="E9" s="65"/>
      <c r="F9" s="65"/>
      <c r="G9" s="65"/>
      <c r="H9" s="2"/>
    </row>
    <row r="10" spans="1:10" x14ac:dyDescent="0.25">
      <c r="A10" s="2"/>
      <c r="B10" s="111">
        <v>300</v>
      </c>
      <c r="C10" s="65"/>
      <c r="D10" s="65"/>
      <c r="E10" s="65"/>
      <c r="F10" s="65"/>
      <c r="G10" s="65"/>
      <c r="H10" s="2"/>
    </row>
    <row r="11" spans="1:10" x14ac:dyDescent="0.25">
      <c r="A11" s="2"/>
      <c r="B11" s="111">
        <v>400</v>
      </c>
      <c r="C11" s="65"/>
      <c r="D11" s="65"/>
      <c r="E11" s="65"/>
      <c r="F11" s="65"/>
      <c r="G11" s="65"/>
      <c r="H11" s="2"/>
    </row>
    <row r="12" spans="1:10" x14ac:dyDescent="0.25">
      <c r="A12" s="2"/>
      <c r="B12" s="111">
        <v>500</v>
      </c>
      <c r="C12" s="65"/>
      <c r="D12" s="65"/>
      <c r="E12" s="65"/>
      <c r="F12" s="65"/>
      <c r="G12" s="65"/>
      <c r="H12" s="2"/>
    </row>
    <row r="13" spans="1:10" x14ac:dyDescent="0.25">
      <c r="A13" s="2"/>
      <c r="B13" s="111">
        <v>500</v>
      </c>
      <c r="C13" s="112"/>
      <c r="D13" s="65"/>
      <c r="E13" s="65"/>
      <c r="F13" s="65"/>
      <c r="G13" s="65"/>
      <c r="H13" s="2"/>
    </row>
    <row r="14" spans="1:10" x14ac:dyDescent="0.25">
      <c r="A14" s="2"/>
      <c r="B14" s="111">
        <v>500</v>
      </c>
      <c r="C14" s="65"/>
      <c r="D14" s="112"/>
      <c r="E14" s="65"/>
      <c r="F14" s="65"/>
      <c r="G14" s="65"/>
      <c r="H14" s="2"/>
    </row>
    <row r="15" spans="1:10" x14ac:dyDescent="0.25">
      <c r="A15" s="2"/>
      <c r="B15" s="111">
        <v>500</v>
      </c>
      <c r="C15" s="65"/>
      <c r="D15" s="65"/>
      <c r="E15" s="112"/>
      <c r="F15" s="65"/>
      <c r="G15" s="65"/>
      <c r="H15" s="2"/>
    </row>
    <row r="16" spans="1:10" x14ac:dyDescent="0.25">
      <c r="A16" s="2"/>
      <c r="B16" s="111">
        <v>500</v>
      </c>
      <c r="C16" s="65"/>
      <c r="D16" s="65"/>
      <c r="E16" s="65"/>
      <c r="F16" s="112"/>
      <c r="G16" s="65"/>
      <c r="H16" s="2"/>
    </row>
    <row r="17" spans="1:8" x14ac:dyDescent="0.25">
      <c r="A17" s="2"/>
      <c r="B17" s="111">
        <v>600</v>
      </c>
      <c r="C17" s="65"/>
      <c r="D17" s="65"/>
      <c r="E17" s="65"/>
      <c r="F17" s="65"/>
      <c r="G17" s="65"/>
      <c r="H17" s="2"/>
    </row>
    <row r="18" spans="1:8" x14ac:dyDescent="0.25">
      <c r="A18" s="2"/>
      <c r="B18" s="111" t="s">
        <v>55</v>
      </c>
      <c r="C18" s="65"/>
      <c r="D18" s="65"/>
      <c r="E18" s="65"/>
      <c r="F18" s="65"/>
      <c r="G18" s="65"/>
      <c r="H18" s="2"/>
    </row>
    <row r="19" spans="1:8" x14ac:dyDescent="0.25">
      <c r="A19" s="2"/>
      <c r="B19" s="111" t="s">
        <v>56</v>
      </c>
      <c r="C19" s="65"/>
      <c r="D19" s="65"/>
      <c r="E19" s="65"/>
      <c r="F19" s="65"/>
      <c r="G19" s="65"/>
      <c r="H19" s="2"/>
    </row>
    <row r="20" spans="1:8" x14ac:dyDescent="0.25">
      <c r="A20" s="2"/>
      <c r="B20" s="111" t="s">
        <v>57</v>
      </c>
      <c r="C20" s="65"/>
      <c r="D20" s="65"/>
      <c r="E20" s="65"/>
      <c r="F20" s="65"/>
      <c r="G20" s="65"/>
      <c r="H20" s="2"/>
    </row>
    <row r="21" spans="1:8" x14ac:dyDescent="0.25">
      <c r="A21" s="2"/>
      <c r="B21" s="111" t="s">
        <v>59</v>
      </c>
      <c r="C21" s="65"/>
      <c r="D21" s="65"/>
      <c r="E21" s="65"/>
      <c r="F21" s="65"/>
      <c r="G21" s="65"/>
      <c r="H21" s="2"/>
    </row>
    <row r="22" spans="1:8" x14ac:dyDescent="0.25">
      <c r="A22" s="2"/>
      <c r="B22" s="111" t="s">
        <v>58</v>
      </c>
      <c r="C22" s="65"/>
      <c r="D22" s="65"/>
      <c r="E22" s="65"/>
      <c r="F22" s="65"/>
      <c r="G22" s="65"/>
      <c r="H22" s="2"/>
    </row>
    <row r="23" spans="1:8" x14ac:dyDescent="0.25">
      <c r="A23" s="2"/>
      <c r="B23" s="111"/>
      <c r="C23" s="65"/>
      <c r="D23" s="65"/>
      <c r="E23" s="65"/>
      <c r="F23" s="65"/>
      <c r="G23" s="65"/>
      <c r="H23" s="2"/>
    </row>
    <row r="24" spans="1:8" x14ac:dyDescent="0.25">
      <c r="A24" s="2"/>
      <c r="B24" s="111"/>
      <c r="C24" s="65"/>
      <c r="D24" s="65"/>
      <c r="E24" s="65"/>
      <c r="F24" s="65"/>
      <c r="G24" s="65"/>
      <c r="H24" s="2"/>
    </row>
    <row r="25" spans="1:8" x14ac:dyDescent="0.25">
      <c r="A25" s="2"/>
      <c r="B25" s="111"/>
      <c r="C25" s="65"/>
      <c r="D25" s="65"/>
      <c r="E25" s="65"/>
      <c r="F25" s="65"/>
      <c r="G25" s="65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7" t="s">
        <v>9</v>
      </c>
      <c r="B28" s="212" t="s">
        <v>23</v>
      </c>
      <c r="C28" s="212"/>
      <c r="D28" s="212"/>
      <c r="E28" s="212"/>
      <c r="F28" s="7"/>
      <c r="G28" s="2"/>
      <c r="H28" s="2"/>
    </row>
    <row r="29" spans="1:8" ht="15.75" x14ac:dyDescent="0.25">
      <c r="A29" s="7"/>
      <c r="B29" s="216" t="s">
        <v>24</v>
      </c>
      <c r="C29" s="216"/>
      <c r="D29" s="216"/>
      <c r="E29" s="216"/>
      <c r="F29" s="118"/>
      <c r="G29" s="2"/>
      <c r="H29" s="2"/>
    </row>
    <row r="30" spans="1:8" ht="15.75" x14ac:dyDescent="0.25">
      <c r="A30" s="7"/>
      <c r="B30" s="98"/>
      <c r="C30" s="98"/>
      <c r="D30" s="98"/>
      <c r="E30" s="98"/>
      <c r="F30" s="15"/>
      <c r="G30" s="2"/>
      <c r="H30" s="2"/>
    </row>
    <row r="31" spans="1:8" ht="15.75" x14ac:dyDescent="0.25">
      <c r="A31" s="7"/>
      <c r="B31" s="216" t="s">
        <v>25</v>
      </c>
      <c r="C31" s="216"/>
      <c r="D31" s="216"/>
      <c r="E31" s="216"/>
      <c r="F31" s="7" t="s">
        <v>21</v>
      </c>
      <c r="G31" s="2"/>
      <c r="H31" s="2"/>
    </row>
    <row r="32" spans="1:8" ht="15.75" x14ac:dyDescent="0.25">
      <c r="A32" s="7"/>
      <c r="B32" s="7"/>
      <c r="C32" s="7"/>
      <c r="D32" s="7"/>
      <c r="E32" s="7"/>
      <c r="F32" s="7"/>
      <c r="G32" s="2"/>
      <c r="H32" s="2"/>
    </row>
    <row r="33" spans="1:8" ht="15.75" x14ac:dyDescent="0.25">
      <c r="A33" s="7" t="s">
        <v>10</v>
      </c>
      <c r="B33" s="212" t="s">
        <v>27</v>
      </c>
      <c r="C33" s="212"/>
      <c r="D33" s="212"/>
      <c r="E33" s="212"/>
      <c r="F33" s="7"/>
      <c r="G33" s="2"/>
      <c r="H33" s="2"/>
    </row>
    <row r="34" spans="1:8" ht="15.75" x14ac:dyDescent="0.25">
      <c r="A34" s="7"/>
      <c r="B34" s="216" t="s">
        <v>28</v>
      </c>
      <c r="C34" s="216"/>
      <c r="D34" s="216"/>
      <c r="E34" s="216"/>
      <c r="F34" s="118"/>
      <c r="G34" s="2"/>
      <c r="H34" s="2"/>
    </row>
    <row r="35" spans="1:8" ht="15.75" x14ac:dyDescent="0.25">
      <c r="A35" s="7"/>
      <c r="B35" s="7"/>
      <c r="C35" s="7"/>
      <c r="D35" s="7"/>
      <c r="E35" s="7"/>
      <c r="F35" s="7"/>
      <c r="G35" s="2"/>
      <c r="H35" s="2"/>
    </row>
    <row r="36" spans="1:8" ht="15.75" x14ac:dyDescent="0.25">
      <c r="A36" s="7"/>
      <c r="B36" s="7" t="s">
        <v>29</v>
      </c>
      <c r="C36" s="216"/>
      <c r="D36" s="216"/>
      <c r="E36" s="216"/>
      <c r="F36" s="7" t="s">
        <v>21</v>
      </c>
      <c r="G36" s="2"/>
      <c r="H36" s="2"/>
    </row>
  </sheetData>
  <sheetProtection password="E9BA" sheet="1" objects="1" scenarios="1" formatCells="0" formatColumns="0" formatRows="0" insertRows="0" deleteRows="0"/>
  <mergeCells count="10">
    <mergeCell ref="B31:C31"/>
    <mergeCell ref="D31:E31"/>
    <mergeCell ref="B33:E33"/>
    <mergeCell ref="B34:E34"/>
    <mergeCell ref="C36:E36"/>
    <mergeCell ref="B29:E29"/>
    <mergeCell ref="B1:C1"/>
    <mergeCell ref="C2:D2"/>
    <mergeCell ref="B28:E28"/>
    <mergeCell ref="C3:D3"/>
  </mergeCells>
  <dataValidations count="1">
    <dataValidation type="list" allowBlank="1" showInputMessage="1" showErrorMessage="1" sqref="H3">
      <formula1>"2009/2010,2010/2011,2011/2012"</formula1>
    </dataValidation>
  </dataValidations>
  <pageMargins left="0.11811023622047245" right="0.11811023622047245" top="0.94488188976377963" bottom="0.74803149606299213" header="0.31496062992125984" footer="0.31496062992125984"/>
  <pageSetup paperSize="9" scale="86" orientation="landscape" blackAndWhite="1" r:id="rId1"/>
  <headerFooter>
    <oddHeader>&amp;C&amp;"-,Bold"&amp;16UNIVERSITY OF LAGOS&amp;14
Departmental Responsibility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Staff_List!$A$2:$A$53</xm:f>
          </x14:formula1>
          <xm:sqref>C8:G25</xm:sqref>
        </x14:dataValidation>
        <x14:dataValidation type="list" showInputMessage="1" showErrorMessage="1">
          <x14:formula1>
            <xm:f>Info_Lists!$D$2:$D$83</xm:f>
          </x14:formula1>
          <xm:sqref>C2:D2</xm:sqref>
        </x14:dataValidation>
        <x14:dataValidation type="list" showInputMessage="1" showErrorMessage="1">
          <x14:formula1>
            <xm:f>Info_Lists!$E$14:$E$94</xm:f>
          </x14:formula1>
          <xm:sqref>C3:D3</xm:sqref>
        </x14:dataValidation>
        <x14:dataValidation type="list" allowBlank="1" showInputMessage="1" showErrorMessage="1">
          <x14:formula1>
            <xm:f>Info_Lists!$C$2:$C$14</xm:f>
          </x14:formula1>
          <xm:sqref>F2:F3</xm:sqref>
        </x14:dataValidation>
        <x14:dataValidation type="list" allowBlank="1" showInputMessage="1" showErrorMessage="1">
          <x14:formula1>
            <xm:f>Info_Lists!$G$2:$G$30</xm:f>
          </x14:formula1>
          <xm:sqref>B18:B25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J36"/>
  <sheetViews>
    <sheetView topLeftCell="A16" workbookViewId="0">
      <selection activeCell="D5" sqref="D5"/>
    </sheetView>
  </sheetViews>
  <sheetFormatPr defaultRowHeight="15" x14ac:dyDescent="0.25"/>
  <cols>
    <col min="1" max="1" width="2.85546875" bestFit="1" customWidth="1"/>
    <col min="2" max="2" width="26.5703125" bestFit="1" customWidth="1"/>
    <col min="3" max="3" width="24.5703125" customWidth="1"/>
    <col min="4" max="6" width="19.140625" bestFit="1" customWidth="1"/>
    <col min="7" max="7" width="19.7109375" bestFit="1" customWidth="1"/>
    <col min="8" max="8" width="9.85546875" bestFit="1" customWidth="1"/>
  </cols>
  <sheetData>
    <row r="1" spans="1:10" x14ac:dyDescent="0.25">
      <c r="A1" s="21" t="s">
        <v>0</v>
      </c>
      <c r="B1" s="225" t="s">
        <v>60</v>
      </c>
      <c r="C1" s="225"/>
      <c r="D1" s="2"/>
      <c r="E1" s="2"/>
      <c r="F1" s="2"/>
      <c r="G1" s="2"/>
      <c r="H1" s="3"/>
      <c r="I1" s="2"/>
      <c r="J1" s="2"/>
    </row>
    <row r="2" spans="1:10" x14ac:dyDescent="0.25">
      <c r="A2" s="2"/>
      <c r="B2" s="16" t="s">
        <v>35</v>
      </c>
      <c r="C2" s="224" t="s">
        <v>36</v>
      </c>
      <c r="D2" s="224"/>
      <c r="E2" s="16" t="s">
        <v>4</v>
      </c>
      <c r="F2" s="99" t="s">
        <v>72</v>
      </c>
      <c r="G2" s="110"/>
      <c r="H2" s="102"/>
    </row>
    <row r="3" spans="1:10" x14ac:dyDescent="0.25">
      <c r="A3" s="2"/>
      <c r="B3" s="16" t="s">
        <v>172</v>
      </c>
      <c r="C3" s="224" t="s">
        <v>142</v>
      </c>
      <c r="D3" s="224"/>
      <c r="E3" s="110"/>
      <c r="F3" s="101"/>
      <c r="G3" s="110"/>
      <c r="H3" s="45"/>
    </row>
    <row r="4" spans="1:10" x14ac:dyDescent="0.25">
      <c r="A4" s="2"/>
      <c r="B4" s="2"/>
      <c r="C4" s="2"/>
      <c r="D4" s="2"/>
      <c r="E4" s="2"/>
      <c r="F4" s="2"/>
      <c r="G4" s="2"/>
    </row>
    <row r="5" spans="1:10" x14ac:dyDescent="0.25">
      <c r="A5" s="21" t="s">
        <v>7</v>
      </c>
      <c r="B5" s="113" t="s">
        <v>62</v>
      </c>
      <c r="C5" s="113" t="s">
        <v>63</v>
      </c>
      <c r="D5" s="21"/>
      <c r="E5" s="21"/>
      <c r="F5" s="21"/>
      <c r="G5" s="21"/>
    </row>
    <row r="6" spans="1:10" x14ac:dyDescent="0.25">
      <c r="A6" s="21"/>
      <c r="B6" s="114"/>
      <c r="C6" s="115" t="s">
        <v>314</v>
      </c>
      <c r="D6" s="115" t="s">
        <v>48</v>
      </c>
      <c r="E6" s="115" t="s">
        <v>49</v>
      </c>
      <c r="F6" s="115" t="s">
        <v>50</v>
      </c>
      <c r="G6" s="115" t="s">
        <v>51</v>
      </c>
    </row>
    <row r="7" spans="1:10" x14ac:dyDescent="0.25">
      <c r="A7" s="21"/>
      <c r="B7" s="16" t="s">
        <v>52</v>
      </c>
      <c r="C7" s="116"/>
      <c r="D7" s="116"/>
      <c r="E7" s="116"/>
      <c r="F7" s="116"/>
      <c r="G7" s="117"/>
    </row>
    <row r="8" spans="1:10" x14ac:dyDescent="0.25">
      <c r="A8" s="2"/>
      <c r="B8" s="111">
        <v>100</v>
      </c>
      <c r="C8" s="65"/>
      <c r="D8" s="65"/>
      <c r="E8" s="65"/>
      <c r="F8" s="65"/>
      <c r="G8" s="65"/>
    </row>
    <row r="9" spans="1:10" x14ac:dyDescent="0.25">
      <c r="A9" s="2"/>
      <c r="B9" s="111">
        <v>200</v>
      </c>
      <c r="C9" s="65"/>
      <c r="D9" s="65"/>
      <c r="E9" s="65"/>
      <c r="F9" s="65"/>
      <c r="G9" s="65"/>
    </row>
    <row r="10" spans="1:10" x14ac:dyDescent="0.25">
      <c r="A10" s="2"/>
      <c r="B10" s="111">
        <v>300</v>
      </c>
      <c r="C10" s="65"/>
      <c r="D10" s="65"/>
      <c r="E10" s="65"/>
      <c r="F10" s="65"/>
      <c r="G10" s="65"/>
    </row>
    <row r="11" spans="1:10" x14ac:dyDescent="0.25">
      <c r="A11" s="2"/>
      <c r="B11" s="111">
        <v>400</v>
      </c>
      <c r="C11" s="65"/>
      <c r="D11" s="65"/>
      <c r="E11" s="65"/>
      <c r="F11" s="65"/>
      <c r="G11" s="65"/>
    </row>
    <row r="12" spans="1:10" x14ac:dyDescent="0.25">
      <c r="A12" s="2"/>
      <c r="B12" s="111">
        <v>500</v>
      </c>
      <c r="C12" s="65"/>
      <c r="D12" s="65"/>
      <c r="E12" s="65"/>
      <c r="F12" s="65"/>
      <c r="G12" s="65"/>
    </row>
    <row r="13" spans="1:10" x14ac:dyDescent="0.25">
      <c r="A13" s="2"/>
      <c r="B13" s="111">
        <v>500</v>
      </c>
      <c r="C13" s="65"/>
      <c r="D13" s="65"/>
      <c r="E13" s="65"/>
      <c r="F13" s="65"/>
      <c r="G13" s="65"/>
    </row>
    <row r="14" spans="1:10" x14ac:dyDescent="0.25">
      <c r="A14" s="2"/>
      <c r="B14" s="111">
        <v>500</v>
      </c>
      <c r="C14" s="65"/>
      <c r="D14" s="65"/>
      <c r="E14" s="65"/>
      <c r="F14" s="65"/>
      <c r="G14" s="65"/>
    </row>
    <row r="15" spans="1:10" x14ac:dyDescent="0.25">
      <c r="A15" s="2"/>
      <c r="B15" s="111">
        <v>500</v>
      </c>
      <c r="C15" s="65"/>
      <c r="D15" s="65"/>
      <c r="E15" s="65"/>
      <c r="F15" s="65"/>
      <c r="G15" s="65"/>
    </row>
    <row r="16" spans="1:10" x14ac:dyDescent="0.25">
      <c r="A16" s="2"/>
      <c r="B16" s="111">
        <v>500</v>
      </c>
      <c r="C16" s="65"/>
      <c r="D16" s="65"/>
      <c r="E16" s="65"/>
      <c r="F16" s="65"/>
      <c r="G16" s="65"/>
    </row>
    <row r="17" spans="1:9" x14ac:dyDescent="0.25">
      <c r="A17" s="2"/>
      <c r="B17" s="111">
        <v>600</v>
      </c>
      <c r="C17" s="65"/>
      <c r="D17" s="65"/>
      <c r="E17" s="65"/>
      <c r="F17" s="65"/>
      <c r="G17" s="65"/>
    </row>
    <row r="18" spans="1:9" x14ac:dyDescent="0.25">
      <c r="A18" s="2"/>
      <c r="B18" s="111" t="s">
        <v>55</v>
      </c>
      <c r="C18" s="65"/>
      <c r="D18" s="65"/>
      <c r="E18" s="65"/>
      <c r="F18" s="65"/>
      <c r="G18" s="65"/>
    </row>
    <row r="19" spans="1:9" x14ac:dyDescent="0.25">
      <c r="A19" s="2"/>
      <c r="B19" s="111" t="s">
        <v>56</v>
      </c>
      <c r="C19" s="65"/>
      <c r="D19" s="65"/>
      <c r="E19" s="65"/>
      <c r="F19" s="65"/>
      <c r="G19" s="65"/>
    </row>
    <row r="20" spans="1:9" x14ac:dyDescent="0.25">
      <c r="A20" s="2"/>
      <c r="B20" s="111" t="s">
        <v>57</v>
      </c>
      <c r="C20" s="65"/>
      <c r="D20" s="65"/>
      <c r="E20" s="65"/>
      <c r="F20" s="65"/>
      <c r="G20" s="65"/>
    </row>
    <row r="21" spans="1:9" x14ac:dyDescent="0.25">
      <c r="A21" s="2"/>
      <c r="B21" s="111" t="s">
        <v>59</v>
      </c>
      <c r="C21" s="65"/>
      <c r="D21" s="65"/>
      <c r="E21" s="65"/>
      <c r="F21" s="65"/>
      <c r="G21" s="65"/>
    </row>
    <row r="22" spans="1:9" x14ac:dyDescent="0.25">
      <c r="A22" s="2"/>
      <c r="B22" s="111" t="s">
        <v>58</v>
      </c>
      <c r="C22" s="65"/>
      <c r="D22" s="65"/>
      <c r="E22" s="65"/>
      <c r="F22" s="65"/>
      <c r="G22" s="65"/>
    </row>
    <row r="23" spans="1:9" x14ac:dyDescent="0.25">
      <c r="A23" s="2"/>
      <c r="B23" s="111"/>
      <c r="C23" s="65"/>
      <c r="D23" s="65"/>
      <c r="E23" s="65"/>
      <c r="F23" s="65"/>
      <c r="G23" s="65"/>
    </row>
    <row r="24" spans="1:9" x14ac:dyDescent="0.25">
      <c r="A24" s="2"/>
      <c r="B24" s="111"/>
      <c r="C24" s="65"/>
      <c r="D24" s="65"/>
      <c r="E24" s="65"/>
      <c r="F24" s="65"/>
      <c r="G24" s="65"/>
    </row>
    <row r="25" spans="1:9" x14ac:dyDescent="0.25">
      <c r="A25" s="2"/>
      <c r="B25" s="111"/>
      <c r="C25" s="65"/>
      <c r="D25" s="65"/>
      <c r="E25" s="65"/>
      <c r="F25" s="65"/>
      <c r="G25" s="65"/>
    </row>
    <row r="26" spans="1:9" x14ac:dyDescent="0.25">
      <c r="A26" s="2"/>
      <c r="B26" s="2"/>
      <c r="C26" s="2"/>
      <c r="D26" s="2"/>
      <c r="E26" s="2"/>
      <c r="F26" s="2"/>
      <c r="G26" s="2"/>
    </row>
    <row r="27" spans="1:9" x14ac:dyDescent="0.25">
      <c r="A27" s="2"/>
      <c r="B27" s="2"/>
      <c r="C27" s="2"/>
      <c r="D27" s="2"/>
      <c r="E27" s="2"/>
      <c r="F27" s="2"/>
      <c r="G27" s="2"/>
      <c r="I27" s="47"/>
    </row>
    <row r="28" spans="1:9" ht="15.75" x14ac:dyDescent="0.25">
      <c r="A28" s="7" t="s">
        <v>9</v>
      </c>
      <c r="B28" s="212" t="s">
        <v>23</v>
      </c>
      <c r="C28" s="212"/>
      <c r="D28" s="212"/>
      <c r="E28" s="212"/>
      <c r="F28" s="7"/>
      <c r="G28" s="2"/>
    </row>
    <row r="29" spans="1:9" ht="15.75" x14ac:dyDescent="0.25">
      <c r="A29" s="7"/>
      <c r="B29" s="216" t="s">
        <v>24</v>
      </c>
      <c r="C29" s="216"/>
      <c r="D29" s="216"/>
      <c r="E29" s="216"/>
      <c r="F29" s="118"/>
      <c r="G29" s="2"/>
    </row>
    <row r="30" spans="1:9" ht="15.75" x14ac:dyDescent="0.25">
      <c r="A30" s="7"/>
      <c r="B30" s="98"/>
      <c r="C30" s="98"/>
      <c r="D30" s="98"/>
      <c r="E30" s="98"/>
      <c r="F30" s="15"/>
      <c r="G30" s="2"/>
    </row>
    <row r="31" spans="1:9" ht="15.75" x14ac:dyDescent="0.25">
      <c r="A31" s="7"/>
      <c r="B31" s="216" t="s">
        <v>25</v>
      </c>
      <c r="C31" s="216"/>
      <c r="D31" s="216"/>
      <c r="E31" s="216"/>
      <c r="F31" s="7" t="s">
        <v>21</v>
      </c>
      <c r="G31" s="2"/>
    </row>
    <row r="32" spans="1:9" ht="15.75" x14ac:dyDescent="0.25">
      <c r="A32" s="7"/>
      <c r="B32" s="7"/>
      <c r="C32" s="7"/>
      <c r="D32" s="7"/>
      <c r="E32" s="7"/>
      <c r="F32" s="7"/>
      <c r="G32" s="2"/>
    </row>
    <row r="33" spans="1:7" ht="15.75" x14ac:dyDescent="0.25">
      <c r="A33" s="7" t="s">
        <v>10</v>
      </c>
      <c r="B33" s="212" t="s">
        <v>27</v>
      </c>
      <c r="C33" s="212"/>
      <c r="D33" s="212"/>
      <c r="E33" s="212"/>
      <c r="F33" s="7"/>
      <c r="G33" s="2"/>
    </row>
    <row r="34" spans="1:7" ht="15.75" x14ac:dyDescent="0.25">
      <c r="A34" s="7"/>
      <c r="B34" s="216" t="s">
        <v>28</v>
      </c>
      <c r="C34" s="216"/>
      <c r="D34" s="216"/>
      <c r="E34" s="216"/>
      <c r="F34" s="118"/>
      <c r="G34" s="2"/>
    </row>
    <row r="35" spans="1:7" ht="15.75" x14ac:dyDescent="0.25">
      <c r="A35" s="7"/>
      <c r="B35" s="7"/>
      <c r="C35" s="7"/>
      <c r="D35" s="7"/>
      <c r="E35" s="7"/>
      <c r="F35" s="7"/>
      <c r="G35" s="2"/>
    </row>
    <row r="36" spans="1:7" ht="15.75" x14ac:dyDescent="0.25">
      <c r="A36" s="7"/>
      <c r="B36" s="7" t="s">
        <v>29</v>
      </c>
      <c r="C36" s="216"/>
      <c r="D36" s="216"/>
      <c r="E36" s="216"/>
      <c r="F36" s="7" t="s">
        <v>21</v>
      </c>
      <c r="G36" s="2"/>
    </row>
  </sheetData>
  <sheetProtection password="E9BA" sheet="1" objects="1" scenarios="1" formatCells="0" formatColumns="0" formatRows="0" insertRows="0" deleteRows="0"/>
  <mergeCells count="10">
    <mergeCell ref="B31:C31"/>
    <mergeCell ref="D31:E31"/>
    <mergeCell ref="B33:E33"/>
    <mergeCell ref="B34:E34"/>
    <mergeCell ref="C36:E36"/>
    <mergeCell ref="B29:E29"/>
    <mergeCell ref="B1:C1"/>
    <mergeCell ref="C2:D2"/>
    <mergeCell ref="B28:E28"/>
    <mergeCell ref="C3:D3"/>
  </mergeCells>
  <dataValidations count="1">
    <dataValidation type="list" allowBlank="1" showInputMessage="1" showErrorMessage="1" sqref="H3">
      <formula1>"2009/2010,2010/2011,2011/2012"</formula1>
    </dataValidation>
  </dataValidations>
  <pageMargins left="0.11811023622047245" right="0.11811023622047245" top="0.94488188976377963" bottom="0.74803149606299213" header="0.31496062992125984" footer="0.31496062992125984"/>
  <pageSetup paperSize="9" orientation="landscape" verticalDpi="0" r:id="rId1"/>
  <headerFooter>
    <oddHeader>&amp;C&amp;"-,Bold"&amp;16UNIVERSITY OF LAGOS&amp;14
Departmental Responsibility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Staff_List!$A$2:$A$53</xm:f>
          </x14:formula1>
          <xm:sqref>C8:G25</xm:sqref>
        </x14:dataValidation>
        <x14:dataValidation type="list" showInputMessage="1" showErrorMessage="1">
          <x14:formula1>
            <xm:f>Info_Lists!$D$2:$D$83</xm:f>
          </x14:formula1>
          <xm:sqref>C2:D2</xm:sqref>
        </x14:dataValidation>
        <x14:dataValidation type="list" showInputMessage="1" showErrorMessage="1">
          <x14:formula1>
            <xm:f>Info_Lists!$E$14:$E$94</xm:f>
          </x14:formula1>
          <xm:sqref>C3:D3</xm:sqref>
        </x14:dataValidation>
        <x14:dataValidation type="list" allowBlank="1" showInputMessage="1" showErrorMessage="1">
          <x14:formula1>
            <xm:f>Info_Lists!$C$2:$C$14</xm:f>
          </x14:formula1>
          <xm:sqref>F2:F3</xm:sqref>
        </x14:dataValidation>
        <x14:dataValidation type="list" allowBlank="1" showInputMessage="1" showErrorMessage="1">
          <x14:formula1>
            <xm:f>Info_Lists!$G$2:$G$30</xm:f>
          </x14:formula1>
          <xm:sqref>B18:B25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F0000"/>
  </sheetPr>
  <dimension ref="A1:J36"/>
  <sheetViews>
    <sheetView workbookViewId="0">
      <selection activeCell="D5" sqref="D5"/>
    </sheetView>
  </sheetViews>
  <sheetFormatPr defaultRowHeight="15" x14ac:dyDescent="0.25"/>
  <cols>
    <col min="1" max="1" width="2.85546875" bestFit="1" customWidth="1"/>
    <col min="2" max="2" width="18.5703125" bestFit="1" customWidth="1"/>
    <col min="3" max="7" width="26.5703125" bestFit="1" customWidth="1"/>
    <col min="8" max="8" width="9.85546875" bestFit="1" customWidth="1"/>
    <col min="9" max="9" width="11" customWidth="1"/>
    <col min="10" max="10" width="32.5703125" bestFit="1" customWidth="1"/>
  </cols>
  <sheetData>
    <row r="1" spans="1:10" x14ac:dyDescent="0.25">
      <c r="A1" s="21" t="s">
        <v>0</v>
      </c>
      <c r="B1" s="225" t="s">
        <v>60</v>
      </c>
      <c r="C1" s="225"/>
      <c r="D1" s="2"/>
      <c r="E1" s="2"/>
      <c r="F1" s="2"/>
      <c r="G1" s="2"/>
      <c r="H1" s="3"/>
      <c r="I1" s="2"/>
      <c r="J1" s="2"/>
    </row>
    <row r="2" spans="1:10" x14ac:dyDescent="0.25">
      <c r="A2" s="2"/>
      <c r="B2" s="16" t="s">
        <v>35</v>
      </c>
      <c r="C2" s="224" t="s">
        <v>36</v>
      </c>
      <c r="D2" s="224"/>
      <c r="E2" s="16" t="s">
        <v>4</v>
      </c>
      <c r="F2" s="99" t="s">
        <v>74</v>
      </c>
      <c r="G2" s="110"/>
      <c r="H2" s="102"/>
    </row>
    <row r="3" spans="1:10" x14ac:dyDescent="0.25">
      <c r="A3" s="2"/>
      <c r="B3" s="16" t="s">
        <v>172</v>
      </c>
      <c r="C3" s="224" t="s">
        <v>142</v>
      </c>
      <c r="D3" s="224"/>
      <c r="E3" s="110"/>
      <c r="F3" s="101"/>
      <c r="G3" s="110"/>
      <c r="H3" s="85"/>
    </row>
    <row r="4" spans="1:10" x14ac:dyDescent="0.25">
      <c r="A4" s="2"/>
      <c r="B4" s="2"/>
      <c r="C4" s="2"/>
      <c r="D4" s="2"/>
      <c r="E4" s="2"/>
      <c r="F4" s="2"/>
      <c r="G4" s="2"/>
    </row>
    <row r="5" spans="1:10" x14ac:dyDescent="0.25">
      <c r="A5" s="21" t="s">
        <v>7</v>
      </c>
      <c r="B5" s="113" t="s">
        <v>62</v>
      </c>
      <c r="C5" s="113" t="s">
        <v>63</v>
      </c>
      <c r="D5" s="21"/>
      <c r="E5" s="21"/>
      <c r="F5" s="21"/>
      <c r="G5" s="21"/>
    </row>
    <row r="6" spans="1:10" x14ac:dyDescent="0.25">
      <c r="A6" s="21"/>
      <c r="B6" s="114"/>
      <c r="C6" s="115" t="s">
        <v>314</v>
      </c>
      <c r="D6" s="115" t="s">
        <v>48</v>
      </c>
      <c r="E6" s="115" t="s">
        <v>49</v>
      </c>
      <c r="F6" s="115" t="s">
        <v>50</v>
      </c>
      <c r="G6" s="115" t="s">
        <v>51</v>
      </c>
    </row>
    <row r="7" spans="1:10" x14ac:dyDescent="0.25">
      <c r="A7" s="21"/>
      <c r="B7" s="16" t="s">
        <v>52</v>
      </c>
      <c r="C7" s="116"/>
      <c r="D7" s="116"/>
      <c r="E7" s="116"/>
      <c r="F7" s="116"/>
      <c r="G7" s="117"/>
    </row>
    <row r="8" spans="1:10" x14ac:dyDescent="0.25">
      <c r="A8" s="2"/>
      <c r="B8" s="111">
        <v>100</v>
      </c>
      <c r="C8" s="65"/>
      <c r="D8" s="65"/>
      <c r="E8" s="65"/>
      <c r="F8" s="65"/>
      <c r="G8" s="65"/>
    </row>
    <row r="9" spans="1:10" x14ac:dyDescent="0.25">
      <c r="A9" s="2"/>
      <c r="B9" s="111">
        <v>200</v>
      </c>
      <c r="C9" s="65"/>
      <c r="D9" s="65"/>
      <c r="E9" s="65"/>
      <c r="F9" s="65"/>
      <c r="G9" s="65"/>
    </row>
    <row r="10" spans="1:10" x14ac:dyDescent="0.25">
      <c r="A10" s="2"/>
      <c r="B10" s="111">
        <v>300</v>
      </c>
      <c r="C10" s="65"/>
      <c r="D10" s="65"/>
      <c r="E10" s="65"/>
      <c r="F10" s="65"/>
      <c r="G10" s="65"/>
    </row>
    <row r="11" spans="1:10" x14ac:dyDescent="0.25">
      <c r="A11" s="2"/>
      <c r="B11" s="111">
        <v>400</v>
      </c>
      <c r="C11" s="65"/>
      <c r="D11" s="65"/>
      <c r="E11" s="65"/>
      <c r="F11" s="65"/>
      <c r="G11" s="65"/>
    </row>
    <row r="12" spans="1:10" x14ac:dyDescent="0.25">
      <c r="A12" s="2"/>
      <c r="B12" s="111">
        <v>500</v>
      </c>
      <c r="C12" s="65"/>
      <c r="D12" s="65"/>
      <c r="E12" s="65"/>
      <c r="F12" s="65"/>
      <c r="G12" s="65"/>
    </row>
    <row r="13" spans="1:10" x14ac:dyDescent="0.25">
      <c r="A13" s="2"/>
      <c r="B13" s="111">
        <v>500</v>
      </c>
      <c r="C13" s="112"/>
      <c r="D13" s="65"/>
      <c r="E13" s="65"/>
      <c r="F13" s="65"/>
      <c r="G13" s="65"/>
    </row>
    <row r="14" spans="1:10" x14ac:dyDescent="0.25">
      <c r="A14" s="2"/>
      <c r="B14" s="111">
        <v>500</v>
      </c>
      <c r="C14" s="112"/>
      <c r="D14" s="112"/>
      <c r="E14" s="65"/>
      <c r="F14" s="65"/>
      <c r="G14" s="65"/>
    </row>
    <row r="15" spans="1:10" x14ac:dyDescent="0.25">
      <c r="A15" s="2"/>
      <c r="B15" s="111">
        <v>500</v>
      </c>
      <c r="C15" s="112"/>
      <c r="D15" s="112"/>
      <c r="E15" s="112"/>
      <c r="F15" s="65"/>
      <c r="G15" s="65"/>
    </row>
    <row r="16" spans="1:10" x14ac:dyDescent="0.25">
      <c r="A16" s="2"/>
      <c r="B16" s="111">
        <v>500</v>
      </c>
      <c r="C16" s="112"/>
      <c r="D16" s="112"/>
      <c r="E16" s="112"/>
      <c r="F16" s="65"/>
      <c r="G16" s="65"/>
    </row>
    <row r="17" spans="1:9" x14ac:dyDescent="0.25">
      <c r="A17" s="2"/>
      <c r="B17" s="111">
        <v>600</v>
      </c>
      <c r="C17" s="65"/>
      <c r="D17" s="65"/>
      <c r="E17" s="65"/>
      <c r="F17" s="65"/>
      <c r="G17" s="65"/>
    </row>
    <row r="18" spans="1:9" x14ac:dyDescent="0.25">
      <c r="A18" s="2"/>
      <c r="B18" s="111" t="s">
        <v>55</v>
      </c>
      <c r="C18" s="65"/>
      <c r="D18" s="65"/>
      <c r="E18" s="65"/>
      <c r="F18" s="65"/>
      <c r="G18" s="65"/>
      <c r="I18" s="50"/>
    </row>
    <row r="19" spans="1:9" x14ac:dyDescent="0.25">
      <c r="A19" s="2"/>
      <c r="B19" s="111" t="s">
        <v>56</v>
      </c>
      <c r="C19" s="65"/>
      <c r="D19" s="65"/>
      <c r="E19" s="65"/>
      <c r="F19" s="65"/>
      <c r="G19" s="65"/>
      <c r="I19" s="50"/>
    </row>
    <row r="20" spans="1:9" x14ac:dyDescent="0.25">
      <c r="A20" s="2"/>
      <c r="B20" s="111" t="s">
        <v>57</v>
      </c>
      <c r="C20" s="65"/>
      <c r="D20" s="65"/>
      <c r="E20" s="65"/>
      <c r="F20" s="65"/>
      <c r="G20" s="65"/>
      <c r="I20" s="50"/>
    </row>
    <row r="21" spans="1:9" x14ac:dyDescent="0.25">
      <c r="A21" s="2"/>
      <c r="B21" s="111" t="s">
        <v>59</v>
      </c>
      <c r="C21" s="65"/>
      <c r="D21" s="65"/>
      <c r="E21" s="65"/>
      <c r="F21" s="65"/>
      <c r="G21" s="65"/>
      <c r="I21" s="51"/>
    </row>
    <row r="22" spans="1:9" x14ac:dyDescent="0.25">
      <c r="A22" s="2"/>
      <c r="B22" s="111" t="s">
        <v>58</v>
      </c>
      <c r="C22" s="65"/>
      <c r="D22" s="65"/>
      <c r="E22" s="65"/>
      <c r="F22" s="65"/>
      <c r="G22" s="65"/>
      <c r="I22" s="51"/>
    </row>
    <row r="23" spans="1:9" x14ac:dyDescent="0.25">
      <c r="A23" s="2"/>
      <c r="B23" s="111"/>
      <c r="C23" s="65"/>
      <c r="D23" s="65"/>
      <c r="E23" s="65"/>
      <c r="F23" s="65"/>
      <c r="G23" s="65"/>
    </row>
    <row r="24" spans="1:9" x14ac:dyDescent="0.25">
      <c r="A24" s="2"/>
      <c r="B24" s="111"/>
      <c r="C24" s="65"/>
      <c r="D24" s="65"/>
      <c r="E24" s="65"/>
      <c r="F24" s="65"/>
      <c r="G24" s="65"/>
    </row>
    <row r="25" spans="1:9" x14ac:dyDescent="0.25">
      <c r="A25" s="2"/>
      <c r="B25" s="111"/>
      <c r="C25" s="65"/>
      <c r="D25" s="65"/>
      <c r="E25" s="65"/>
      <c r="F25" s="65"/>
      <c r="G25" s="65"/>
    </row>
    <row r="26" spans="1:9" x14ac:dyDescent="0.25">
      <c r="A26" s="2"/>
      <c r="B26" s="2"/>
      <c r="C26" s="2"/>
      <c r="D26" s="2"/>
      <c r="E26" s="2"/>
      <c r="F26" s="2"/>
      <c r="G26" s="2"/>
      <c r="I26" s="47"/>
    </row>
    <row r="27" spans="1:9" x14ac:dyDescent="0.25">
      <c r="A27" s="2"/>
      <c r="B27" s="2"/>
      <c r="C27" s="2"/>
      <c r="D27" s="2"/>
      <c r="E27" s="2"/>
      <c r="F27" s="2"/>
      <c r="G27" s="2"/>
      <c r="I27" s="47"/>
    </row>
    <row r="28" spans="1:9" ht="15.75" x14ac:dyDescent="0.25">
      <c r="A28" s="7" t="s">
        <v>9</v>
      </c>
      <c r="B28" s="212" t="s">
        <v>23</v>
      </c>
      <c r="C28" s="212"/>
      <c r="D28" s="212"/>
      <c r="E28" s="212"/>
      <c r="F28" s="7"/>
      <c r="G28" s="2"/>
    </row>
    <row r="29" spans="1:9" ht="15.75" x14ac:dyDescent="0.25">
      <c r="A29" s="7"/>
      <c r="B29" s="216" t="s">
        <v>24</v>
      </c>
      <c r="C29" s="216"/>
      <c r="D29" s="216"/>
      <c r="E29" s="216"/>
      <c r="F29" s="118"/>
      <c r="G29" s="2"/>
    </row>
    <row r="30" spans="1:9" ht="15.75" x14ac:dyDescent="0.25">
      <c r="A30" s="7"/>
      <c r="B30" s="98"/>
      <c r="C30" s="98"/>
      <c r="D30" s="98"/>
      <c r="E30" s="98"/>
      <c r="F30" s="15"/>
      <c r="G30" s="2"/>
    </row>
    <row r="31" spans="1:9" ht="15.75" x14ac:dyDescent="0.25">
      <c r="A31" s="7"/>
      <c r="B31" s="216" t="s">
        <v>25</v>
      </c>
      <c r="C31" s="216"/>
      <c r="D31" s="216"/>
      <c r="E31" s="216"/>
      <c r="F31" s="7" t="s">
        <v>21</v>
      </c>
      <c r="G31" s="2"/>
    </row>
    <row r="32" spans="1:9" ht="15.75" x14ac:dyDescent="0.25">
      <c r="A32" s="7"/>
      <c r="B32" s="7"/>
      <c r="C32" s="7"/>
      <c r="D32" s="7"/>
      <c r="E32" s="7"/>
      <c r="F32" s="7"/>
      <c r="G32" s="2"/>
    </row>
    <row r="33" spans="1:7" ht="15.75" x14ac:dyDescent="0.25">
      <c r="A33" s="7" t="s">
        <v>10</v>
      </c>
      <c r="B33" s="212" t="s">
        <v>27</v>
      </c>
      <c r="C33" s="212"/>
      <c r="D33" s="212"/>
      <c r="E33" s="212"/>
      <c r="F33" s="7"/>
      <c r="G33" s="2"/>
    </row>
    <row r="34" spans="1:7" ht="15.75" x14ac:dyDescent="0.25">
      <c r="A34" s="7"/>
      <c r="B34" s="216" t="s">
        <v>28</v>
      </c>
      <c r="C34" s="216"/>
      <c r="D34" s="216"/>
      <c r="E34" s="216"/>
      <c r="F34" s="118"/>
      <c r="G34" s="2"/>
    </row>
    <row r="35" spans="1:7" ht="15.75" x14ac:dyDescent="0.25">
      <c r="A35" s="7"/>
      <c r="B35" s="7"/>
      <c r="C35" s="7"/>
      <c r="D35" s="7"/>
      <c r="E35" s="7"/>
      <c r="F35" s="7"/>
      <c r="G35" s="2"/>
    </row>
    <row r="36" spans="1:7" ht="15.75" x14ac:dyDescent="0.25">
      <c r="A36" s="7"/>
      <c r="B36" s="7" t="s">
        <v>29</v>
      </c>
      <c r="C36" s="216"/>
      <c r="D36" s="216"/>
      <c r="E36" s="216"/>
      <c r="F36" s="7" t="s">
        <v>21</v>
      </c>
      <c r="G36" s="2"/>
    </row>
  </sheetData>
  <sheetProtection password="E9BA" sheet="1" objects="1" scenarios="1" formatCells="0" formatColumns="0" formatRows="0" insertRows="0" deleteRows="0"/>
  <dataConsolidate/>
  <mergeCells count="10">
    <mergeCell ref="B33:E33"/>
    <mergeCell ref="B34:E34"/>
    <mergeCell ref="C36:E36"/>
    <mergeCell ref="B1:C1"/>
    <mergeCell ref="C2:D2"/>
    <mergeCell ref="C3:D3"/>
    <mergeCell ref="B28:E28"/>
    <mergeCell ref="B29:E29"/>
    <mergeCell ref="B31:C31"/>
    <mergeCell ref="D31:E31"/>
  </mergeCells>
  <dataValidations count="1">
    <dataValidation type="list" allowBlank="1" showInputMessage="1" showErrorMessage="1" sqref="H3">
      <formula1>"2009/2010,2010/2011,2011/2012"</formula1>
    </dataValidation>
  </dataValidations>
  <pageMargins left="0.11811023622047245" right="0.11811023622047245" top="0.94488188976377963" bottom="0.74803149606299213" header="0.31496062992125984" footer="0.31496062992125984"/>
  <pageSetup paperSize="9" scale="88" orientation="landscape" blackAndWhite="1" r:id="rId1"/>
  <headerFooter>
    <oddHeader>&amp;C&amp;"-,Bold"&amp;16UNIVERSITY OF LAGOS&amp;12
Departmental Responsibilty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Info_Lists!$D$2:$D$83</xm:f>
          </x14:formula1>
          <xm:sqref>C2:D2</xm:sqref>
        </x14:dataValidation>
        <x14:dataValidation type="list" allowBlank="1" showInputMessage="1" showErrorMessage="1">
          <x14:formula1>
            <xm:f>Staff_List!$A$2:$A$53</xm:f>
          </x14:formula1>
          <xm:sqref>C8:G25</xm:sqref>
        </x14:dataValidation>
        <x14:dataValidation type="list" showInputMessage="1" showErrorMessage="1">
          <x14:formula1>
            <xm:f>Info_Lists!$E$14:$E$94</xm:f>
          </x14:formula1>
          <xm:sqref>C3:D3</xm:sqref>
        </x14:dataValidation>
        <x14:dataValidation type="list" allowBlank="1" showInputMessage="1" showErrorMessage="1">
          <x14:formula1>
            <xm:f>Info_Lists!$C$2:$C$14</xm:f>
          </x14:formula1>
          <xm:sqref>F2:F3</xm:sqref>
        </x14:dataValidation>
        <x14:dataValidation type="list" allowBlank="1" showInputMessage="1" showErrorMessage="1">
          <x14:formula1>
            <xm:f>Info_Lists!$G$2:$G$30</xm:f>
          </x14:formula1>
          <xm:sqref>B18:B25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FF0000"/>
  </sheetPr>
  <dimension ref="A1:J36"/>
  <sheetViews>
    <sheetView workbookViewId="0">
      <selection activeCell="D5" sqref="D5"/>
    </sheetView>
  </sheetViews>
  <sheetFormatPr defaultRowHeight="15" x14ac:dyDescent="0.25"/>
  <cols>
    <col min="1" max="1" width="2.85546875" bestFit="1" customWidth="1"/>
    <col min="2" max="2" width="18.5703125" bestFit="1" customWidth="1"/>
    <col min="3" max="3" width="26.5703125" bestFit="1" customWidth="1"/>
    <col min="4" max="4" width="26.42578125" bestFit="1" customWidth="1"/>
    <col min="5" max="6" width="26.5703125" bestFit="1" customWidth="1"/>
    <col min="7" max="7" width="30.42578125" bestFit="1" customWidth="1"/>
    <col min="8" max="8" width="9.85546875" bestFit="1" customWidth="1"/>
  </cols>
  <sheetData>
    <row r="1" spans="1:10" x14ac:dyDescent="0.25">
      <c r="A1" s="21" t="s">
        <v>0</v>
      </c>
      <c r="B1" s="225" t="s">
        <v>60</v>
      </c>
      <c r="C1" s="225"/>
      <c r="D1" s="2"/>
      <c r="E1" s="2"/>
      <c r="F1" s="2"/>
      <c r="G1" s="2"/>
      <c r="H1" s="3"/>
      <c r="I1" s="2"/>
      <c r="J1" s="2"/>
    </row>
    <row r="2" spans="1:10" x14ac:dyDescent="0.25">
      <c r="A2" s="2"/>
      <c r="B2" s="16" t="s">
        <v>35</v>
      </c>
      <c r="C2" s="224" t="s">
        <v>36</v>
      </c>
      <c r="D2" s="224"/>
      <c r="E2" s="16" t="s">
        <v>4</v>
      </c>
      <c r="F2" s="99" t="s">
        <v>72</v>
      </c>
      <c r="G2" s="110"/>
      <c r="H2" s="102"/>
    </row>
    <row r="3" spans="1:10" x14ac:dyDescent="0.25">
      <c r="A3" s="2"/>
      <c r="B3" s="16" t="s">
        <v>172</v>
      </c>
      <c r="C3" s="224" t="s">
        <v>142</v>
      </c>
      <c r="D3" s="224"/>
      <c r="E3" s="110"/>
      <c r="F3" s="101"/>
      <c r="G3" s="110"/>
      <c r="H3" s="85"/>
    </row>
    <row r="4" spans="1:10" x14ac:dyDescent="0.25">
      <c r="A4" s="2"/>
      <c r="B4" s="2"/>
      <c r="C4" s="2"/>
      <c r="D4" s="2"/>
      <c r="E4" s="2"/>
      <c r="F4" s="2"/>
      <c r="G4" s="2"/>
    </row>
    <row r="5" spans="1:10" x14ac:dyDescent="0.25">
      <c r="A5" s="21" t="s">
        <v>7</v>
      </c>
      <c r="B5" s="113" t="s">
        <v>62</v>
      </c>
      <c r="C5" s="21" t="s">
        <v>63</v>
      </c>
      <c r="D5" s="21"/>
      <c r="E5" s="21"/>
      <c r="F5" s="21"/>
      <c r="G5" s="21"/>
    </row>
    <row r="6" spans="1:10" x14ac:dyDescent="0.25">
      <c r="A6" s="21"/>
      <c r="B6" s="114"/>
      <c r="C6" s="115" t="s">
        <v>314</v>
      </c>
      <c r="D6" s="115" t="s">
        <v>48</v>
      </c>
      <c r="E6" s="115" t="s">
        <v>49</v>
      </c>
      <c r="F6" s="115" t="s">
        <v>50</v>
      </c>
      <c r="G6" s="115" t="s">
        <v>51</v>
      </c>
    </row>
    <row r="7" spans="1:10" x14ac:dyDescent="0.25">
      <c r="A7" s="21"/>
      <c r="B7" s="16" t="s">
        <v>52</v>
      </c>
      <c r="C7" s="116"/>
      <c r="D7" s="116"/>
      <c r="E7" s="116"/>
      <c r="F7" s="116"/>
      <c r="G7" s="117"/>
    </row>
    <row r="8" spans="1:10" x14ac:dyDescent="0.25">
      <c r="A8" s="2"/>
      <c r="B8" s="111">
        <v>100</v>
      </c>
      <c r="C8" s="65"/>
      <c r="D8" s="65"/>
      <c r="E8" s="65"/>
      <c r="F8" s="65"/>
      <c r="G8" s="65"/>
    </row>
    <row r="9" spans="1:10" x14ac:dyDescent="0.25">
      <c r="A9" s="2"/>
      <c r="B9" s="111">
        <v>200</v>
      </c>
      <c r="C9" s="65"/>
      <c r="D9" s="65"/>
      <c r="E9" s="65"/>
      <c r="F9" s="65"/>
      <c r="G9" s="65"/>
    </row>
    <row r="10" spans="1:10" x14ac:dyDescent="0.25">
      <c r="A10" s="2"/>
      <c r="B10" s="111">
        <v>300</v>
      </c>
      <c r="C10" s="65"/>
      <c r="D10" s="65"/>
      <c r="E10" s="65"/>
      <c r="F10" s="65"/>
      <c r="G10" s="65"/>
    </row>
    <row r="11" spans="1:10" x14ac:dyDescent="0.25">
      <c r="A11" s="2"/>
      <c r="B11" s="111">
        <v>400</v>
      </c>
      <c r="C11" s="65"/>
      <c r="D11" s="65"/>
      <c r="E11" s="65"/>
      <c r="F11" s="65"/>
      <c r="G11" s="65"/>
    </row>
    <row r="12" spans="1:10" x14ac:dyDescent="0.25">
      <c r="A12" s="2"/>
      <c r="B12" s="111">
        <v>500</v>
      </c>
      <c r="C12" s="65"/>
      <c r="D12" s="65"/>
      <c r="E12" s="65"/>
      <c r="F12" s="65"/>
      <c r="G12" s="65"/>
    </row>
    <row r="13" spans="1:10" x14ac:dyDescent="0.25">
      <c r="A13" s="2"/>
      <c r="B13" s="111">
        <v>500</v>
      </c>
      <c r="C13" s="112"/>
      <c r="D13" s="65"/>
      <c r="E13" s="65"/>
      <c r="F13" s="65"/>
      <c r="G13" s="65"/>
    </row>
    <row r="14" spans="1:10" x14ac:dyDescent="0.25">
      <c r="A14" s="2"/>
      <c r="B14" s="111">
        <v>500</v>
      </c>
      <c r="C14" s="65"/>
      <c r="D14" s="112"/>
      <c r="E14" s="65"/>
      <c r="F14" s="65"/>
      <c r="G14" s="65"/>
    </row>
    <row r="15" spans="1:10" x14ac:dyDescent="0.25">
      <c r="A15" s="2"/>
      <c r="B15" s="111">
        <v>500</v>
      </c>
      <c r="C15" s="65"/>
      <c r="D15" s="65"/>
      <c r="E15" s="112"/>
      <c r="F15" s="65"/>
      <c r="G15" s="65"/>
    </row>
    <row r="16" spans="1:10" x14ac:dyDescent="0.25">
      <c r="A16" s="2"/>
      <c r="B16" s="111">
        <v>500</v>
      </c>
      <c r="C16" s="65"/>
      <c r="D16" s="65"/>
      <c r="E16" s="65"/>
      <c r="F16" s="112"/>
      <c r="G16" s="65"/>
    </row>
    <row r="17" spans="1:9" x14ac:dyDescent="0.25">
      <c r="A17" s="2"/>
      <c r="B17" s="111">
        <v>600</v>
      </c>
      <c r="C17" s="65"/>
      <c r="D17" s="65"/>
      <c r="E17" s="65"/>
      <c r="F17" s="65"/>
      <c r="G17" s="65"/>
    </row>
    <row r="18" spans="1:9" x14ac:dyDescent="0.25">
      <c r="A18" s="2"/>
      <c r="B18" s="111" t="s">
        <v>55</v>
      </c>
      <c r="C18" s="65"/>
      <c r="D18" s="65"/>
      <c r="E18" s="65"/>
      <c r="F18" s="65"/>
      <c r="G18" s="65"/>
    </row>
    <row r="19" spans="1:9" x14ac:dyDescent="0.25">
      <c r="A19" s="2"/>
      <c r="B19" s="111" t="s">
        <v>56</v>
      </c>
      <c r="C19" s="65"/>
      <c r="D19" s="65"/>
      <c r="E19" s="65"/>
      <c r="F19" s="65"/>
      <c r="G19" s="65"/>
    </row>
    <row r="20" spans="1:9" x14ac:dyDescent="0.25">
      <c r="A20" s="2"/>
      <c r="B20" s="111" t="s">
        <v>57</v>
      </c>
      <c r="C20" s="65"/>
      <c r="D20" s="65"/>
      <c r="E20" s="65"/>
      <c r="F20" s="65"/>
      <c r="G20" s="65"/>
    </row>
    <row r="21" spans="1:9" x14ac:dyDescent="0.25">
      <c r="A21" s="2"/>
      <c r="B21" s="111" t="s">
        <v>59</v>
      </c>
      <c r="C21" s="65"/>
      <c r="D21" s="65"/>
      <c r="E21" s="65"/>
      <c r="F21" s="65"/>
      <c r="G21" s="65"/>
    </row>
    <row r="22" spans="1:9" x14ac:dyDescent="0.25">
      <c r="A22" s="2"/>
      <c r="B22" s="111" t="s">
        <v>58</v>
      </c>
      <c r="C22" s="65"/>
      <c r="D22" s="65"/>
      <c r="E22" s="65"/>
      <c r="F22" s="65"/>
      <c r="G22" s="65"/>
    </row>
    <row r="23" spans="1:9" x14ac:dyDescent="0.25">
      <c r="A23" s="2"/>
      <c r="B23" s="111"/>
      <c r="C23" s="65"/>
      <c r="D23" s="65"/>
      <c r="E23" s="65"/>
      <c r="F23" s="65"/>
      <c r="G23" s="65"/>
    </row>
    <row r="24" spans="1:9" x14ac:dyDescent="0.25">
      <c r="A24" s="2"/>
      <c r="B24" s="111"/>
      <c r="C24" s="65"/>
      <c r="D24" s="65"/>
      <c r="E24" s="65"/>
      <c r="F24" s="65"/>
      <c r="G24" s="65"/>
    </row>
    <row r="25" spans="1:9" x14ac:dyDescent="0.25">
      <c r="A25" s="2"/>
      <c r="B25" s="111"/>
      <c r="C25" s="65"/>
      <c r="D25" s="65"/>
      <c r="E25" s="65"/>
      <c r="F25" s="65"/>
      <c r="G25" s="65"/>
    </row>
    <row r="26" spans="1:9" x14ac:dyDescent="0.25">
      <c r="A26" s="2"/>
      <c r="B26" s="2"/>
      <c r="C26" s="2"/>
      <c r="D26" s="2"/>
      <c r="E26" s="2"/>
      <c r="F26" s="2"/>
      <c r="G26" s="2"/>
    </row>
    <row r="27" spans="1:9" x14ac:dyDescent="0.25">
      <c r="A27" s="2"/>
      <c r="B27" s="2"/>
      <c r="C27" s="2"/>
      <c r="D27" s="2"/>
      <c r="E27" s="2"/>
      <c r="F27" s="2"/>
      <c r="G27" s="2"/>
      <c r="I27" s="47"/>
    </row>
    <row r="28" spans="1:9" ht="15.75" x14ac:dyDescent="0.25">
      <c r="A28" s="22" t="s">
        <v>9</v>
      </c>
      <c r="B28" s="212" t="s">
        <v>23</v>
      </c>
      <c r="C28" s="212"/>
      <c r="D28" s="212"/>
      <c r="E28" s="212"/>
      <c r="F28" s="7"/>
      <c r="G28" s="2"/>
    </row>
    <row r="29" spans="1:9" ht="15.75" x14ac:dyDescent="0.25">
      <c r="A29" s="7"/>
      <c r="B29" s="216" t="s">
        <v>24</v>
      </c>
      <c r="C29" s="216"/>
      <c r="D29" s="216"/>
      <c r="E29" s="216"/>
      <c r="F29" s="118"/>
      <c r="G29" s="2"/>
    </row>
    <row r="30" spans="1:9" ht="15.75" x14ac:dyDescent="0.25">
      <c r="A30" s="7"/>
      <c r="B30" s="98"/>
      <c r="C30" s="98"/>
      <c r="D30" s="98"/>
      <c r="E30" s="98"/>
      <c r="F30" s="15"/>
      <c r="G30" s="2"/>
    </row>
    <row r="31" spans="1:9" ht="15.75" x14ac:dyDescent="0.25">
      <c r="A31" s="7"/>
      <c r="B31" s="216" t="s">
        <v>25</v>
      </c>
      <c r="C31" s="216"/>
      <c r="D31" s="216"/>
      <c r="E31" s="216"/>
      <c r="F31" s="7" t="s">
        <v>21</v>
      </c>
      <c r="G31" s="2"/>
    </row>
    <row r="32" spans="1:9" ht="15.75" x14ac:dyDescent="0.25">
      <c r="A32" s="7"/>
      <c r="B32" s="7"/>
      <c r="C32" s="7"/>
      <c r="D32" s="7"/>
      <c r="E32" s="7"/>
      <c r="F32" s="7"/>
      <c r="G32" s="2"/>
    </row>
    <row r="33" spans="1:7" ht="15.75" x14ac:dyDescent="0.25">
      <c r="A33" s="22" t="s">
        <v>10</v>
      </c>
      <c r="B33" s="212" t="s">
        <v>27</v>
      </c>
      <c r="C33" s="212"/>
      <c r="D33" s="212"/>
      <c r="E33" s="212"/>
      <c r="F33" s="7"/>
      <c r="G33" s="2"/>
    </row>
    <row r="34" spans="1:7" ht="15.75" x14ac:dyDescent="0.25">
      <c r="A34" s="7"/>
      <c r="B34" s="216" t="s">
        <v>28</v>
      </c>
      <c r="C34" s="216"/>
      <c r="D34" s="216"/>
      <c r="E34" s="216"/>
      <c r="F34" s="118"/>
      <c r="G34" s="2"/>
    </row>
    <row r="35" spans="1:7" ht="15.75" x14ac:dyDescent="0.25">
      <c r="A35" s="7"/>
      <c r="B35" s="7"/>
      <c r="C35" s="7"/>
      <c r="D35" s="7"/>
      <c r="E35" s="7"/>
      <c r="F35" s="7"/>
      <c r="G35" s="2"/>
    </row>
    <row r="36" spans="1:7" ht="15.75" x14ac:dyDescent="0.25">
      <c r="A36" s="7"/>
      <c r="B36" s="7" t="s">
        <v>29</v>
      </c>
      <c r="C36" s="216"/>
      <c r="D36" s="216"/>
      <c r="E36" s="216"/>
      <c r="F36" s="7" t="s">
        <v>21</v>
      </c>
      <c r="G36" s="2"/>
    </row>
  </sheetData>
  <sheetProtection password="E9BA" sheet="1" objects="1" scenarios="1" formatCells="0" formatColumns="0" formatRows="0" insertRows="0" deleteRows="0"/>
  <mergeCells count="10">
    <mergeCell ref="B29:E29"/>
    <mergeCell ref="B1:C1"/>
    <mergeCell ref="C2:D2"/>
    <mergeCell ref="C3:D3"/>
    <mergeCell ref="B28:E28"/>
    <mergeCell ref="B31:C31"/>
    <mergeCell ref="D31:E31"/>
    <mergeCell ref="B33:E33"/>
    <mergeCell ref="B34:E34"/>
    <mergeCell ref="C36:E36"/>
  </mergeCells>
  <dataValidations count="1">
    <dataValidation type="list" allowBlank="1" showInputMessage="1" showErrorMessage="1" sqref="H3">
      <formula1>"2009/2010,2010/2011,2011/2012"</formula1>
    </dataValidation>
  </dataValidations>
  <pageMargins left="0.11811023622047245" right="0.11811023622047245" top="0.94488188976377963" bottom="0.74803149606299213" header="0.31496062992125984" footer="0.31496062992125984"/>
  <pageSetup paperSize="9" scale="86" orientation="landscape" blackAndWhite="1" r:id="rId1"/>
  <headerFooter>
    <oddHeader>&amp;C&amp;"-,Bold"&amp;16UNIVERSITY OF LAGOS&amp;14
Departmental Responsibility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Info_Lists!$D$2:$D$83</xm:f>
          </x14:formula1>
          <xm:sqref>C2:D2</xm:sqref>
        </x14:dataValidation>
        <x14:dataValidation type="list" allowBlank="1" showInputMessage="1" showErrorMessage="1">
          <x14:formula1>
            <xm:f>Staff_List!$A$2:$A$53</xm:f>
          </x14:formula1>
          <xm:sqref>C8:G25</xm:sqref>
        </x14:dataValidation>
        <x14:dataValidation type="list" showInputMessage="1" showErrorMessage="1">
          <x14:formula1>
            <xm:f>Info_Lists!$E$14:$E$94</xm:f>
          </x14:formula1>
          <xm:sqref>C3:D3</xm:sqref>
        </x14:dataValidation>
        <x14:dataValidation type="list" allowBlank="1" showInputMessage="1" showErrorMessage="1">
          <x14:formula1>
            <xm:f>Info_Lists!$C$2:$C$14</xm:f>
          </x14:formula1>
          <xm:sqref>F2:F3</xm:sqref>
        </x14:dataValidation>
        <x14:dataValidation type="list" allowBlank="1" showInputMessage="1" showErrorMessage="1">
          <x14:formula1>
            <xm:f>Info_Lists!$G$2:$G$30</xm:f>
          </x14:formula1>
          <xm:sqref>B18:B25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FF0000"/>
  </sheetPr>
  <dimension ref="A1:J36"/>
  <sheetViews>
    <sheetView topLeftCell="A4" workbookViewId="0">
      <selection activeCell="D5" sqref="D5"/>
    </sheetView>
  </sheetViews>
  <sheetFormatPr defaultRowHeight="15" x14ac:dyDescent="0.25"/>
  <cols>
    <col min="1" max="1" width="2.85546875" bestFit="1" customWidth="1"/>
    <col min="2" max="2" width="26.5703125" bestFit="1" customWidth="1"/>
    <col min="3" max="3" width="24.5703125" customWidth="1"/>
    <col min="4" max="6" width="19.140625" bestFit="1" customWidth="1"/>
    <col min="7" max="7" width="19.7109375" bestFit="1" customWidth="1"/>
    <col min="8" max="8" width="9.85546875" bestFit="1" customWidth="1"/>
  </cols>
  <sheetData>
    <row r="1" spans="1:10" x14ac:dyDescent="0.25">
      <c r="A1" s="21" t="s">
        <v>0</v>
      </c>
      <c r="B1" s="225" t="s">
        <v>60</v>
      </c>
      <c r="C1" s="225"/>
      <c r="D1" s="2"/>
      <c r="E1" s="2"/>
      <c r="F1" s="2"/>
      <c r="G1" s="2"/>
      <c r="H1" s="3"/>
      <c r="I1" s="2"/>
      <c r="J1" s="2"/>
    </row>
    <row r="2" spans="1:10" x14ac:dyDescent="0.25">
      <c r="A2" s="2"/>
      <c r="B2" s="16" t="s">
        <v>35</v>
      </c>
      <c r="C2" s="224" t="s">
        <v>36</v>
      </c>
      <c r="D2" s="224"/>
      <c r="E2" s="16" t="s">
        <v>4</v>
      </c>
      <c r="F2" s="99" t="s">
        <v>72</v>
      </c>
      <c r="G2" s="110"/>
      <c r="H2" s="102"/>
    </row>
    <row r="3" spans="1:10" x14ac:dyDescent="0.25">
      <c r="A3" s="2"/>
      <c r="B3" s="16" t="s">
        <v>172</v>
      </c>
      <c r="C3" s="224" t="s">
        <v>142</v>
      </c>
      <c r="D3" s="224"/>
      <c r="E3" s="110"/>
      <c r="F3" s="101"/>
      <c r="G3" s="110"/>
      <c r="H3" s="85"/>
    </row>
    <row r="4" spans="1:10" x14ac:dyDescent="0.25">
      <c r="A4" s="2"/>
      <c r="B4" s="2"/>
      <c r="C4" s="2"/>
      <c r="D4" s="2"/>
      <c r="E4" s="2"/>
      <c r="F4" s="2"/>
      <c r="G4" s="2"/>
    </row>
    <row r="5" spans="1:10" x14ac:dyDescent="0.25">
      <c r="A5" s="21" t="s">
        <v>7</v>
      </c>
      <c r="B5" s="113" t="s">
        <v>62</v>
      </c>
      <c r="C5" s="21" t="s">
        <v>63</v>
      </c>
      <c r="D5" s="21"/>
      <c r="E5" s="21"/>
      <c r="F5" s="21"/>
      <c r="G5" s="21"/>
    </row>
    <row r="6" spans="1:10" x14ac:dyDescent="0.25">
      <c r="A6" s="21"/>
      <c r="B6" s="114"/>
      <c r="C6" s="115" t="s">
        <v>314</v>
      </c>
      <c r="D6" s="115" t="s">
        <v>48</v>
      </c>
      <c r="E6" s="115" t="s">
        <v>49</v>
      </c>
      <c r="F6" s="115" t="s">
        <v>50</v>
      </c>
      <c r="G6" s="115" t="s">
        <v>51</v>
      </c>
    </row>
    <row r="7" spans="1:10" x14ac:dyDescent="0.25">
      <c r="A7" s="21"/>
      <c r="B7" s="16" t="s">
        <v>52</v>
      </c>
      <c r="C7" s="116"/>
      <c r="D7" s="116"/>
      <c r="E7" s="116"/>
      <c r="F7" s="116"/>
      <c r="G7" s="117"/>
    </row>
    <row r="8" spans="1:10" x14ac:dyDescent="0.25">
      <c r="A8" s="2"/>
      <c r="B8" s="111">
        <v>100</v>
      </c>
      <c r="C8" s="65"/>
      <c r="D8" s="65"/>
      <c r="E8" s="65"/>
      <c r="F8" s="65"/>
      <c r="G8" s="65"/>
    </row>
    <row r="9" spans="1:10" x14ac:dyDescent="0.25">
      <c r="A9" s="2"/>
      <c r="B9" s="111">
        <v>200</v>
      </c>
      <c r="C9" s="65"/>
      <c r="D9" s="65"/>
      <c r="E9" s="65"/>
      <c r="F9" s="65"/>
      <c r="G9" s="65"/>
    </row>
    <row r="10" spans="1:10" x14ac:dyDescent="0.25">
      <c r="A10" s="2"/>
      <c r="B10" s="111">
        <v>300</v>
      </c>
      <c r="C10" s="65"/>
      <c r="D10" s="65"/>
      <c r="E10" s="65"/>
      <c r="F10" s="65"/>
      <c r="G10" s="65"/>
    </row>
    <row r="11" spans="1:10" x14ac:dyDescent="0.25">
      <c r="A11" s="2"/>
      <c r="B11" s="111">
        <v>400</v>
      </c>
      <c r="C11" s="65"/>
      <c r="D11" s="65"/>
      <c r="E11" s="65"/>
      <c r="F11" s="65"/>
      <c r="G11" s="65"/>
    </row>
    <row r="12" spans="1:10" x14ac:dyDescent="0.25">
      <c r="A12" s="2"/>
      <c r="B12" s="111">
        <v>500</v>
      </c>
      <c r="C12" s="65"/>
      <c r="D12" s="65"/>
      <c r="E12" s="65"/>
      <c r="F12" s="65"/>
      <c r="G12" s="65"/>
    </row>
    <row r="13" spans="1:10" x14ac:dyDescent="0.25">
      <c r="A13" s="2"/>
      <c r="B13" s="111">
        <v>500</v>
      </c>
      <c r="C13" s="65"/>
      <c r="D13" s="65"/>
      <c r="E13" s="65"/>
      <c r="F13" s="65"/>
      <c r="G13" s="65"/>
    </row>
    <row r="14" spans="1:10" x14ac:dyDescent="0.25">
      <c r="A14" s="2"/>
      <c r="B14" s="111">
        <v>500</v>
      </c>
      <c r="C14" s="65"/>
      <c r="D14" s="65"/>
      <c r="E14" s="65"/>
      <c r="F14" s="65"/>
      <c r="G14" s="65"/>
    </row>
    <row r="15" spans="1:10" x14ac:dyDescent="0.25">
      <c r="A15" s="2"/>
      <c r="B15" s="111">
        <v>500</v>
      </c>
      <c r="C15" s="65"/>
      <c r="D15" s="65"/>
      <c r="E15" s="65"/>
      <c r="F15" s="65"/>
      <c r="G15" s="65"/>
    </row>
    <row r="16" spans="1:10" x14ac:dyDescent="0.25">
      <c r="A16" s="2"/>
      <c r="B16" s="111">
        <v>500</v>
      </c>
      <c r="C16" s="65"/>
      <c r="D16" s="65"/>
      <c r="E16" s="65"/>
      <c r="F16" s="65"/>
      <c r="G16" s="65"/>
    </row>
    <row r="17" spans="1:9" x14ac:dyDescent="0.25">
      <c r="A17" s="2"/>
      <c r="B17" s="111">
        <v>600</v>
      </c>
      <c r="C17" s="65"/>
      <c r="D17" s="65"/>
      <c r="E17" s="65"/>
      <c r="F17" s="65"/>
      <c r="G17" s="65"/>
    </row>
    <row r="18" spans="1:9" x14ac:dyDescent="0.25">
      <c r="A18" s="2"/>
      <c r="B18" s="111" t="s">
        <v>55</v>
      </c>
      <c r="C18" s="65"/>
      <c r="D18" s="65"/>
      <c r="E18" s="65"/>
      <c r="F18" s="65"/>
      <c r="G18" s="65"/>
    </row>
    <row r="19" spans="1:9" x14ac:dyDescent="0.25">
      <c r="A19" s="2"/>
      <c r="B19" s="111" t="s">
        <v>56</v>
      </c>
      <c r="C19" s="65"/>
      <c r="D19" s="65"/>
      <c r="E19" s="65"/>
      <c r="F19" s="65"/>
      <c r="G19" s="65"/>
    </row>
    <row r="20" spans="1:9" x14ac:dyDescent="0.25">
      <c r="A20" s="2"/>
      <c r="B20" s="111" t="s">
        <v>57</v>
      </c>
      <c r="C20" s="65"/>
      <c r="D20" s="65"/>
      <c r="E20" s="65"/>
      <c r="F20" s="65"/>
      <c r="G20" s="65"/>
    </row>
    <row r="21" spans="1:9" x14ac:dyDescent="0.25">
      <c r="A21" s="2"/>
      <c r="B21" s="111" t="s">
        <v>59</v>
      </c>
      <c r="C21" s="65"/>
      <c r="D21" s="65"/>
      <c r="E21" s="65"/>
      <c r="F21" s="65"/>
      <c r="G21" s="65"/>
    </row>
    <row r="22" spans="1:9" x14ac:dyDescent="0.25">
      <c r="A22" s="2"/>
      <c r="B22" s="111" t="s">
        <v>58</v>
      </c>
      <c r="C22" s="65"/>
      <c r="D22" s="65"/>
      <c r="E22" s="65"/>
      <c r="F22" s="65"/>
      <c r="G22" s="65"/>
    </row>
    <row r="23" spans="1:9" x14ac:dyDescent="0.25">
      <c r="A23" s="2"/>
      <c r="B23" s="111"/>
      <c r="C23" s="65"/>
      <c r="D23" s="65"/>
      <c r="E23" s="65"/>
      <c r="F23" s="65"/>
      <c r="G23" s="65"/>
    </row>
    <row r="24" spans="1:9" x14ac:dyDescent="0.25">
      <c r="A24" s="2"/>
      <c r="B24" s="111"/>
      <c r="C24" s="65"/>
      <c r="D24" s="65"/>
      <c r="E24" s="65"/>
      <c r="F24" s="65"/>
      <c r="G24" s="65"/>
    </row>
    <row r="25" spans="1:9" x14ac:dyDescent="0.25">
      <c r="A25" s="2"/>
      <c r="B25" s="111"/>
      <c r="C25" s="65"/>
      <c r="D25" s="65"/>
      <c r="E25" s="65"/>
      <c r="F25" s="65"/>
      <c r="G25" s="65"/>
    </row>
    <row r="26" spans="1:9" x14ac:dyDescent="0.25">
      <c r="A26" s="2"/>
      <c r="B26" s="2"/>
      <c r="C26" s="2"/>
      <c r="D26" s="2"/>
      <c r="E26" s="2"/>
      <c r="F26" s="2"/>
      <c r="G26" s="2"/>
    </row>
    <row r="27" spans="1:9" x14ac:dyDescent="0.25">
      <c r="A27" s="2"/>
      <c r="B27" s="2"/>
      <c r="C27" s="2"/>
      <c r="D27" s="2"/>
      <c r="E27" s="2"/>
      <c r="F27" s="2"/>
      <c r="G27" s="2"/>
      <c r="I27" s="47"/>
    </row>
    <row r="28" spans="1:9" ht="15.75" x14ac:dyDescent="0.25">
      <c r="A28" s="22" t="s">
        <v>9</v>
      </c>
      <c r="B28" s="212" t="s">
        <v>23</v>
      </c>
      <c r="C28" s="212"/>
      <c r="D28" s="212"/>
      <c r="E28" s="212"/>
      <c r="F28" s="7"/>
      <c r="G28" s="2"/>
    </row>
    <row r="29" spans="1:9" ht="15.75" x14ac:dyDescent="0.25">
      <c r="A29" s="7"/>
      <c r="B29" s="216" t="s">
        <v>24</v>
      </c>
      <c r="C29" s="216"/>
      <c r="D29" s="216"/>
      <c r="E29" s="216"/>
      <c r="F29" s="118"/>
      <c r="G29" s="2"/>
    </row>
    <row r="30" spans="1:9" ht="15.75" x14ac:dyDescent="0.25">
      <c r="A30" s="7"/>
      <c r="B30" s="98"/>
      <c r="C30" s="98"/>
      <c r="D30" s="98"/>
      <c r="E30" s="98"/>
      <c r="F30" s="15"/>
      <c r="G30" s="2"/>
    </row>
    <row r="31" spans="1:9" ht="15.75" x14ac:dyDescent="0.25">
      <c r="A31" s="7"/>
      <c r="B31" s="216" t="s">
        <v>25</v>
      </c>
      <c r="C31" s="216"/>
      <c r="D31" s="216"/>
      <c r="E31" s="216"/>
      <c r="F31" s="7" t="s">
        <v>21</v>
      </c>
      <c r="G31" s="2"/>
    </row>
    <row r="32" spans="1:9" ht="15.75" x14ac:dyDescent="0.25">
      <c r="A32" s="7"/>
      <c r="B32" s="7"/>
      <c r="C32" s="7"/>
      <c r="D32" s="7"/>
      <c r="E32" s="7"/>
      <c r="F32" s="7"/>
      <c r="G32" s="2"/>
    </row>
    <row r="33" spans="1:7" ht="15.75" x14ac:dyDescent="0.25">
      <c r="A33" s="22" t="s">
        <v>10</v>
      </c>
      <c r="B33" s="212" t="s">
        <v>27</v>
      </c>
      <c r="C33" s="212"/>
      <c r="D33" s="212"/>
      <c r="E33" s="212"/>
      <c r="F33" s="7"/>
      <c r="G33" s="2"/>
    </row>
    <row r="34" spans="1:7" ht="15.75" x14ac:dyDescent="0.25">
      <c r="A34" s="7"/>
      <c r="B34" s="216" t="s">
        <v>28</v>
      </c>
      <c r="C34" s="216"/>
      <c r="D34" s="216"/>
      <c r="E34" s="216"/>
      <c r="F34" s="118"/>
      <c r="G34" s="2"/>
    </row>
    <row r="35" spans="1:7" ht="15.75" x14ac:dyDescent="0.25">
      <c r="A35" s="7"/>
      <c r="B35" s="7"/>
      <c r="C35" s="7"/>
      <c r="D35" s="7"/>
      <c r="E35" s="7"/>
      <c r="F35" s="7"/>
      <c r="G35" s="2"/>
    </row>
    <row r="36" spans="1:7" ht="15.75" x14ac:dyDescent="0.25">
      <c r="A36" s="7"/>
      <c r="B36" s="7" t="s">
        <v>29</v>
      </c>
      <c r="C36" s="216"/>
      <c r="D36" s="216"/>
      <c r="E36" s="216"/>
      <c r="F36" s="7" t="s">
        <v>21</v>
      </c>
      <c r="G36" s="2"/>
    </row>
  </sheetData>
  <sheetProtection password="E9BA" sheet="1" objects="1" scenarios="1" formatCells="0" formatColumns="0" formatRows="0" insertRows="0" deleteRows="0"/>
  <mergeCells count="10">
    <mergeCell ref="B29:E29"/>
    <mergeCell ref="B1:C1"/>
    <mergeCell ref="C2:D2"/>
    <mergeCell ref="C3:D3"/>
    <mergeCell ref="B28:E28"/>
    <mergeCell ref="B31:C31"/>
    <mergeCell ref="D31:E31"/>
    <mergeCell ref="B33:E33"/>
    <mergeCell ref="B34:E34"/>
    <mergeCell ref="C36:E36"/>
  </mergeCells>
  <dataValidations count="1">
    <dataValidation type="list" allowBlank="1" showInputMessage="1" showErrorMessage="1" sqref="H3">
      <formula1>"2009/2010,2010/2011,2011/2012"</formula1>
    </dataValidation>
  </dataValidations>
  <pageMargins left="0.11811023622047245" right="0.11811023622047245" top="0.94488188976377963" bottom="0.74803149606299213" header="0.31496062992125984" footer="0.31496062992125984"/>
  <pageSetup paperSize="9" orientation="landscape" verticalDpi="0" r:id="rId1"/>
  <headerFooter>
    <oddHeader>&amp;C&amp;"-,Bold"&amp;16UNIVERSITY OF LAGOS&amp;14
Departmental Responsibility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Info_Lists!$D$2:$D$83</xm:f>
          </x14:formula1>
          <xm:sqref>C2:D2</xm:sqref>
        </x14:dataValidation>
        <x14:dataValidation type="list" allowBlank="1" showInputMessage="1" showErrorMessage="1">
          <x14:formula1>
            <xm:f>Staff_List!$A$2:$A$53</xm:f>
          </x14:formula1>
          <xm:sqref>C8:G25</xm:sqref>
        </x14:dataValidation>
        <x14:dataValidation type="list" showInputMessage="1" showErrorMessage="1">
          <x14:formula1>
            <xm:f>Info_Lists!$E$14:$E$94</xm:f>
          </x14:formula1>
          <xm:sqref>C3:D3</xm:sqref>
        </x14:dataValidation>
        <x14:dataValidation type="list" allowBlank="1" showInputMessage="1" showErrorMessage="1">
          <x14:formula1>
            <xm:f>Info_Lists!$C$2:$C$14</xm:f>
          </x14:formula1>
          <xm:sqref>F2:F3</xm:sqref>
        </x14:dataValidation>
        <x14:dataValidation type="list" allowBlank="1" showInputMessage="1" showErrorMessage="1">
          <x14:formula1>
            <xm:f>Info_Lists!$G$2:$G$30</xm:f>
          </x14:formula1>
          <xm:sqref>B18:B25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FF0000"/>
  </sheetPr>
  <dimension ref="A1:J36"/>
  <sheetViews>
    <sheetView workbookViewId="0">
      <selection activeCell="D5" sqref="D5"/>
    </sheetView>
  </sheetViews>
  <sheetFormatPr defaultRowHeight="15" x14ac:dyDescent="0.25"/>
  <cols>
    <col min="1" max="1" width="2.85546875" bestFit="1" customWidth="1"/>
    <col min="2" max="2" width="18.5703125" bestFit="1" customWidth="1"/>
    <col min="3" max="7" width="26.5703125" bestFit="1" customWidth="1"/>
    <col min="8" max="8" width="9.85546875" bestFit="1" customWidth="1"/>
    <col min="9" max="9" width="11" customWidth="1"/>
    <col min="10" max="10" width="32.5703125" bestFit="1" customWidth="1"/>
  </cols>
  <sheetData>
    <row r="1" spans="1:10" x14ac:dyDescent="0.25">
      <c r="A1" s="21" t="s">
        <v>0</v>
      </c>
      <c r="B1" s="225" t="s">
        <v>60</v>
      </c>
      <c r="C1" s="225"/>
      <c r="D1" s="2"/>
      <c r="E1" s="2"/>
      <c r="F1" s="2"/>
      <c r="G1" s="2"/>
      <c r="H1" s="3"/>
      <c r="I1" s="2"/>
      <c r="J1" s="2"/>
    </row>
    <row r="2" spans="1:10" x14ac:dyDescent="0.25">
      <c r="A2" s="2"/>
      <c r="B2" s="16" t="s">
        <v>35</v>
      </c>
      <c r="C2" s="224" t="s">
        <v>36</v>
      </c>
      <c r="D2" s="224"/>
      <c r="E2" s="16" t="s">
        <v>4</v>
      </c>
      <c r="F2" s="99" t="s">
        <v>74</v>
      </c>
      <c r="G2" s="110"/>
      <c r="H2" s="102"/>
    </row>
    <row r="3" spans="1:10" x14ac:dyDescent="0.25">
      <c r="A3" s="2"/>
      <c r="B3" s="16" t="s">
        <v>172</v>
      </c>
      <c r="C3" s="224" t="s">
        <v>142</v>
      </c>
      <c r="D3" s="224"/>
      <c r="E3" s="110"/>
      <c r="F3" s="101"/>
      <c r="G3" s="110"/>
      <c r="H3" s="85"/>
    </row>
    <row r="4" spans="1:10" x14ac:dyDescent="0.25">
      <c r="A4" s="2"/>
      <c r="B4" s="2"/>
      <c r="C4" s="2"/>
      <c r="D4" s="2"/>
      <c r="E4" s="2"/>
      <c r="F4" s="2"/>
      <c r="G4" s="2"/>
    </row>
    <row r="5" spans="1:10" x14ac:dyDescent="0.25">
      <c r="A5" s="21" t="s">
        <v>7</v>
      </c>
      <c r="B5" s="113" t="s">
        <v>62</v>
      </c>
      <c r="C5" s="21" t="s">
        <v>63</v>
      </c>
      <c r="D5" s="21"/>
      <c r="E5" s="21"/>
      <c r="F5" s="21"/>
      <c r="G5" s="21"/>
    </row>
    <row r="6" spans="1:10" x14ac:dyDescent="0.25">
      <c r="A6" s="21"/>
      <c r="B6" s="114"/>
      <c r="C6" s="115" t="s">
        <v>314</v>
      </c>
      <c r="D6" s="115" t="s">
        <v>48</v>
      </c>
      <c r="E6" s="115" t="s">
        <v>49</v>
      </c>
      <c r="F6" s="115" t="s">
        <v>50</v>
      </c>
      <c r="G6" s="115" t="s">
        <v>51</v>
      </c>
    </row>
    <row r="7" spans="1:10" x14ac:dyDescent="0.25">
      <c r="A7" s="21"/>
      <c r="B7" s="16" t="s">
        <v>52</v>
      </c>
      <c r="C7" s="116"/>
      <c r="D7" s="116"/>
      <c r="E7" s="116"/>
      <c r="F7" s="116"/>
      <c r="G7" s="117"/>
    </row>
    <row r="8" spans="1:10" x14ac:dyDescent="0.25">
      <c r="A8" s="2"/>
      <c r="B8" s="111">
        <v>100</v>
      </c>
      <c r="C8" s="65"/>
      <c r="D8" s="65"/>
      <c r="E8" s="65"/>
      <c r="F8" s="65"/>
      <c r="G8" s="65"/>
    </row>
    <row r="9" spans="1:10" x14ac:dyDescent="0.25">
      <c r="A9" s="2"/>
      <c r="B9" s="111">
        <v>200</v>
      </c>
      <c r="C9" s="65"/>
      <c r="D9" s="65"/>
      <c r="E9" s="65"/>
      <c r="F9" s="65"/>
      <c r="G9" s="65"/>
    </row>
    <row r="10" spans="1:10" x14ac:dyDescent="0.25">
      <c r="A10" s="2"/>
      <c r="B10" s="111">
        <v>300</v>
      </c>
      <c r="C10" s="65"/>
      <c r="D10" s="65"/>
      <c r="E10" s="65"/>
      <c r="F10" s="65"/>
      <c r="G10" s="65"/>
    </row>
    <row r="11" spans="1:10" x14ac:dyDescent="0.25">
      <c r="A11" s="2"/>
      <c r="B11" s="111">
        <v>400</v>
      </c>
      <c r="C11" s="65"/>
      <c r="D11" s="65"/>
      <c r="E11" s="65"/>
      <c r="F11" s="65"/>
      <c r="G11" s="65"/>
    </row>
    <row r="12" spans="1:10" x14ac:dyDescent="0.25">
      <c r="A12" s="2"/>
      <c r="B12" s="111">
        <v>500</v>
      </c>
      <c r="C12" s="65"/>
      <c r="D12" s="65"/>
      <c r="E12" s="65"/>
      <c r="F12" s="65"/>
      <c r="G12" s="65"/>
    </row>
    <row r="13" spans="1:10" x14ac:dyDescent="0.25">
      <c r="A13" s="2"/>
      <c r="B13" s="111">
        <v>500</v>
      </c>
      <c r="C13" s="112"/>
      <c r="D13" s="65"/>
      <c r="E13" s="65"/>
      <c r="F13" s="65"/>
      <c r="G13" s="65"/>
    </row>
    <row r="14" spans="1:10" x14ac:dyDescent="0.25">
      <c r="A14" s="2"/>
      <c r="B14" s="111">
        <v>500</v>
      </c>
      <c r="C14" s="112"/>
      <c r="D14" s="112"/>
      <c r="E14" s="65"/>
      <c r="F14" s="65"/>
      <c r="G14" s="65"/>
    </row>
    <row r="15" spans="1:10" x14ac:dyDescent="0.25">
      <c r="A15" s="2"/>
      <c r="B15" s="111">
        <v>500</v>
      </c>
      <c r="C15" s="112"/>
      <c r="D15" s="112"/>
      <c r="E15" s="112"/>
      <c r="F15" s="65"/>
      <c r="G15" s="65"/>
    </row>
    <row r="16" spans="1:10" x14ac:dyDescent="0.25">
      <c r="A16" s="2"/>
      <c r="B16" s="111">
        <v>500</v>
      </c>
      <c r="C16" s="112"/>
      <c r="D16" s="112"/>
      <c r="E16" s="112"/>
      <c r="F16" s="65"/>
      <c r="G16" s="65"/>
    </row>
    <row r="17" spans="1:9" x14ac:dyDescent="0.25">
      <c r="A17" s="2"/>
      <c r="B17" s="111">
        <v>600</v>
      </c>
      <c r="C17" s="65"/>
      <c r="D17" s="65"/>
      <c r="E17" s="65"/>
      <c r="F17" s="65"/>
      <c r="G17" s="65"/>
    </row>
    <row r="18" spans="1:9" x14ac:dyDescent="0.25">
      <c r="A18" s="2"/>
      <c r="B18" s="111" t="s">
        <v>55</v>
      </c>
      <c r="C18" s="65"/>
      <c r="D18" s="65"/>
      <c r="E18" s="65"/>
      <c r="F18" s="65"/>
      <c r="G18" s="65"/>
      <c r="I18" s="50"/>
    </row>
    <row r="19" spans="1:9" x14ac:dyDescent="0.25">
      <c r="A19" s="2"/>
      <c r="B19" s="111" t="s">
        <v>56</v>
      </c>
      <c r="C19" s="65"/>
      <c r="D19" s="65"/>
      <c r="E19" s="65"/>
      <c r="F19" s="65"/>
      <c r="G19" s="65"/>
      <c r="I19" s="50"/>
    </row>
    <row r="20" spans="1:9" x14ac:dyDescent="0.25">
      <c r="A20" s="2"/>
      <c r="B20" s="111" t="s">
        <v>57</v>
      </c>
      <c r="C20" s="65"/>
      <c r="D20" s="65"/>
      <c r="E20" s="65"/>
      <c r="F20" s="65"/>
      <c r="G20" s="65"/>
      <c r="I20" s="50"/>
    </row>
    <row r="21" spans="1:9" x14ac:dyDescent="0.25">
      <c r="A21" s="2"/>
      <c r="B21" s="111" t="s">
        <v>59</v>
      </c>
      <c r="C21" s="65"/>
      <c r="D21" s="65"/>
      <c r="E21" s="65"/>
      <c r="F21" s="65"/>
      <c r="G21" s="65"/>
      <c r="I21" s="51"/>
    </row>
    <row r="22" spans="1:9" x14ac:dyDescent="0.25">
      <c r="A22" s="2"/>
      <c r="B22" s="111" t="s">
        <v>58</v>
      </c>
      <c r="C22" s="65"/>
      <c r="D22" s="65"/>
      <c r="E22" s="65"/>
      <c r="F22" s="65"/>
      <c r="G22" s="65"/>
      <c r="I22" s="51"/>
    </row>
    <row r="23" spans="1:9" x14ac:dyDescent="0.25">
      <c r="A23" s="2"/>
      <c r="B23" s="111"/>
      <c r="C23" s="65"/>
      <c r="D23" s="65"/>
      <c r="E23" s="65"/>
      <c r="F23" s="65"/>
      <c r="G23" s="65"/>
    </row>
    <row r="24" spans="1:9" x14ac:dyDescent="0.25">
      <c r="A24" s="2"/>
      <c r="B24" s="111"/>
      <c r="C24" s="65"/>
      <c r="D24" s="65"/>
      <c r="E24" s="65"/>
      <c r="F24" s="65"/>
      <c r="G24" s="65"/>
    </row>
    <row r="25" spans="1:9" x14ac:dyDescent="0.25">
      <c r="A25" s="2"/>
      <c r="B25" s="111"/>
      <c r="C25" s="65"/>
      <c r="D25" s="65"/>
      <c r="E25" s="65"/>
      <c r="F25" s="65"/>
      <c r="G25" s="65"/>
    </row>
    <row r="26" spans="1:9" x14ac:dyDescent="0.25">
      <c r="A26" s="2"/>
      <c r="B26" s="2"/>
      <c r="C26" s="2"/>
      <c r="D26" s="2"/>
      <c r="E26" s="2"/>
      <c r="F26" s="2"/>
      <c r="G26" s="2"/>
      <c r="I26" s="47"/>
    </row>
    <row r="27" spans="1:9" x14ac:dyDescent="0.25">
      <c r="A27" s="2"/>
      <c r="B27" s="2"/>
      <c r="C27" s="2"/>
      <c r="D27" s="2"/>
      <c r="E27" s="2"/>
      <c r="F27" s="2"/>
      <c r="G27" s="2"/>
      <c r="I27" s="47"/>
    </row>
    <row r="28" spans="1:9" ht="15.75" x14ac:dyDescent="0.25">
      <c r="A28" s="22" t="s">
        <v>9</v>
      </c>
      <c r="B28" s="212" t="s">
        <v>23</v>
      </c>
      <c r="C28" s="212"/>
      <c r="D28" s="212"/>
      <c r="E28" s="212"/>
      <c r="F28" s="7"/>
      <c r="G28" s="2"/>
    </row>
    <row r="29" spans="1:9" ht="15.75" x14ac:dyDescent="0.25">
      <c r="A29" s="7"/>
      <c r="B29" s="216" t="s">
        <v>24</v>
      </c>
      <c r="C29" s="216"/>
      <c r="D29" s="216"/>
      <c r="E29" s="216"/>
      <c r="F29" s="118"/>
      <c r="G29" s="2"/>
    </row>
    <row r="30" spans="1:9" ht="15.75" x14ac:dyDescent="0.25">
      <c r="A30" s="7"/>
      <c r="B30" s="98"/>
      <c r="C30" s="98"/>
      <c r="D30" s="98"/>
      <c r="E30" s="98"/>
      <c r="F30" s="15"/>
      <c r="G30" s="2"/>
    </row>
    <row r="31" spans="1:9" ht="15.75" x14ac:dyDescent="0.25">
      <c r="A31" s="7"/>
      <c r="B31" s="216" t="s">
        <v>25</v>
      </c>
      <c r="C31" s="216"/>
      <c r="D31" s="216"/>
      <c r="E31" s="216"/>
      <c r="F31" s="7" t="s">
        <v>21</v>
      </c>
      <c r="G31" s="2"/>
    </row>
    <row r="32" spans="1:9" ht="15.75" x14ac:dyDescent="0.25">
      <c r="A32" s="7"/>
      <c r="B32" s="7"/>
      <c r="C32" s="7"/>
      <c r="D32" s="7"/>
      <c r="E32" s="7"/>
      <c r="F32" s="7"/>
      <c r="G32" s="2"/>
    </row>
    <row r="33" spans="1:7" ht="15.75" x14ac:dyDescent="0.25">
      <c r="A33" s="22" t="s">
        <v>10</v>
      </c>
      <c r="B33" s="212" t="s">
        <v>27</v>
      </c>
      <c r="C33" s="212"/>
      <c r="D33" s="212"/>
      <c r="E33" s="212"/>
      <c r="F33" s="7"/>
      <c r="G33" s="2"/>
    </row>
    <row r="34" spans="1:7" ht="15.75" x14ac:dyDescent="0.25">
      <c r="A34" s="7"/>
      <c r="B34" s="216" t="s">
        <v>28</v>
      </c>
      <c r="C34" s="216"/>
      <c r="D34" s="216"/>
      <c r="E34" s="216"/>
      <c r="F34" s="118"/>
      <c r="G34" s="2"/>
    </row>
    <row r="35" spans="1:7" ht="15.75" x14ac:dyDescent="0.25">
      <c r="A35" s="7"/>
      <c r="B35" s="7"/>
      <c r="C35" s="7"/>
      <c r="D35" s="7"/>
      <c r="E35" s="7"/>
      <c r="F35" s="7"/>
      <c r="G35" s="2"/>
    </row>
    <row r="36" spans="1:7" ht="15.75" x14ac:dyDescent="0.25">
      <c r="A36" s="7"/>
      <c r="B36" s="7" t="s">
        <v>29</v>
      </c>
      <c r="C36" s="216"/>
      <c r="D36" s="216"/>
      <c r="E36" s="216"/>
      <c r="F36" s="7" t="s">
        <v>21</v>
      </c>
      <c r="G36" s="2"/>
    </row>
  </sheetData>
  <sheetProtection password="E9BA" sheet="1" objects="1" scenarios="1" formatCells="0" formatColumns="0" formatRows="0" insertRows="0" deleteRows="0"/>
  <dataConsolidate/>
  <mergeCells count="10">
    <mergeCell ref="B33:E33"/>
    <mergeCell ref="B34:E34"/>
    <mergeCell ref="C36:E36"/>
    <mergeCell ref="B1:C1"/>
    <mergeCell ref="C2:D2"/>
    <mergeCell ref="C3:D3"/>
    <mergeCell ref="B28:E28"/>
    <mergeCell ref="B29:E29"/>
    <mergeCell ref="B31:C31"/>
    <mergeCell ref="D31:E31"/>
  </mergeCells>
  <dataValidations count="1">
    <dataValidation type="list" allowBlank="1" showInputMessage="1" showErrorMessage="1" sqref="H3">
      <formula1>"2009/2010,2010/2011,2011/2012"</formula1>
    </dataValidation>
  </dataValidations>
  <pageMargins left="0.11811023622047245" right="0.11811023622047245" top="0.94488188976377963" bottom="0.74803149606299213" header="0.31496062992125984" footer="0.31496062992125984"/>
  <pageSetup paperSize="9" scale="88" orientation="landscape" blackAndWhite="1" r:id="rId1"/>
  <headerFooter>
    <oddHeader>&amp;C&amp;"-,Bold"&amp;16UNIVERSITY OF LAGOS&amp;12
Departmental Responsibilty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Info_Lists!$D$2:$D$83</xm:f>
          </x14:formula1>
          <xm:sqref>C2:D2</xm:sqref>
        </x14:dataValidation>
        <x14:dataValidation type="list" allowBlank="1" showInputMessage="1" showErrorMessage="1">
          <x14:formula1>
            <xm:f>Staff_List!$A$2:$A$53</xm:f>
          </x14:formula1>
          <xm:sqref>C8:G25</xm:sqref>
        </x14:dataValidation>
        <x14:dataValidation type="list" showInputMessage="1" showErrorMessage="1">
          <x14:formula1>
            <xm:f>Info_Lists!$E$14:$E$94</xm:f>
          </x14:formula1>
          <xm:sqref>C3:D3</xm:sqref>
        </x14:dataValidation>
        <x14:dataValidation type="list" allowBlank="1" showInputMessage="1" showErrorMessage="1">
          <x14:formula1>
            <xm:f>Info_Lists!$C$2:$C$14</xm:f>
          </x14:formula1>
          <xm:sqref>F2:F3</xm:sqref>
        </x14:dataValidation>
        <x14:dataValidation type="list" allowBlank="1" showInputMessage="1" showErrorMessage="1">
          <x14:formula1>
            <xm:f>Info_Lists!$G$2:$G$30</xm:f>
          </x14:formula1>
          <xm:sqref>B18:B25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FF0000"/>
  </sheetPr>
  <dimension ref="A1:J36"/>
  <sheetViews>
    <sheetView workbookViewId="0">
      <selection activeCell="D5" sqref="D5"/>
    </sheetView>
  </sheetViews>
  <sheetFormatPr defaultRowHeight="15" x14ac:dyDescent="0.25"/>
  <cols>
    <col min="1" max="1" width="2.85546875" bestFit="1" customWidth="1"/>
    <col min="2" max="2" width="18.5703125" bestFit="1" customWidth="1"/>
    <col min="3" max="3" width="26.5703125" bestFit="1" customWidth="1"/>
    <col min="4" max="4" width="26.42578125" bestFit="1" customWidth="1"/>
    <col min="5" max="6" width="26.5703125" bestFit="1" customWidth="1"/>
    <col min="7" max="7" width="30.42578125" bestFit="1" customWidth="1"/>
    <col min="8" max="8" width="9.85546875" bestFit="1" customWidth="1"/>
  </cols>
  <sheetData>
    <row r="1" spans="1:10" x14ac:dyDescent="0.25">
      <c r="A1" s="21" t="s">
        <v>0</v>
      </c>
      <c r="B1" s="225" t="s">
        <v>60</v>
      </c>
      <c r="C1" s="225"/>
      <c r="D1" s="2"/>
      <c r="E1" s="2"/>
      <c r="F1" s="2"/>
      <c r="G1" s="2"/>
      <c r="H1" s="3"/>
      <c r="I1" s="2"/>
      <c r="J1" s="2"/>
    </row>
    <row r="2" spans="1:10" x14ac:dyDescent="0.25">
      <c r="A2" s="2"/>
      <c r="B2" s="16" t="s">
        <v>35</v>
      </c>
      <c r="C2" s="224" t="s">
        <v>36</v>
      </c>
      <c r="D2" s="224"/>
      <c r="E2" s="16" t="s">
        <v>4</v>
      </c>
      <c r="F2" s="99" t="s">
        <v>72</v>
      </c>
      <c r="G2" s="110"/>
      <c r="H2" s="102"/>
    </row>
    <row r="3" spans="1:10" x14ac:dyDescent="0.25">
      <c r="A3" s="2"/>
      <c r="B3" s="16" t="s">
        <v>172</v>
      </c>
      <c r="C3" s="224" t="s">
        <v>142</v>
      </c>
      <c r="D3" s="224"/>
      <c r="E3" s="110"/>
      <c r="F3" s="101"/>
      <c r="G3" s="110"/>
      <c r="H3" s="85"/>
    </row>
    <row r="4" spans="1:10" x14ac:dyDescent="0.25">
      <c r="A4" s="2"/>
      <c r="B4" s="2"/>
      <c r="C4" s="2"/>
      <c r="D4" s="2"/>
      <c r="E4" s="2"/>
      <c r="F4" s="2"/>
      <c r="G4" s="2"/>
    </row>
    <row r="5" spans="1:10" x14ac:dyDescent="0.25">
      <c r="A5" s="21" t="s">
        <v>7</v>
      </c>
      <c r="B5" s="113" t="s">
        <v>62</v>
      </c>
      <c r="C5" s="21" t="s">
        <v>63</v>
      </c>
      <c r="D5" s="21"/>
      <c r="E5" s="21"/>
      <c r="F5" s="21"/>
      <c r="G5" s="21"/>
    </row>
    <row r="6" spans="1:10" x14ac:dyDescent="0.25">
      <c r="A6" s="21"/>
      <c r="B6" s="114"/>
      <c r="C6" s="115" t="s">
        <v>314</v>
      </c>
      <c r="D6" s="115" t="s">
        <v>48</v>
      </c>
      <c r="E6" s="115" t="s">
        <v>49</v>
      </c>
      <c r="F6" s="115" t="s">
        <v>50</v>
      </c>
      <c r="G6" s="115" t="s">
        <v>51</v>
      </c>
    </row>
    <row r="7" spans="1:10" x14ac:dyDescent="0.25">
      <c r="A7" s="21"/>
      <c r="B7" s="16" t="s">
        <v>52</v>
      </c>
      <c r="C7" s="116"/>
      <c r="D7" s="116"/>
      <c r="E7" s="116"/>
      <c r="F7" s="116"/>
      <c r="G7" s="117"/>
    </row>
    <row r="8" spans="1:10" x14ac:dyDescent="0.25">
      <c r="A8" s="2"/>
      <c r="B8" s="111">
        <v>100</v>
      </c>
      <c r="C8" s="65"/>
      <c r="D8" s="65"/>
      <c r="E8" s="65"/>
      <c r="F8" s="65"/>
      <c r="G8" s="65"/>
    </row>
    <row r="9" spans="1:10" x14ac:dyDescent="0.25">
      <c r="A9" s="2"/>
      <c r="B9" s="111">
        <v>200</v>
      </c>
      <c r="C9" s="65"/>
      <c r="D9" s="65"/>
      <c r="E9" s="65"/>
      <c r="F9" s="65"/>
      <c r="G9" s="65"/>
    </row>
    <row r="10" spans="1:10" x14ac:dyDescent="0.25">
      <c r="A10" s="2"/>
      <c r="B10" s="111">
        <v>300</v>
      </c>
      <c r="C10" s="65"/>
      <c r="D10" s="65"/>
      <c r="E10" s="65"/>
      <c r="F10" s="65"/>
      <c r="G10" s="65"/>
    </row>
    <row r="11" spans="1:10" x14ac:dyDescent="0.25">
      <c r="A11" s="2"/>
      <c r="B11" s="111">
        <v>400</v>
      </c>
      <c r="C11" s="65"/>
      <c r="D11" s="65"/>
      <c r="E11" s="65"/>
      <c r="F11" s="65"/>
      <c r="G11" s="65"/>
    </row>
    <row r="12" spans="1:10" x14ac:dyDescent="0.25">
      <c r="A12" s="2"/>
      <c r="B12" s="111">
        <v>500</v>
      </c>
      <c r="C12" s="65"/>
      <c r="D12" s="65"/>
      <c r="E12" s="65"/>
      <c r="F12" s="65"/>
      <c r="G12" s="65"/>
    </row>
    <row r="13" spans="1:10" x14ac:dyDescent="0.25">
      <c r="A13" s="2"/>
      <c r="B13" s="111">
        <v>500</v>
      </c>
      <c r="C13" s="112"/>
      <c r="D13" s="65"/>
      <c r="E13" s="65"/>
      <c r="F13" s="65"/>
      <c r="G13" s="65"/>
    </row>
    <row r="14" spans="1:10" x14ac:dyDescent="0.25">
      <c r="A14" s="2"/>
      <c r="B14" s="111">
        <v>500</v>
      </c>
      <c r="C14" s="65"/>
      <c r="D14" s="112"/>
      <c r="E14" s="65"/>
      <c r="F14" s="65"/>
      <c r="G14" s="65"/>
    </row>
    <row r="15" spans="1:10" x14ac:dyDescent="0.25">
      <c r="A15" s="2"/>
      <c r="B15" s="111">
        <v>500</v>
      </c>
      <c r="C15" s="65"/>
      <c r="D15" s="65"/>
      <c r="E15" s="112"/>
      <c r="F15" s="65"/>
      <c r="G15" s="65"/>
    </row>
    <row r="16" spans="1:10" x14ac:dyDescent="0.25">
      <c r="A16" s="2"/>
      <c r="B16" s="111">
        <v>500</v>
      </c>
      <c r="C16" s="65"/>
      <c r="D16" s="65"/>
      <c r="E16" s="65"/>
      <c r="F16" s="112"/>
      <c r="G16" s="65"/>
    </row>
    <row r="17" spans="1:9" x14ac:dyDescent="0.25">
      <c r="A17" s="2"/>
      <c r="B17" s="111">
        <v>600</v>
      </c>
      <c r="C17" s="65"/>
      <c r="D17" s="65"/>
      <c r="E17" s="65"/>
      <c r="F17" s="65"/>
      <c r="G17" s="65"/>
    </row>
    <row r="18" spans="1:9" x14ac:dyDescent="0.25">
      <c r="A18" s="2"/>
      <c r="B18" s="111" t="s">
        <v>55</v>
      </c>
      <c r="C18" s="65"/>
      <c r="D18" s="65"/>
      <c r="E18" s="65"/>
      <c r="F18" s="65"/>
      <c r="G18" s="65"/>
    </row>
    <row r="19" spans="1:9" x14ac:dyDescent="0.25">
      <c r="A19" s="2"/>
      <c r="B19" s="111" t="s">
        <v>56</v>
      </c>
      <c r="C19" s="65"/>
      <c r="D19" s="65"/>
      <c r="E19" s="65"/>
      <c r="F19" s="65"/>
      <c r="G19" s="65"/>
    </row>
    <row r="20" spans="1:9" x14ac:dyDescent="0.25">
      <c r="A20" s="2"/>
      <c r="B20" s="111" t="s">
        <v>57</v>
      </c>
      <c r="C20" s="65"/>
      <c r="D20" s="65"/>
      <c r="E20" s="65"/>
      <c r="F20" s="65"/>
      <c r="G20" s="65"/>
    </row>
    <row r="21" spans="1:9" x14ac:dyDescent="0.25">
      <c r="A21" s="2"/>
      <c r="B21" s="111" t="s">
        <v>59</v>
      </c>
      <c r="C21" s="65"/>
      <c r="D21" s="65"/>
      <c r="E21" s="65"/>
      <c r="F21" s="65"/>
      <c r="G21" s="65"/>
    </row>
    <row r="22" spans="1:9" x14ac:dyDescent="0.25">
      <c r="A22" s="2"/>
      <c r="B22" s="111" t="s">
        <v>58</v>
      </c>
      <c r="C22" s="65"/>
      <c r="D22" s="65"/>
      <c r="E22" s="65"/>
      <c r="F22" s="65"/>
      <c r="G22" s="65"/>
    </row>
    <row r="23" spans="1:9" x14ac:dyDescent="0.25">
      <c r="A23" s="2"/>
      <c r="B23" s="111"/>
      <c r="C23" s="65"/>
      <c r="D23" s="65"/>
      <c r="E23" s="65"/>
      <c r="F23" s="65"/>
      <c r="G23" s="65"/>
    </row>
    <row r="24" spans="1:9" x14ac:dyDescent="0.25">
      <c r="A24" s="2"/>
      <c r="B24" s="111"/>
      <c r="C24" s="65"/>
      <c r="D24" s="65"/>
      <c r="E24" s="65"/>
      <c r="F24" s="65"/>
      <c r="G24" s="65"/>
    </row>
    <row r="25" spans="1:9" x14ac:dyDescent="0.25">
      <c r="A25" s="2"/>
      <c r="B25" s="111"/>
      <c r="C25" s="65"/>
      <c r="D25" s="65"/>
      <c r="E25" s="65"/>
      <c r="F25" s="65"/>
      <c r="G25" s="65"/>
    </row>
    <row r="26" spans="1:9" x14ac:dyDescent="0.25">
      <c r="A26" s="2"/>
      <c r="B26" s="2"/>
      <c r="C26" s="2"/>
      <c r="D26" s="2"/>
      <c r="E26" s="2"/>
      <c r="F26" s="2"/>
      <c r="G26" s="2"/>
    </row>
    <row r="27" spans="1:9" x14ac:dyDescent="0.25">
      <c r="A27" s="2"/>
      <c r="B27" s="2"/>
      <c r="C27" s="2"/>
      <c r="D27" s="2"/>
      <c r="E27" s="2"/>
      <c r="F27" s="2"/>
      <c r="G27" s="2"/>
      <c r="I27" s="47"/>
    </row>
    <row r="28" spans="1:9" ht="15.75" x14ac:dyDescent="0.25">
      <c r="A28" s="22" t="s">
        <v>9</v>
      </c>
      <c r="B28" s="212" t="s">
        <v>23</v>
      </c>
      <c r="C28" s="212"/>
      <c r="D28" s="212"/>
      <c r="E28" s="212"/>
      <c r="F28" s="7"/>
      <c r="G28" s="2"/>
    </row>
    <row r="29" spans="1:9" ht="15.75" x14ac:dyDescent="0.25">
      <c r="A29" s="7"/>
      <c r="B29" s="216" t="s">
        <v>24</v>
      </c>
      <c r="C29" s="216"/>
      <c r="D29" s="216"/>
      <c r="E29" s="216"/>
      <c r="F29" s="118"/>
      <c r="G29" s="2"/>
    </row>
    <row r="30" spans="1:9" ht="15.75" x14ac:dyDescent="0.25">
      <c r="A30" s="7"/>
      <c r="B30" s="98"/>
      <c r="C30" s="98"/>
      <c r="D30" s="98"/>
      <c r="E30" s="98"/>
      <c r="F30" s="15"/>
      <c r="G30" s="2"/>
    </row>
    <row r="31" spans="1:9" ht="15.75" x14ac:dyDescent="0.25">
      <c r="A31" s="7"/>
      <c r="B31" s="216" t="s">
        <v>25</v>
      </c>
      <c r="C31" s="216"/>
      <c r="D31" s="216"/>
      <c r="E31" s="216"/>
      <c r="F31" s="7" t="s">
        <v>21</v>
      </c>
      <c r="G31" s="2"/>
    </row>
    <row r="32" spans="1:9" ht="15.75" x14ac:dyDescent="0.25">
      <c r="A32" s="7"/>
      <c r="B32" s="7"/>
      <c r="C32" s="7"/>
      <c r="D32" s="7"/>
      <c r="E32" s="7"/>
      <c r="F32" s="7"/>
      <c r="G32" s="2"/>
    </row>
    <row r="33" spans="1:7" ht="15.75" x14ac:dyDescent="0.25">
      <c r="A33" s="22" t="s">
        <v>10</v>
      </c>
      <c r="B33" s="212" t="s">
        <v>27</v>
      </c>
      <c r="C33" s="212"/>
      <c r="D33" s="212"/>
      <c r="E33" s="212"/>
      <c r="F33" s="7"/>
      <c r="G33" s="2"/>
    </row>
    <row r="34" spans="1:7" ht="15.75" x14ac:dyDescent="0.25">
      <c r="A34" s="7"/>
      <c r="B34" s="216" t="s">
        <v>28</v>
      </c>
      <c r="C34" s="216"/>
      <c r="D34" s="216"/>
      <c r="E34" s="216"/>
      <c r="F34" s="118"/>
      <c r="G34" s="2"/>
    </row>
    <row r="35" spans="1:7" ht="15.75" x14ac:dyDescent="0.25">
      <c r="A35" s="7"/>
      <c r="B35" s="7"/>
      <c r="C35" s="7"/>
      <c r="D35" s="7"/>
      <c r="E35" s="7"/>
      <c r="F35" s="7"/>
      <c r="G35" s="2"/>
    </row>
    <row r="36" spans="1:7" ht="15.75" x14ac:dyDescent="0.25">
      <c r="A36" s="7"/>
      <c r="B36" s="7" t="s">
        <v>29</v>
      </c>
      <c r="C36" s="216"/>
      <c r="D36" s="216"/>
      <c r="E36" s="216"/>
      <c r="F36" s="7" t="s">
        <v>21</v>
      </c>
      <c r="G36" s="2"/>
    </row>
  </sheetData>
  <sheetProtection password="E9BA" sheet="1" objects="1" scenarios="1" formatCells="0" formatColumns="0" formatRows="0" insertRows="0" deleteRows="0"/>
  <mergeCells count="10">
    <mergeCell ref="B29:E29"/>
    <mergeCell ref="B1:C1"/>
    <mergeCell ref="C2:D2"/>
    <mergeCell ref="C3:D3"/>
    <mergeCell ref="B28:E28"/>
    <mergeCell ref="B31:C31"/>
    <mergeCell ref="D31:E31"/>
    <mergeCell ref="B33:E33"/>
    <mergeCell ref="B34:E34"/>
    <mergeCell ref="C36:E36"/>
  </mergeCells>
  <dataValidations count="1">
    <dataValidation type="list" allowBlank="1" showInputMessage="1" showErrorMessage="1" sqref="H3">
      <formula1>"2009/2010,2010/2011,2011/2012"</formula1>
    </dataValidation>
  </dataValidations>
  <pageMargins left="0.11811023622047245" right="0.11811023622047245" top="0.94488188976377963" bottom="0.74803149606299213" header="0.31496062992125984" footer="0.31496062992125984"/>
  <pageSetup paperSize="9" scale="86" orientation="landscape" blackAndWhite="1" r:id="rId1"/>
  <headerFooter>
    <oddHeader>&amp;C&amp;"-,Bold"&amp;16UNIVERSITY OF LAGOS&amp;14
Departmental Responsibility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Info_Lists!$D$2:$D$83</xm:f>
          </x14:formula1>
          <xm:sqref>C2:D2</xm:sqref>
        </x14:dataValidation>
        <x14:dataValidation type="list" allowBlank="1" showInputMessage="1" showErrorMessage="1">
          <x14:formula1>
            <xm:f>Staff_List!$A$2:$A$53</xm:f>
          </x14:formula1>
          <xm:sqref>C8:G25</xm:sqref>
        </x14:dataValidation>
        <x14:dataValidation type="list" showInputMessage="1" showErrorMessage="1">
          <x14:formula1>
            <xm:f>Info_Lists!$E$14:$E$94</xm:f>
          </x14:formula1>
          <xm:sqref>C3:D3</xm:sqref>
        </x14:dataValidation>
        <x14:dataValidation type="list" allowBlank="1" showInputMessage="1" showErrorMessage="1">
          <x14:formula1>
            <xm:f>Info_Lists!$C$2:$C$14</xm:f>
          </x14:formula1>
          <xm:sqref>F2:F3</xm:sqref>
        </x14:dataValidation>
        <x14:dataValidation type="list" allowBlank="1" showInputMessage="1" showErrorMessage="1">
          <x14:formula1>
            <xm:f>Info_Lists!$G$2:$G$30</xm:f>
          </x14:formula1>
          <xm:sqref>B18:B25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B53"/>
  <sheetViews>
    <sheetView zoomScale="115" zoomScaleNormal="115" workbookViewId="0">
      <selection activeCell="A4" sqref="A4:A28"/>
    </sheetView>
  </sheetViews>
  <sheetFormatPr defaultRowHeight="15" x14ac:dyDescent="0.25"/>
  <cols>
    <col min="1" max="1" width="26.5703125" bestFit="1" customWidth="1"/>
    <col min="2" max="2" width="12.85546875" bestFit="1" customWidth="1"/>
  </cols>
  <sheetData>
    <row r="1" spans="1:2" x14ac:dyDescent="0.25">
      <c r="A1" s="105" t="s">
        <v>112</v>
      </c>
      <c r="B1" s="106" t="s">
        <v>188</v>
      </c>
    </row>
    <row r="2" spans="1:2" x14ac:dyDescent="0.25">
      <c r="A2" s="107" t="s">
        <v>53</v>
      </c>
      <c r="B2" s="108"/>
    </row>
    <row r="3" spans="1:2" x14ac:dyDescent="0.25">
      <c r="A3" s="109" t="s">
        <v>54</v>
      </c>
      <c r="B3" s="108"/>
    </row>
    <row r="4" spans="1:2" x14ac:dyDescent="0.25">
      <c r="A4" s="65" t="s">
        <v>394</v>
      </c>
      <c r="B4" s="65" t="s">
        <v>417</v>
      </c>
    </row>
    <row r="5" spans="1:2" ht="15.75" x14ac:dyDescent="0.25">
      <c r="A5" s="205" t="s">
        <v>395</v>
      </c>
      <c r="B5" s="65" t="s">
        <v>418</v>
      </c>
    </row>
    <row r="6" spans="1:2" x14ac:dyDescent="0.25">
      <c r="A6" s="65" t="s">
        <v>391</v>
      </c>
      <c r="B6" s="65" t="s">
        <v>414</v>
      </c>
    </row>
    <row r="7" spans="1:2" x14ac:dyDescent="0.25">
      <c r="A7" s="65" t="s">
        <v>393</v>
      </c>
      <c r="B7" s="65" t="s">
        <v>416</v>
      </c>
    </row>
    <row r="8" spans="1:2" x14ac:dyDescent="0.25">
      <c r="A8" s="65" t="s">
        <v>397</v>
      </c>
      <c r="B8" s="65" t="s">
        <v>420</v>
      </c>
    </row>
    <row r="9" spans="1:2" x14ac:dyDescent="0.25">
      <c r="A9" s="65" t="s">
        <v>410</v>
      </c>
      <c r="B9" s="65" t="s">
        <v>433</v>
      </c>
    </row>
    <row r="10" spans="1:2" x14ac:dyDescent="0.25">
      <c r="A10" s="65" t="s">
        <v>412</v>
      </c>
      <c r="B10" s="65" t="s">
        <v>437</v>
      </c>
    </row>
    <row r="11" spans="1:2" x14ac:dyDescent="0.25">
      <c r="A11" s="209" t="s">
        <v>409</v>
      </c>
      <c r="B11" s="65" t="s">
        <v>432</v>
      </c>
    </row>
    <row r="12" spans="1:2" x14ac:dyDescent="0.25">
      <c r="A12" s="65" t="s">
        <v>404</v>
      </c>
      <c r="B12" s="65" t="s">
        <v>427</v>
      </c>
    </row>
    <row r="13" spans="1:2" x14ac:dyDescent="0.25">
      <c r="A13" s="209" t="s">
        <v>407</v>
      </c>
      <c r="B13" s="65" t="s">
        <v>430</v>
      </c>
    </row>
    <row r="14" spans="1:2" x14ac:dyDescent="0.25">
      <c r="A14" s="65" t="s">
        <v>396</v>
      </c>
      <c r="B14" s="65" t="s">
        <v>419</v>
      </c>
    </row>
    <row r="15" spans="1:2" x14ac:dyDescent="0.25">
      <c r="A15" s="65" t="s">
        <v>435</v>
      </c>
      <c r="B15" s="65" t="s">
        <v>436</v>
      </c>
    </row>
    <row r="16" spans="1:2" x14ac:dyDescent="0.25">
      <c r="A16" s="65" t="s">
        <v>402</v>
      </c>
      <c r="B16" s="65" t="s">
        <v>425</v>
      </c>
    </row>
    <row r="17" spans="1:2" x14ac:dyDescent="0.25">
      <c r="A17" s="209" t="s">
        <v>398</v>
      </c>
      <c r="B17" s="65" t="s">
        <v>421</v>
      </c>
    </row>
    <row r="18" spans="1:2" x14ac:dyDescent="0.25">
      <c r="A18" s="65" t="s">
        <v>403</v>
      </c>
      <c r="B18" s="65" t="s">
        <v>426</v>
      </c>
    </row>
    <row r="19" spans="1:2" x14ac:dyDescent="0.25">
      <c r="A19" s="65" t="s">
        <v>399</v>
      </c>
      <c r="B19" s="65" t="s">
        <v>422</v>
      </c>
    </row>
    <row r="20" spans="1:2" x14ac:dyDescent="0.25">
      <c r="A20" s="65" t="s">
        <v>400</v>
      </c>
      <c r="B20" s="65" t="s">
        <v>423</v>
      </c>
    </row>
    <row r="21" spans="1:2" x14ac:dyDescent="0.25">
      <c r="A21" s="65" t="s">
        <v>405</v>
      </c>
      <c r="B21" s="65" t="s">
        <v>428</v>
      </c>
    </row>
    <row r="22" spans="1:2" x14ac:dyDescent="0.25">
      <c r="A22" s="65" t="s">
        <v>406</v>
      </c>
      <c r="B22" s="65" t="s">
        <v>429</v>
      </c>
    </row>
    <row r="23" spans="1:2" x14ac:dyDescent="0.25">
      <c r="A23" s="204" t="s">
        <v>408</v>
      </c>
      <c r="B23" s="65" t="s">
        <v>431</v>
      </c>
    </row>
    <row r="24" spans="1:2" x14ac:dyDescent="0.25">
      <c r="A24" s="209" t="s">
        <v>392</v>
      </c>
      <c r="B24" s="65" t="s">
        <v>415</v>
      </c>
    </row>
    <row r="25" spans="1:2" x14ac:dyDescent="0.25">
      <c r="A25" s="65" t="s">
        <v>411</v>
      </c>
      <c r="B25" s="65" t="s">
        <v>434</v>
      </c>
    </row>
    <row r="26" spans="1:2" x14ac:dyDescent="0.25">
      <c r="A26" s="65" t="s">
        <v>401</v>
      </c>
      <c r="B26" s="65" t="s">
        <v>424</v>
      </c>
    </row>
    <row r="27" spans="1:2" x14ac:dyDescent="0.25">
      <c r="A27" s="65" t="s">
        <v>390</v>
      </c>
      <c r="B27" s="65" t="s">
        <v>413</v>
      </c>
    </row>
    <row r="28" spans="1:2" x14ac:dyDescent="0.25">
      <c r="A28" s="65"/>
      <c r="B28" s="65"/>
    </row>
    <row r="29" spans="1:2" x14ac:dyDescent="0.25">
      <c r="A29" s="65"/>
      <c r="B29" s="65"/>
    </row>
    <row r="30" spans="1:2" x14ac:dyDescent="0.25">
      <c r="A30" s="65"/>
      <c r="B30" s="65"/>
    </row>
    <row r="31" spans="1:2" x14ac:dyDescent="0.25">
      <c r="A31" s="65"/>
      <c r="B31" s="65"/>
    </row>
    <row r="32" spans="1:2" x14ac:dyDescent="0.25">
      <c r="A32" s="65"/>
      <c r="B32" s="65"/>
    </row>
    <row r="33" spans="1:2" x14ac:dyDescent="0.25">
      <c r="A33" s="65"/>
      <c r="B33" s="65"/>
    </row>
    <row r="34" spans="1:2" x14ac:dyDescent="0.25">
      <c r="A34" s="65"/>
      <c r="B34" s="65"/>
    </row>
    <row r="35" spans="1:2" x14ac:dyDescent="0.25">
      <c r="A35" s="65"/>
      <c r="B35" s="65"/>
    </row>
    <row r="36" spans="1:2" x14ac:dyDescent="0.25">
      <c r="A36" s="65"/>
      <c r="B36" s="65"/>
    </row>
    <row r="37" spans="1:2" x14ac:dyDescent="0.25">
      <c r="A37" s="65"/>
      <c r="B37" s="65"/>
    </row>
    <row r="38" spans="1:2" x14ac:dyDescent="0.25">
      <c r="A38" s="65"/>
      <c r="B38" s="65"/>
    </row>
    <row r="39" spans="1:2" x14ac:dyDescent="0.25">
      <c r="A39" s="65"/>
      <c r="B39" s="65"/>
    </row>
    <row r="40" spans="1:2" x14ac:dyDescent="0.25">
      <c r="A40" s="65"/>
      <c r="B40" s="65"/>
    </row>
    <row r="41" spans="1:2" x14ac:dyDescent="0.25">
      <c r="A41" s="65"/>
      <c r="B41" s="65"/>
    </row>
    <row r="42" spans="1:2" x14ac:dyDescent="0.25">
      <c r="A42" s="65"/>
      <c r="B42" s="65"/>
    </row>
    <row r="43" spans="1:2" x14ac:dyDescent="0.25">
      <c r="A43" s="65"/>
      <c r="B43" s="65"/>
    </row>
    <row r="44" spans="1:2" x14ac:dyDescent="0.25">
      <c r="A44" s="65"/>
      <c r="B44" s="65"/>
    </row>
    <row r="45" spans="1:2" x14ac:dyDescent="0.25">
      <c r="A45" s="65"/>
      <c r="B45" s="65"/>
    </row>
    <row r="46" spans="1:2" x14ac:dyDescent="0.25">
      <c r="A46" s="65"/>
      <c r="B46" s="65"/>
    </row>
    <row r="47" spans="1:2" x14ac:dyDescent="0.25">
      <c r="A47" s="65"/>
      <c r="B47" s="65"/>
    </row>
    <row r="48" spans="1:2" x14ac:dyDescent="0.25">
      <c r="A48" s="65"/>
      <c r="B48" s="65"/>
    </row>
    <row r="49" spans="1:2" x14ac:dyDescent="0.25">
      <c r="A49" s="65"/>
      <c r="B49" s="65"/>
    </row>
    <row r="50" spans="1:2" x14ac:dyDescent="0.25">
      <c r="A50" s="65"/>
      <c r="B50" s="65"/>
    </row>
    <row r="51" spans="1:2" x14ac:dyDescent="0.25">
      <c r="A51" s="65"/>
      <c r="B51" s="65"/>
    </row>
    <row r="52" spans="1:2" x14ac:dyDescent="0.25">
      <c r="A52" s="65"/>
      <c r="B52" s="65"/>
    </row>
    <row r="53" spans="1:2" x14ac:dyDescent="0.25">
      <c r="A53" s="65"/>
      <c r="B53" s="65"/>
    </row>
  </sheetData>
  <sheetProtection password="E9BA" sheet="1" objects="1" scenarios="1" formatCells="0" formatColumns="0" formatRows="0" insertRows="0" deleteRows="0" sort="0"/>
  <sortState ref="A4:B27">
    <sortCondition ref="A4"/>
  </sortState>
  <pageMargins left="0.70866141732283472" right="0.70866141732283472" top="0.74803149606299213" bottom="0.74803149606299213" header="0.31496062992125984" footer="0.31496062992125984"/>
  <pageSetup paperSize="9" orientation="portrait" blackAndWhite="1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FF0000"/>
  </sheetPr>
  <dimension ref="A1:T102"/>
  <sheetViews>
    <sheetView tabSelected="1" topLeftCell="C1" workbookViewId="0">
      <selection activeCell="O21" sqref="O21"/>
    </sheetView>
  </sheetViews>
  <sheetFormatPr defaultRowHeight="15" x14ac:dyDescent="0.25"/>
  <cols>
    <col min="1" max="1" width="7.85546875" style="3" customWidth="1"/>
    <col min="2" max="2" width="7.85546875" style="2" customWidth="1"/>
    <col min="3" max="3" width="11.5703125" style="2" customWidth="1"/>
    <col min="4" max="4" width="10.85546875" style="2" customWidth="1"/>
    <col min="5" max="5" width="7.5703125" style="2" bestFit="1" customWidth="1"/>
    <col min="6" max="6" width="9.140625" style="2"/>
    <col min="7" max="7" width="11" style="2" customWidth="1"/>
    <col min="8" max="8" width="10.85546875" style="2" customWidth="1"/>
    <col min="9" max="10" width="9.140625" style="2"/>
    <col min="11" max="11" width="11.28515625" style="2" customWidth="1"/>
    <col min="12" max="12" width="9.5703125" style="2" customWidth="1"/>
    <col min="13" max="14" width="9.140625" style="2"/>
    <col min="15" max="15" width="11.5703125" style="2" customWidth="1"/>
    <col min="16" max="16" width="10.28515625" style="2" customWidth="1"/>
    <col min="17" max="18" width="9.140625" style="2"/>
    <col min="19" max="19" width="11.5703125" style="2" customWidth="1"/>
    <col min="20" max="20" width="10.85546875" style="2" customWidth="1"/>
    <col min="21" max="16384" width="9.140625" style="2"/>
  </cols>
  <sheetData>
    <row r="1" spans="1:20" x14ac:dyDescent="0.25">
      <c r="A1" s="268" t="s">
        <v>314</v>
      </c>
      <c r="B1" s="268"/>
      <c r="C1" s="268"/>
      <c r="D1" s="268"/>
      <c r="E1" s="268" t="s">
        <v>48</v>
      </c>
      <c r="F1" s="268"/>
      <c r="G1" s="268"/>
      <c r="H1" s="268"/>
      <c r="I1" s="268" t="s">
        <v>49</v>
      </c>
      <c r="J1" s="268"/>
      <c r="K1" s="268"/>
      <c r="L1" s="268"/>
      <c r="M1" s="268" t="s">
        <v>50</v>
      </c>
      <c r="N1" s="268"/>
      <c r="O1" s="268"/>
      <c r="P1" s="268"/>
      <c r="Q1" s="269" t="s">
        <v>51</v>
      </c>
      <c r="R1" s="269"/>
      <c r="S1" s="269"/>
      <c r="T1" s="269"/>
    </row>
    <row r="2" spans="1:20" ht="53.25" customHeight="1" x14ac:dyDescent="0.25">
      <c r="A2" s="104" t="s">
        <v>189</v>
      </c>
      <c r="B2" s="33" t="s">
        <v>190</v>
      </c>
      <c r="C2" s="18" t="str">
        <f>IF($I$2="Library","Students Enrolment  (b)","Students Enrolment (b)")</f>
        <v>Students Enrolment (b)</v>
      </c>
      <c r="D2" s="18" t="str">
        <f>IF($Q$2="Library","No. of Librarians Available               (n)","No. of Lecturer     (n)")</f>
        <v>No. of Lecturer     (n)</v>
      </c>
      <c r="E2" s="33" t="s">
        <v>189</v>
      </c>
      <c r="F2" s="33" t="s">
        <v>190</v>
      </c>
      <c r="G2" s="18" t="str">
        <f>IF($I$2="Library","Students Enrolment  (b)","Students Enrolment (b)")</f>
        <v>Students Enrolment (b)</v>
      </c>
      <c r="H2" s="18" t="str">
        <f>IF($Q$2="Library","No. of Librarians Available               (n)","No. of Lecturer     (n)")</f>
        <v>No. of Lecturer     (n)</v>
      </c>
      <c r="I2" s="33" t="s">
        <v>189</v>
      </c>
      <c r="J2" s="33" t="s">
        <v>190</v>
      </c>
      <c r="K2" s="18" t="str">
        <f>IF($I$2="Library","Students Enrolment  (b)","Students Enrolment (b)")</f>
        <v>Students Enrolment (b)</v>
      </c>
      <c r="L2" s="18" t="str">
        <f>IF($Q$2="Library","No. of Librarians Available               (n)","No. of Lecturer     (n)")</f>
        <v>No. of Lecturer     (n)</v>
      </c>
      <c r="M2" s="33" t="s">
        <v>189</v>
      </c>
      <c r="N2" s="33" t="s">
        <v>190</v>
      </c>
      <c r="O2" s="18" t="str">
        <f>IF($I$2="Library","Students Enrolment  (b)","Students Enrolment (b)")</f>
        <v>Students Enrolment (b)</v>
      </c>
      <c r="P2" s="18" t="str">
        <f>IF($Q$2="Library","No. of Librarians Available               (n)","No. of Lecturer     (n)")</f>
        <v>No. of Lecturer     (n)</v>
      </c>
      <c r="Q2" s="33" t="s">
        <v>189</v>
      </c>
      <c r="R2" s="33" t="s">
        <v>190</v>
      </c>
      <c r="S2" s="18" t="str">
        <f>IF($I$2="Library","Students Enrolment  (b)","Students Enrolment (b)")</f>
        <v>Students Enrolment (b)</v>
      </c>
      <c r="T2" s="18" t="str">
        <f>IF($Q$2="Library","No. of Librarians Available               (n)","No. of Lecturer     (n)")</f>
        <v>No. of Lecturer     (n)</v>
      </c>
    </row>
    <row r="3" spans="1:20" ht="15.75" x14ac:dyDescent="0.25">
      <c r="A3" s="65" t="s">
        <v>438</v>
      </c>
      <c r="B3" s="65">
        <v>2</v>
      </c>
      <c r="C3" s="203">
        <v>211</v>
      </c>
      <c r="D3" s="203">
        <v>3</v>
      </c>
      <c r="E3" s="65" t="s">
        <v>455</v>
      </c>
      <c r="F3" s="65">
        <v>2</v>
      </c>
      <c r="G3" s="65">
        <v>350</v>
      </c>
      <c r="H3" s="65">
        <v>3</v>
      </c>
      <c r="I3" s="65" t="s">
        <v>455</v>
      </c>
      <c r="J3" s="65">
        <v>2</v>
      </c>
      <c r="K3" s="65">
        <v>360</v>
      </c>
      <c r="L3" s="65">
        <v>3</v>
      </c>
      <c r="M3" s="65" t="s">
        <v>481</v>
      </c>
      <c r="N3" s="65">
        <v>2</v>
      </c>
      <c r="O3" s="65">
        <v>363</v>
      </c>
      <c r="P3" s="65">
        <v>3</v>
      </c>
      <c r="Q3" s="65" t="s">
        <v>481</v>
      </c>
      <c r="R3" s="65">
        <v>2</v>
      </c>
      <c r="S3" s="65">
        <v>109</v>
      </c>
      <c r="T3" s="65">
        <v>2</v>
      </c>
    </row>
    <row r="4" spans="1:20" x14ac:dyDescent="0.25">
      <c r="A4" s="65" t="s">
        <v>439</v>
      </c>
      <c r="B4" s="65">
        <v>3</v>
      </c>
      <c r="C4" s="65">
        <v>83</v>
      </c>
      <c r="D4" s="65">
        <v>1</v>
      </c>
      <c r="E4" s="65" t="s">
        <v>438</v>
      </c>
      <c r="F4" s="65">
        <v>2</v>
      </c>
      <c r="G4" s="65">
        <v>350</v>
      </c>
      <c r="H4" s="65">
        <v>1</v>
      </c>
      <c r="I4" s="65" t="s">
        <v>438</v>
      </c>
      <c r="J4" s="65">
        <v>2</v>
      </c>
      <c r="K4" s="65">
        <v>360</v>
      </c>
      <c r="L4" s="65">
        <v>2</v>
      </c>
      <c r="M4" s="65" t="s">
        <v>483</v>
      </c>
      <c r="N4" s="65">
        <v>2</v>
      </c>
      <c r="O4" s="65">
        <v>363</v>
      </c>
      <c r="P4" s="65">
        <v>2</v>
      </c>
      <c r="Q4" s="65" t="s">
        <v>483</v>
      </c>
      <c r="R4" s="65">
        <v>2</v>
      </c>
      <c r="S4" s="65">
        <v>374</v>
      </c>
      <c r="T4" s="65">
        <v>3</v>
      </c>
    </row>
    <row r="5" spans="1:20" x14ac:dyDescent="0.25">
      <c r="A5" s="65" t="s">
        <v>440</v>
      </c>
      <c r="B5" s="65">
        <v>2</v>
      </c>
      <c r="C5" s="65">
        <v>395</v>
      </c>
      <c r="D5" s="65">
        <v>2</v>
      </c>
      <c r="E5" s="65" t="s">
        <v>457</v>
      </c>
      <c r="F5" s="65">
        <v>3</v>
      </c>
      <c r="G5" s="65">
        <v>116</v>
      </c>
      <c r="H5" s="65">
        <v>1</v>
      </c>
      <c r="I5" s="65" t="s">
        <v>457</v>
      </c>
      <c r="J5" s="65">
        <v>3</v>
      </c>
      <c r="K5" s="65">
        <v>115</v>
      </c>
      <c r="L5" s="65">
        <v>1</v>
      </c>
      <c r="M5" s="65" t="s">
        <v>482</v>
      </c>
      <c r="N5" s="65">
        <v>2</v>
      </c>
      <c r="O5" s="65">
        <v>121</v>
      </c>
      <c r="P5" s="65">
        <v>1</v>
      </c>
      <c r="Q5" s="65" t="s">
        <v>482</v>
      </c>
      <c r="R5" s="65">
        <v>2</v>
      </c>
      <c r="S5" s="65">
        <v>117</v>
      </c>
      <c r="T5" s="65">
        <v>2</v>
      </c>
    </row>
    <row r="6" spans="1:20" x14ac:dyDescent="0.25">
      <c r="A6" s="65" t="s">
        <v>443</v>
      </c>
      <c r="B6" s="65">
        <v>2</v>
      </c>
      <c r="C6" s="65">
        <v>100</v>
      </c>
      <c r="D6" s="65">
        <v>1</v>
      </c>
      <c r="E6" s="65" t="s">
        <v>439</v>
      </c>
      <c r="F6" s="65">
        <v>2</v>
      </c>
      <c r="G6" s="65">
        <v>239</v>
      </c>
      <c r="H6" s="65">
        <v>2</v>
      </c>
      <c r="I6" s="65" t="s">
        <v>439</v>
      </c>
      <c r="J6" s="65">
        <v>2</v>
      </c>
      <c r="K6" s="65">
        <v>108</v>
      </c>
      <c r="L6" s="65">
        <v>2</v>
      </c>
      <c r="M6" s="65" t="s">
        <v>484</v>
      </c>
      <c r="N6" s="65">
        <v>2</v>
      </c>
      <c r="O6" s="65">
        <v>371</v>
      </c>
      <c r="P6" s="65">
        <v>3</v>
      </c>
      <c r="Q6" s="65" t="s">
        <v>484</v>
      </c>
      <c r="R6" s="65">
        <v>2</v>
      </c>
      <c r="S6" s="65">
        <v>106</v>
      </c>
      <c r="T6" s="65">
        <v>1</v>
      </c>
    </row>
    <row r="7" spans="1:20" x14ac:dyDescent="0.25">
      <c r="A7" s="65" t="s">
        <v>441</v>
      </c>
      <c r="B7" s="65">
        <v>3</v>
      </c>
      <c r="C7" s="65">
        <v>110</v>
      </c>
      <c r="D7" s="65">
        <v>1</v>
      </c>
      <c r="E7" s="65" t="s">
        <v>456</v>
      </c>
      <c r="F7" s="65">
        <v>3</v>
      </c>
      <c r="G7" s="65">
        <v>97</v>
      </c>
      <c r="H7" s="65">
        <v>1</v>
      </c>
      <c r="I7" s="65" t="s">
        <v>456</v>
      </c>
      <c r="J7" s="65">
        <v>2</v>
      </c>
      <c r="K7" s="65">
        <v>257</v>
      </c>
      <c r="L7" s="65">
        <v>3</v>
      </c>
      <c r="M7" s="65" t="s">
        <v>457</v>
      </c>
      <c r="N7" s="65">
        <v>2</v>
      </c>
      <c r="O7" s="65">
        <v>116</v>
      </c>
      <c r="P7" s="65">
        <v>2</v>
      </c>
      <c r="Q7" s="65" t="s">
        <v>457</v>
      </c>
      <c r="R7" s="65">
        <v>2</v>
      </c>
      <c r="S7" s="65">
        <v>372</v>
      </c>
      <c r="T7" s="65">
        <v>3</v>
      </c>
    </row>
    <row r="8" spans="1:20" x14ac:dyDescent="0.25">
      <c r="A8" s="65" t="s">
        <v>442</v>
      </c>
      <c r="B8" s="65">
        <v>2</v>
      </c>
      <c r="C8" s="65">
        <v>71</v>
      </c>
      <c r="D8" s="65">
        <v>1</v>
      </c>
      <c r="E8" s="65" t="s">
        <v>458</v>
      </c>
      <c r="F8" s="65">
        <v>2</v>
      </c>
      <c r="G8" s="65">
        <v>386</v>
      </c>
      <c r="H8" s="65">
        <v>2</v>
      </c>
      <c r="I8" s="65" t="s">
        <v>458</v>
      </c>
      <c r="J8" s="65">
        <v>3</v>
      </c>
      <c r="K8" s="65">
        <v>109</v>
      </c>
      <c r="L8" s="65">
        <v>1</v>
      </c>
      <c r="M8" s="65" t="s">
        <v>439</v>
      </c>
      <c r="N8" s="65">
        <v>2</v>
      </c>
      <c r="O8" s="65">
        <v>106</v>
      </c>
      <c r="P8" s="65">
        <v>2</v>
      </c>
      <c r="Q8" s="65" t="s">
        <v>439</v>
      </c>
      <c r="R8" s="65">
        <v>2</v>
      </c>
      <c r="S8" s="65">
        <v>125</v>
      </c>
      <c r="T8" s="65">
        <v>2</v>
      </c>
    </row>
    <row r="9" spans="1:20" x14ac:dyDescent="0.25">
      <c r="A9" s="65" t="s">
        <v>444</v>
      </c>
      <c r="B9" s="65">
        <v>2</v>
      </c>
      <c r="C9" s="65">
        <v>123</v>
      </c>
      <c r="D9" s="65">
        <v>1</v>
      </c>
      <c r="E9" s="65" t="s">
        <v>440</v>
      </c>
      <c r="F9" s="65">
        <v>2</v>
      </c>
      <c r="G9" s="65">
        <v>116</v>
      </c>
      <c r="H9" s="65">
        <v>1</v>
      </c>
      <c r="I9" s="65" t="s">
        <v>440</v>
      </c>
      <c r="J9" s="65">
        <v>2</v>
      </c>
      <c r="K9" s="65">
        <v>398</v>
      </c>
      <c r="L9" s="65">
        <v>3</v>
      </c>
      <c r="M9" s="65" t="s">
        <v>485</v>
      </c>
      <c r="N9" s="65">
        <v>2</v>
      </c>
      <c r="O9" s="65">
        <v>124</v>
      </c>
      <c r="P9" s="65">
        <v>2</v>
      </c>
      <c r="Q9" s="65" t="s">
        <v>485</v>
      </c>
      <c r="R9" s="65">
        <v>2</v>
      </c>
      <c r="S9" s="65">
        <v>132</v>
      </c>
      <c r="T9" s="65">
        <v>2</v>
      </c>
    </row>
    <row r="10" spans="1:20" x14ac:dyDescent="0.25">
      <c r="A10" s="65" t="s">
        <v>445</v>
      </c>
      <c r="B10" s="65">
        <v>2</v>
      </c>
      <c r="C10" s="65">
        <v>70</v>
      </c>
      <c r="D10" s="65">
        <v>1</v>
      </c>
      <c r="E10" s="65" t="s">
        <v>461</v>
      </c>
      <c r="F10" s="65">
        <v>2</v>
      </c>
      <c r="G10" s="65">
        <v>98</v>
      </c>
      <c r="H10" s="65">
        <v>1</v>
      </c>
      <c r="I10" s="65" t="s">
        <v>461</v>
      </c>
      <c r="J10" s="65">
        <v>2</v>
      </c>
      <c r="K10" s="65">
        <v>111</v>
      </c>
      <c r="L10" s="65">
        <v>2</v>
      </c>
      <c r="M10" s="65" t="s">
        <v>486</v>
      </c>
      <c r="N10" s="65">
        <v>2</v>
      </c>
      <c r="O10" s="65">
        <v>124</v>
      </c>
      <c r="P10" s="65">
        <v>2</v>
      </c>
      <c r="Q10" s="65" t="s">
        <v>486</v>
      </c>
      <c r="R10" s="65">
        <v>2</v>
      </c>
      <c r="S10" s="65">
        <v>105</v>
      </c>
      <c r="T10" s="65">
        <v>2</v>
      </c>
    </row>
    <row r="11" spans="1:20" x14ac:dyDescent="0.25">
      <c r="A11" s="65" t="s">
        <v>447</v>
      </c>
      <c r="B11" s="65">
        <v>2</v>
      </c>
      <c r="C11" s="65">
        <v>60</v>
      </c>
      <c r="D11" s="65">
        <v>1</v>
      </c>
      <c r="E11" s="65" t="s">
        <v>443</v>
      </c>
      <c r="F11" s="65">
        <v>2</v>
      </c>
      <c r="G11" s="65">
        <v>87</v>
      </c>
      <c r="H11" s="65">
        <v>2</v>
      </c>
      <c r="I11" s="65" t="s">
        <v>443</v>
      </c>
      <c r="J11" s="65">
        <v>2</v>
      </c>
      <c r="K11" s="65">
        <v>110</v>
      </c>
      <c r="L11" s="65">
        <v>2</v>
      </c>
      <c r="M11" s="65" t="s">
        <v>458</v>
      </c>
      <c r="N11" s="65">
        <v>2</v>
      </c>
      <c r="O11" s="65">
        <v>375</v>
      </c>
      <c r="P11" s="65">
        <v>3</v>
      </c>
      <c r="Q11" s="65" t="s">
        <v>458</v>
      </c>
      <c r="R11" s="65">
        <v>2</v>
      </c>
      <c r="S11" s="65">
        <v>117</v>
      </c>
      <c r="T11" s="65">
        <v>3</v>
      </c>
    </row>
    <row r="12" spans="1:20" x14ac:dyDescent="0.25">
      <c r="A12" s="65" t="s">
        <v>446</v>
      </c>
      <c r="B12" s="65">
        <v>2</v>
      </c>
      <c r="C12" s="65">
        <v>106</v>
      </c>
      <c r="D12" s="65">
        <v>1</v>
      </c>
      <c r="E12" s="65" t="s">
        <v>459</v>
      </c>
      <c r="F12" s="65">
        <v>2</v>
      </c>
      <c r="G12" s="65">
        <v>363</v>
      </c>
      <c r="H12" s="65">
        <v>2</v>
      </c>
      <c r="I12" s="65" t="s">
        <v>459</v>
      </c>
      <c r="J12" s="65">
        <v>2</v>
      </c>
      <c r="K12" s="65">
        <v>127</v>
      </c>
      <c r="L12" s="65">
        <v>2</v>
      </c>
      <c r="M12" s="65" t="s">
        <v>440</v>
      </c>
      <c r="N12" s="65">
        <v>2</v>
      </c>
      <c r="O12" s="65">
        <v>109</v>
      </c>
      <c r="P12" s="65">
        <v>2</v>
      </c>
      <c r="Q12" s="65" t="s">
        <v>440</v>
      </c>
      <c r="R12" s="65">
        <v>2</v>
      </c>
      <c r="S12" s="65">
        <v>300</v>
      </c>
      <c r="T12" s="65">
        <v>3</v>
      </c>
    </row>
    <row r="13" spans="1:20" x14ac:dyDescent="0.25">
      <c r="A13" s="65" t="s">
        <v>450</v>
      </c>
      <c r="B13" s="65">
        <v>3</v>
      </c>
      <c r="C13" s="65">
        <v>84</v>
      </c>
      <c r="D13" s="65">
        <v>1</v>
      </c>
      <c r="E13" s="65" t="s">
        <v>441</v>
      </c>
      <c r="F13" s="65">
        <v>2</v>
      </c>
      <c r="G13" s="65">
        <v>110</v>
      </c>
      <c r="H13" s="65">
        <v>1</v>
      </c>
      <c r="I13" s="65" t="s">
        <v>441</v>
      </c>
      <c r="J13" s="65">
        <v>2</v>
      </c>
      <c r="K13" s="65">
        <v>398</v>
      </c>
      <c r="L13" s="65">
        <v>3</v>
      </c>
      <c r="M13" s="65" t="s">
        <v>461</v>
      </c>
      <c r="N13" s="65">
        <v>2</v>
      </c>
      <c r="O13" s="65">
        <v>103</v>
      </c>
      <c r="P13" s="65">
        <v>2</v>
      </c>
      <c r="Q13" s="65" t="s">
        <v>461</v>
      </c>
      <c r="R13" s="65">
        <v>2</v>
      </c>
      <c r="S13" s="65">
        <v>115</v>
      </c>
      <c r="T13" s="65">
        <v>2</v>
      </c>
    </row>
    <row r="14" spans="1:20" x14ac:dyDescent="0.25">
      <c r="A14" s="65" t="s">
        <v>448</v>
      </c>
      <c r="B14" s="65">
        <v>2</v>
      </c>
      <c r="C14" s="65">
        <v>82</v>
      </c>
      <c r="D14" s="65">
        <v>1</v>
      </c>
      <c r="E14" s="65" t="s">
        <v>460</v>
      </c>
      <c r="F14" s="65">
        <v>3</v>
      </c>
      <c r="G14" s="65">
        <v>110</v>
      </c>
      <c r="H14" s="65">
        <v>1</v>
      </c>
      <c r="I14" s="65" t="s">
        <v>460</v>
      </c>
      <c r="J14" s="65">
        <v>2</v>
      </c>
      <c r="K14" s="65">
        <v>98</v>
      </c>
      <c r="L14" s="65">
        <v>1</v>
      </c>
      <c r="M14" s="65" t="s">
        <v>443</v>
      </c>
      <c r="N14" s="65">
        <v>2</v>
      </c>
      <c r="O14" s="65">
        <v>119</v>
      </c>
      <c r="P14" s="65">
        <v>2</v>
      </c>
      <c r="Q14" s="65" t="s">
        <v>443</v>
      </c>
      <c r="R14" s="65">
        <v>2</v>
      </c>
      <c r="S14" s="65">
        <v>110</v>
      </c>
      <c r="T14" s="65">
        <v>2</v>
      </c>
    </row>
    <row r="15" spans="1:20" x14ac:dyDescent="0.25">
      <c r="A15" s="65" t="s">
        <v>449</v>
      </c>
      <c r="B15" s="65">
        <v>2</v>
      </c>
      <c r="C15" s="65">
        <v>90</v>
      </c>
      <c r="D15" s="65">
        <v>1</v>
      </c>
      <c r="E15" s="65" t="s">
        <v>442</v>
      </c>
      <c r="F15" s="65">
        <v>2</v>
      </c>
      <c r="G15" s="65">
        <v>222</v>
      </c>
      <c r="H15" s="65">
        <v>2</v>
      </c>
      <c r="I15" s="65" t="s">
        <v>442</v>
      </c>
      <c r="J15" s="65">
        <v>3</v>
      </c>
      <c r="K15" s="65">
        <v>100</v>
      </c>
      <c r="L15" s="65">
        <v>2</v>
      </c>
      <c r="M15" s="65" t="s">
        <v>459</v>
      </c>
      <c r="N15" s="65">
        <v>2</v>
      </c>
      <c r="O15" s="65">
        <v>397</v>
      </c>
      <c r="P15" s="65">
        <v>3</v>
      </c>
      <c r="Q15" s="65" t="s">
        <v>459</v>
      </c>
      <c r="R15" s="65">
        <v>2</v>
      </c>
      <c r="S15" s="65">
        <v>298</v>
      </c>
      <c r="T15" s="65">
        <v>3</v>
      </c>
    </row>
    <row r="16" spans="1:20" x14ac:dyDescent="0.25">
      <c r="A16" s="65" t="s">
        <v>451</v>
      </c>
      <c r="B16" s="65">
        <v>2</v>
      </c>
      <c r="C16" s="65">
        <v>83</v>
      </c>
      <c r="D16" s="65">
        <v>1</v>
      </c>
      <c r="E16" s="65" t="s">
        <v>462</v>
      </c>
      <c r="F16" s="65">
        <v>2</v>
      </c>
      <c r="G16" s="65">
        <v>127</v>
      </c>
      <c r="H16" s="65">
        <v>1</v>
      </c>
      <c r="I16" s="65" t="s">
        <v>462</v>
      </c>
      <c r="J16" s="65">
        <v>2</v>
      </c>
      <c r="K16" s="65">
        <v>154</v>
      </c>
      <c r="L16" s="65">
        <v>1</v>
      </c>
      <c r="M16" s="65" t="s">
        <v>441</v>
      </c>
      <c r="N16" s="65">
        <v>2</v>
      </c>
      <c r="O16" s="65">
        <v>117</v>
      </c>
      <c r="P16" s="65">
        <v>1</v>
      </c>
      <c r="Q16" s="65" t="s">
        <v>441</v>
      </c>
      <c r="R16" s="65">
        <v>2</v>
      </c>
      <c r="S16" s="65">
        <v>127</v>
      </c>
      <c r="T16" s="65">
        <v>2</v>
      </c>
    </row>
    <row r="17" spans="1:20" x14ac:dyDescent="0.25">
      <c r="A17" s="103" t="s">
        <v>454</v>
      </c>
      <c r="B17" s="65">
        <v>2</v>
      </c>
      <c r="C17" s="65">
        <v>85</v>
      </c>
      <c r="D17" s="65">
        <v>1</v>
      </c>
      <c r="E17" s="65" t="s">
        <v>444</v>
      </c>
      <c r="F17" s="65">
        <v>2</v>
      </c>
      <c r="G17" s="65">
        <v>127</v>
      </c>
      <c r="H17" s="65">
        <v>1</v>
      </c>
      <c r="I17" s="65" t="s">
        <v>444</v>
      </c>
      <c r="J17" s="65">
        <v>2</v>
      </c>
      <c r="K17" s="65">
        <v>138</v>
      </c>
      <c r="L17" s="65">
        <v>2</v>
      </c>
      <c r="M17" s="65" t="s">
        <v>460</v>
      </c>
      <c r="N17" s="65">
        <v>3</v>
      </c>
      <c r="O17" s="65">
        <v>103</v>
      </c>
      <c r="P17" s="65">
        <v>2</v>
      </c>
      <c r="Q17" s="65" t="s">
        <v>462</v>
      </c>
      <c r="R17" s="65">
        <v>2</v>
      </c>
      <c r="S17" s="65">
        <v>121</v>
      </c>
      <c r="T17" s="65">
        <v>1</v>
      </c>
    </row>
    <row r="18" spans="1:20" x14ac:dyDescent="0.25">
      <c r="A18" s="65" t="s">
        <v>453</v>
      </c>
      <c r="B18" s="65">
        <v>2</v>
      </c>
      <c r="C18" s="65">
        <v>95</v>
      </c>
      <c r="D18" s="65">
        <v>1</v>
      </c>
      <c r="E18" s="65" t="s">
        <v>463</v>
      </c>
      <c r="F18" s="65">
        <v>2</v>
      </c>
      <c r="G18" s="65">
        <v>125</v>
      </c>
      <c r="H18" s="65">
        <v>2</v>
      </c>
      <c r="I18" s="65" t="s">
        <v>463</v>
      </c>
      <c r="J18" s="65">
        <v>2</v>
      </c>
      <c r="K18" s="65">
        <v>103</v>
      </c>
      <c r="L18" s="65">
        <v>1</v>
      </c>
      <c r="M18" s="65" t="s">
        <v>442</v>
      </c>
      <c r="N18" s="65">
        <v>2</v>
      </c>
      <c r="O18" s="65">
        <v>108</v>
      </c>
      <c r="P18" s="65">
        <v>2</v>
      </c>
      <c r="Q18" s="65" t="s">
        <v>444</v>
      </c>
      <c r="R18" s="65">
        <v>2</v>
      </c>
      <c r="S18" s="65">
        <v>121</v>
      </c>
      <c r="T18" s="65">
        <v>2</v>
      </c>
    </row>
    <row r="19" spans="1:20" x14ac:dyDescent="0.25">
      <c r="A19" s="65" t="s">
        <v>452</v>
      </c>
      <c r="B19" s="65">
        <v>2</v>
      </c>
      <c r="C19" s="65">
        <v>87</v>
      </c>
      <c r="D19" s="65">
        <v>1</v>
      </c>
      <c r="E19" s="65" t="s">
        <v>445</v>
      </c>
      <c r="F19" s="65">
        <v>2</v>
      </c>
      <c r="G19" s="65">
        <v>90</v>
      </c>
      <c r="H19" s="65">
        <v>1</v>
      </c>
      <c r="I19" s="65" t="s">
        <v>445</v>
      </c>
      <c r="J19" s="65">
        <v>2</v>
      </c>
      <c r="K19" s="65">
        <v>123</v>
      </c>
      <c r="L19" s="65">
        <v>2</v>
      </c>
      <c r="M19" s="65" t="s">
        <v>462</v>
      </c>
      <c r="N19" s="65">
        <v>2</v>
      </c>
      <c r="O19" s="65">
        <v>140</v>
      </c>
      <c r="P19" s="65">
        <v>2</v>
      </c>
      <c r="Q19" s="65" t="s">
        <v>463</v>
      </c>
      <c r="R19" s="65">
        <v>2</v>
      </c>
      <c r="S19" s="65">
        <v>118</v>
      </c>
      <c r="T19" s="65">
        <v>2</v>
      </c>
    </row>
    <row r="20" spans="1:20" x14ac:dyDescent="0.25">
      <c r="A20" s="103"/>
      <c r="B20" s="65"/>
      <c r="C20" s="65"/>
      <c r="D20" s="65"/>
      <c r="E20" s="65" t="s">
        <v>465</v>
      </c>
      <c r="F20" s="65">
        <v>2</v>
      </c>
      <c r="G20" s="65">
        <v>68</v>
      </c>
      <c r="H20" s="65">
        <v>1</v>
      </c>
      <c r="I20" s="65" t="s">
        <v>465</v>
      </c>
      <c r="J20" s="65">
        <v>2</v>
      </c>
      <c r="K20" s="65">
        <v>124</v>
      </c>
      <c r="L20" s="65">
        <v>1</v>
      </c>
      <c r="M20" s="65" t="s">
        <v>444</v>
      </c>
      <c r="N20" s="65">
        <v>2</v>
      </c>
      <c r="O20" s="65">
        <v>138</v>
      </c>
      <c r="P20" s="65">
        <v>2</v>
      </c>
      <c r="Q20" s="65" t="s">
        <v>445</v>
      </c>
      <c r="R20" s="65">
        <v>2</v>
      </c>
      <c r="S20" s="65">
        <v>118</v>
      </c>
      <c r="T20" s="65">
        <v>2</v>
      </c>
    </row>
    <row r="21" spans="1:20" x14ac:dyDescent="0.25">
      <c r="A21" s="65"/>
      <c r="B21" s="65"/>
      <c r="C21" s="65"/>
      <c r="D21" s="65"/>
      <c r="E21" s="65" t="s">
        <v>447</v>
      </c>
      <c r="F21" s="65">
        <v>2</v>
      </c>
      <c r="G21" s="65">
        <v>110</v>
      </c>
      <c r="H21" s="65">
        <v>2</v>
      </c>
      <c r="I21" s="65" t="s">
        <v>447</v>
      </c>
      <c r="J21" s="65">
        <v>2</v>
      </c>
      <c r="K21" s="65">
        <v>117</v>
      </c>
      <c r="L21" s="65">
        <v>2</v>
      </c>
      <c r="M21" s="65" t="s">
        <v>463</v>
      </c>
      <c r="N21" s="65">
        <v>2</v>
      </c>
      <c r="O21" s="65">
        <v>216</v>
      </c>
      <c r="P21" s="65">
        <v>2</v>
      </c>
      <c r="Q21" s="65" t="s">
        <v>465</v>
      </c>
      <c r="R21" s="65">
        <v>2</v>
      </c>
      <c r="S21" s="65">
        <v>107</v>
      </c>
      <c r="T21" s="65">
        <v>2</v>
      </c>
    </row>
    <row r="22" spans="1:20" x14ac:dyDescent="0.25">
      <c r="A22" s="65"/>
      <c r="B22" s="65"/>
      <c r="C22" s="65"/>
      <c r="D22" s="65"/>
      <c r="E22" s="65" t="s">
        <v>464</v>
      </c>
      <c r="F22" s="65">
        <v>2</v>
      </c>
      <c r="G22" s="65">
        <v>110</v>
      </c>
      <c r="H22" s="65">
        <v>1</v>
      </c>
      <c r="I22" s="65" t="s">
        <v>464</v>
      </c>
      <c r="J22" s="65">
        <v>2</v>
      </c>
      <c r="K22" s="65">
        <v>128</v>
      </c>
      <c r="L22" s="65">
        <v>2</v>
      </c>
      <c r="M22" s="65" t="s">
        <v>445</v>
      </c>
      <c r="N22" s="65">
        <v>2</v>
      </c>
      <c r="O22" s="65">
        <v>122</v>
      </c>
      <c r="P22" s="65">
        <v>1</v>
      </c>
      <c r="Q22" s="65" t="s">
        <v>447</v>
      </c>
      <c r="R22" s="65">
        <v>2</v>
      </c>
      <c r="S22" s="65">
        <v>136</v>
      </c>
      <c r="T22" s="65">
        <v>2</v>
      </c>
    </row>
    <row r="23" spans="1:20" x14ac:dyDescent="0.25">
      <c r="A23" s="65"/>
      <c r="B23" s="65"/>
      <c r="C23" s="65"/>
      <c r="D23" s="65"/>
      <c r="E23" s="65" t="s">
        <v>446</v>
      </c>
      <c r="F23" s="65">
        <v>2</v>
      </c>
      <c r="G23" s="65">
        <v>125</v>
      </c>
      <c r="H23" s="65">
        <v>2</v>
      </c>
      <c r="I23" s="65" t="s">
        <v>446</v>
      </c>
      <c r="J23" s="65">
        <v>2</v>
      </c>
      <c r="K23" s="65">
        <v>116</v>
      </c>
      <c r="L23" s="65">
        <v>1</v>
      </c>
      <c r="M23" s="65" t="s">
        <v>465</v>
      </c>
      <c r="N23" s="65">
        <v>2</v>
      </c>
      <c r="O23" s="65">
        <v>101</v>
      </c>
      <c r="P23" s="65">
        <v>1</v>
      </c>
      <c r="Q23" s="65" t="s">
        <v>464</v>
      </c>
      <c r="R23" s="65">
        <v>2</v>
      </c>
      <c r="S23" s="65">
        <v>115</v>
      </c>
      <c r="T23" s="65">
        <v>2</v>
      </c>
    </row>
    <row r="24" spans="1:20" x14ac:dyDescent="0.25">
      <c r="A24" s="65"/>
      <c r="B24" s="65"/>
      <c r="C24" s="65"/>
      <c r="D24" s="65"/>
      <c r="E24" s="65" t="s">
        <v>466</v>
      </c>
      <c r="F24" s="65">
        <v>2</v>
      </c>
      <c r="G24" s="65">
        <v>99</v>
      </c>
      <c r="H24" s="65">
        <v>1</v>
      </c>
      <c r="I24" s="65" t="s">
        <v>466</v>
      </c>
      <c r="J24" s="65">
        <v>2</v>
      </c>
      <c r="K24" s="65">
        <v>119</v>
      </c>
      <c r="L24" s="65">
        <v>2</v>
      </c>
      <c r="M24" s="65" t="s">
        <v>447</v>
      </c>
      <c r="N24" s="65">
        <v>2</v>
      </c>
      <c r="O24" s="65">
        <v>132</v>
      </c>
      <c r="P24" s="65">
        <v>2</v>
      </c>
      <c r="Q24" s="65" t="s">
        <v>446</v>
      </c>
      <c r="R24" s="65">
        <v>2</v>
      </c>
      <c r="S24" s="65">
        <v>111</v>
      </c>
      <c r="T24" s="65">
        <v>2</v>
      </c>
    </row>
    <row r="25" spans="1:20" x14ac:dyDescent="0.25">
      <c r="A25" s="65"/>
      <c r="B25" s="65"/>
      <c r="C25" s="65"/>
      <c r="D25" s="65"/>
      <c r="E25" s="65" t="s">
        <v>468</v>
      </c>
      <c r="F25" s="65">
        <v>3</v>
      </c>
      <c r="G25" s="65">
        <v>122</v>
      </c>
      <c r="H25" s="65">
        <v>1</v>
      </c>
      <c r="I25" s="65" t="s">
        <v>468</v>
      </c>
      <c r="J25" s="65">
        <v>2</v>
      </c>
      <c r="K25" s="65">
        <v>109</v>
      </c>
      <c r="L25" s="65">
        <v>1</v>
      </c>
      <c r="M25" s="65" t="s">
        <v>464</v>
      </c>
      <c r="N25" s="65">
        <v>2</v>
      </c>
      <c r="O25" s="65">
        <v>110</v>
      </c>
      <c r="P25" s="65">
        <v>1</v>
      </c>
      <c r="Q25" s="65" t="s">
        <v>466</v>
      </c>
      <c r="R25" s="65">
        <v>2</v>
      </c>
      <c r="S25" s="65">
        <v>119</v>
      </c>
      <c r="T25" s="65">
        <v>2</v>
      </c>
    </row>
    <row r="26" spans="1:20" x14ac:dyDescent="0.25">
      <c r="A26" s="65"/>
      <c r="B26" s="65"/>
      <c r="C26" s="65"/>
      <c r="D26" s="65"/>
      <c r="E26" s="65" t="s">
        <v>467</v>
      </c>
      <c r="F26" s="65">
        <v>2</v>
      </c>
      <c r="G26" s="65">
        <v>126</v>
      </c>
      <c r="H26" s="65">
        <v>2</v>
      </c>
      <c r="I26" s="65" t="s">
        <v>467</v>
      </c>
      <c r="J26" s="65">
        <v>3</v>
      </c>
      <c r="K26" s="65">
        <v>132</v>
      </c>
      <c r="L26" s="65">
        <v>1</v>
      </c>
      <c r="M26" s="65" t="s">
        <v>446</v>
      </c>
      <c r="N26" s="65">
        <v>2</v>
      </c>
      <c r="O26" s="65">
        <v>119</v>
      </c>
      <c r="P26" s="65">
        <v>2</v>
      </c>
      <c r="Q26" s="65" t="s">
        <v>466</v>
      </c>
      <c r="R26" s="65">
        <v>2</v>
      </c>
      <c r="S26" s="65">
        <v>122</v>
      </c>
      <c r="T26" s="65">
        <v>2</v>
      </c>
    </row>
    <row r="27" spans="1:20" x14ac:dyDescent="0.25">
      <c r="A27" s="65"/>
      <c r="B27" s="65"/>
      <c r="C27" s="65"/>
      <c r="D27" s="65"/>
      <c r="E27" s="65" t="s">
        <v>472</v>
      </c>
      <c r="F27" s="65">
        <v>4</v>
      </c>
      <c r="G27" s="65">
        <v>85</v>
      </c>
      <c r="H27" s="65">
        <v>1</v>
      </c>
      <c r="I27" s="65" t="s">
        <v>472</v>
      </c>
      <c r="J27" s="65">
        <v>2</v>
      </c>
      <c r="K27" s="65">
        <v>133</v>
      </c>
      <c r="L27" s="65">
        <v>2</v>
      </c>
      <c r="M27" s="65" t="s">
        <v>466</v>
      </c>
      <c r="N27" s="65">
        <v>2</v>
      </c>
      <c r="O27" s="65">
        <v>134</v>
      </c>
      <c r="P27" s="65">
        <v>1</v>
      </c>
      <c r="Q27" s="65" t="s">
        <v>468</v>
      </c>
      <c r="R27" s="65">
        <v>2</v>
      </c>
      <c r="S27" s="65">
        <v>93</v>
      </c>
      <c r="T27" s="65">
        <v>2</v>
      </c>
    </row>
    <row r="28" spans="1:20" x14ac:dyDescent="0.25">
      <c r="A28" s="65"/>
      <c r="B28" s="65"/>
      <c r="C28" s="65"/>
      <c r="D28" s="65"/>
      <c r="E28" s="65" t="s">
        <v>469</v>
      </c>
      <c r="F28" s="65">
        <v>2</v>
      </c>
      <c r="G28" s="65">
        <v>90</v>
      </c>
      <c r="H28" s="65">
        <v>1</v>
      </c>
      <c r="I28" s="65" t="s">
        <v>469</v>
      </c>
      <c r="J28" s="65">
        <v>4</v>
      </c>
      <c r="K28" s="65">
        <v>107</v>
      </c>
      <c r="L28" s="65">
        <v>2</v>
      </c>
      <c r="M28" s="65" t="s">
        <v>468</v>
      </c>
      <c r="N28" s="65">
        <v>3</v>
      </c>
      <c r="O28" s="65">
        <v>113</v>
      </c>
      <c r="P28" s="65">
        <v>2</v>
      </c>
      <c r="Q28" s="65" t="s">
        <v>467</v>
      </c>
      <c r="R28" s="65">
        <v>3</v>
      </c>
      <c r="S28" s="65">
        <v>123</v>
      </c>
      <c r="T28" s="65">
        <v>2</v>
      </c>
    </row>
    <row r="29" spans="1:20" x14ac:dyDescent="0.25">
      <c r="A29" s="65"/>
      <c r="B29" s="65"/>
      <c r="C29" s="65"/>
      <c r="D29" s="65"/>
      <c r="E29" s="65" t="s">
        <v>470</v>
      </c>
      <c r="F29" s="65">
        <v>3</v>
      </c>
      <c r="G29" s="65">
        <v>94</v>
      </c>
      <c r="H29" s="65">
        <v>2</v>
      </c>
      <c r="I29" s="65" t="s">
        <v>470</v>
      </c>
      <c r="J29" s="65">
        <v>2</v>
      </c>
      <c r="K29" s="65">
        <v>110</v>
      </c>
      <c r="L29" s="65">
        <v>1</v>
      </c>
      <c r="M29" s="65" t="s">
        <v>467</v>
      </c>
      <c r="N29" s="65">
        <v>2</v>
      </c>
      <c r="O29" s="65">
        <v>136</v>
      </c>
      <c r="P29" s="65">
        <v>2</v>
      </c>
      <c r="Q29" s="65" t="s">
        <v>472</v>
      </c>
      <c r="R29" s="65">
        <v>2</v>
      </c>
      <c r="S29" s="65">
        <v>127</v>
      </c>
      <c r="T29" s="65">
        <v>2</v>
      </c>
    </row>
    <row r="30" spans="1:20" x14ac:dyDescent="0.25">
      <c r="A30" s="65"/>
      <c r="B30" s="65"/>
      <c r="C30" s="65"/>
      <c r="D30" s="65"/>
      <c r="E30" s="65" t="s">
        <v>471</v>
      </c>
      <c r="F30" s="65">
        <v>2</v>
      </c>
      <c r="G30" s="65">
        <v>90</v>
      </c>
      <c r="H30" s="65">
        <v>1</v>
      </c>
      <c r="I30" s="65" t="s">
        <v>471</v>
      </c>
      <c r="J30" s="65">
        <v>3</v>
      </c>
      <c r="K30" s="65">
        <v>95</v>
      </c>
      <c r="L30" s="65">
        <v>2</v>
      </c>
      <c r="M30" s="65" t="s">
        <v>472</v>
      </c>
      <c r="N30" s="65">
        <v>4</v>
      </c>
      <c r="O30" s="65">
        <v>113</v>
      </c>
      <c r="P30" s="65">
        <v>2</v>
      </c>
      <c r="Q30" s="65" t="s">
        <v>469</v>
      </c>
      <c r="R30" s="65">
        <v>4</v>
      </c>
      <c r="S30" s="65">
        <v>112</v>
      </c>
      <c r="T30" s="65">
        <v>2</v>
      </c>
    </row>
    <row r="31" spans="1:20" x14ac:dyDescent="0.25">
      <c r="A31" s="65"/>
      <c r="B31" s="65"/>
      <c r="C31" s="65"/>
      <c r="D31" s="65"/>
      <c r="E31" s="65" t="s">
        <v>475</v>
      </c>
      <c r="F31" s="65">
        <v>3</v>
      </c>
      <c r="G31" s="65">
        <v>92</v>
      </c>
      <c r="H31" s="65">
        <v>2</v>
      </c>
      <c r="I31" s="65" t="s">
        <v>475</v>
      </c>
      <c r="J31" s="65">
        <v>2</v>
      </c>
      <c r="K31" s="65">
        <v>106</v>
      </c>
      <c r="L31" s="65">
        <v>2</v>
      </c>
      <c r="M31" s="65" t="s">
        <v>469</v>
      </c>
      <c r="N31" s="65">
        <v>2</v>
      </c>
      <c r="O31" s="65">
        <v>123</v>
      </c>
      <c r="P31" s="65">
        <v>2</v>
      </c>
      <c r="Q31" s="65" t="s">
        <v>470</v>
      </c>
      <c r="R31" s="65">
        <v>2</v>
      </c>
      <c r="S31" s="65">
        <v>109</v>
      </c>
      <c r="T31" s="65">
        <v>2</v>
      </c>
    </row>
    <row r="32" spans="1:20" x14ac:dyDescent="0.25">
      <c r="A32" s="65"/>
      <c r="B32" s="65"/>
      <c r="C32" s="65"/>
      <c r="D32" s="65"/>
      <c r="E32" s="65" t="s">
        <v>450</v>
      </c>
      <c r="F32" s="65">
        <v>2</v>
      </c>
      <c r="G32" s="65">
        <v>96</v>
      </c>
      <c r="H32" s="65">
        <v>1</v>
      </c>
      <c r="I32" s="65" t="s">
        <v>450</v>
      </c>
      <c r="J32" s="65">
        <v>3</v>
      </c>
      <c r="K32" s="65">
        <v>95</v>
      </c>
      <c r="L32" s="65">
        <v>2</v>
      </c>
      <c r="M32" s="65" t="s">
        <v>470</v>
      </c>
      <c r="N32" s="65">
        <v>3</v>
      </c>
      <c r="O32" s="65">
        <v>117</v>
      </c>
      <c r="P32" s="65">
        <v>2</v>
      </c>
      <c r="Q32" s="65" t="s">
        <v>471</v>
      </c>
      <c r="R32" s="65">
        <v>3</v>
      </c>
      <c r="S32" s="65">
        <v>119</v>
      </c>
      <c r="T32" s="65">
        <v>2</v>
      </c>
    </row>
    <row r="33" spans="1:20" x14ac:dyDescent="0.25">
      <c r="A33" s="65"/>
      <c r="B33" s="65"/>
      <c r="C33" s="65"/>
      <c r="D33" s="65"/>
      <c r="E33" s="65" t="s">
        <v>473</v>
      </c>
      <c r="F33" s="65">
        <v>2</v>
      </c>
      <c r="G33" s="65">
        <v>91</v>
      </c>
      <c r="H33" s="65">
        <v>1</v>
      </c>
      <c r="I33" s="65" t="s">
        <v>473</v>
      </c>
      <c r="J33" s="65">
        <v>2</v>
      </c>
      <c r="K33" s="65">
        <v>97</v>
      </c>
      <c r="L33" s="65">
        <v>1</v>
      </c>
      <c r="M33" s="65" t="s">
        <v>471</v>
      </c>
      <c r="N33" s="65">
        <v>2</v>
      </c>
      <c r="O33" s="65">
        <v>117</v>
      </c>
      <c r="P33" s="65">
        <v>1</v>
      </c>
      <c r="Q33" s="65" t="s">
        <v>475</v>
      </c>
      <c r="R33" s="65">
        <v>2</v>
      </c>
      <c r="S33" s="65">
        <v>116</v>
      </c>
      <c r="T33" s="65">
        <v>2</v>
      </c>
    </row>
    <row r="34" spans="1:20" x14ac:dyDescent="0.25">
      <c r="A34" s="65"/>
      <c r="B34" s="65"/>
      <c r="C34" s="65"/>
      <c r="D34" s="65"/>
      <c r="E34" s="65" t="s">
        <v>448</v>
      </c>
      <c r="F34" s="65">
        <v>2</v>
      </c>
      <c r="G34" s="65">
        <v>94</v>
      </c>
      <c r="H34" s="65">
        <v>1</v>
      </c>
      <c r="I34" s="65" t="s">
        <v>448</v>
      </c>
      <c r="J34" s="65">
        <v>2</v>
      </c>
      <c r="K34" s="65">
        <v>98</v>
      </c>
      <c r="L34" s="65">
        <v>1</v>
      </c>
      <c r="M34" s="65" t="s">
        <v>475</v>
      </c>
      <c r="N34" s="65">
        <v>3</v>
      </c>
      <c r="O34" s="65">
        <v>97</v>
      </c>
      <c r="P34" s="65">
        <v>2</v>
      </c>
      <c r="Q34" s="65" t="s">
        <v>450</v>
      </c>
      <c r="R34" s="65">
        <v>3</v>
      </c>
      <c r="S34" s="65">
        <v>118</v>
      </c>
      <c r="T34" s="65">
        <v>2</v>
      </c>
    </row>
    <row r="35" spans="1:20" x14ac:dyDescent="0.25">
      <c r="A35" s="65"/>
      <c r="B35" s="65"/>
      <c r="C35" s="65"/>
      <c r="D35" s="65"/>
      <c r="E35" s="65" t="s">
        <v>474</v>
      </c>
      <c r="F35" s="65">
        <v>2</v>
      </c>
      <c r="G35" s="65">
        <v>94</v>
      </c>
      <c r="H35" s="65">
        <v>2</v>
      </c>
      <c r="I35" s="65" t="s">
        <v>474</v>
      </c>
      <c r="J35" s="65">
        <v>2</v>
      </c>
      <c r="K35" s="65">
        <v>97</v>
      </c>
      <c r="L35" s="65">
        <v>2</v>
      </c>
      <c r="M35" s="65" t="s">
        <v>450</v>
      </c>
      <c r="N35" s="65">
        <v>2</v>
      </c>
      <c r="O35" s="65">
        <v>98</v>
      </c>
      <c r="P35" s="65">
        <v>2</v>
      </c>
      <c r="Q35" s="65" t="s">
        <v>473</v>
      </c>
      <c r="R35" s="65">
        <v>2</v>
      </c>
      <c r="S35" s="65">
        <v>116</v>
      </c>
      <c r="T35" s="65">
        <v>2</v>
      </c>
    </row>
    <row r="36" spans="1:20" x14ac:dyDescent="0.25">
      <c r="A36" s="103"/>
      <c r="B36" s="65"/>
      <c r="C36" s="65"/>
      <c r="D36" s="65"/>
      <c r="E36" s="65" t="s">
        <v>449</v>
      </c>
      <c r="F36" s="65">
        <v>2</v>
      </c>
      <c r="G36" s="65">
        <v>112</v>
      </c>
      <c r="H36" s="65">
        <v>2</v>
      </c>
      <c r="I36" s="65" t="s">
        <v>449</v>
      </c>
      <c r="J36" s="65">
        <v>2</v>
      </c>
      <c r="K36" s="65">
        <v>93</v>
      </c>
      <c r="L36" s="65">
        <v>1</v>
      </c>
      <c r="M36" s="65" t="s">
        <v>473</v>
      </c>
      <c r="N36" s="65">
        <v>2</v>
      </c>
      <c r="O36" s="65">
        <v>96</v>
      </c>
      <c r="P36" s="65">
        <v>2</v>
      </c>
      <c r="Q36" s="65" t="s">
        <v>448</v>
      </c>
      <c r="R36" s="65">
        <v>2</v>
      </c>
      <c r="S36" s="65">
        <v>117</v>
      </c>
      <c r="T36" s="65">
        <v>2</v>
      </c>
    </row>
    <row r="37" spans="1:20" x14ac:dyDescent="0.25">
      <c r="A37" s="65"/>
      <c r="B37" s="65"/>
      <c r="C37" s="65"/>
      <c r="D37" s="65"/>
      <c r="E37" s="65" t="s">
        <v>476</v>
      </c>
      <c r="F37" s="65">
        <v>2</v>
      </c>
      <c r="G37" s="65">
        <v>115</v>
      </c>
      <c r="H37" s="65">
        <v>1</v>
      </c>
      <c r="I37" s="65" t="s">
        <v>476</v>
      </c>
      <c r="J37" s="65">
        <v>2</v>
      </c>
      <c r="K37" s="65">
        <v>98</v>
      </c>
      <c r="L37" s="65">
        <v>1</v>
      </c>
      <c r="M37" s="65" t="s">
        <v>448</v>
      </c>
      <c r="N37" s="65">
        <v>2</v>
      </c>
      <c r="O37" s="65">
        <v>91</v>
      </c>
      <c r="P37" s="65">
        <v>2</v>
      </c>
      <c r="Q37" s="65" t="s">
        <v>474</v>
      </c>
      <c r="R37" s="65">
        <v>2</v>
      </c>
      <c r="S37" s="65">
        <v>108</v>
      </c>
      <c r="T37" s="65">
        <v>2</v>
      </c>
    </row>
    <row r="38" spans="1:20" x14ac:dyDescent="0.25">
      <c r="A38" s="65"/>
      <c r="B38" s="65"/>
      <c r="C38" s="65"/>
      <c r="D38" s="65"/>
      <c r="E38" s="65" t="s">
        <v>451</v>
      </c>
      <c r="F38" s="65">
        <v>3</v>
      </c>
      <c r="G38" s="65">
        <v>98</v>
      </c>
      <c r="H38" s="65">
        <v>1</v>
      </c>
      <c r="I38" s="65" t="s">
        <v>451</v>
      </c>
      <c r="J38" s="65">
        <v>2</v>
      </c>
      <c r="K38" s="65">
        <v>97</v>
      </c>
      <c r="L38" s="65">
        <v>1</v>
      </c>
      <c r="M38" s="65" t="s">
        <v>474</v>
      </c>
      <c r="N38" s="65">
        <v>2</v>
      </c>
      <c r="O38" s="65">
        <v>98</v>
      </c>
      <c r="P38" s="65">
        <v>2</v>
      </c>
      <c r="Q38" s="65" t="s">
        <v>449</v>
      </c>
      <c r="R38" s="65">
        <v>2</v>
      </c>
      <c r="S38" s="65">
        <v>109</v>
      </c>
      <c r="T38" s="65">
        <v>2</v>
      </c>
    </row>
    <row r="39" spans="1:20" x14ac:dyDescent="0.25">
      <c r="A39" s="65"/>
      <c r="B39" s="65"/>
      <c r="C39" s="65"/>
      <c r="D39" s="65"/>
      <c r="E39" s="65" t="s">
        <v>479</v>
      </c>
      <c r="F39" s="65">
        <v>2</v>
      </c>
      <c r="G39" s="65">
        <v>98</v>
      </c>
      <c r="H39" s="65">
        <v>1</v>
      </c>
      <c r="I39" s="65" t="s">
        <v>479</v>
      </c>
      <c r="J39" s="65">
        <v>3</v>
      </c>
      <c r="K39" s="65">
        <v>92</v>
      </c>
      <c r="L39" s="65">
        <v>1</v>
      </c>
      <c r="M39" s="65" t="s">
        <v>449</v>
      </c>
      <c r="N39" s="65">
        <v>2</v>
      </c>
      <c r="O39" s="65">
        <v>116</v>
      </c>
      <c r="P39" s="65">
        <v>2</v>
      </c>
      <c r="Q39" s="65" t="s">
        <v>476</v>
      </c>
      <c r="R39" s="65">
        <v>2</v>
      </c>
      <c r="S39" s="65">
        <v>113</v>
      </c>
      <c r="T39" s="65">
        <v>2</v>
      </c>
    </row>
    <row r="40" spans="1:20" x14ac:dyDescent="0.25">
      <c r="A40" s="65"/>
      <c r="B40" s="65"/>
      <c r="C40" s="65"/>
      <c r="D40" s="65"/>
      <c r="E40" s="65" t="s">
        <v>454</v>
      </c>
      <c r="F40" s="65">
        <v>2</v>
      </c>
      <c r="G40" s="65">
        <v>96</v>
      </c>
      <c r="H40" s="65">
        <v>2</v>
      </c>
      <c r="I40" s="65" t="s">
        <v>454</v>
      </c>
      <c r="J40" s="65">
        <v>2</v>
      </c>
      <c r="K40" s="65">
        <v>96</v>
      </c>
      <c r="L40" s="65">
        <v>2</v>
      </c>
      <c r="M40" s="65" t="s">
        <v>476</v>
      </c>
      <c r="N40" s="65">
        <v>2</v>
      </c>
      <c r="O40" s="65">
        <v>112</v>
      </c>
      <c r="P40" s="65">
        <v>2</v>
      </c>
      <c r="Q40" s="65" t="s">
        <v>451</v>
      </c>
      <c r="R40" s="65">
        <v>2</v>
      </c>
      <c r="S40" s="65">
        <v>102</v>
      </c>
      <c r="T40" s="65">
        <v>2</v>
      </c>
    </row>
    <row r="41" spans="1:20" x14ac:dyDescent="0.25">
      <c r="A41" s="65"/>
      <c r="B41" s="65"/>
      <c r="C41" s="65"/>
      <c r="D41" s="65"/>
      <c r="E41" s="65" t="s">
        <v>478</v>
      </c>
      <c r="F41" s="65">
        <v>2</v>
      </c>
      <c r="G41" s="65">
        <v>92</v>
      </c>
      <c r="H41" s="65">
        <v>2</v>
      </c>
      <c r="I41" s="65" t="s">
        <v>478</v>
      </c>
      <c r="J41" s="65">
        <v>2</v>
      </c>
      <c r="K41" s="65">
        <v>97</v>
      </c>
      <c r="L41" s="65">
        <v>2</v>
      </c>
      <c r="M41" s="65" t="s">
        <v>451</v>
      </c>
      <c r="N41" s="65">
        <v>3</v>
      </c>
      <c r="O41" s="65">
        <v>107</v>
      </c>
      <c r="P41" s="65">
        <v>2</v>
      </c>
      <c r="Q41" s="65" t="s">
        <v>479</v>
      </c>
      <c r="R41" s="65">
        <v>3</v>
      </c>
      <c r="S41" s="65">
        <v>106</v>
      </c>
      <c r="T41" s="65">
        <v>2</v>
      </c>
    </row>
    <row r="42" spans="1:20" x14ac:dyDescent="0.25">
      <c r="A42" s="65"/>
      <c r="B42" s="65"/>
      <c r="C42" s="65"/>
      <c r="D42" s="65"/>
      <c r="E42" s="65" t="s">
        <v>477</v>
      </c>
      <c r="F42" s="65">
        <v>2</v>
      </c>
      <c r="G42" s="65">
        <v>94</v>
      </c>
      <c r="H42" s="65">
        <v>1</v>
      </c>
      <c r="I42" s="65" t="s">
        <v>453</v>
      </c>
      <c r="J42" s="65">
        <v>2</v>
      </c>
      <c r="K42" s="65">
        <v>92</v>
      </c>
      <c r="L42" s="65">
        <v>2</v>
      </c>
      <c r="M42" s="65" t="s">
        <v>479</v>
      </c>
      <c r="N42" s="65">
        <v>2</v>
      </c>
      <c r="O42" s="65">
        <v>113</v>
      </c>
      <c r="P42" s="65">
        <v>2</v>
      </c>
      <c r="Q42" s="65" t="s">
        <v>454</v>
      </c>
      <c r="R42" s="65">
        <v>2</v>
      </c>
      <c r="S42" s="65">
        <v>100</v>
      </c>
      <c r="T42" s="65">
        <v>2</v>
      </c>
    </row>
    <row r="43" spans="1:20" x14ac:dyDescent="0.25">
      <c r="A43" s="65"/>
      <c r="B43" s="65"/>
      <c r="C43" s="65"/>
      <c r="D43" s="65"/>
      <c r="E43" s="65" t="s">
        <v>452</v>
      </c>
      <c r="F43" s="65">
        <v>2</v>
      </c>
      <c r="G43" s="65">
        <v>96</v>
      </c>
      <c r="H43" s="65">
        <v>2</v>
      </c>
      <c r="I43" s="65" t="s">
        <v>477</v>
      </c>
      <c r="J43" s="65">
        <v>2</v>
      </c>
      <c r="K43" s="65">
        <v>96</v>
      </c>
      <c r="L43" s="65">
        <v>2</v>
      </c>
      <c r="M43" s="65" t="s">
        <v>454</v>
      </c>
      <c r="N43" s="65">
        <v>2</v>
      </c>
      <c r="O43" s="65">
        <v>96</v>
      </c>
      <c r="P43" s="65">
        <v>2</v>
      </c>
      <c r="Q43" s="65" t="s">
        <v>478</v>
      </c>
      <c r="R43" s="65">
        <v>2</v>
      </c>
      <c r="S43" s="65">
        <v>87</v>
      </c>
      <c r="T43" s="65">
        <v>2</v>
      </c>
    </row>
    <row r="44" spans="1:20" x14ac:dyDescent="0.25">
      <c r="A44" s="65"/>
      <c r="B44" s="65"/>
      <c r="C44" s="65"/>
      <c r="D44" s="65"/>
      <c r="E44" s="65"/>
      <c r="F44" s="65"/>
      <c r="G44" s="65"/>
      <c r="H44" s="65"/>
      <c r="I44" s="65" t="s">
        <v>452</v>
      </c>
      <c r="J44" s="65">
        <v>2</v>
      </c>
      <c r="K44" s="65">
        <v>109</v>
      </c>
      <c r="L44" s="65">
        <v>1</v>
      </c>
      <c r="M44" s="65" t="s">
        <v>478</v>
      </c>
      <c r="N44" s="65">
        <v>2</v>
      </c>
      <c r="O44" s="65">
        <v>116</v>
      </c>
      <c r="P44" s="65">
        <v>2</v>
      </c>
      <c r="Q44" s="65" t="s">
        <v>453</v>
      </c>
      <c r="R44" s="65">
        <v>2</v>
      </c>
      <c r="S44" s="65">
        <v>112</v>
      </c>
      <c r="T44" s="65">
        <v>2</v>
      </c>
    </row>
    <row r="45" spans="1:20" x14ac:dyDescent="0.25">
      <c r="A45" s="65"/>
      <c r="B45" s="65"/>
      <c r="C45" s="65"/>
      <c r="D45" s="65"/>
      <c r="E45" s="65"/>
      <c r="F45" s="65"/>
      <c r="G45" s="65"/>
      <c r="H45" s="65"/>
      <c r="I45" s="65" t="s">
        <v>480</v>
      </c>
      <c r="J45" s="65">
        <v>2</v>
      </c>
      <c r="K45" s="65">
        <v>111</v>
      </c>
      <c r="L45" s="65">
        <v>2</v>
      </c>
      <c r="M45" s="65" t="s">
        <v>453</v>
      </c>
      <c r="N45" s="65">
        <v>2</v>
      </c>
      <c r="O45" s="65">
        <v>107</v>
      </c>
      <c r="P45" s="65">
        <v>2</v>
      </c>
      <c r="Q45" s="65" t="s">
        <v>477</v>
      </c>
      <c r="R45" s="65">
        <v>2</v>
      </c>
      <c r="S45" s="65">
        <v>114</v>
      </c>
      <c r="T45" s="65">
        <v>2</v>
      </c>
    </row>
    <row r="46" spans="1:20" x14ac:dyDescent="0.2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 t="s">
        <v>477</v>
      </c>
      <c r="N46" s="65">
        <v>2</v>
      </c>
      <c r="O46" s="65">
        <v>123</v>
      </c>
      <c r="P46" s="65">
        <v>2</v>
      </c>
      <c r="Q46" s="65" t="s">
        <v>452</v>
      </c>
      <c r="R46" s="65">
        <v>2</v>
      </c>
      <c r="S46" s="65">
        <v>121</v>
      </c>
      <c r="T46" s="65">
        <v>2</v>
      </c>
    </row>
    <row r="47" spans="1:20" x14ac:dyDescent="0.2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 t="s">
        <v>452</v>
      </c>
      <c r="N47" s="65">
        <v>2</v>
      </c>
      <c r="O47" s="65">
        <v>122</v>
      </c>
      <c r="P47" s="65">
        <v>2</v>
      </c>
      <c r="Q47" s="65" t="s">
        <v>480</v>
      </c>
      <c r="R47" s="65">
        <v>2</v>
      </c>
      <c r="S47" s="65">
        <v>108</v>
      </c>
      <c r="T47" s="65">
        <v>2</v>
      </c>
    </row>
    <row r="48" spans="1:20" x14ac:dyDescent="0.2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</row>
    <row r="49" spans="1:20" x14ac:dyDescent="0.2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</row>
    <row r="50" spans="1:20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</row>
    <row r="51" spans="1:20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</row>
    <row r="52" spans="1:20" x14ac:dyDescent="0.2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</row>
    <row r="53" spans="1:20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4" spans="1:20" x14ac:dyDescent="0.2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</row>
    <row r="55" spans="1:20" x14ac:dyDescent="0.2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</row>
    <row r="56" spans="1:20" x14ac:dyDescent="0.2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</row>
    <row r="57" spans="1:20" x14ac:dyDescent="0.2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</row>
    <row r="58" spans="1:20" x14ac:dyDescent="0.2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</row>
    <row r="59" spans="1:20" x14ac:dyDescent="0.2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</row>
    <row r="60" spans="1:20" x14ac:dyDescent="0.2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</row>
    <row r="61" spans="1:20" x14ac:dyDescent="0.2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</row>
    <row r="62" spans="1:20" x14ac:dyDescent="0.2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</row>
    <row r="63" spans="1:20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</row>
    <row r="64" spans="1:20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</row>
    <row r="65" spans="1:20" x14ac:dyDescent="0.2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</row>
    <row r="66" spans="1:20" x14ac:dyDescent="0.2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</row>
    <row r="67" spans="1:20" x14ac:dyDescent="0.2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</row>
    <row r="68" spans="1:20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</row>
    <row r="69" spans="1:20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</row>
    <row r="70" spans="1:20" x14ac:dyDescent="0.2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</row>
    <row r="71" spans="1:20" x14ac:dyDescent="0.2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</row>
    <row r="72" spans="1:20" x14ac:dyDescent="0.2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</row>
    <row r="73" spans="1:20" x14ac:dyDescent="0.2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</row>
    <row r="74" spans="1:20" x14ac:dyDescent="0.2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</row>
    <row r="75" spans="1:20" x14ac:dyDescent="0.2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</row>
    <row r="76" spans="1:20" x14ac:dyDescent="0.2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</row>
    <row r="77" spans="1:20" x14ac:dyDescent="0.2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</row>
    <row r="78" spans="1:20" x14ac:dyDescent="0.25">
      <c r="A78" s="103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</row>
    <row r="79" spans="1:20" x14ac:dyDescent="0.25">
      <c r="A79" s="103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</row>
    <row r="80" spans="1:20" x14ac:dyDescent="0.25">
      <c r="A80" s="103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</row>
    <row r="81" spans="1:20" x14ac:dyDescent="0.25">
      <c r="A81" s="103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</row>
    <row r="82" spans="1:20" x14ac:dyDescent="0.25">
      <c r="A82" s="103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</row>
    <row r="83" spans="1:20" x14ac:dyDescent="0.25">
      <c r="A83" s="103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</row>
    <row r="84" spans="1:20" x14ac:dyDescent="0.25">
      <c r="A84" s="103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</row>
    <row r="85" spans="1:20" x14ac:dyDescent="0.25">
      <c r="A85" s="103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</row>
    <row r="86" spans="1:20" x14ac:dyDescent="0.25">
      <c r="A86" s="103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</row>
    <row r="87" spans="1:20" x14ac:dyDescent="0.25">
      <c r="A87" s="103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</row>
    <row r="88" spans="1:20" x14ac:dyDescent="0.25">
      <c r="A88" s="103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</row>
    <row r="89" spans="1:20" x14ac:dyDescent="0.25">
      <c r="A89" s="103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</row>
    <row r="90" spans="1:20" x14ac:dyDescent="0.25">
      <c r="A90" s="103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</row>
    <row r="91" spans="1:20" x14ac:dyDescent="0.25">
      <c r="A91" s="103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</row>
    <row r="92" spans="1:20" x14ac:dyDescent="0.25">
      <c r="A92" s="103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</row>
    <row r="93" spans="1:20" x14ac:dyDescent="0.25">
      <c r="A93" s="103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</row>
    <row r="94" spans="1:20" x14ac:dyDescent="0.25">
      <c r="A94" s="103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</row>
    <row r="95" spans="1:20" x14ac:dyDescent="0.25">
      <c r="A95" s="103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</row>
    <row r="96" spans="1:20" x14ac:dyDescent="0.25">
      <c r="A96" s="103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</row>
    <row r="97" spans="1:20" x14ac:dyDescent="0.25">
      <c r="A97" s="103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</row>
    <row r="98" spans="1:20" x14ac:dyDescent="0.25">
      <c r="A98" s="103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</row>
    <row r="99" spans="1:20" x14ac:dyDescent="0.25">
      <c r="A99" s="103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</row>
    <row r="100" spans="1:20" x14ac:dyDescent="0.25">
      <c r="A100" s="103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</row>
    <row r="101" spans="1:20" x14ac:dyDescent="0.25">
      <c r="A101" s="103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</row>
    <row r="102" spans="1:20" x14ac:dyDescent="0.25">
      <c r="A102" s="103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</row>
  </sheetData>
  <sheetProtection password="E9BA" sheet="1" objects="1" scenarios="1" formatCells="0" formatColumns="0" formatRows="0" insertRows="0" deleteRows="0" sort="0"/>
  <sortState ref="Q3:Q50">
    <sortCondition ref="Q3"/>
  </sortState>
  <mergeCells count="5">
    <mergeCell ref="A1:D1"/>
    <mergeCell ref="E1:H1"/>
    <mergeCell ref="I1:L1"/>
    <mergeCell ref="M1:P1"/>
    <mergeCell ref="Q1:T1"/>
  </mergeCells>
  <pageMargins left="0.70866141732283472" right="0.70866141732283472" top="0.74803149606299213" bottom="0.74803149606299213" header="0.31496062992125984" footer="0.31496062992125984"/>
  <pageSetup paperSize="9" orientation="landscape" blackAndWhite="1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A1:L93"/>
  <sheetViews>
    <sheetView topLeftCell="C1" workbookViewId="0">
      <selection activeCell="F6" sqref="F6"/>
    </sheetView>
  </sheetViews>
  <sheetFormatPr defaultRowHeight="15" x14ac:dyDescent="0.25"/>
  <cols>
    <col min="1" max="1" width="5.7109375" bestFit="1" customWidth="1"/>
    <col min="2" max="2" width="9.85546875" bestFit="1" customWidth="1"/>
    <col min="3" max="3" width="27.28515625" bestFit="1" customWidth="1"/>
    <col min="4" max="4" width="42.7109375" bestFit="1" customWidth="1"/>
    <col min="5" max="5" width="42.7109375" customWidth="1"/>
    <col min="6" max="6" width="33.42578125" bestFit="1" customWidth="1"/>
    <col min="7" max="7" width="33" bestFit="1" customWidth="1"/>
    <col min="8" max="8" width="53.140625" style="41" bestFit="1" customWidth="1"/>
    <col min="9" max="9" width="16.28515625" bestFit="1" customWidth="1"/>
    <col min="10" max="10" width="11.5703125" customWidth="1"/>
    <col min="11" max="11" width="22.42578125" bestFit="1" customWidth="1"/>
    <col min="12" max="12" width="4.42578125" customWidth="1"/>
    <col min="13" max="13" width="7" customWidth="1"/>
    <col min="14" max="14" width="8.5703125" customWidth="1"/>
    <col min="15" max="15" width="14.28515625" bestFit="1" customWidth="1"/>
  </cols>
  <sheetData>
    <row r="1" spans="1:12" x14ac:dyDescent="0.25">
      <c r="A1" s="39" t="s">
        <v>347</v>
      </c>
      <c r="B1" s="39" t="s">
        <v>315</v>
      </c>
      <c r="C1" s="39" t="s">
        <v>98</v>
      </c>
      <c r="D1" s="39" t="s">
        <v>97</v>
      </c>
      <c r="E1" s="39" t="s">
        <v>169</v>
      </c>
      <c r="F1" s="39" t="s">
        <v>95</v>
      </c>
      <c r="G1" s="39" t="s">
        <v>96</v>
      </c>
      <c r="H1" s="39" t="s">
        <v>296</v>
      </c>
      <c r="I1" s="39"/>
    </row>
    <row r="2" spans="1:12" ht="15.75" x14ac:dyDescent="0.25">
      <c r="A2">
        <v>100</v>
      </c>
      <c r="B2" t="s">
        <v>313</v>
      </c>
      <c r="C2" t="s">
        <v>99</v>
      </c>
      <c r="D2" t="s">
        <v>129</v>
      </c>
      <c r="E2" t="s">
        <v>129</v>
      </c>
      <c r="F2" s="88" t="s">
        <v>324</v>
      </c>
      <c r="G2" s="47" t="s">
        <v>302</v>
      </c>
      <c r="H2" s="79" t="s">
        <v>294</v>
      </c>
      <c r="I2" s="86"/>
    </row>
    <row r="3" spans="1:12" ht="15.75" x14ac:dyDescent="0.25">
      <c r="A3">
        <v>200</v>
      </c>
      <c r="B3" t="s">
        <v>61</v>
      </c>
      <c r="C3" t="s">
        <v>100</v>
      </c>
      <c r="D3" t="s">
        <v>130</v>
      </c>
      <c r="E3" t="s">
        <v>271</v>
      </c>
      <c r="F3" t="s">
        <v>81</v>
      </c>
      <c r="G3" s="89" t="s">
        <v>93</v>
      </c>
      <c r="H3" s="80" t="s">
        <v>238</v>
      </c>
    </row>
    <row r="4" spans="1:12" ht="15.75" x14ac:dyDescent="0.25">
      <c r="A4">
        <v>300</v>
      </c>
      <c r="B4" t="s">
        <v>106</v>
      </c>
      <c r="C4" t="s">
        <v>64</v>
      </c>
      <c r="D4" t="s">
        <v>135</v>
      </c>
      <c r="E4" t="s">
        <v>130</v>
      </c>
      <c r="F4" t="s">
        <v>82</v>
      </c>
      <c r="G4" s="48" t="s">
        <v>57</v>
      </c>
      <c r="H4" s="79" t="s">
        <v>335</v>
      </c>
    </row>
    <row r="5" spans="1:12" ht="15.75" x14ac:dyDescent="0.25">
      <c r="A5">
        <v>400</v>
      </c>
      <c r="B5" t="s">
        <v>107</v>
      </c>
      <c r="C5" t="s">
        <v>101</v>
      </c>
      <c r="D5" t="s">
        <v>118</v>
      </c>
      <c r="E5" t="s">
        <v>135</v>
      </c>
      <c r="F5" t="s">
        <v>46</v>
      </c>
      <c r="G5" s="48" t="s">
        <v>291</v>
      </c>
      <c r="H5" s="79" t="s">
        <v>292</v>
      </c>
    </row>
    <row r="6" spans="1:12" ht="15.75" x14ac:dyDescent="0.25">
      <c r="A6">
        <v>500</v>
      </c>
      <c r="B6" t="s">
        <v>108</v>
      </c>
      <c r="C6" t="s">
        <v>102</v>
      </c>
      <c r="D6" t="s">
        <v>278</v>
      </c>
      <c r="E6" t="s">
        <v>118</v>
      </c>
      <c r="F6" t="s">
        <v>83</v>
      </c>
      <c r="G6" s="49" t="s">
        <v>388</v>
      </c>
      <c r="H6" s="79" t="s">
        <v>219</v>
      </c>
    </row>
    <row r="7" spans="1:12" ht="15.75" x14ac:dyDescent="0.25">
      <c r="A7">
        <v>600</v>
      </c>
      <c r="C7" t="s">
        <v>73</v>
      </c>
      <c r="D7" t="s">
        <v>124</v>
      </c>
      <c r="E7" t="s">
        <v>124</v>
      </c>
      <c r="F7" t="s">
        <v>84</v>
      </c>
      <c r="G7" s="49" t="s">
        <v>325</v>
      </c>
      <c r="H7" s="79" t="s">
        <v>307</v>
      </c>
    </row>
    <row r="8" spans="1:12" ht="15.75" x14ac:dyDescent="0.25">
      <c r="C8" t="s">
        <v>74</v>
      </c>
      <c r="D8" t="s">
        <v>113</v>
      </c>
      <c r="E8" t="s">
        <v>113</v>
      </c>
      <c r="F8" t="s">
        <v>85</v>
      </c>
      <c r="G8" s="91" t="s">
        <v>303</v>
      </c>
      <c r="H8" s="79" t="s">
        <v>312</v>
      </c>
    </row>
    <row r="9" spans="1:12" ht="15.75" x14ac:dyDescent="0.25">
      <c r="C9" t="s">
        <v>103</v>
      </c>
      <c r="D9" t="s">
        <v>144</v>
      </c>
      <c r="E9" t="s">
        <v>331</v>
      </c>
      <c r="F9" t="s">
        <v>47</v>
      </c>
      <c r="G9" s="49" t="s">
        <v>301</v>
      </c>
      <c r="H9" s="79" t="s">
        <v>224</v>
      </c>
    </row>
    <row r="10" spans="1:12" ht="15.75" x14ac:dyDescent="0.25">
      <c r="C10" t="s">
        <v>104</v>
      </c>
      <c r="D10" t="s">
        <v>136</v>
      </c>
      <c r="E10" t="s">
        <v>144</v>
      </c>
      <c r="F10" t="s">
        <v>301</v>
      </c>
      <c r="G10" s="47" t="s">
        <v>94</v>
      </c>
      <c r="H10" s="79" t="s">
        <v>194</v>
      </c>
    </row>
    <row r="11" spans="1:12" ht="15.75" x14ac:dyDescent="0.25">
      <c r="C11" t="s">
        <v>72</v>
      </c>
      <c r="D11" t="s">
        <v>127</v>
      </c>
      <c r="E11" t="s">
        <v>136</v>
      </c>
      <c r="F11" t="s">
        <v>86</v>
      </c>
      <c r="G11" s="88" t="s">
        <v>319</v>
      </c>
      <c r="H11" s="79" t="s">
        <v>220</v>
      </c>
    </row>
    <row r="12" spans="1:12" ht="15.75" x14ac:dyDescent="0.25">
      <c r="C12" t="s">
        <v>376</v>
      </c>
      <c r="D12" t="s">
        <v>114</v>
      </c>
      <c r="E12" t="s">
        <v>262</v>
      </c>
      <c r="F12" t="s">
        <v>87</v>
      </c>
      <c r="G12" s="92" t="s">
        <v>321</v>
      </c>
      <c r="H12" s="79" t="s">
        <v>309</v>
      </c>
    </row>
    <row r="13" spans="1:12" ht="15.75" x14ac:dyDescent="0.25">
      <c r="C13" t="s">
        <v>79</v>
      </c>
      <c r="D13" t="s">
        <v>126</v>
      </c>
      <c r="E13" t="s">
        <v>127</v>
      </c>
      <c r="F13" s="90" t="s">
        <v>322</v>
      </c>
      <c r="G13" s="92" t="s">
        <v>320</v>
      </c>
      <c r="H13" s="79" t="s">
        <v>231</v>
      </c>
      <c r="J13" s="88"/>
      <c r="K13" s="88"/>
      <c r="L13" s="88"/>
    </row>
    <row r="14" spans="1:12" ht="15.75" x14ac:dyDescent="0.25">
      <c r="C14" t="s">
        <v>105</v>
      </c>
      <c r="D14" t="s">
        <v>160</v>
      </c>
      <c r="E14" t="s">
        <v>114</v>
      </c>
      <c r="F14" s="90" t="s">
        <v>323</v>
      </c>
      <c r="G14" s="48" t="s">
        <v>56</v>
      </c>
      <c r="H14" s="79" t="s">
        <v>386</v>
      </c>
      <c r="J14" s="88"/>
      <c r="K14" s="88"/>
      <c r="L14" s="88"/>
    </row>
    <row r="15" spans="1:12" ht="15.75" x14ac:dyDescent="0.25">
      <c r="D15" t="s">
        <v>145</v>
      </c>
      <c r="E15" s="41" t="s">
        <v>379</v>
      </c>
      <c r="F15" t="s">
        <v>88</v>
      </c>
      <c r="G15" s="90" t="s">
        <v>326</v>
      </c>
      <c r="H15" s="79" t="s">
        <v>253</v>
      </c>
      <c r="J15" s="88"/>
      <c r="K15" s="88"/>
      <c r="L15" s="88"/>
    </row>
    <row r="16" spans="1:12" ht="15.75" x14ac:dyDescent="0.25">
      <c r="D16" t="s">
        <v>100</v>
      </c>
      <c r="E16" t="s">
        <v>126</v>
      </c>
      <c r="F16" t="s">
        <v>89</v>
      </c>
      <c r="G16" s="90" t="s">
        <v>322</v>
      </c>
      <c r="H16" s="79" t="s">
        <v>195</v>
      </c>
    </row>
    <row r="17" spans="4:12" ht="15.75" x14ac:dyDescent="0.25">
      <c r="D17" t="s">
        <v>161</v>
      </c>
      <c r="E17" t="s">
        <v>160</v>
      </c>
      <c r="F17" t="s">
        <v>90</v>
      </c>
      <c r="G17" s="48" t="s">
        <v>55</v>
      </c>
      <c r="H17" s="79" t="s">
        <v>260</v>
      </c>
      <c r="J17" s="88"/>
      <c r="K17" s="88"/>
      <c r="L17" s="88"/>
    </row>
    <row r="18" spans="4:12" ht="15.75" x14ac:dyDescent="0.25">
      <c r="D18" t="s">
        <v>75</v>
      </c>
      <c r="E18" t="s">
        <v>145</v>
      </c>
      <c r="F18" t="s">
        <v>59</v>
      </c>
      <c r="G18" s="90" t="s">
        <v>323</v>
      </c>
      <c r="H18" s="79" t="s">
        <v>196</v>
      </c>
      <c r="J18" s="88"/>
      <c r="K18" s="88"/>
      <c r="L18" s="88"/>
    </row>
    <row r="19" spans="4:12" ht="15.75" x14ac:dyDescent="0.25">
      <c r="D19" t="s">
        <v>156</v>
      </c>
      <c r="E19" t="s">
        <v>100</v>
      </c>
      <c r="F19" t="s">
        <v>91</v>
      </c>
      <c r="G19" s="49" t="s">
        <v>58</v>
      </c>
      <c r="H19" s="79" t="s">
        <v>197</v>
      </c>
      <c r="J19" s="88"/>
      <c r="K19" s="88"/>
      <c r="L19" s="88"/>
    </row>
    <row r="20" spans="4:12" ht="15.75" x14ac:dyDescent="0.25">
      <c r="D20" t="s">
        <v>131</v>
      </c>
      <c r="E20" t="s">
        <v>270</v>
      </c>
      <c r="F20" t="s">
        <v>92</v>
      </c>
      <c r="G20" s="47" t="s">
        <v>89</v>
      </c>
      <c r="H20" s="79" t="s">
        <v>259</v>
      </c>
      <c r="J20" s="88"/>
      <c r="K20" s="88"/>
      <c r="L20" s="88"/>
    </row>
    <row r="21" spans="4:12" ht="15.75" x14ac:dyDescent="0.25">
      <c r="D21" t="s">
        <v>76</v>
      </c>
      <c r="E21" t="s">
        <v>75</v>
      </c>
      <c r="G21" s="47" t="s">
        <v>90</v>
      </c>
      <c r="H21" s="79" t="s">
        <v>333</v>
      </c>
    </row>
    <row r="22" spans="4:12" ht="15.75" x14ac:dyDescent="0.25">
      <c r="D22" t="s">
        <v>282</v>
      </c>
      <c r="E22" t="s">
        <v>156</v>
      </c>
      <c r="G22" s="49" t="s">
        <v>59</v>
      </c>
      <c r="H22" s="79" t="s">
        <v>295</v>
      </c>
    </row>
    <row r="23" spans="4:12" ht="15.75" x14ac:dyDescent="0.25">
      <c r="D23" t="s">
        <v>152</v>
      </c>
      <c r="E23" s="41" t="s">
        <v>378</v>
      </c>
      <c r="G23" s="47" t="s">
        <v>327</v>
      </c>
      <c r="H23" s="80" t="s">
        <v>318</v>
      </c>
    </row>
    <row r="24" spans="4:12" ht="15.75" x14ac:dyDescent="0.25">
      <c r="D24" t="s">
        <v>148</v>
      </c>
      <c r="E24" t="s">
        <v>131</v>
      </c>
      <c r="G24" s="86" t="s">
        <v>328</v>
      </c>
      <c r="H24" s="79" t="s">
        <v>198</v>
      </c>
    </row>
    <row r="25" spans="4:12" ht="15.75" x14ac:dyDescent="0.25">
      <c r="D25" t="s">
        <v>284</v>
      </c>
      <c r="E25" t="s">
        <v>265</v>
      </c>
      <c r="G25" s="47" t="s">
        <v>329</v>
      </c>
      <c r="H25" s="79" t="s">
        <v>225</v>
      </c>
    </row>
    <row r="26" spans="4:12" ht="15.75" x14ac:dyDescent="0.25">
      <c r="D26" t="s">
        <v>157</v>
      </c>
      <c r="E26" t="s">
        <v>76</v>
      </c>
      <c r="H26" s="80" t="s">
        <v>228</v>
      </c>
    </row>
    <row r="27" spans="4:12" ht="15.75" x14ac:dyDescent="0.25">
      <c r="D27" t="s">
        <v>119</v>
      </c>
      <c r="E27" t="s">
        <v>152</v>
      </c>
      <c r="H27" s="79" t="s">
        <v>258</v>
      </c>
    </row>
    <row r="28" spans="4:12" ht="15.75" x14ac:dyDescent="0.25">
      <c r="D28" t="s">
        <v>163</v>
      </c>
      <c r="E28" t="s">
        <v>148</v>
      </c>
      <c r="H28" s="79" t="s">
        <v>199</v>
      </c>
    </row>
    <row r="29" spans="4:12" ht="15.75" x14ac:dyDescent="0.25">
      <c r="D29" t="s">
        <v>137</v>
      </c>
      <c r="E29" t="s">
        <v>170</v>
      </c>
      <c r="H29" s="80" t="s">
        <v>250</v>
      </c>
    </row>
    <row r="30" spans="4:12" ht="15.75" x14ac:dyDescent="0.25">
      <c r="D30" t="s">
        <v>138</v>
      </c>
      <c r="E30" t="s">
        <v>157</v>
      </c>
      <c r="H30" s="74" t="s">
        <v>200</v>
      </c>
    </row>
    <row r="31" spans="4:12" ht="15.75" x14ac:dyDescent="0.25">
      <c r="D31" t="s">
        <v>77</v>
      </c>
      <c r="E31" t="s">
        <v>119</v>
      </c>
      <c r="H31" s="79" t="s">
        <v>311</v>
      </c>
    </row>
    <row r="32" spans="4:12" ht="15.75" x14ac:dyDescent="0.25">
      <c r="D32" t="s">
        <v>120</v>
      </c>
      <c r="E32" t="s">
        <v>163</v>
      </c>
      <c r="H32" s="79" t="s">
        <v>226</v>
      </c>
    </row>
    <row r="33" spans="4:8" ht="15.75" x14ac:dyDescent="0.25">
      <c r="D33" t="s">
        <v>146</v>
      </c>
      <c r="E33" t="s">
        <v>137</v>
      </c>
      <c r="H33" s="79" t="s">
        <v>239</v>
      </c>
    </row>
    <row r="34" spans="4:8" ht="15.75" x14ac:dyDescent="0.25">
      <c r="D34" t="s">
        <v>121</v>
      </c>
      <c r="E34" t="s">
        <v>138</v>
      </c>
      <c r="H34" s="79" t="s">
        <v>236</v>
      </c>
    </row>
    <row r="35" spans="4:8" ht="15.75" x14ac:dyDescent="0.25">
      <c r="D35" t="s">
        <v>164</v>
      </c>
      <c r="E35" t="s">
        <v>77</v>
      </c>
      <c r="H35" s="79" t="s">
        <v>229</v>
      </c>
    </row>
    <row r="36" spans="4:8" ht="15.75" x14ac:dyDescent="0.25">
      <c r="D36" t="s">
        <v>162</v>
      </c>
      <c r="E36" t="s">
        <v>120</v>
      </c>
      <c r="H36" s="79" t="s">
        <v>223</v>
      </c>
    </row>
    <row r="37" spans="4:8" ht="15.75" x14ac:dyDescent="0.25">
      <c r="D37" t="s">
        <v>283</v>
      </c>
      <c r="E37" s="79" t="s">
        <v>242</v>
      </c>
      <c r="H37" s="79" t="s">
        <v>334</v>
      </c>
    </row>
    <row r="38" spans="4:8" ht="15.75" x14ac:dyDescent="0.25">
      <c r="D38" t="s">
        <v>122</v>
      </c>
      <c r="E38" t="s">
        <v>146</v>
      </c>
      <c r="H38" s="79" t="s">
        <v>201</v>
      </c>
    </row>
    <row r="39" spans="4:8" ht="15.75" x14ac:dyDescent="0.25">
      <c r="D39" t="s">
        <v>139</v>
      </c>
      <c r="E39" t="s">
        <v>121</v>
      </c>
      <c r="H39" s="79" t="s">
        <v>202</v>
      </c>
    </row>
    <row r="40" spans="4:8" ht="15.75" x14ac:dyDescent="0.25">
      <c r="D40" t="s">
        <v>128</v>
      </c>
      <c r="E40" t="s">
        <v>263</v>
      </c>
      <c r="H40" s="79" t="s">
        <v>233</v>
      </c>
    </row>
    <row r="41" spans="4:8" ht="15.75" x14ac:dyDescent="0.25">
      <c r="D41" t="s">
        <v>149</v>
      </c>
      <c r="E41" t="s">
        <v>186</v>
      </c>
      <c r="H41" s="80" t="s">
        <v>248</v>
      </c>
    </row>
    <row r="42" spans="4:8" ht="15.75" x14ac:dyDescent="0.25">
      <c r="D42" t="s">
        <v>165</v>
      </c>
      <c r="E42" s="74" t="s">
        <v>246</v>
      </c>
      <c r="H42" s="79" t="s">
        <v>306</v>
      </c>
    </row>
    <row r="43" spans="4:8" ht="15.75" x14ac:dyDescent="0.25">
      <c r="D43" t="s">
        <v>158</v>
      </c>
      <c r="E43" t="s">
        <v>182</v>
      </c>
      <c r="H43" s="79" t="s">
        <v>203</v>
      </c>
    </row>
    <row r="44" spans="4:8" ht="15.75" x14ac:dyDescent="0.25">
      <c r="D44" t="s">
        <v>141</v>
      </c>
      <c r="E44" t="s">
        <v>164</v>
      </c>
      <c r="H44" s="79" t="s">
        <v>234</v>
      </c>
    </row>
    <row r="45" spans="4:8" ht="15.75" x14ac:dyDescent="0.25">
      <c r="D45" t="s">
        <v>289</v>
      </c>
      <c r="E45" s="74" t="s">
        <v>244</v>
      </c>
      <c r="H45" s="79" t="s">
        <v>237</v>
      </c>
    </row>
    <row r="46" spans="4:8" ht="15.75" x14ac:dyDescent="0.25">
      <c r="D46" t="s">
        <v>276</v>
      </c>
      <c r="E46" s="81" t="s">
        <v>245</v>
      </c>
      <c r="H46" s="79" t="s">
        <v>257</v>
      </c>
    </row>
    <row r="47" spans="4:8" ht="15.75" x14ac:dyDescent="0.25">
      <c r="D47" t="s">
        <v>279</v>
      </c>
      <c r="E47" t="s">
        <v>122</v>
      </c>
      <c r="H47" s="79" t="s">
        <v>204</v>
      </c>
    </row>
    <row r="48" spans="4:8" ht="15.75" x14ac:dyDescent="0.25">
      <c r="D48" t="s">
        <v>142</v>
      </c>
      <c r="E48" s="41" t="s">
        <v>382</v>
      </c>
      <c r="H48" s="79" t="s">
        <v>205</v>
      </c>
    </row>
    <row r="49" spans="4:8" ht="15.75" x14ac:dyDescent="0.25">
      <c r="D49" t="s">
        <v>286</v>
      </c>
      <c r="E49" t="s">
        <v>139</v>
      </c>
      <c r="H49" s="79" t="s">
        <v>254</v>
      </c>
    </row>
    <row r="50" spans="4:8" ht="15.75" x14ac:dyDescent="0.25">
      <c r="D50" t="s">
        <v>280</v>
      </c>
      <c r="E50" s="74" t="s">
        <v>243</v>
      </c>
      <c r="H50" s="79" t="s">
        <v>206</v>
      </c>
    </row>
    <row r="51" spans="4:8" ht="15.75" x14ac:dyDescent="0.25">
      <c r="D51" t="s">
        <v>288</v>
      </c>
      <c r="E51" t="s">
        <v>128</v>
      </c>
      <c r="H51" s="79" t="s">
        <v>310</v>
      </c>
    </row>
    <row r="52" spans="4:8" ht="15.75" x14ac:dyDescent="0.25">
      <c r="D52" t="s">
        <v>132</v>
      </c>
      <c r="E52" s="41" t="s">
        <v>380</v>
      </c>
      <c r="H52" s="79" t="s">
        <v>304</v>
      </c>
    </row>
    <row r="53" spans="4:8" ht="15.75" x14ac:dyDescent="0.25">
      <c r="D53" t="s">
        <v>277</v>
      </c>
      <c r="E53" t="s">
        <v>149</v>
      </c>
      <c r="H53" s="74" t="s">
        <v>207</v>
      </c>
    </row>
    <row r="54" spans="4:8" ht="15.75" x14ac:dyDescent="0.25">
      <c r="D54" t="s">
        <v>285</v>
      </c>
      <c r="E54" t="s">
        <v>267</v>
      </c>
      <c r="H54" s="79" t="s">
        <v>208</v>
      </c>
    </row>
    <row r="55" spans="4:8" ht="15.75" x14ac:dyDescent="0.25">
      <c r="D55" t="s">
        <v>154</v>
      </c>
      <c r="E55" t="s">
        <v>184</v>
      </c>
      <c r="H55" s="79" t="s">
        <v>256</v>
      </c>
    </row>
    <row r="56" spans="4:8" ht="15.75" x14ac:dyDescent="0.25">
      <c r="D56" t="s">
        <v>155</v>
      </c>
      <c r="E56" t="s">
        <v>183</v>
      </c>
      <c r="H56" s="79" t="s">
        <v>240</v>
      </c>
    </row>
    <row r="57" spans="4:8" ht="15.75" x14ac:dyDescent="0.25">
      <c r="D57" t="s">
        <v>153</v>
      </c>
      <c r="E57" s="41" t="s">
        <v>298</v>
      </c>
      <c r="H57" s="79" t="s">
        <v>209</v>
      </c>
    </row>
    <row r="58" spans="4:8" ht="15.75" x14ac:dyDescent="0.25">
      <c r="D58" t="s">
        <v>125</v>
      </c>
      <c r="E58" s="41" t="s">
        <v>297</v>
      </c>
      <c r="H58" s="80" t="s">
        <v>249</v>
      </c>
    </row>
    <row r="59" spans="4:8" ht="15.75" x14ac:dyDescent="0.25">
      <c r="D59" t="s">
        <v>123</v>
      </c>
      <c r="E59" t="s">
        <v>165</v>
      </c>
      <c r="H59" s="74" t="s">
        <v>222</v>
      </c>
    </row>
    <row r="60" spans="4:8" ht="15.75" x14ac:dyDescent="0.25">
      <c r="D60" t="s">
        <v>159</v>
      </c>
      <c r="E60" t="s">
        <v>158</v>
      </c>
      <c r="H60" s="80" t="s">
        <v>247</v>
      </c>
    </row>
    <row r="61" spans="4:8" ht="15.75" x14ac:dyDescent="0.25">
      <c r="D61" t="s">
        <v>115</v>
      </c>
      <c r="E61" s="41" t="s">
        <v>381</v>
      </c>
      <c r="H61" s="79" t="s">
        <v>210</v>
      </c>
    </row>
    <row r="62" spans="4:8" ht="15.75" x14ac:dyDescent="0.25">
      <c r="D62" t="s">
        <v>281</v>
      </c>
      <c r="E62" t="s">
        <v>141</v>
      </c>
      <c r="H62" s="80" t="s">
        <v>252</v>
      </c>
    </row>
    <row r="63" spans="4:8" ht="15.75" x14ac:dyDescent="0.25">
      <c r="D63" t="s">
        <v>166</v>
      </c>
      <c r="E63" t="s">
        <v>142</v>
      </c>
      <c r="H63" s="79" t="s">
        <v>211</v>
      </c>
    </row>
    <row r="64" spans="4:8" ht="15.75" x14ac:dyDescent="0.25">
      <c r="D64" t="s">
        <v>133</v>
      </c>
      <c r="E64" t="s">
        <v>264</v>
      </c>
      <c r="H64" s="79" t="s">
        <v>227</v>
      </c>
    </row>
    <row r="65" spans="4:8" ht="15.75" x14ac:dyDescent="0.25">
      <c r="D65" t="s">
        <v>150</v>
      </c>
      <c r="E65" t="s">
        <v>187</v>
      </c>
      <c r="H65" s="79" t="s">
        <v>293</v>
      </c>
    </row>
    <row r="66" spans="4:8" ht="15.75" x14ac:dyDescent="0.25">
      <c r="D66" t="s">
        <v>167</v>
      </c>
      <c r="E66" s="41" t="s">
        <v>299</v>
      </c>
      <c r="H66" s="80" t="s">
        <v>232</v>
      </c>
    </row>
    <row r="67" spans="4:8" ht="15.75" x14ac:dyDescent="0.25">
      <c r="D67" t="s">
        <v>151</v>
      </c>
      <c r="E67" t="s">
        <v>132</v>
      </c>
      <c r="H67" s="79" t="s">
        <v>191</v>
      </c>
    </row>
    <row r="68" spans="4:8" ht="15.75" x14ac:dyDescent="0.25">
      <c r="D68" t="s">
        <v>287</v>
      </c>
      <c r="E68" s="41" t="s">
        <v>300</v>
      </c>
      <c r="H68" s="79" t="s">
        <v>212</v>
      </c>
    </row>
    <row r="69" spans="4:8" ht="15.75" x14ac:dyDescent="0.25">
      <c r="D69" t="s">
        <v>273</v>
      </c>
      <c r="E69" t="s">
        <v>269</v>
      </c>
      <c r="H69" s="79" t="s">
        <v>213</v>
      </c>
    </row>
    <row r="70" spans="4:8" ht="15.75" x14ac:dyDescent="0.25">
      <c r="D70" t="s">
        <v>275</v>
      </c>
      <c r="E70" t="s">
        <v>171</v>
      </c>
      <c r="H70" s="79" t="s">
        <v>214</v>
      </c>
    </row>
    <row r="71" spans="4:8" ht="15.75" x14ac:dyDescent="0.25">
      <c r="D71" t="s">
        <v>134</v>
      </c>
      <c r="E71" t="s">
        <v>154</v>
      </c>
      <c r="H71" s="79" t="s">
        <v>384</v>
      </c>
    </row>
    <row r="72" spans="4:8" ht="15.75" x14ac:dyDescent="0.25">
      <c r="D72" t="s">
        <v>140</v>
      </c>
      <c r="E72" t="s">
        <v>376</v>
      </c>
      <c r="H72" s="79" t="s">
        <v>385</v>
      </c>
    </row>
    <row r="73" spans="4:8" ht="15.75" x14ac:dyDescent="0.25">
      <c r="D73" t="s">
        <v>168</v>
      </c>
      <c r="E73" t="s">
        <v>123</v>
      </c>
      <c r="H73" s="79" t="s">
        <v>387</v>
      </c>
    </row>
    <row r="74" spans="4:8" ht="15.75" x14ac:dyDescent="0.25">
      <c r="D74" t="s">
        <v>117</v>
      </c>
      <c r="E74" s="41" t="s">
        <v>377</v>
      </c>
      <c r="H74" s="79" t="s">
        <v>308</v>
      </c>
    </row>
    <row r="75" spans="4:8" ht="15.75" x14ac:dyDescent="0.25">
      <c r="D75" t="s">
        <v>143</v>
      </c>
      <c r="E75" t="s">
        <v>166</v>
      </c>
      <c r="H75" s="80" t="s">
        <v>235</v>
      </c>
    </row>
    <row r="76" spans="4:8" ht="15.75" x14ac:dyDescent="0.25">
      <c r="D76" t="s">
        <v>78</v>
      </c>
      <c r="E76" t="s">
        <v>133</v>
      </c>
      <c r="H76" s="79" t="s">
        <v>215</v>
      </c>
    </row>
    <row r="77" spans="4:8" ht="15.75" x14ac:dyDescent="0.25">
      <c r="D77" t="s">
        <v>274</v>
      </c>
      <c r="E77" t="s">
        <v>150</v>
      </c>
      <c r="H77" s="79" t="s">
        <v>339</v>
      </c>
    </row>
    <row r="78" spans="4:8" ht="15.75" x14ac:dyDescent="0.25">
      <c r="D78" t="s">
        <v>147</v>
      </c>
      <c r="E78" t="s">
        <v>167</v>
      </c>
      <c r="H78" s="79" t="s">
        <v>338</v>
      </c>
    </row>
    <row r="79" spans="4:8" ht="15.75" x14ac:dyDescent="0.25">
      <c r="D79" t="s">
        <v>80</v>
      </c>
      <c r="E79" t="s">
        <v>151</v>
      </c>
      <c r="H79" s="79" t="s">
        <v>193</v>
      </c>
    </row>
    <row r="80" spans="4:8" ht="15.75" x14ac:dyDescent="0.25">
      <c r="E80" t="s">
        <v>330</v>
      </c>
      <c r="H80" s="79" t="s">
        <v>261</v>
      </c>
    </row>
    <row r="81" spans="5:8" ht="15.75" x14ac:dyDescent="0.25">
      <c r="E81" t="s">
        <v>266</v>
      </c>
      <c r="H81" s="79" t="s">
        <v>332</v>
      </c>
    </row>
    <row r="82" spans="5:8" ht="15.75" x14ac:dyDescent="0.25">
      <c r="E82" t="s">
        <v>268</v>
      </c>
      <c r="H82" s="79" t="s">
        <v>216</v>
      </c>
    </row>
    <row r="83" spans="5:8" ht="15.75" x14ac:dyDescent="0.25">
      <c r="E83" t="s">
        <v>134</v>
      </c>
      <c r="H83" s="80" t="s">
        <v>251</v>
      </c>
    </row>
    <row r="84" spans="5:8" ht="15.75" x14ac:dyDescent="0.25">
      <c r="E84" t="s">
        <v>140</v>
      </c>
      <c r="H84" s="79" t="s">
        <v>217</v>
      </c>
    </row>
    <row r="85" spans="5:8" ht="15.75" x14ac:dyDescent="0.25">
      <c r="E85" t="s">
        <v>272</v>
      </c>
      <c r="H85" s="79" t="s">
        <v>218</v>
      </c>
    </row>
    <row r="86" spans="5:8" ht="15.75" x14ac:dyDescent="0.25">
      <c r="E86" t="s">
        <v>290</v>
      </c>
      <c r="H86" s="79" t="s">
        <v>336</v>
      </c>
    </row>
    <row r="87" spans="5:8" ht="15.75" x14ac:dyDescent="0.25">
      <c r="E87" t="s">
        <v>168</v>
      </c>
      <c r="H87" s="79" t="s">
        <v>305</v>
      </c>
    </row>
    <row r="88" spans="5:8" ht="15.75" x14ac:dyDescent="0.25">
      <c r="E88" t="s">
        <v>143</v>
      </c>
      <c r="H88" s="79" t="s">
        <v>337</v>
      </c>
    </row>
    <row r="89" spans="5:8" ht="15.75" x14ac:dyDescent="0.25">
      <c r="E89" t="s">
        <v>78</v>
      </c>
      <c r="H89" s="79" t="s">
        <v>230</v>
      </c>
    </row>
    <row r="90" spans="5:8" ht="15.75" x14ac:dyDescent="0.25">
      <c r="E90" s="41" t="s">
        <v>383</v>
      </c>
      <c r="H90" s="79" t="s">
        <v>192</v>
      </c>
    </row>
    <row r="91" spans="5:8" ht="15.75" x14ac:dyDescent="0.25">
      <c r="E91" t="s">
        <v>185</v>
      </c>
      <c r="H91" s="79" t="s">
        <v>241</v>
      </c>
    </row>
    <row r="92" spans="5:8" ht="15.75" x14ac:dyDescent="0.25">
      <c r="E92" t="s">
        <v>147</v>
      </c>
      <c r="H92" s="79" t="s">
        <v>255</v>
      </c>
    </row>
    <row r="93" spans="5:8" x14ac:dyDescent="0.25">
      <c r="E93" t="s">
        <v>80</v>
      </c>
    </row>
  </sheetData>
  <sheetProtection password="E9BA" sheet="1" objects="1" scenarios="1" formatCells="0" formatColumns="0" formatRows="0" insertRows="0" deleteRows="0" sort="0"/>
  <sortState ref="H2:H92">
    <sortCondition ref="H2"/>
  </sortState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K29"/>
  <sheetViews>
    <sheetView zoomScale="115" zoomScaleNormal="115" workbookViewId="0">
      <selection activeCell="E13" sqref="E13"/>
    </sheetView>
  </sheetViews>
  <sheetFormatPr defaultRowHeight="15" x14ac:dyDescent="0.25"/>
  <cols>
    <col min="1" max="1" width="2.85546875" style="2" bestFit="1" customWidth="1"/>
    <col min="2" max="2" width="14.85546875" style="2" customWidth="1"/>
    <col min="3" max="3" width="4.7109375" style="2" bestFit="1" customWidth="1"/>
    <col min="4" max="4" width="12" style="2" customWidth="1"/>
    <col min="5" max="5" width="37.7109375" style="2" customWidth="1"/>
    <col min="6" max="6" width="15.42578125" style="2" bestFit="1" customWidth="1"/>
    <col min="7" max="9" width="9.140625" style="2"/>
    <col min="10" max="10" width="10.7109375" style="2" customWidth="1"/>
    <col min="11" max="11" width="14.85546875" style="2" customWidth="1"/>
    <col min="12" max="16384" width="9.140625" style="2"/>
  </cols>
  <sheetData>
    <row r="1" spans="1:11" x14ac:dyDescent="0.25">
      <c r="A1" s="21" t="s">
        <v>0</v>
      </c>
      <c r="B1" s="113" t="s">
        <v>1</v>
      </c>
      <c r="H1" s="3"/>
      <c r="J1" s="4"/>
    </row>
    <row r="2" spans="1:11" ht="15.75" x14ac:dyDescent="0.25">
      <c r="A2" s="21"/>
      <c r="B2" s="16" t="s">
        <v>2</v>
      </c>
      <c r="C2" s="223" t="s">
        <v>393</v>
      </c>
      <c r="D2" s="214"/>
      <c r="E2" s="214"/>
      <c r="F2" s="16" t="s">
        <v>3</v>
      </c>
      <c r="G2" s="255" t="str">
        <f>IF(LOOKUP($C$2,Staff_List!$A$4:$A$53,Staff_List!$B$4:$B$53)="","",LOOKUP($C$2,Staff_List!$A$4:$A$53,Staff_List!$B$4:$B$53))</f>
        <v>A7581</v>
      </c>
      <c r="H2" s="255"/>
      <c r="I2" s="16" t="s">
        <v>4</v>
      </c>
      <c r="J2" s="224" t="s">
        <v>103</v>
      </c>
      <c r="K2" s="224"/>
    </row>
    <row r="3" spans="1:11" x14ac:dyDescent="0.25">
      <c r="G3" s="3"/>
      <c r="K3" s="44"/>
    </row>
    <row r="4" spans="1:11" x14ac:dyDescent="0.25">
      <c r="B4" s="16" t="s">
        <v>35</v>
      </c>
      <c r="C4" s="224" t="s">
        <v>146</v>
      </c>
      <c r="D4" s="224"/>
      <c r="E4" s="224"/>
      <c r="F4" s="16" t="s">
        <v>5</v>
      </c>
      <c r="G4" s="224" t="s">
        <v>488</v>
      </c>
      <c r="H4" s="224"/>
      <c r="I4" s="16" t="s">
        <v>6</v>
      </c>
      <c r="J4" s="76" t="s">
        <v>313</v>
      </c>
      <c r="K4" s="101"/>
    </row>
    <row r="5" spans="1:11" customFormat="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  <c r="K5" s="2"/>
    </row>
    <row r="6" spans="1:11" x14ac:dyDescent="0.25">
      <c r="B6" s="27"/>
      <c r="I6" s="3"/>
      <c r="K6" s="44"/>
    </row>
    <row r="7" spans="1:11" ht="15.75" x14ac:dyDescent="0.25">
      <c r="A7" s="22" t="s">
        <v>7</v>
      </c>
      <c r="B7" s="212" t="s">
        <v>30</v>
      </c>
      <c r="C7" s="212"/>
      <c r="D7" s="7"/>
      <c r="E7" s="7"/>
      <c r="F7" s="7"/>
      <c r="G7" s="7"/>
      <c r="H7" s="7"/>
      <c r="I7" s="8"/>
      <c r="J7" s="7"/>
      <c r="K7" s="4"/>
    </row>
    <row r="8" spans="1:11" ht="20.25" customHeight="1" x14ac:dyDescent="0.25">
      <c r="C8" s="19" t="s">
        <v>31</v>
      </c>
      <c r="D8" s="32" t="s">
        <v>32</v>
      </c>
      <c r="E8" s="33" t="s">
        <v>33</v>
      </c>
      <c r="F8" s="28"/>
      <c r="G8" s="28"/>
      <c r="H8" s="28"/>
      <c r="I8" s="28"/>
      <c r="J8" s="9"/>
      <c r="K8" s="10"/>
    </row>
    <row r="9" spans="1:11" ht="15.75" customHeight="1" x14ac:dyDescent="0.25">
      <c r="C9" s="31">
        <f>IF(AND(ISTEXT($D9),ISTEXT($E9)),1,"")</f>
        <v>1</v>
      </c>
      <c r="D9" s="202" t="s">
        <v>517</v>
      </c>
      <c r="E9" s="203" t="s">
        <v>518</v>
      </c>
      <c r="F9" s="7"/>
      <c r="G9" s="7"/>
      <c r="H9" s="7"/>
      <c r="I9" s="7"/>
      <c r="J9" s="8"/>
      <c r="K9" s="12"/>
    </row>
    <row r="10" spans="1:11" ht="15.75" x14ac:dyDescent="0.25">
      <c r="C10" s="31">
        <f>IF(AND(ISTEXT($D10),ISTEXT($E10)),2,"")</f>
        <v>2</v>
      </c>
      <c r="D10" s="202" t="s">
        <v>519</v>
      </c>
      <c r="E10" s="203" t="s">
        <v>520</v>
      </c>
      <c r="F10" s="7"/>
      <c r="G10" s="7"/>
      <c r="H10" s="7"/>
      <c r="I10" s="7"/>
      <c r="J10" s="8"/>
      <c r="K10" s="12"/>
    </row>
    <row r="11" spans="1:11" ht="15.75" x14ac:dyDescent="0.25">
      <c r="C11" s="31">
        <f>IF(AND(ISTEXT($D11),ISTEXT($E11)),3,"")</f>
        <v>3</v>
      </c>
      <c r="D11" s="202" t="s">
        <v>521</v>
      </c>
      <c r="E11" s="203" t="s">
        <v>522</v>
      </c>
      <c r="F11" s="7"/>
      <c r="G11" s="7"/>
      <c r="H11" s="7"/>
      <c r="I11" s="7"/>
      <c r="J11" s="8"/>
      <c r="K11" s="12"/>
    </row>
    <row r="12" spans="1:11" ht="15.75" x14ac:dyDescent="0.25">
      <c r="C12" s="31">
        <f>IF(AND(ISTEXT($D12),ISTEXT($E12)),4,"")</f>
        <v>4</v>
      </c>
      <c r="D12" s="202" t="s">
        <v>523</v>
      </c>
      <c r="E12" s="203" t="s">
        <v>524</v>
      </c>
      <c r="F12" s="7"/>
      <c r="G12" s="7"/>
      <c r="H12" s="7"/>
      <c r="I12" s="7"/>
      <c r="J12" s="8"/>
      <c r="K12" s="12"/>
    </row>
    <row r="13" spans="1:11" ht="15.75" x14ac:dyDescent="0.25">
      <c r="C13" s="31" t="str">
        <f>IF(AND(ISTEXT($D13),ISTEXT($E13)),5,"")</f>
        <v/>
      </c>
      <c r="D13" s="29"/>
      <c r="E13" s="11"/>
      <c r="F13" s="7"/>
      <c r="G13" s="7"/>
      <c r="H13" s="7"/>
      <c r="I13" s="7"/>
      <c r="J13" s="8"/>
      <c r="K13" s="12"/>
    </row>
    <row r="14" spans="1:11" ht="15.75" x14ac:dyDescent="0.25">
      <c r="B14" s="30"/>
      <c r="C14" s="7"/>
      <c r="D14" s="7"/>
      <c r="E14" s="7"/>
      <c r="F14" s="7"/>
      <c r="G14" s="7"/>
      <c r="H14" s="7"/>
      <c r="I14" s="7"/>
      <c r="J14" s="8"/>
      <c r="K14" s="12"/>
    </row>
    <row r="15" spans="1:11" ht="15.75" x14ac:dyDescent="0.25">
      <c r="A15" s="2" t="s">
        <v>9</v>
      </c>
      <c r="B15" s="212" t="s">
        <v>34</v>
      </c>
      <c r="C15" s="212"/>
      <c r="D15" s="212"/>
      <c r="E15" s="26">
        <f>IF($J$4="2008/2009",(IF(OR(LEFT($G$4,1)="P",LEFT($G$4,1)="R"),25000*(IF(ISTEXT($E9),1,0)+IF(ISTEXT($E10),1,0)+IF(ISTEXT($E11),1,0)+IF(ISTEXT($E12),1,0)+IF(ISTEXT($E13),1,0)),IF(LEFT($G$4,1)="S",20000*(IF(ISTEXT($E9),1,0)+IF(ISTEXT($E10),1,0)+IF(ISTEXT($E11),1,0)+IF(ISTEXT($E12),1,0)+IF(ISTEXT($E13),1,0)),IF(AND(LEFT($G$4,1)="L",OR(RIGHT($G$4,2)=" I",RIGHT($G$4,2)="II")),15000*(IF(ISTEXT($E9),1,0)+IF(ISTEXT($E10),1,0)+IF(ISTEXT($E11),1,0)+IF(ISTEXT($E12),1,0)+IF(ISTEXT($E13),1,0)),0))))/2,IF(OR(LEFT($G$4,1)="P",LEFT($G$4,1)="R"),25000*(IF(ISTEXT($E9),1,0)+IF(ISTEXT($E10),1,0)+IF(ISTEXT($E11),1,0)+IF(ISTEXT($E12),1,0)+IF(ISTEXT($E13),1,0)),IF(LEFT($G$4,1)="S",20000*(IF(ISTEXT($E9),1,0)+IF(ISTEXT($E10),1,0)+IF(ISTEXT($E11),1,0)+IF(ISTEXT($E12),1,0)+IF(ISTEXT($E13),1,0)),IF(AND(LEFT($G$4,1)="L",OR(RIGHT($G$4,2)=" I",RIGHT($G$4,2)="II")),15000*(IF(ISTEXT($E9),1,0)+IF(ISTEXT($E10),1,0)+IF(ISTEXT($E11),1,0)+IF(ISTEXT($E12),1,0)+IF(ISTEXT($E13),1,0)),0))))</f>
        <v>30000</v>
      </c>
      <c r="F15" s="7"/>
      <c r="G15" s="7"/>
      <c r="H15" s="7"/>
      <c r="I15" s="7"/>
      <c r="J15" s="8"/>
      <c r="K15" s="12"/>
    </row>
    <row r="16" spans="1:11" ht="15.75" x14ac:dyDescent="0.25">
      <c r="B16" s="30"/>
      <c r="C16" s="7"/>
      <c r="D16" s="7"/>
      <c r="E16" s="7"/>
      <c r="F16" s="7"/>
      <c r="G16" s="7"/>
      <c r="H16" s="7"/>
      <c r="I16" s="7"/>
      <c r="J16" s="8"/>
      <c r="K16" s="12"/>
    </row>
    <row r="17" spans="1:11" ht="15.75" x14ac:dyDescent="0.25">
      <c r="A17" s="7" t="s">
        <v>10</v>
      </c>
      <c r="B17" s="212" t="s">
        <v>41</v>
      </c>
      <c r="C17" s="212"/>
      <c r="D17" s="212"/>
      <c r="E17" s="98" t="s">
        <v>19</v>
      </c>
      <c r="F17" s="98"/>
      <c r="G17" s="98"/>
      <c r="H17" s="7"/>
      <c r="I17" s="7"/>
      <c r="J17" s="8"/>
      <c r="K17" s="12"/>
    </row>
    <row r="18" spans="1:11" ht="15.75" x14ac:dyDescent="0.25">
      <c r="A18" s="7"/>
      <c r="B18" s="98"/>
      <c r="C18" s="98"/>
      <c r="D18" s="98"/>
      <c r="E18" s="98"/>
      <c r="F18" s="98"/>
      <c r="G18" s="98"/>
      <c r="H18" s="7"/>
    </row>
    <row r="19" spans="1:11" ht="15.75" x14ac:dyDescent="0.25">
      <c r="A19" s="7"/>
      <c r="B19" s="216" t="s">
        <v>20</v>
      </c>
      <c r="C19" s="216"/>
      <c r="D19" s="216"/>
      <c r="E19" s="98"/>
      <c r="F19" s="7" t="s">
        <v>21</v>
      </c>
      <c r="G19" s="254"/>
      <c r="H19" s="254"/>
    </row>
    <row r="20" spans="1:11" ht="15.75" x14ac:dyDescent="0.25">
      <c r="A20" s="7"/>
      <c r="B20" s="7"/>
      <c r="C20" s="7"/>
      <c r="D20" s="7"/>
      <c r="E20" s="7"/>
      <c r="F20" s="7"/>
      <c r="G20" s="7"/>
      <c r="H20" s="7"/>
    </row>
    <row r="21" spans="1:11" ht="15.75" x14ac:dyDescent="0.25">
      <c r="A21" s="7" t="s">
        <v>11</v>
      </c>
      <c r="B21" s="212" t="s">
        <v>23</v>
      </c>
      <c r="C21" s="212"/>
      <c r="D21" s="212"/>
      <c r="E21" s="212"/>
      <c r="F21" s="7"/>
      <c r="G21" s="7"/>
      <c r="H21" s="7"/>
    </row>
    <row r="22" spans="1:11" ht="15.75" x14ac:dyDescent="0.25">
      <c r="A22" s="7"/>
      <c r="B22" s="216" t="s">
        <v>24</v>
      </c>
      <c r="C22" s="216"/>
      <c r="D22" s="216"/>
      <c r="E22" s="216"/>
      <c r="F22" s="26">
        <f>$E$15</f>
        <v>30000</v>
      </c>
      <c r="G22" s="7"/>
      <c r="H22" s="7"/>
    </row>
    <row r="23" spans="1:11" ht="15.75" x14ac:dyDescent="0.25">
      <c r="A23" s="7"/>
      <c r="B23" s="98"/>
      <c r="C23" s="98"/>
      <c r="D23" s="98"/>
      <c r="E23" s="98"/>
      <c r="F23" s="15"/>
      <c r="G23" s="7"/>
      <c r="H23" s="7"/>
    </row>
    <row r="24" spans="1:11" ht="15.75" x14ac:dyDescent="0.25">
      <c r="A24" s="7"/>
      <c r="B24" s="216" t="s">
        <v>25</v>
      </c>
      <c r="C24" s="216"/>
      <c r="D24" s="216"/>
      <c r="E24" s="216"/>
      <c r="F24" s="7" t="s">
        <v>21</v>
      </c>
      <c r="G24" s="216"/>
      <c r="H24" s="216"/>
    </row>
    <row r="25" spans="1:11" ht="15.75" x14ac:dyDescent="0.25">
      <c r="A25" s="7"/>
      <c r="B25" s="7"/>
      <c r="C25" s="7"/>
      <c r="D25" s="7"/>
      <c r="E25" s="7"/>
      <c r="F25" s="7"/>
      <c r="G25" s="7"/>
      <c r="H25" s="7"/>
    </row>
    <row r="26" spans="1:11" ht="15.75" x14ac:dyDescent="0.25">
      <c r="A26" s="7" t="s">
        <v>12</v>
      </c>
      <c r="B26" s="212" t="s">
        <v>27</v>
      </c>
      <c r="C26" s="212"/>
      <c r="D26" s="212"/>
      <c r="E26" s="212"/>
      <c r="F26" s="7"/>
      <c r="G26" s="7"/>
      <c r="H26" s="7"/>
    </row>
    <row r="27" spans="1:11" ht="15.75" x14ac:dyDescent="0.25">
      <c r="A27" s="7"/>
      <c r="B27" s="216" t="s">
        <v>28</v>
      </c>
      <c r="C27" s="216"/>
      <c r="D27" s="216"/>
      <c r="E27" s="216"/>
      <c r="F27" s="26">
        <f>$E$15</f>
        <v>30000</v>
      </c>
      <c r="G27" s="7"/>
      <c r="H27" s="7"/>
    </row>
    <row r="28" spans="1:11" ht="15.75" x14ac:dyDescent="0.25">
      <c r="A28" s="7"/>
      <c r="B28" s="7"/>
      <c r="C28" s="7"/>
      <c r="D28" s="7"/>
      <c r="E28" s="7"/>
      <c r="F28" s="7"/>
      <c r="G28" s="7"/>
      <c r="H28" s="7"/>
    </row>
    <row r="29" spans="1:11" ht="15.75" x14ac:dyDescent="0.25">
      <c r="A29" s="7"/>
      <c r="B29" s="7" t="s">
        <v>29</v>
      </c>
      <c r="C29" s="216"/>
      <c r="D29" s="216"/>
      <c r="E29" s="216"/>
      <c r="F29" s="7" t="s">
        <v>21</v>
      </c>
      <c r="G29" s="216"/>
      <c r="H29" s="216"/>
    </row>
  </sheetData>
  <sheetProtection password="E9BA" sheet="1" objects="1" scenarios="1" formatCells="0" formatColumns="0" formatRows="0" insertRows="0" deleteColumns="0" deleteRows="0"/>
  <mergeCells count="20">
    <mergeCell ref="G29:H29"/>
    <mergeCell ref="B17:D17"/>
    <mergeCell ref="B19:D19"/>
    <mergeCell ref="B21:E21"/>
    <mergeCell ref="C29:E29"/>
    <mergeCell ref="B24:C24"/>
    <mergeCell ref="B22:E22"/>
    <mergeCell ref="D24:E24"/>
    <mergeCell ref="G24:H24"/>
    <mergeCell ref="B26:E26"/>
    <mergeCell ref="B27:E27"/>
    <mergeCell ref="B15:D15"/>
    <mergeCell ref="G19:H19"/>
    <mergeCell ref="C2:E2"/>
    <mergeCell ref="G2:H2"/>
    <mergeCell ref="J2:K2"/>
    <mergeCell ref="C4:E4"/>
    <mergeCell ref="G4:H4"/>
    <mergeCell ref="C5:E5"/>
    <mergeCell ref="B7:C7"/>
  </mergeCells>
  <dataValidations count="3">
    <dataValidation type="list" allowBlank="1" showInputMessage="1" showErrorMessage="1" sqref="H5">
      <formula1>"2009/2010,2010/2011,2011/2012"</formula1>
    </dataValidation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type="list" allowBlank="1" showInputMessage="1" showErrorMessage="1" sqref="F5">
      <formula1>$B$2:$B$13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Postgraduate Supervision Allowance
Claim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Info_Lists!$B$2:$B$7</xm:f>
          </x14:formula1>
          <xm:sqref>J4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J2:K2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K46"/>
  <sheetViews>
    <sheetView workbookViewId="0">
      <selection activeCell="F11" sqref="F11"/>
    </sheetView>
  </sheetViews>
  <sheetFormatPr defaultRowHeight="15" x14ac:dyDescent="0.25"/>
  <cols>
    <col min="1" max="1" width="2.85546875" bestFit="1" customWidth="1"/>
    <col min="2" max="2" width="19.5703125" bestFit="1" customWidth="1"/>
    <col min="3" max="3" width="5.7109375" customWidth="1"/>
    <col min="4" max="4" width="11.28515625" bestFit="1" customWidth="1"/>
    <col min="5" max="5" width="32.42578125" customWidth="1"/>
    <col min="6" max="6" width="21.140625" customWidth="1"/>
    <col min="8" max="8" width="8.42578125" customWidth="1"/>
    <col min="10" max="10" width="9.85546875" bestFit="1" customWidth="1"/>
    <col min="11" max="11" width="17.28515625" customWidth="1"/>
  </cols>
  <sheetData>
    <row r="1" spans="1:11" x14ac:dyDescent="0.25">
      <c r="A1" s="21" t="s">
        <v>0</v>
      </c>
      <c r="B1" s="113" t="s">
        <v>1</v>
      </c>
      <c r="C1" s="2"/>
      <c r="D1" s="2"/>
      <c r="E1" s="2"/>
      <c r="F1" s="2"/>
      <c r="G1" s="2"/>
      <c r="H1" s="3"/>
      <c r="I1" s="2"/>
      <c r="J1" s="4"/>
      <c r="K1" s="2"/>
    </row>
    <row r="2" spans="1:11" ht="15.75" x14ac:dyDescent="0.25">
      <c r="A2" s="21"/>
      <c r="B2" s="16" t="s">
        <v>2</v>
      </c>
      <c r="C2" s="223" t="s">
        <v>393</v>
      </c>
      <c r="D2" s="214"/>
      <c r="E2" s="214"/>
      <c r="F2" s="16" t="s">
        <v>3</v>
      </c>
      <c r="G2" s="255" t="str">
        <f>IF(LOOKUP($C$2,Staff_List!$A$4:$A$53,Staff_List!$B$4:$B$53)="","",LOOKUP($C$2,Staff_List!$A$4:$A$53,Staff_List!$B$4:$B$53))</f>
        <v>A7581</v>
      </c>
      <c r="H2" s="255"/>
      <c r="I2" s="16" t="s">
        <v>4</v>
      </c>
      <c r="J2" s="224" t="s">
        <v>103</v>
      </c>
      <c r="K2" s="224"/>
    </row>
    <row r="3" spans="1:11" x14ac:dyDescent="0.25">
      <c r="A3" s="2"/>
      <c r="B3" s="2"/>
      <c r="C3" s="2"/>
      <c r="D3" s="2"/>
      <c r="E3" s="2"/>
      <c r="F3" s="2"/>
      <c r="G3" s="3"/>
      <c r="H3" s="2"/>
      <c r="I3" s="2"/>
      <c r="J3" s="2"/>
      <c r="K3" s="44"/>
    </row>
    <row r="4" spans="1:11" x14ac:dyDescent="0.25">
      <c r="A4" s="2"/>
      <c r="B4" s="16" t="s">
        <v>35</v>
      </c>
      <c r="C4" s="224" t="s">
        <v>146</v>
      </c>
      <c r="D4" s="224"/>
      <c r="E4" s="224"/>
      <c r="F4" s="16" t="s">
        <v>5</v>
      </c>
      <c r="G4" s="224" t="s">
        <v>488</v>
      </c>
      <c r="H4" s="224"/>
      <c r="I4" s="16" t="s">
        <v>6</v>
      </c>
      <c r="J4" s="76" t="s">
        <v>313</v>
      </c>
      <c r="K4" s="101"/>
    </row>
    <row r="5" spans="1:1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  <c r="K5" s="46"/>
    </row>
    <row r="6" spans="1:11" x14ac:dyDescent="0.25">
      <c r="A6" s="2"/>
      <c r="B6" s="27"/>
      <c r="C6" s="2"/>
      <c r="D6" s="2"/>
      <c r="E6" s="2"/>
      <c r="F6" s="2"/>
      <c r="G6" s="2"/>
      <c r="H6" s="2"/>
      <c r="I6" s="3"/>
      <c r="J6" s="2"/>
      <c r="K6" s="4"/>
    </row>
    <row r="7" spans="1:11" ht="15.75" x14ac:dyDescent="0.25">
      <c r="A7" s="22" t="s">
        <v>7</v>
      </c>
      <c r="B7" s="152" t="s">
        <v>30</v>
      </c>
      <c r="C7" s="7"/>
      <c r="D7" s="7"/>
      <c r="E7" s="7"/>
      <c r="F7" s="7"/>
      <c r="G7" s="7"/>
      <c r="H7" s="7"/>
      <c r="I7" s="8"/>
      <c r="J7" s="7"/>
      <c r="K7" s="4"/>
    </row>
    <row r="8" spans="1:11" ht="27.75" customHeight="1" x14ac:dyDescent="0.25">
      <c r="A8" s="2"/>
      <c r="B8" s="2"/>
      <c r="C8" s="19" t="s">
        <v>31</v>
      </c>
      <c r="D8" s="32" t="s">
        <v>32</v>
      </c>
      <c r="E8" s="33" t="s">
        <v>33</v>
      </c>
      <c r="F8" s="37" t="s">
        <v>37</v>
      </c>
      <c r="G8" s="28"/>
      <c r="H8" s="28"/>
      <c r="I8" s="28"/>
      <c r="J8" s="9"/>
      <c r="K8" s="10"/>
    </row>
    <row r="9" spans="1:11" ht="15.75" x14ac:dyDescent="0.25">
      <c r="A9" s="2"/>
      <c r="B9" s="2"/>
      <c r="C9" s="31">
        <f>IF(ISTEXT($D9),1,"")</f>
        <v>1</v>
      </c>
      <c r="D9" s="202" t="s">
        <v>575</v>
      </c>
      <c r="E9" s="203" t="s">
        <v>576</v>
      </c>
      <c r="F9" s="11" t="s">
        <v>39</v>
      </c>
      <c r="G9" s="7"/>
      <c r="H9" s="7"/>
      <c r="I9" s="7"/>
      <c r="J9" s="8"/>
      <c r="K9" s="12"/>
    </row>
    <row r="10" spans="1:11" ht="15.75" x14ac:dyDescent="0.25">
      <c r="A10" s="2"/>
      <c r="B10" s="2"/>
      <c r="C10" s="31">
        <f>IF(ISTEXT($D10),2,"")</f>
        <v>2</v>
      </c>
      <c r="D10" s="202" t="s">
        <v>577</v>
      </c>
      <c r="E10" s="203" t="s">
        <v>578</v>
      </c>
      <c r="F10" s="11" t="s">
        <v>39</v>
      </c>
      <c r="G10" s="7"/>
      <c r="H10" s="7"/>
      <c r="I10" s="7"/>
      <c r="J10" s="8"/>
      <c r="K10" s="12"/>
    </row>
    <row r="11" spans="1:11" ht="15.75" x14ac:dyDescent="0.25">
      <c r="A11" s="2"/>
      <c r="B11" s="2"/>
      <c r="C11" s="31">
        <f>IF(ISTEXT($D11),3,"")</f>
        <v>3</v>
      </c>
      <c r="D11" s="202" t="s">
        <v>579</v>
      </c>
      <c r="E11" s="203" t="s">
        <v>580</v>
      </c>
      <c r="F11" s="11" t="s">
        <v>39</v>
      </c>
      <c r="G11" s="7"/>
      <c r="H11" s="7"/>
      <c r="I11" s="7"/>
      <c r="J11" s="8"/>
      <c r="K11" s="12"/>
    </row>
    <row r="12" spans="1:11" ht="15.75" x14ac:dyDescent="0.25">
      <c r="A12" s="2"/>
      <c r="B12" s="2"/>
      <c r="C12" s="31">
        <f>IF(ISTEXT($D12),4,"")</f>
        <v>4</v>
      </c>
      <c r="D12" s="202" t="s">
        <v>581</v>
      </c>
      <c r="E12" s="203" t="s">
        <v>582</v>
      </c>
      <c r="F12" s="11" t="s">
        <v>39</v>
      </c>
      <c r="G12" s="7"/>
      <c r="H12" s="7"/>
      <c r="I12" s="7"/>
      <c r="J12" s="8"/>
      <c r="K12" s="12"/>
    </row>
    <row r="13" spans="1:11" ht="15.75" x14ac:dyDescent="0.25">
      <c r="A13" s="2"/>
      <c r="B13" s="2"/>
      <c r="C13" s="31" t="str">
        <f>IF(ISTEXT($D13),5,"")</f>
        <v/>
      </c>
      <c r="D13" s="202"/>
      <c r="E13" s="203"/>
      <c r="F13" s="11" t="s">
        <v>39</v>
      </c>
      <c r="G13" s="7"/>
      <c r="H13" s="7"/>
      <c r="I13" s="7"/>
      <c r="J13" s="8"/>
      <c r="K13" s="12"/>
    </row>
    <row r="14" spans="1:11" ht="15.75" x14ac:dyDescent="0.25">
      <c r="A14" s="2"/>
      <c r="B14" s="2"/>
      <c r="C14" s="31" t="str">
        <f>IF(ISTEXT($D14),6,"")</f>
        <v/>
      </c>
      <c r="D14" s="202"/>
      <c r="E14" s="203"/>
      <c r="F14" s="11" t="s">
        <v>39</v>
      </c>
      <c r="G14" s="7"/>
      <c r="H14" s="7"/>
      <c r="I14" s="7"/>
      <c r="J14" s="8"/>
      <c r="K14" s="12"/>
    </row>
    <row r="15" spans="1:11" ht="15.75" x14ac:dyDescent="0.25">
      <c r="A15" s="2"/>
      <c r="B15" s="2"/>
      <c r="C15" s="31" t="str">
        <f>IF(ISTEXT($D15),7,"")</f>
        <v/>
      </c>
      <c r="D15" s="202"/>
      <c r="E15" s="203"/>
      <c r="F15" s="11" t="s">
        <v>39</v>
      </c>
      <c r="G15" s="7"/>
      <c r="H15" s="7"/>
      <c r="I15" s="7"/>
      <c r="J15" s="8"/>
      <c r="K15" s="12"/>
    </row>
    <row r="16" spans="1:11" ht="15.75" x14ac:dyDescent="0.25">
      <c r="A16" s="2"/>
      <c r="B16" s="2"/>
      <c r="C16" s="31" t="str">
        <f>IF(ISTEXT($D16),8,"")</f>
        <v/>
      </c>
      <c r="D16" s="202"/>
      <c r="E16" s="203"/>
      <c r="F16" s="11" t="s">
        <v>39</v>
      </c>
      <c r="G16" s="7"/>
      <c r="H16" s="7"/>
      <c r="I16" s="7"/>
      <c r="J16" s="8"/>
      <c r="K16" s="12"/>
    </row>
    <row r="17" spans="1:11" ht="15.75" x14ac:dyDescent="0.25">
      <c r="A17" s="2"/>
      <c r="B17" s="2"/>
      <c r="C17" s="31" t="str">
        <f>IF(ISTEXT($D17),9,"")</f>
        <v/>
      </c>
      <c r="D17" s="29"/>
      <c r="E17" s="11"/>
      <c r="F17" s="11"/>
      <c r="G17" s="7"/>
      <c r="H17" s="7"/>
      <c r="I17" s="7"/>
      <c r="J17" s="8"/>
      <c r="K17" s="12"/>
    </row>
    <row r="18" spans="1:11" ht="15.75" x14ac:dyDescent="0.25">
      <c r="A18" s="2"/>
      <c r="B18" s="2"/>
      <c r="C18" s="31" t="str">
        <f>IF(ISTEXT($D18),10,"")</f>
        <v/>
      </c>
      <c r="D18" s="29"/>
      <c r="E18" s="11"/>
      <c r="F18" s="11"/>
      <c r="G18" s="7"/>
      <c r="H18" s="7"/>
      <c r="I18" s="7"/>
      <c r="J18" s="8"/>
      <c r="K18" s="12"/>
    </row>
    <row r="19" spans="1:11" ht="15.75" x14ac:dyDescent="0.25">
      <c r="A19" s="2"/>
      <c r="B19" s="2"/>
      <c r="C19" s="31" t="str">
        <f>IF(ISTEXT($D19),11,"")</f>
        <v/>
      </c>
      <c r="D19" s="29"/>
      <c r="E19" s="11"/>
      <c r="F19" s="11"/>
      <c r="G19" s="7"/>
      <c r="H19" s="7"/>
      <c r="I19" s="7"/>
      <c r="J19" s="8"/>
      <c r="K19" s="12"/>
    </row>
    <row r="20" spans="1:11" ht="15.75" x14ac:dyDescent="0.25">
      <c r="A20" s="2"/>
      <c r="B20" s="2"/>
      <c r="C20" s="31" t="str">
        <f>IF(ISTEXT($D20),12,"")</f>
        <v/>
      </c>
      <c r="D20" s="29"/>
      <c r="E20" s="11"/>
      <c r="F20" s="11"/>
      <c r="G20" s="7"/>
      <c r="H20" s="7"/>
      <c r="I20" s="7"/>
      <c r="J20" s="8"/>
      <c r="K20" s="12"/>
    </row>
    <row r="21" spans="1:11" ht="15.75" x14ac:dyDescent="0.25">
      <c r="A21" s="2"/>
      <c r="B21" s="2"/>
      <c r="C21" s="31" t="str">
        <f>IF(ISTEXT($D21),13,"")</f>
        <v/>
      </c>
      <c r="D21" s="29"/>
      <c r="E21" s="11"/>
      <c r="F21" s="11"/>
      <c r="G21" s="7"/>
      <c r="H21" s="7"/>
      <c r="I21" s="7"/>
      <c r="J21" s="8"/>
      <c r="K21" s="12"/>
    </row>
    <row r="22" spans="1:11" ht="15.75" x14ac:dyDescent="0.25">
      <c r="A22" s="2"/>
      <c r="B22" s="2"/>
      <c r="C22" s="31" t="str">
        <f>IF(ISTEXT($D22),14,"")</f>
        <v/>
      </c>
      <c r="D22" s="29"/>
      <c r="E22" s="11"/>
      <c r="F22" s="11"/>
      <c r="G22" s="7"/>
      <c r="H22" s="7"/>
      <c r="I22" s="7"/>
      <c r="J22" s="8"/>
      <c r="K22" s="12"/>
    </row>
    <row r="23" spans="1:11" ht="15.75" x14ac:dyDescent="0.25">
      <c r="A23" s="2"/>
      <c r="B23" s="2"/>
      <c r="C23" s="31" t="str">
        <f>IF(ISTEXT($D23),15,"")</f>
        <v/>
      </c>
      <c r="D23" s="29"/>
      <c r="E23" s="11"/>
      <c r="F23" s="11"/>
      <c r="G23" s="7"/>
      <c r="H23" s="7"/>
      <c r="I23" s="7"/>
      <c r="J23" s="8"/>
      <c r="K23" s="12"/>
    </row>
    <row r="24" spans="1:11" ht="15.75" x14ac:dyDescent="0.25">
      <c r="A24" s="2"/>
      <c r="B24" s="2"/>
      <c r="C24" s="60"/>
      <c r="D24" s="58"/>
      <c r="E24" s="59"/>
      <c r="F24" s="59"/>
      <c r="G24" s="7"/>
      <c r="H24" s="7"/>
      <c r="I24" s="7"/>
      <c r="J24" s="8"/>
      <c r="K24" s="12"/>
    </row>
    <row r="25" spans="1:11" ht="15.75" x14ac:dyDescent="0.25">
      <c r="A25" s="2"/>
      <c r="B25" s="2"/>
      <c r="C25" s="256" t="s">
        <v>109</v>
      </c>
      <c r="D25" s="256"/>
      <c r="E25" s="256"/>
      <c r="F25" s="57"/>
      <c r="G25" s="7"/>
      <c r="H25" s="7"/>
      <c r="I25" s="7"/>
      <c r="J25" s="8"/>
      <c r="K25" s="12"/>
    </row>
    <row r="26" spans="1:11" ht="15.75" x14ac:dyDescent="0.25">
      <c r="A26" s="2"/>
      <c r="B26" s="2"/>
      <c r="C26" s="256" t="s">
        <v>110</v>
      </c>
      <c r="D26" s="256"/>
      <c r="E26" s="256"/>
      <c r="F26" s="57"/>
      <c r="G26" s="7"/>
      <c r="H26" s="7"/>
      <c r="I26" s="7"/>
      <c r="J26" s="8"/>
      <c r="K26" s="12"/>
    </row>
    <row r="27" spans="1:11" ht="15.75" x14ac:dyDescent="0.25">
      <c r="A27" s="2"/>
      <c r="B27" s="2"/>
      <c r="C27" s="256" t="s">
        <v>111</v>
      </c>
      <c r="D27" s="256"/>
      <c r="E27" s="256"/>
      <c r="F27" s="57"/>
      <c r="G27" s="7"/>
      <c r="H27" s="7"/>
      <c r="I27" s="7"/>
      <c r="J27" s="8"/>
      <c r="K27" s="12"/>
    </row>
    <row r="28" spans="1:11" ht="15.75" x14ac:dyDescent="0.25">
      <c r="A28" s="2"/>
      <c r="B28" s="30"/>
      <c r="C28" s="7"/>
      <c r="D28" s="7"/>
      <c r="E28" s="7"/>
      <c r="F28" s="7"/>
      <c r="G28" s="7"/>
      <c r="H28" s="7"/>
      <c r="I28" s="7"/>
      <c r="J28" s="8"/>
      <c r="K28" s="12"/>
    </row>
    <row r="29" spans="1:11" ht="15.75" x14ac:dyDescent="0.25">
      <c r="A29" s="2"/>
      <c r="B29" s="2"/>
      <c r="C29" s="216" t="s">
        <v>38</v>
      </c>
      <c r="D29" s="216"/>
      <c r="E29" s="216"/>
      <c r="F29" s="36">
        <f>IF($J$4="2008/2009",(IF(OR(LEFT($G$4,1)="P",LEFT($G$4,1)="R"),IF(COUNTIF($F$9:$F$23,"Field Trip")&gt;0,1,0)*100000,IF(LEFT($G$4,1)="S",IF(COUNTIF($F$9:$F$23,"Field Trip")&gt;0,1,0)*80000,IF(OR(LEFT($G$4,1)="L",LEFT($G$4,1)="L",LEFT($G$4,1)="A"),IF(COUNTIF($F$9:$F$23,"Field Trip")&gt;0,1,0)*60000,"#ERROR"))))/2,IF(OR(LEFT($G$4,1)="P",LEFT($G$4,1)="R"),IF(COUNTIF($F$9:$F$23,"Field Trip")&gt;0,1,0)*100000,IF(LEFT($G$4,1)="S",IF(COUNTIF($F$9:$F$23,"Field Trip")&gt;0,1,0)*80000,IF(OR(LEFT($G$4,1)="L",LEFT($G$4,1)="L",LEFT($G$4,1)="A"),IF(COUNTIF($F$9:$F$23,"Field Trip")&gt;0,1,0)*60000,"#ERROR"))))</f>
        <v>0</v>
      </c>
      <c r="G29" s="7"/>
      <c r="H29" s="7"/>
      <c r="I29" s="7"/>
      <c r="J29" s="8"/>
      <c r="K29" s="2"/>
    </row>
    <row r="30" spans="1:11" ht="15.75" x14ac:dyDescent="0.25">
      <c r="A30" s="2"/>
      <c r="B30" s="2"/>
      <c r="C30" s="216" t="s">
        <v>39</v>
      </c>
      <c r="D30" s="216"/>
      <c r="E30" s="216"/>
      <c r="F30" s="36">
        <f>IF($J$4="2008/2009",(IF(OR(LEFT($G$4,1)="P",LEFT($G$4,1)="R"),IF(COUNTIF($F$9:$F$23,"Industrial Supervision")&gt;0,1,0)*100000,IF(LEFT($G$4,1)="S",IF(COUNTIF($F$9:$F$23,"Industrial Supervision")&gt;0,1,0)*80000,IF(OR(LEFT($G$4,1)="L",LEFT($G$4,1)="L",LEFT($G$4,1)="A"),IF(COUNTIF($F$9:$F$23,"Industrial Supervision")&gt;0,1,0)*60000,"#ERROR"))))/2,IF(OR(LEFT($G$4,1)="P",LEFT($G$4,1)="R"),IF(COUNTIF($F$9:$F$23,"Industrial Supervision")&gt;0,1,0)*100000,IF(LEFT($G$4,1)="S",IF(COUNTIF($F$9:$F$23,"Industrial Supervision")&gt;0,1,0)*80000,IF(OR(LEFT($G$4,1)="L",LEFT($G$4,1)="L",LEFT($G$4,1)="A"),IF(COUNTIF($F$9:$F$23,"Industrial Supervision")&gt;0,1,0)*60000,"#ERROR"))))</f>
        <v>30000</v>
      </c>
      <c r="G30" s="7"/>
      <c r="H30" s="7"/>
      <c r="I30" s="7"/>
      <c r="J30" s="8"/>
      <c r="K30" s="2"/>
    </row>
    <row r="31" spans="1:11" ht="15.75" x14ac:dyDescent="0.25">
      <c r="A31" s="2"/>
      <c r="B31" s="2"/>
      <c r="C31" s="216" t="s">
        <v>40</v>
      </c>
      <c r="D31" s="216"/>
      <c r="E31" s="216"/>
      <c r="F31" s="36">
        <f>IF($J$4="2008/2009",(IF(OR(LEFT($G$4,1)="P",LEFT($G$4,1)="R"),IF(COUNTIF($F$9:$F$23,"Teaching Practice")&gt;0,1,0)*100000,IF(LEFT($G$4,1)="S",IF(COUNTIF($F$9:$F$23,"Teaching Practice")&gt;0,1,0)*80000,IF(OR(LEFT($G$4,1)="L",LEFT($G$4,1)="L",LEFT($G$4,1)="A"),IF(COUNTIF($F$9:$F$23,"Teaching Practice")&gt;0,1,0)*60000,"#ERROR"))))/2,IF(OR(LEFT($G$4,1)="P",LEFT($G$4,1)="R"),IF(COUNTIF($F$9:$F$23,"Teaching Practice")&gt;0,1,0)*100000,IF(LEFT($G$4,1)="S",IF(COUNTIF($F$9:$F$23,"Teaching Practice")&gt;0,1,0)*80000,IF(OR(LEFT($G$4,1)="L",LEFT($G$4,1)="L",LEFT($G$4,1)="A"),IF(COUNTIF($F$9:$F$23,"Teaching Practice")&gt;0,1,0)*60000,"#ERROR"))))</f>
        <v>0</v>
      </c>
      <c r="G31" s="7"/>
      <c r="H31" s="7"/>
      <c r="I31" s="7"/>
      <c r="J31" s="8"/>
      <c r="K31" s="2"/>
    </row>
    <row r="32" spans="1:11" ht="15.75" x14ac:dyDescent="0.25">
      <c r="A32" s="2" t="s">
        <v>9</v>
      </c>
      <c r="B32" s="212" t="s">
        <v>180</v>
      </c>
      <c r="C32" s="212"/>
      <c r="D32" s="153"/>
      <c r="E32" s="69"/>
      <c r="F32" s="26">
        <f>SUM(F29:F31)</f>
        <v>30000</v>
      </c>
      <c r="G32" s="7"/>
      <c r="H32" s="7"/>
      <c r="I32" s="7"/>
      <c r="J32" s="8"/>
      <c r="K32" s="2"/>
    </row>
    <row r="33" spans="1:11" ht="15.75" x14ac:dyDescent="0.25">
      <c r="A33" s="2"/>
      <c r="B33" s="30"/>
      <c r="C33" s="7"/>
      <c r="D33" s="7"/>
      <c r="E33" s="7"/>
      <c r="F33" s="7"/>
      <c r="G33" s="7"/>
      <c r="H33" s="7"/>
      <c r="I33" s="7"/>
      <c r="J33" s="8"/>
      <c r="K33" s="2"/>
    </row>
    <row r="34" spans="1:11" ht="15.75" x14ac:dyDescent="0.25">
      <c r="A34" s="7" t="s">
        <v>10</v>
      </c>
      <c r="B34" s="212" t="s">
        <v>41</v>
      </c>
      <c r="C34" s="212"/>
      <c r="D34" s="212"/>
      <c r="E34" s="216" t="s">
        <v>19</v>
      </c>
      <c r="F34" s="216"/>
      <c r="G34" s="98"/>
      <c r="H34" s="7"/>
      <c r="I34" s="7"/>
      <c r="J34" s="8"/>
      <c r="K34" s="2"/>
    </row>
    <row r="35" spans="1:11" ht="15.75" x14ac:dyDescent="0.25">
      <c r="A35" s="7"/>
      <c r="B35" s="98"/>
      <c r="C35" s="98"/>
      <c r="D35" s="98"/>
      <c r="E35" s="98"/>
      <c r="F35" s="98"/>
      <c r="G35" s="98"/>
      <c r="H35" s="7"/>
      <c r="I35" s="2"/>
      <c r="J35" s="2"/>
      <c r="K35" s="2"/>
    </row>
    <row r="36" spans="1:11" ht="15.75" x14ac:dyDescent="0.25">
      <c r="A36" s="7"/>
      <c r="B36" s="216" t="s">
        <v>20</v>
      </c>
      <c r="C36" s="216"/>
      <c r="D36" s="216"/>
      <c r="E36" s="98"/>
      <c r="F36" s="7" t="s">
        <v>21</v>
      </c>
      <c r="G36" s="254"/>
      <c r="H36" s="254"/>
      <c r="I36" s="2"/>
      <c r="J36" s="2"/>
      <c r="K36" s="2"/>
    </row>
    <row r="37" spans="1:11" ht="15.75" x14ac:dyDescent="0.25">
      <c r="A37" s="7"/>
      <c r="B37" s="7"/>
      <c r="C37" s="7"/>
      <c r="D37" s="7"/>
      <c r="E37" s="7"/>
      <c r="F37" s="7"/>
      <c r="G37" s="7"/>
      <c r="H37" s="7"/>
      <c r="I37" s="2"/>
      <c r="J37" s="2"/>
      <c r="K37" s="2"/>
    </row>
    <row r="38" spans="1:11" ht="15.75" x14ac:dyDescent="0.25">
      <c r="A38" s="7" t="s">
        <v>11</v>
      </c>
      <c r="B38" s="212" t="s">
        <v>23</v>
      </c>
      <c r="C38" s="212"/>
      <c r="D38" s="212"/>
      <c r="E38" s="212"/>
      <c r="F38" s="7"/>
      <c r="G38" s="7"/>
      <c r="H38" s="7"/>
      <c r="I38" s="2"/>
      <c r="J38" s="2"/>
      <c r="K38" s="2"/>
    </row>
    <row r="39" spans="1:11" ht="15.75" x14ac:dyDescent="0.25">
      <c r="A39" s="7"/>
      <c r="B39" s="216" t="s">
        <v>24</v>
      </c>
      <c r="C39" s="216"/>
      <c r="D39" s="216"/>
      <c r="E39" s="216"/>
      <c r="F39" s="26">
        <f>$F$32</f>
        <v>30000</v>
      </c>
      <c r="G39" s="7"/>
      <c r="H39" s="7"/>
      <c r="I39" s="2"/>
      <c r="J39" s="2"/>
      <c r="K39" s="2"/>
    </row>
    <row r="40" spans="1:11" ht="15.75" x14ac:dyDescent="0.25">
      <c r="A40" s="7"/>
      <c r="B40" s="98"/>
      <c r="C40" s="98"/>
      <c r="D40" s="98"/>
      <c r="E40" s="98"/>
      <c r="F40" s="15"/>
      <c r="G40" s="7"/>
      <c r="H40" s="7"/>
      <c r="I40" s="2"/>
      <c r="J40" s="2"/>
      <c r="K40" s="2"/>
    </row>
    <row r="41" spans="1:11" ht="15.75" x14ac:dyDescent="0.25">
      <c r="A41" s="7"/>
      <c r="B41" s="216" t="s">
        <v>25</v>
      </c>
      <c r="C41" s="216"/>
      <c r="D41" s="216"/>
      <c r="E41" s="216"/>
      <c r="F41" s="7" t="s">
        <v>21</v>
      </c>
      <c r="G41" s="216"/>
      <c r="H41" s="216"/>
      <c r="I41" s="2"/>
      <c r="J41" s="2"/>
      <c r="K41" s="2"/>
    </row>
    <row r="42" spans="1:11" ht="15.75" x14ac:dyDescent="0.25">
      <c r="A42" s="7"/>
      <c r="B42" s="7"/>
      <c r="C42" s="7"/>
      <c r="D42" s="7"/>
      <c r="E42" s="7"/>
      <c r="F42" s="7"/>
      <c r="G42" s="7"/>
      <c r="H42" s="7"/>
      <c r="I42" s="2"/>
      <c r="J42" s="2"/>
      <c r="K42" s="2"/>
    </row>
    <row r="43" spans="1:11" ht="15.75" x14ac:dyDescent="0.25">
      <c r="A43" s="7" t="s">
        <v>12</v>
      </c>
      <c r="B43" s="212" t="s">
        <v>27</v>
      </c>
      <c r="C43" s="212"/>
      <c r="D43" s="212"/>
      <c r="E43" s="212"/>
      <c r="F43" s="7"/>
      <c r="G43" s="7"/>
      <c r="H43" s="7"/>
      <c r="I43" s="2"/>
      <c r="J43" s="2"/>
      <c r="K43" s="2"/>
    </row>
    <row r="44" spans="1:11" ht="15.75" x14ac:dyDescent="0.25">
      <c r="A44" s="7"/>
      <c r="B44" s="216" t="s">
        <v>28</v>
      </c>
      <c r="C44" s="216"/>
      <c r="D44" s="216"/>
      <c r="E44" s="216"/>
      <c r="F44" s="26">
        <f>$F$32</f>
        <v>30000</v>
      </c>
      <c r="G44" s="7"/>
      <c r="H44" s="7"/>
      <c r="I44" s="2"/>
      <c r="J44" s="2"/>
      <c r="K44" s="2"/>
    </row>
    <row r="45" spans="1:11" ht="15.75" x14ac:dyDescent="0.25">
      <c r="A45" s="7"/>
      <c r="B45" s="7"/>
      <c r="C45" s="7"/>
      <c r="D45" s="7"/>
      <c r="E45" s="7"/>
      <c r="F45" s="7"/>
      <c r="G45" s="7"/>
      <c r="H45" s="7"/>
      <c r="I45" s="2"/>
      <c r="J45" s="2"/>
      <c r="K45" s="2"/>
    </row>
    <row r="46" spans="1:11" ht="15.75" x14ac:dyDescent="0.25">
      <c r="A46" s="7"/>
      <c r="B46" s="7" t="s">
        <v>29</v>
      </c>
      <c r="C46" s="216"/>
      <c r="D46" s="216"/>
      <c r="E46" s="216"/>
      <c r="F46" s="7" t="s">
        <v>21</v>
      </c>
      <c r="G46" s="216"/>
      <c r="H46" s="216"/>
      <c r="I46" s="2"/>
      <c r="J46" s="2"/>
      <c r="K46" s="2"/>
    </row>
  </sheetData>
  <sheetProtection password="E9BA" sheet="1" objects="1" scenarios="1" formatCells="0" formatColumns="0" formatRows="0" insertRows="0" deleteColumns="0" deleteRows="0"/>
  <mergeCells count="26">
    <mergeCell ref="C5:E5"/>
    <mergeCell ref="B32:C32"/>
    <mergeCell ref="C46:E46"/>
    <mergeCell ref="G46:H46"/>
    <mergeCell ref="B34:D34"/>
    <mergeCell ref="B36:D36"/>
    <mergeCell ref="G36:H36"/>
    <mergeCell ref="B38:E38"/>
    <mergeCell ref="B39:E39"/>
    <mergeCell ref="E34:F34"/>
    <mergeCell ref="B41:C41"/>
    <mergeCell ref="D41:E41"/>
    <mergeCell ref="G41:H41"/>
    <mergeCell ref="B43:E43"/>
    <mergeCell ref="B44:E44"/>
    <mergeCell ref="C31:E31"/>
    <mergeCell ref="C2:E2"/>
    <mergeCell ref="G2:H2"/>
    <mergeCell ref="J2:K2"/>
    <mergeCell ref="C4:E4"/>
    <mergeCell ref="G4:H4"/>
    <mergeCell ref="C25:E25"/>
    <mergeCell ref="C26:E26"/>
    <mergeCell ref="C27:E27"/>
    <mergeCell ref="C29:E29"/>
    <mergeCell ref="C30:E30"/>
  </mergeCells>
  <dataValidations count="4">
    <dataValidation type="list" showInputMessage="1" showErrorMessage="1" sqref="F9:F24">
      <formula1>"Field Trip,Industrial Supervision,Teaching Practice"</formula1>
    </dataValidation>
    <dataValidation showInputMessage="1" showErrorMessage="1" sqref="F25:F27"/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type="list" allowBlank="1" showInputMessage="1" showErrorMessage="1" sqref="F5">
      <formula1>$B$2:$B$13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verticalDpi="0" r:id="rId1"/>
  <headerFooter>
    <oddHeader>&amp;C&amp;16UNIVERSITY OF LAGOS&amp;11
&amp;14Field Trip, Industrial Supervision and Teaching Practice&amp;11
&amp;14Claim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Info_Lists!$B$2:$B$7</xm:f>
          </x14:formula1>
          <xm:sqref>J4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J2:K2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J25"/>
  <sheetViews>
    <sheetView workbookViewId="0">
      <selection activeCell="C2" sqref="C2:D2"/>
    </sheetView>
  </sheetViews>
  <sheetFormatPr defaultRowHeight="15" x14ac:dyDescent="0.25"/>
  <cols>
    <col min="1" max="1" width="2.85546875" bestFit="1" customWidth="1"/>
    <col min="2" max="2" width="19.5703125" bestFit="1" customWidth="1"/>
    <col min="3" max="3" width="4.7109375" bestFit="1" customWidth="1"/>
    <col min="4" max="4" width="36.5703125" customWidth="1"/>
    <col min="5" max="5" width="21.42578125" customWidth="1"/>
    <col min="6" max="6" width="19.140625" customWidth="1"/>
    <col min="8" max="8" width="9.85546875" bestFit="1" customWidth="1"/>
    <col min="9" max="9" width="11.5703125" bestFit="1" customWidth="1"/>
    <col min="10" max="10" width="10.85546875" customWidth="1"/>
  </cols>
  <sheetData>
    <row r="1" spans="1:10" x14ac:dyDescent="0.25">
      <c r="A1" s="2" t="s">
        <v>0</v>
      </c>
      <c r="B1" s="113" t="s">
        <v>1</v>
      </c>
      <c r="C1" s="2"/>
      <c r="D1" s="2"/>
      <c r="E1" s="2"/>
      <c r="F1" s="2"/>
      <c r="G1" s="3"/>
      <c r="H1" s="2"/>
      <c r="I1" s="4"/>
      <c r="J1" s="2"/>
    </row>
    <row r="2" spans="1:10" ht="15.75" x14ac:dyDescent="0.25">
      <c r="A2" s="2"/>
      <c r="B2" s="16" t="s">
        <v>2</v>
      </c>
      <c r="C2" s="224" t="s">
        <v>393</v>
      </c>
      <c r="D2" s="224"/>
      <c r="E2" s="16" t="s">
        <v>3</v>
      </c>
      <c r="F2" s="100" t="str">
        <f>IF(LOOKUP($C$2,Staff_List!$A$4:$A$53,Staff_List!$B$4:$B$53)="","",LOOKUP($C$2,Staff_List!$A$4:$A$53,Staff_List!$B$4:$B$53))</f>
        <v>A7581</v>
      </c>
      <c r="G2" s="110"/>
      <c r="H2" s="257"/>
      <c r="I2" s="257"/>
    </row>
    <row r="3" spans="1:10" x14ac:dyDescent="0.25">
      <c r="A3" s="2"/>
      <c r="B3" s="21"/>
      <c r="C3" s="2"/>
      <c r="D3" s="2"/>
      <c r="E3" s="21"/>
      <c r="F3" s="3"/>
      <c r="G3" s="2"/>
      <c r="H3" s="2"/>
      <c r="I3" s="44"/>
    </row>
    <row r="4" spans="1:10" x14ac:dyDescent="0.25">
      <c r="A4" s="2"/>
      <c r="B4" s="16" t="s">
        <v>173</v>
      </c>
      <c r="C4" s="224" t="s">
        <v>389</v>
      </c>
      <c r="D4" s="224"/>
      <c r="E4" s="16" t="s">
        <v>5</v>
      </c>
      <c r="F4" s="207" t="s">
        <v>488</v>
      </c>
      <c r="G4" s="16" t="s">
        <v>6</v>
      </c>
      <c r="H4" s="76" t="s">
        <v>313</v>
      </c>
      <c r="I4" s="101"/>
    </row>
    <row r="5" spans="1:10" x14ac:dyDescent="0.25">
      <c r="A5" s="2"/>
      <c r="B5" s="27"/>
      <c r="C5" s="2"/>
      <c r="D5" s="2"/>
      <c r="E5" s="2"/>
      <c r="F5" s="2"/>
      <c r="G5" s="2"/>
      <c r="H5" s="3"/>
      <c r="I5" s="2"/>
      <c r="J5" s="46"/>
    </row>
    <row r="6" spans="1:10" ht="15.75" x14ac:dyDescent="0.25">
      <c r="A6" s="7" t="s">
        <v>7</v>
      </c>
      <c r="B6" s="152" t="s">
        <v>43</v>
      </c>
      <c r="C6" s="258"/>
      <c r="D6" s="258"/>
      <c r="E6" s="22"/>
      <c r="F6" s="7"/>
      <c r="G6" s="7"/>
      <c r="H6" s="8"/>
      <c r="I6" s="2"/>
      <c r="J6" s="2"/>
    </row>
    <row r="7" spans="1:10" ht="15.75" x14ac:dyDescent="0.25">
      <c r="A7" s="2"/>
      <c r="B7" s="21"/>
      <c r="C7" s="19" t="s">
        <v>31</v>
      </c>
      <c r="D7" s="33" t="s">
        <v>44</v>
      </c>
      <c r="E7" s="18" t="s">
        <v>45</v>
      </c>
      <c r="F7" s="28"/>
      <c r="G7" s="28"/>
      <c r="H7" s="28"/>
      <c r="I7" s="2"/>
      <c r="J7" s="2"/>
    </row>
    <row r="8" spans="1:10" ht="15.75" x14ac:dyDescent="0.25">
      <c r="A8" s="2"/>
      <c r="B8" s="2"/>
      <c r="C8" s="31" t="str">
        <f>IF(ISTEXT($D8),1,"")</f>
        <v/>
      </c>
      <c r="D8" s="205"/>
      <c r="E8" s="61" t="str">
        <f>IF($D8="","",IF($H$4="2008/2009",IF(OR($D8="Deputy Vice Chancellor",$D8="Librarian"),750000,IF(OR($D8="Provost",$D8="Dean",$D8="Director"),500000,IF(OR($D8="Deputy Provost",$D8="Deputy Dean"),350000,IF(OR($D8="Head of Department",$D8="Sub Dean"),250000,150000))))/2,IF(OR($D8="Deputy Vice Chancellor",$D8="Librarian"),750000,IF(OR($D8="Provost",$D8="Dean",$D8="Director"),500000,IF(OR($D8="Deputy Provost",$D8="Deputy Dean"),350000,IF(OR($D8="Head of Department",$D8="Sub Dean"),250000,150000))))))</f>
        <v/>
      </c>
      <c r="F8" s="7"/>
      <c r="G8" s="7"/>
      <c r="H8" s="7"/>
      <c r="I8" s="2"/>
      <c r="J8" s="2"/>
    </row>
    <row r="9" spans="1:10" ht="15.75" x14ac:dyDescent="0.25">
      <c r="A9" s="2"/>
      <c r="B9" s="2"/>
      <c r="C9" s="31" t="str">
        <f>IF(ISTEXT($D9),2,"")</f>
        <v/>
      </c>
      <c r="D9" s="205"/>
      <c r="E9" s="61" t="str">
        <f>IF($D9="","",IF($H$4="2008/2009",IF(OR($D9="Deputy Vice Chancellor",$D9="Librarian"),750000,IF(OR($D9="Provost",$D9="Dean",$D9="Director"),500000,IF(OR($D9="Deputy Provost",$D9="Deputy Dean"),350000,IF(OR($D9="Head of Department",$D9="Sub Dean"),250000,150000))))/2,IF(OR($D9="Deputy Vice Chancellor",$D9="Librarian"),750000,IF(OR($D9="Provost",$D9="Dean",$D9="Director"),500000,IF(OR($D9="Deputy Provost",$D9="Deputy Dean"),350000,IF(OR($D9="Head of Department",$D9="Sub Dean"),250000,150000))))))</f>
        <v/>
      </c>
      <c r="F9" s="7"/>
      <c r="G9" s="7"/>
      <c r="H9" s="7"/>
      <c r="I9" s="2"/>
      <c r="J9" s="2"/>
    </row>
    <row r="10" spans="1:10" ht="15.75" x14ac:dyDescent="0.25">
      <c r="A10" s="2"/>
      <c r="B10" s="2"/>
      <c r="C10" s="31" t="str">
        <f>IF(ISTEXT($D10),3,"")</f>
        <v/>
      </c>
      <c r="D10" s="38"/>
      <c r="E10" s="61" t="str">
        <f>IF($D10="","",IF($H$4="2008/2009",IF(OR($D10="Deputy Vice Chancellor",$D10="Librarian"),750000,IF(OR($D10="Provost",$D10="Dean",$D10="Director"),500000,IF(OR($D10="Deputy Provost",$D10="Deputy Dean"),350000,IF(OR($D10="Head of Department",$D10="Sub Dean"),250000,150000))))/2,IF(OR($D10="Deputy Vice Chancellor",$D10="Librarian"),750000,IF(OR($D10="Provost",$D10="Dean",$D10="Director"),500000,IF(OR($D10="Deputy Provost",$D10="Deputy Dean"),350000,IF(OR($D10="Head of Department",$D10="Sub Dean"),250000,150000))))))</f>
        <v/>
      </c>
      <c r="F10" s="7"/>
      <c r="G10" s="7"/>
      <c r="H10" s="7"/>
      <c r="I10" s="2"/>
      <c r="J10" s="2"/>
    </row>
    <row r="11" spans="1:10" ht="15.75" x14ac:dyDescent="0.25">
      <c r="A11" s="2"/>
      <c r="B11" s="2"/>
      <c r="C11" s="31" t="str">
        <f>IF(ISTEXT($D11),4,"")</f>
        <v/>
      </c>
      <c r="D11" s="38"/>
      <c r="E11" s="61" t="str">
        <f>IF($D11="","",IF($H$4="2008/2009",IF(OR($D11="Deputy Vice Chancellor",$D11="Librarian"),750000,IF(OR($D11="Provost",$D11="Dean",$D11="Director"),500000,IF(OR($D11="Deputy Provost",$D11="Deputy Dean"),350000,IF(OR($D11="Head of Department",$D11="Sub Dean"),250000,150000))))/2,IF(OR($D11="Deputy Vice Chancellor",$D11="Librarian"),750000,IF(OR($D11="Provost",$D11="Dean",$D11="Director"),500000,IF(OR($D11="Deputy Provost",$D11="Deputy Dean"),350000,IF(OR($D11="Head of Department",$D11="Sub Dean"),250000,150000))))))</f>
        <v/>
      </c>
      <c r="F11" s="7"/>
      <c r="G11" s="7"/>
      <c r="H11" s="7"/>
      <c r="I11" s="2"/>
      <c r="J11" s="2"/>
    </row>
    <row r="12" spans="1:10" ht="15.75" x14ac:dyDescent="0.25">
      <c r="A12" s="2"/>
      <c r="B12" s="2"/>
      <c r="C12" s="31" t="str">
        <f>IF(ISTEXT($D12),5,"")</f>
        <v/>
      </c>
      <c r="D12" s="38"/>
      <c r="E12" s="61" t="str">
        <f>IF($D12="","",IF($H$4="2008/2009",IF(OR($D12="Deputy Vice Chancellor",$D12="Librarian"),750000,IF(OR($D12="Provost",$D12="Dean",$D12="Director"),500000,IF(OR($D12="Deputy Provost",$D12="Deputy Dean"),350000,IF(OR($D12="Head of Department",$D12="Sub Dean"),250000,150000))))/2,IF(OR($D12="Deputy Vice Chancellor",$D12="Librarian"),750000,IF(OR($D12="Provost",$D12="Dean",$D12="Director"),500000,IF(OR($D12="Deputy Provost",$D12="Deputy Dean"),350000,IF(OR($D12="Head of Department",$D12="Sub Dean"),250000,150000))))))</f>
        <v/>
      </c>
      <c r="F12" s="7"/>
      <c r="G12" s="7"/>
      <c r="H12" s="7"/>
      <c r="I12" s="2"/>
      <c r="J12" s="2"/>
    </row>
    <row r="13" spans="1:10" ht="15.75" x14ac:dyDescent="0.25">
      <c r="A13" s="2" t="s">
        <v>9</v>
      </c>
      <c r="B13" s="212" t="s">
        <v>181</v>
      </c>
      <c r="C13" s="212"/>
      <c r="D13" s="212"/>
      <c r="E13" s="70">
        <f>SUM(E8:E11)</f>
        <v>0</v>
      </c>
      <c r="F13" s="2"/>
      <c r="G13" s="2"/>
      <c r="H13" s="2"/>
      <c r="I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0" ht="15.75" x14ac:dyDescent="0.25">
      <c r="A15" s="7" t="s">
        <v>10</v>
      </c>
      <c r="B15" s="212" t="s">
        <v>41</v>
      </c>
      <c r="C15" s="212"/>
      <c r="D15" s="212"/>
      <c r="E15" s="216" t="s">
        <v>19</v>
      </c>
      <c r="F15" s="216"/>
      <c r="G15" s="216"/>
      <c r="H15" s="2"/>
      <c r="I15" s="2"/>
    </row>
    <row r="16" spans="1:10" ht="15.75" x14ac:dyDescent="0.25">
      <c r="A16" s="7"/>
      <c r="B16" s="98"/>
      <c r="C16" s="98"/>
      <c r="D16" s="98"/>
      <c r="E16" s="98"/>
      <c r="F16" s="98"/>
      <c r="G16" s="2"/>
      <c r="H16" s="2"/>
      <c r="I16" s="2"/>
    </row>
    <row r="17" spans="1:10" ht="15.75" x14ac:dyDescent="0.25">
      <c r="A17" s="7"/>
      <c r="B17" s="216" t="s">
        <v>20</v>
      </c>
      <c r="C17" s="216"/>
      <c r="D17" s="216"/>
      <c r="E17" s="98"/>
      <c r="F17" s="7" t="s">
        <v>21</v>
      </c>
      <c r="G17" s="2"/>
      <c r="H17" s="2"/>
      <c r="I17" s="2"/>
    </row>
    <row r="18" spans="1:10" ht="15.75" x14ac:dyDescent="0.25">
      <c r="A18" s="7"/>
      <c r="B18" s="7"/>
      <c r="C18" s="7"/>
      <c r="D18" s="7"/>
      <c r="E18" s="7"/>
      <c r="F18" s="7"/>
      <c r="G18" s="7"/>
      <c r="H18" s="7"/>
      <c r="I18" s="2"/>
      <c r="J18" s="2"/>
    </row>
    <row r="19" spans="1:10" ht="15.75" x14ac:dyDescent="0.25">
      <c r="A19" s="7" t="s">
        <v>11</v>
      </c>
      <c r="B19" s="212" t="s">
        <v>174</v>
      </c>
      <c r="C19" s="212"/>
      <c r="D19" s="212"/>
      <c r="E19" s="212"/>
      <c r="F19" s="7"/>
      <c r="G19" s="7"/>
      <c r="H19" s="7"/>
      <c r="I19" s="2"/>
      <c r="J19" s="2"/>
    </row>
    <row r="20" spans="1:10" ht="15.75" x14ac:dyDescent="0.25">
      <c r="A20" s="7"/>
      <c r="B20" s="216" t="s">
        <v>24</v>
      </c>
      <c r="C20" s="216"/>
      <c r="D20" s="216"/>
      <c r="E20" s="216"/>
      <c r="F20" s="26" t="str">
        <f>IF($E13=0,"",$E13)</f>
        <v/>
      </c>
      <c r="G20" s="7"/>
      <c r="H20" s="7"/>
      <c r="I20" s="2"/>
      <c r="J20" s="2"/>
    </row>
    <row r="21" spans="1:10" ht="15.75" x14ac:dyDescent="0.25">
      <c r="A21" s="7"/>
      <c r="B21" s="7"/>
      <c r="C21" s="7"/>
      <c r="D21" s="7"/>
      <c r="E21" s="7"/>
      <c r="F21" s="7"/>
      <c r="G21" s="2"/>
      <c r="H21" s="2"/>
      <c r="I21" s="2"/>
    </row>
    <row r="22" spans="1:10" ht="15.75" x14ac:dyDescent="0.25">
      <c r="A22" s="7" t="s">
        <v>12</v>
      </c>
      <c r="B22" s="212" t="s">
        <v>27</v>
      </c>
      <c r="C22" s="212"/>
      <c r="D22" s="212"/>
      <c r="E22" s="212"/>
      <c r="F22" s="7"/>
      <c r="G22" s="2"/>
      <c r="H22" s="2"/>
      <c r="I22" s="2"/>
    </row>
    <row r="23" spans="1:10" ht="15.75" x14ac:dyDescent="0.25">
      <c r="A23" s="7"/>
      <c r="B23" s="216" t="s">
        <v>28</v>
      </c>
      <c r="C23" s="216"/>
      <c r="D23" s="216"/>
      <c r="E23" s="216"/>
      <c r="F23" s="26" t="str">
        <f>IF($E13=0,"",$E13)</f>
        <v/>
      </c>
      <c r="G23" s="2"/>
      <c r="H23" s="2"/>
      <c r="I23" s="2"/>
    </row>
    <row r="24" spans="1:10" ht="15.75" x14ac:dyDescent="0.25">
      <c r="A24" s="7"/>
      <c r="B24" s="7"/>
      <c r="C24" s="7"/>
      <c r="D24" s="7"/>
      <c r="E24" s="7"/>
      <c r="F24" s="7"/>
      <c r="G24" s="2"/>
      <c r="H24" s="2"/>
      <c r="I24" s="2"/>
    </row>
    <row r="25" spans="1:10" ht="15.75" x14ac:dyDescent="0.25">
      <c r="A25" s="7"/>
      <c r="B25" s="7" t="s">
        <v>29</v>
      </c>
      <c r="C25" s="216"/>
      <c r="D25" s="216"/>
      <c r="E25" s="216"/>
      <c r="F25" s="7" t="s">
        <v>21</v>
      </c>
      <c r="G25" s="2"/>
      <c r="H25" s="2"/>
      <c r="I25" s="2"/>
    </row>
  </sheetData>
  <sheetProtection password="E9BA" sheet="1" objects="1" scenarios="1" formatCells="0" formatColumns="0" formatRows="0" insertRows="0" deleteColumns="0" deleteRows="0"/>
  <mergeCells count="13">
    <mergeCell ref="H2:I2"/>
    <mergeCell ref="E15:G15"/>
    <mergeCell ref="B22:E22"/>
    <mergeCell ref="B23:E23"/>
    <mergeCell ref="C25:E25"/>
    <mergeCell ref="B17:D17"/>
    <mergeCell ref="C6:D6"/>
    <mergeCell ref="B15:D15"/>
    <mergeCell ref="C2:D2"/>
    <mergeCell ref="C4:D4"/>
    <mergeCell ref="B19:E19"/>
    <mergeCell ref="B20:E20"/>
    <mergeCell ref="B13:D13"/>
  </mergeCells>
  <dataValidations count="3">
    <dataValidation showInputMessage="1" showErrorMessage="1" sqref="I4"/>
    <dataValidation type="list" showInputMessage="1" showErrorMessage="1" sqref="F4">
      <formula1>"Assistant Lecturer,Assistant Librarian,Graduate Assistant,Lecturer I,Lecturer II,Librarian I,Librarian II,Professor,Reader,Reader Librarian,Senior Lecturer,Senior Librarian, University Librarian"</formula1>
    </dataValidation>
    <dataValidation type="list" allowBlank="1" showInputMessage="1" showErrorMessage="1" sqref="C4:D4">
      <formula1>$C$2:$C$13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r:id="rId1"/>
  <headerFooter>
    <oddHeader>&amp;C&amp;"-,Bold"&amp;16UNIVERSITY OF LAGOS&amp;14
Faculty/Directorate Responsibility Allowance 
Claim Form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Staff_List!$A$2:$A$53</xm:f>
          </x14:formula1>
          <xm:sqref>C2:D2</xm:sqref>
        </x14:dataValidation>
        <x14:dataValidation type="list" allowBlank="1" showInputMessage="1" showErrorMessage="1">
          <x14:formula1>
            <xm:f>Info_Lists!$B$2:$B$7</xm:f>
          </x14:formula1>
          <xm:sqref>H4</xm:sqref>
        </x14:dataValidation>
        <x14:dataValidation type="list" allowBlank="1" showInputMessage="1" showErrorMessage="1">
          <x14:formula1>
            <xm:f>Info_Lists!$F$2:$F$20</xm:f>
          </x14:formula1>
          <xm:sqref>D8:D12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1"/>
  <sheetViews>
    <sheetView workbookViewId="0">
      <selection activeCell="G22" sqref="G22:H22"/>
    </sheetView>
  </sheetViews>
  <sheetFormatPr defaultRowHeight="15" x14ac:dyDescent="0.25"/>
  <cols>
    <col min="1" max="1" width="7.85546875" customWidth="1"/>
    <col min="2" max="2" width="25.7109375" customWidth="1"/>
    <col min="3" max="3" width="1.7109375" customWidth="1"/>
    <col min="4" max="4" width="15.7109375" customWidth="1"/>
    <col min="5" max="5" width="15.85546875" customWidth="1"/>
    <col min="6" max="6" width="15.42578125" bestFit="1" customWidth="1"/>
    <col min="7" max="8" width="21.85546875" customWidth="1"/>
    <col min="9" max="9" width="1.7109375" customWidth="1"/>
  </cols>
  <sheetData>
    <row r="1" spans="1:9" ht="15.75" x14ac:dyDescent="0.25">
      <c r="A1" s="155" t="s">
        <v>348</v>
      </c>
      <c r="B1" s="2"/>
      <c r="C1" s="2"/>
      <c r="D1" s="245" t="s">
        <v>373</v>
      </c>
      <c r="E1" s="245"/>
      <c r="F1" s="21"/>
      <c r="G1" s="2"/>
      <c r="H1" s="2"/>
      <c r="I1" s="2"/>
    </row>
    <row r="2" spans="1:9" ht="15.75" x14ac:dyDescent="0.25">
      <c r="A2" s="155" t="s">
        <v>349</v>
      </c>
      <c r="B2" s="2"/>
      <c r="C2" s="2"/>
      <c r="D2" s="246" t="str">
        <f>'Excess_Workload (2)'!$C$4</f>
        <v>Estate Management</v>
      </c>
      <c r="E2" s="246"/>
      <c r="F2" s="246"/>
      <c r="G2" s="2"/>
      <c r="H2" s="2"/>
      <c r="I2" s="2"/>
    </row>
    <row r="3" spans="1:9" ht="15.75" x14ac:dyDescent="0.25">
      <c r="A3" s="155" t="s">
        <v>350</v>
      </c>
      <c r="B3" s="2"/>
      <c r="C3" s="2"/>
      <c r="D3" s="246" t="str">
        <f>'Excess_Workload (2)'!$C$2</f>
        <v>Dr. A.C. Otegbulu</v>
      </c>
      <c r="E3" s="246"/>
      <c r="F3" s="63"/>
      <c r="G3" s="2"/>
      <c r="H3" s="2"/>
      <c r="I3" s="2"/>
    </row>
    <row r="4" spans="1:9" ht="15.75" x14ac:dyDescent="0.25">
      <c r="A4" s="155" t="s">
        <v>351</v>
      </c>
      <c r="B4" s="2"/>
      <c r="C4" s="2"/>
      <c r="D4" s="246" t="str">
        <f>'Excess_Workload (2)'!$G$4</f>
        <v>Lecturer I</v>
      </c>
      <c r="E4" s="246"/>
      <c r="F4" s="63"/>
      <c r="G4" s="2"/>
      <c r="H4" s="2"/>
      <c r="I4" s="2"/>
    </row>
    <row r="5" spans="1:9" ht="15.75" x14ac:dyDescent="0.25">
      <c r="A5" s="155" t="s">
        <v>352</v>
      </c>
      <c r="B5" s="2"/>
      <c r="C5" s="2"/>
      <c r="D5" s="63" t="str">
        <f>'Excess_Workload (2)'!$G$2</f>
        <v>A7581</v>
      </c>
      <c r="E5" s="21"/>
      <c r="F5" s="21"/>
      <c r="G5" s="2"/>
      <c r="H5" s="2"/>
      <c r="I5" s="2"/>
    </row>
    <row r="6" spans="1:9" ht="15.75" x14ac:dyDescent="0.25">
      <c r="A6" s="155" t="s">
        <v>353</v>
      </c>
      <c r="B6" s="2"/>
      <c r="C6" s="2"/>
      <c r="D6" s="224" t="s">
        <v>490</v>
      </c>
      <c r="E6" s="224"/>
      <c r="F6" s="2"/>
      <c r="G6" s="2"/>
      <c r="H6" s="2"/>
      <c r="I6" s="2"/>
    </row>
    <row r="7" spans="1:9" ht="15.75" x14ac:dyDescent="0.25">
      <c r="A7" s="155" t="s">
        <v>354</v>
      </c>
      <c r="B7" s="2"/>
      <c r="C7" s="2"/>
      <c r="D7" s="170" t="str">
        <f>'Excess_Workload (2)'!$I$4</f>
        <v>2009/2010</v>
      </c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31.5" x14ac:dyDescent="0.25">
      <c r="A9" s="156" t="s">
        <v>371</v>
      </c>
      <c r="B9" s="157" t="s">
        <v>45</v>
      </c>
      <c r="C9" s="158"/>
      <c r="D9" s="159"/>
      <c r="E9" s="159"/>
      <c r="F9" s="159"/>
      <c r="G9" s="159"/>
      <c r="H9" s="159"/>
      <c r="I9" s="160"/>
    </row>
    <row r="10" spans="1:9" ht="15" customHeight="1" x14ac:dyDescent="0.25">
      <c r="A10" s="228"/>
      <c r="B10" s="229" t="str">
        <f>"Postgraduate        Supervision              Allowance                              ("&amp;"NGN "&amp;IF(OR(LEFT($D$4,1)="P",LEFT($D$4,1)="R"),"25,000.00",IF(LEFT($D$4,1)="S","20,000.00",IF(AND(LEFT($D$4,1)="L",OR(RIGHT($D$4,2)=" I",RIGHT($D$4,2)="II")),"15,000.00","ERROR")))&amp;" Per Student, Per Annum) A maximum of 5 Students"</f>
        <v>Postgraduate        Supervision              Allowance                              (NGN 15,000.00 Per Student, Per Annum) A maximum of 5 Students</v>
      </c>
      <c r="C10" s="171"/>
      <c r="D10" s="172" t="s">
        <v>355</v>
      </c>
      <c r="E10" s="172"/>
      <c r="F10" s="172"/>
      <c r="G10" s="161"/>
      <c r="H10" s="161"/>
      <c r="I10" s="162"/>
    </row>
    <row r="11" spans="1:9" ht="15" customHeight="1" x14ac:dyDescent="0.25">
      <c r="A11" s="228"/>
      <c r="B11" s="230"/>
      <c r="C11" s="173"/>
      <c r="D11" s="233" t="s">
        <v>356</v>
      </c>
      <c r="E11" s="234"/>
      <c r="F11" s="105" t="s">
        <v>357</v>
      </c>
      <c r="G11" s="252" t="s">
        <v>358</v>
      </c>
      <c r="H11" s="252"/>
      <c r="I11" s="164"/>
    </row>
    <row r="12" spans="1:9" ht="15" customHeight="1" x14ac:dyDescent="0.25">
      <c r="A12" s="228"/>
      <c r="B12" s="230"/>
      <c r="C12" s="173"/>
      <c r="D12" s="247" t="str">
        <f>IF('PG_Supervision (2)'!E9="","",'PG_Supervision (2)'!E9)</f>
        <v>Aderogba Abiola</v>
      </c>
      <c r="E12" s="248"/>
      <c r="F12" s="174" t="str">
        <f>IF('PG_Supervision (2)'!D9="","",'PG_Supervision (2)'!D9)</f>
        <v>030512083</v>
      </c>
      <c r="G12" s="232"/>
      <c r="H12" s="232"/>
      <c r="I12" s="164"/>
    </row>
    <row r="13" spans="1:9" ht="15" customHeight="1" x14ac:dyDescent="0.25">
      <c r="A13" s="228"/>
      <c r="B13" s="230"/>
      <c r="C13" s="173"/>
      <c r="D13" s="247" t="str">
        <f>IF(PG_Supervision!E10="","",PG_Supervision!E10)</f>
        <v>Olukolayo michael</v>
      </c>
      <c r="E13" s="248"/>
      <c r="F13" s="174" t="str">
        <f>IF(PG_Supervision!D10="","",PG_Supervision!D10)</f>
        <v>069054005</v>
      </c>
      <c r="G13" s="232"/>
      <c r="H13" s="232"/>
      <c r="I13" s="164"/>
    </row>
    <row r="14" spans="1:9" ht="15" customHeight="1" x14ac:dyDescent="0.25">
      <c r="A14" s="228"/>
      <c r="B14" s="230"/>
      <c r="C14" s="173"/>
      <c r="D14" s="247" t="str">
        <f>IF(PG_Supervision!E11="","",PG_Supervision!E11)</f>
        <v>Alabi Afees</v>
      </c>
      <c r="E14" s="248"/>
      <c r="F14" s="174" t="str">
        <f>IF(PG_Supervision!D11="","",PG_Supervision!D11)</f>
        <v>990502020</v>
      </c>
      <c r="G14" s="232"/>
      <c r="H14" s="232"/>
      <c r="I14" s="164"/>
    </row>
    <row r="15" spans="1:9" ht="15" customHeight="1" x14ac:dyDescent="0.25">
      <c r="A15" s="228"/>
      <c r="B15" s="230"/>
      <c r="C15" s="173"/>
      <c r="D15" s="247" t="str">
        <f>IF(PG_Supervision!E12="","",PG_Supervision!E12)</f>
        <v>Ogungbemi Abel</v>
      </c>
      <c r="E15" s="248"/>
      <c r="F15" s="174" t="str">
        <f>IF(PG_Supervision!D12="","",PG_Supervision!D12)</f>
        <v>059053007</v>
      </c>
      <c r="G15" s="232"/>
      <c r="H15" s="232"/>
      <c r="I15" s="164"/>
    </row>
    <row r="16" spans="1:9" ht="15" customHeight="1" x14ac:dyDescent="0.25">
      <c r="A16" s="228"/>
      <c r="B16" s="175">
        <f>'PG_Supervision (2)'!$E$15</f>
        <v>75000</v>
      </c>
      <c r="C16" s="176"/>
      <c r="D16" s="247" t="str">
        <f>IF(PG_Supervision!E13="","",PG_Supervision!E13)</f>
        <v/>
      </c>
      <c r="E16" s="248"/>
      <c r="F16" s="174" t="str">
        <f>IF(PG_Supervision!D13="","",PG_Supervision!D13)</f>
        <v/>
      </c>
      <c r="G16" s="232"/>
      <c r="H16" s="232"/>
      <c r="I16" s="165"/>
    </row>
    <row r="17" spans="1:9" ht="15" customHeight="1" x14ac:dyDescent="0.25">
      <c r="A17" s="228"/>
      <c r="B17" s="229" t="str">
        <f>"Teaching    Practice/Industrial Supervision/ Field Trip Allowances           (NGN "&amp;IF(OR(LEFT($D$4,1)="P",LEFT($D$4,1)="R"),"100,000.00",IF(LEFT($D$4,1)="S","80,000.00",IF(OR(LEFT($D$4,1)="L",LEFT($D$4,1)="L",LEFT($D$4,1)="A"),"60,000.00","#ERROR")))&amp;" Per Annum)"</f>
        <v>Teaching    Practice/Industrial Supervision/ Field Trip Allowances           (NGN 60,000.00 Per Annum)</v>
      </c>
      <c r="C17" s="173"/>
      <c r="D17" s="177" t="s">
        <v>359</v>
      </c>
      <c r="E17" s="177"/>
      <c r="F17" s="177"/>
      <c r="G17" s="166"/>
      <c r="H17" s="166"/>
      <c r="I17" s="164"/>
    </row>
    <row r="18" spans="1:9" x14ac:dyDescent="0.25">
      <c r="A18" s="228"/>
      <c r="B18" s="230"/>
      <c r="C18" s="173"/>
      <c r="D18" s="233" t="s">
        <v>356</v>
      </c>
      <c r="E18" s="234"/>
      <c r="F18" s="105" t="s">
        <v>357</v>
      </c>
      <c r="G18" s="252" t="s">
        <v>360</v>
      </c>
      <c r="H18" s="252"/>
      <c r="I18" s="164"/>
    </row>
    <row r="19" spans="1:9" x14ac:dyDescent="0.25">
      <c r="A19" s="228"/>
      <c r="B19" s="230"/>
      <c r="C19" s="173"/>
      <c r="D19" s="226" t="str">
        <f>IF('TP_IS_FT_Allowance (2)'!E9="","",'TP_IS_FT_Allowance (2)'!E9)</f>
        <v>ADEDOKUN TOLUTOPE</v>
      </c>
      <c r="E19" s="227"/>
      <c r="F19" s="178" t="str">
        <f>IF('TP_IS_FT_Allowance (2)'!D9="","",'TP_IS_FT_Allowance (2)'!D9)</f>
        <v>070502004</v>
      </c>
      <c r="G19" s="232" t="s">
        <v>588</v>
      </c>
      <c r="H19" s="232"/>
      <c r="I19" s="164"/>
    </row>
    <row r="20" spans="1:9" x14ac:dyDescent="0.25">
      <c r="A20" s="228"/>
      <c r="B20" s="230"/>
      <c r="C20" s="173"/>
      <c r="D20" s="226" t="str">
        <f>IF('TP_IS_FT_Allowance (2)'!E10="","",'TP_IS_FT_Allowance (2)'!E10)</f>
        <v>ADEDOSU DESMOND</v>
      </c>
      <c r="E20" s="227"/>
      <c r="F20" s="178" t="str">
        <f>IF('TP_IS_FT_Allowance (2)'!D10="","",'TP_IS_FT_Allowance (2)'!D10)</f>
        <v>080502005</v>
      </c>
      <c r="G20" s="232" t="s">
        <v>589</v>
      </c>
      <c r="H20" s="232"/>
      <c r="I20" s="164"/>
    </row>
    <row r="21" spans="1:9" x14ac:dyDescent="0.25">
      <c r="A21" s="228"/>
      <c r="B21" s="230"/>
      <c r="C21" s="173"/>
      <c r="D21" s="226" t="str">
        <f>IF('TP_IS_FT_Allowance (2)'!E11="","",'TP_IS_FT_Allowance (2)'!E11)</f>
        <v>MORAH IKEMEFUNA</v>
      </c>
      <c r="E21" s="227"/>
      <c r="F21" s="178" t="str">
        <f>IF('TP_IS_FT_Allowance (2)'!D11="","",'TP_IS_FT_Allowance (2)'!D11)</f>
        <v>090502044</v>
      </c>
      <c r="G21" s="232" t="s">
        <v>589</v>
      </c>
      <c r="H21" s="232"/>
      <c r="I21" s="164"/>
    </row>
    <row r="22" spans="1:9" x14ac:dyDescent="0.25">
      <c r="A22" s="228"/>
      <c r="B22" s="230"/>
      <c r="C22" s="173"/>
      <c r="D22" s="226" t="str">
        <f>IF('TP_IS_FT_Allowance (2)'!E12="","",'TP_IS_FT_Allowance (2)'!E12)</f>
        <v>AYARA ORIYOMI</v>
      </c>
      <c r="E22" s="227"/>
      <c r="F22" s="178" t="str">
        <f>IF('TP_IS_FT_Allowance (2)'!D12="","",'TP_IS_FT_Allowance (2)'!D12)</f>
        <v>090502023</v>
      </c>
      <c r="G22" s="232" t="s">
        <v>590</v>
      </c>
      <c r="H22" s="232"/>
      <c r="I22" s="164"/>
    </row>
    <row r="23" spans="1:9" x14ac:dyDescent="0.25">
      <c r="A23" s="228"/>
      <c r="B23" s="179"/>
      <c r="C23" s="173"/>
      <c r="D23" s="226" t="str">
        <f>IF('TP_IS_FT_Allowance (2)'!E13="","",'TP_IS_FT_Allowance (2)'!E13)</f>
        <v/>
      </c>
      <c r="E23" s="227"/>
      <c r="F23" s="178" t="str">
        <f>IF('TP_IS_FT_Allowance (2)'!D13="","",'TP_IS_FT_Allowance (2)'!D13)</f>
        <v/>
      </c>
      <c r="G23" s="232"/>
      <c r="H23" s="232"/>
      <c r="I23" s="164"/>
    </row>
    <row r="24" spans="1:9" ht="15.75" x14ac:dyDescent="0.25">
      <c r="A24" s="228"/>
      <c r="B24" s="180">
        <f>'TP_IS_FT_Allowance (2)'!$F$32</f>
        <v>60000</v>
      </c>
      <c r="C24" s="173"/>
      <c r="D24" s="226" t="str">
        <f>IF('TP_IS_FT_Allowance (2)'!E14="","",'TP_IS_FT_Allowance (2)'!E14)</f>
        <v/>
      </c>
      <c r="E24" s="227"/>
      <c r="F24" s="178" t="str">
        <f>IF('TP_IS_FT_Allowance (2)'!D14="","",'TP_IS_FT_Allowance (2)'!D14)</f>
        <v/>
      </c>
      <c r="G24" s="232"/>
      <c r="H24" s="232"/>
      <c r="I24" s="164"/>
    </row>
    <row r="25" spans="1:9" x14ac:dyDescent="0.25">
      <c r="A25" s="228"/>
      <c r="B25" s="179"/>
      <c r="C25" s="173"/>
      <c r="D25" s="226" t="str">
        <f>IF('TP_IS_FT_Allowance (2)'!E15="","",'TP_IS_FT_Allowance (2)'!E15)</f>
        <v/>
      </c>
      <c r="E25" s="227"/>
      <c r="F25" s="178" t="str">
        <f>IF('TP_IS_FT_Allowance (2)'!D15="","",'TP_IS_FT_Allowance (2)'!D15)</f>
        <v/>
      </c>
      <c r="G25" s="232"/>
      <c r="H25" s="232"/>
      <c r="I25" s="164"/>
    </row>
    <row r="26" spans="1:9" x14ac:dyDescent="0.25">
      <c r="A26" s="228"/>
      <c r="B26" s="179"/>
      <c r="C26" s="173"/>
      <c r="D26" s="226" t="str">
        <f>IF('TP_IS_FT_Allowance (2)'!E16="","",'TP_IS_FT_Allowance (2)'!E16)</f>
        <v/>
      </c>
      <c r="E26" s="227"/>
      <c r="F26" s="178" t="str">
        <f>IF('TP_IS_FT_Allowance (2)'!D16="","",'TP_IS_FT_Allowance (2)'!D16)</f>
        <v/>
      </c>
      <c r="G26" s="232"/>
      <c r="H26" s="232"/>
      <c r="I26" s="164"/>
    </row>
    <row r="27" spans="1:9" x14ac:dyDescent="0.25">
      <c r="A27" s="228"/>
      <c r="B27" s="179"/>
      <c r="C27" s="173"/>
      <c r="D27" s="226" t="str">
        <f>IF('TP_IS_FT_Allowance (2)'!E17="","",'TP_IS_FT_Allowance (2)'!E17)</f>
        <v/>
      </c>
      <c r="E27" s="227"/>
      <c r="F27" s="178" t="str">
        <f>IF('TP_IS_FT_Allowance (2)'!D17="","",'TP_IS_FT_Allowance (2)'!D17)</f>
        <v/>
      </c>
      <c r="G27" s="232"/>
      <c r="H27" s="232"/>
      <c r="I27" s="164"/>
    </row>
    <row r="28" spans="1:9" x14ac:dyDescent="0.25">
      <c r="A28" s="228"/>
      <c r="B28" s="179"/>
      <c r="C28" s="173"/>
      <c r="D28" s="226" t="str">
        <f>IF('TP_IS_FT_Allowance (2)'!E18="","",'TP_IS_FT_Allowance (2)'!E18)</f>
        <v/>
      </c>
      <c r="E28" s="227"/>
      <c r="F28" s="178" t="str">
        <f>IF('TP_IS_FT_Allowance (2)'!D18="","",'TP_IS_FT_Allowance (2)'!D18)</f>
        <v/>
      </c>
      <c r="G28" s="232"/>
      <c r="H28" s="232"/>
      <c r="I28" s="164"/>
    </row>
    <row r="29" spans="1:9" x14ac:dyDescent="0.25">
      <c r="A29" s="228"/>
      <c r="B29" s="179"/>
      <c r="C29" s="173"/>
      <c r="D29" s="226" t="str">
        <f>IF('TP_IS_FT_Allowance (2)'!E19="","",'TP_IS_FT_Allowance (2)'!E19)</f>
        <v/>
      </c>
      <c r="E29" s="227"/>
      <c r="F29" s="178" t="str">
        <f>IF('TP_IS_FT_Allowance (2)'!D19="","",'TP_IS_FT_Allowance (2)'!D19)</f>
        <v/>
      </c>
      <c r="G29" s="232"/>
      <c r="H29" s="232"/>
      <c r="I29" s="164"/>
    </row>
    <row r="30" spans="1:9" x14ac:dyDescent="0.25">
      <c r="A30" s="228"/>
      <c r="B30" s="179"/>
      <c r="C30" s="173"/>
      <c r="D30" s="226" t="str">
        <f>IF('TP_IS_FT_Allowance (2)'!E20="","",'TP_IS_FT_Allowance (2)'!E20)</f>
        <v/>
      </c>
      <c r="E30" s="227"/>
      <c r="F30" s="178" t="str">
        <f>IF('TP_IS_FT_Allowance (2)'!D20="","",'TP_IS_FT_Allowance (2)'!D20)</f>
        <v/>
      </c>
      <c r="G30" s="232"/>
      <c r="H30" s="232"/>
      <c r="I30" s="164"/>
    </row>
    <row r="31" spans="1:9" x14ac:dyDescent="0.25">
      <c r="A31" s="228"/>
      <c r="B31" s="179"/>
      <c r="C31" s="173"/>
      <c r="D31" s="226" t="str">
        <f>IF('TP_IS_FT_Allowance (2)'!E21="","",'TP_IS_FT_Allowance (2)'!E21)</f>
        <v/>
      </c>
      <c r="E31" s="227"/>
      <c r="F31" s="178" t="str">
        <f>IF('TP_IS_FT_Allowance (2)'!D21="","",'TP_IS_FT_Allowance (2)'!D21)</f>
        <v/>
      </c>
      <c r="G31" s="232"/>
      <c r="H31" s="232"/>
      <c r="I31" s="164"/>
    </row>
    <row r="32" spans="1:9" x14ac:dyDescent="0.25">
      <c r="A32" s="228"/>
      <c r="B32" s="179"/>
      <c r="C32" s="173"/>
      <c r="D32" s="226" t="str">
        <f>IF('TP_IS_FT_Allowance (2)'!E22="","",'TP_IS_FT_Allowance (2)'!E22)</f>
        <v/>
      </c>
      <c r="E32" s="227"/>
      <c r="F32" s="178" t="str">
        <f>IF('TP_IS_FT_Allowance (2)'!D22="","",'TP_IS_FT_Allowance (2)'!D22)</f>
        <v/>
      </c>
      <c r="G32" s="232"/>
      <c r="H32" s="232"/>
      <c r="I32" s="164"/>
    </row>
    <row r="33" spans="1:9" x14ac:dyDescent="0.25">
      <c r="A33" s="228"/>
      <c r="B33" s="181"/>
      <c r="C33" s="173"/>
      <c r="D33" s="226" t="str">
        <f>IF('TP_IS_FT_Allowance (2)'!E23="","",'TP_IS_FT_Allowance (2)'!E23)</f>
        <v/>
      </c>
      <c r="E33" s="227"/>
      <c r="F33" s="178" t="str">
        <f>IF('TP_IS_FT_Allowance (2)'!D23="","",'TP_IS_FT_Allowance (2)'!D23)</f>
        <v/>
      </c>
      <c r="G33" s="251"/>
      <c r="H33" s="251"/>
      <c r="I33" s="164"/>
    </row>
    <row r="34" spans="1:9" ht="30" x14ac:dyDescent="0.25">
      <c r="A34" s="228"/>
      <c r="B34" s="167" t="s">
        <v>361</v>
      </c>
      <c r="C34" s="168"/>
      <c r="D34" s="253" t="s">
        <v>362</v>
      </c>
      <c r="E34" s="253"/>
      <c r="F34" s="253"/>
      <c r="G34" s="253"/>
      <c r="H34" s="161"/>
      <c r="I34" s="162"/>
    </row>
    <row r="35" spans="1:9" ht="54.75" customHeight="1" x14ac:dyDescent="0.25">
      <c r="A35" s="228"/>
      <c r="B35" s="65"/>
      <c r="C35" s="169"/>
      <c r="D35" s="231" t="s">
        <v>374</v>
      </c>
      <c r="E35" s="231"/>
      <c r="F35" s="231"/>
      <c r="G35" s="231"/>
      <c r="H35" s="231"/>
      <c r="I35" s="165"/>
    </row>
    <row r="36" spans="1:9" ht="15" customHeight="1" x14ac:dyDescent="0.25">
      <c r="A36" s="228"/>
      <c r="B36" s="229" t="s">
        <v>366</v>
      </c>
      <c r="C36" s="183"/>
      <c r="D36" s="172" t="s">
        <v>363</v>
      </c>
      <c r="E36" s="172"/>
      <c r="F36" s="172"/>
      <c r="G36" s="172"/>
      <c r="H36" s="161"/>
      <c r="I36" s="162"/>
    </row>
    <row r="37" spans="1:9" x14ac:dyDescent="0.25">
      <c r="A37" s="228"/>
      <c r="B37" s="230"/>
      <c r="C37" s="184"/>
      <c r="D37" s="233" t="s">
        <v>364</v>
      </c>
      <c r="E37" s="234"/>
      <c r="F37" s="234"/>
      <c r="G37" s="235"/>
      <c r="H37" s="163" t="s">
        <v>365</v>
      </c>
      <c r="I37" s="164"/>
    </row>
    <row r="38" spans="1:9" x14ac:dyDescent="0.25">
      <c r="A38" s="228"/>
      <c r="B38" s="192" t="str">
        <f>IF($D38="","","NGN "&amp;IF(OR($D38="Deputy Vice Chancellor",$D38="Librarian"),"750,000.00",IF(OR($D38="Provost",$D38="Dean",$D38="Director"),"500,000.00",IF(OR($D38="Deputy Provost",$D38="Deputy Dean"),"350,000.00",IF(OR($D38="Head of Department",$D38="Sub Dean"),"250,000.00","150,000.00"))))&amp;" Per Annum")</f>
        <v/>
      </c>
      <c r="C38" s="184"/>
      <c r="D38" s="236" t="str">
        <f>IF('Responsibility (2)'!D8="","",'Responsibility (2)'!D8)</f>
        <v/>
      </c>
      <c r="E38" s="237"/>
      <c r="F38" s="237"/>
      <c r="G38" s="238"/>
      <c r="H38" s="65"/>
      <c r="I38" s="164"/>
    </row>
    <row r="39" spans="1:9" x14ac:dyDescent="0.25">
      <c r="A39" s="228"/>
      <c r="B39" s="192" t="str">
        <f>IF($D39="","","NGN "&amp;IF(OR($D39="Deputy Vice Chancellor",$D39="Librarian"),"750,000.00",IF(OR($D39="Provost",$D39="Dean",$D39="Director"),"500,000.00",IF(OR($D39="Deputy Provost",$D39="Deputy Dean"),"350,000.00",IF(OR($D39="Head of Department",$D39="Sub Dean"),"250,000.00","150,000.00"))))&amp;" Per Annum")</f>
        <v/>
      </c>
      <c r="C39" s="184"/>
      <c r="D39" s="236" t="str">
        <f>IF('Responsibility (2)'!D9="","",'Responsibility (2)'!D9)</f>
        <v/>
      </c>
      <c r="E39" s="237"/>
      <c r="F39" s="237"/>
      <c r="G39" s="238"/>
      <c r="H39" s="65"/>
      <c r="I39" s="164"/>
    </row>
    <row r="40" spans="1:9" x14ac:dyDescent="0.25">
      <c r="A40" s="228"/>
      <c r="B40" s="192" t="str">
        <f>IF($D40="","","NGN "&amp;IF(OR($D40="Deputy Vice Chancellor",$D40="Librarian"),"750,000.00",IF(OR($D40="Provost",$D40="Dean",$D40="Director"),"500,000.00",IF(OR($D40="Deputy Provost",$D40="Deputy Dean"),"350,000.00",IF(OR($D40="Head of Department",$D40="Sub Dean"),"250,000.00","150,000.00"))))&amp;" Per Annum")</f>
        <v/>
      </c>
      <c r="C40" s="184"/>
      <c r="D40" s="236" t="str">
        <f>IF('Responsibility (2)'!D10="","",'Responsibility (2)'!D10)</f>
        <v/>
      </c>
      <c r="E40" s="237"/>
      <c r="F40" s="237"/>
      <c r="G40" s="238"/>
      <c r="H40" s="65"/>
      <c r="I40" s="164"/>
    </row>
    <row r="41" spans="1:9" x14ac:dyDescent="0.25">
      <c r="A41" s="228"/>
      <c r="B41" s="192" t="str">
        <f>IF($D41="","","NGN "&amp;IF(OR($D41="Deputy Vice Chancellor",$D41="Librarian"),"750,000.00",IF(OR($D41="Provost",$D41="Dean",$D41="Director"),"500,000.00",IF(OR($D41="Deputy Provost",$D41="Deputy Dean"),"350,000.00",IF(OR($D41="Head of Department",$D41="Sub Dean"),"250,000.00","150,000.00"))))&amp;" Per Annum")</f>
        <v/>
      </c>
      <c r="C41" s="184"/>
      <c r="D41" s="236" t="str">
        <f>IF('Responsibility (2)'!D11="","",'Responsibility (2)'!D11)</f>
        <v/>
      </c>
      <c r="E41" s="237"/>
      <c r="F41" s="237"/>
      <c r="G41" s="238"/>
      <c r="H41" s="65"/>
      <c r="I41" s="164"/>
    </row>
    <row r="42" spans="1:9" x14ac:dyDescent="0.25">
      <c r="A42" s="228"/>
      <c r="B42" s="192" t="str">
        <f>IF($D42="","","NGN "&amp;IF(OR($D42="Deputy Vice Chancellor",$D42="Librarian"),"750,000.00",IF(OR($D42="Provost",$D42="Dean",$D42="Director"),"500,000.00",IF(OR($D42="Deputy Provost",$D42="Deputy Dean"),"350,000.00",IF(OR($D42="Head of Department",$D42="Sub Dean"),"250,000.00","150,000.00"))))&amp;" Per Annum")</f>
        <v/>
      </c>
      <c r="C42" s="184"/>
      <c r="D42" s="236" t="str">
        <f>IF('Responsibility (2)'!D12="","",'Responsibility (2)'!D12)</f>
        <v/>
      </c>
      <c r="E42" s="237"/>
      <c r="F42" s="237"/>
      <c r="G42" s="238"/>
      <c r="H42" s="65"/>
      <c r="I42" s="164"/>
    </row>
    <row r="43" spans="1:9" x14ac:dyDescent="0.25">
      <c r="A43" s="228"/>
      <c r="B43" s="179"/>
      <c r="C43" s="184"/>
      <c r="D43" s="239" t="str">
        <f>IF(Responsibility!D11="","",Responsibility!D11)</f>
        <v/>
      </c>
      <c r="E43" s="240"/>
      <c r="F43" s="240"/>
      <c r="G43" s="241"/>
      <c r="H43" s="191"/>
      <c r="I43" s="164"/>
    </row>
    <row r="44" spans="1:9" x14ac:dyDescent="0.25">
      <c r="A44" s="228"/>
      <c r="B44" s="186">
        <f>'Responsibility (2)'!$E$13</f>
        <v>0</v>
      </c>
      <c r="C44" s="187"/>
      <c r="D44" s="239" t="str">
        <f>IF(Responsibility!D12="","",Responsibility!D12)</f>
        <v/>
      </c>
      <c r="E44" s="240"/>
      <c r="F44" s="240"/>
      <c r="G44" s="241"/>
      <c r="H44" s="191"/>
      <c r="I44" s="165"/>
    </row>
    <row r="45" spans="1:9" ht="15" customHeight="1" x14ac:dyDescent="0.25">
      <c r="A45" s="228"/>
      <c r="B45" s="229" t="str">
        <f>"Excess    Workload Allowance (NGN "&amp;IF(OR(LEFT($D$4,1)="U",LEFT($D$4,1)="P",LEFT($D$4,1)="R",LEFT($D$4,1)="S"),"3,500.00","2,000.00")&amp;" Per Hour)"</f>
        <v>Excess    Workload Allowance (NGN 2,000.00 Per Hour)</v>
      </c>
      <c r="C45" s="183"/>
      <c r="D45" s="172" t="s">
        <v>367</v>
      </c>
      <c r="E45" s="172"/>
      <c r="F45" s="172"/>
      <c r="G45" s="172"/>
      <c r="H45" s="172"/>
      <c r="I45" s="193"/>
    </row>
    <row r="46" spans="1:9" ht="30" x14ac:dyDescent="0.25">
      <c r="A46" s="228"/>
      <c r="B46" s="230"/>
      <c r="C46" s="184"/>
      <c r="D46" s="105" t="s">
        <v>189</v>
      </c>
      <c r="E46" s="105" t="s">
        <v>368</v>
      </c>
      <c r="F46" s="188" t="s">
        <v>369</v>
      </c>
      <c r="G46" s="242" t="s">
        <v>370</v>
      </c>
      <c r="H46" s="243"/>
      <c r="I46" s="194"/>
    </row>
    <row r="47" spans="1:9" x14ac:dyDescent="0.25">
      <c r="A47" s="228"/>
      <c r="B47" s="179"/>
      <c r="C47" s="184"/>
      <c r="D47" s="189" t="str">
        <f>IF('Excess_Workload (2)'!B9="","",'Excess_Workload (2)'!B9)</f>
        <v>ESM411</v>
      </c>
      <c r="E47" s="189">
        <f>IF('Excess_Workload (2)'!C9="","",'Excess_Workload (2)'!C9)</f>
        <v>2</v>
      </c>
      <c r="F47" s="189">
        <f>IF('Excess_Workload (2)'!E9="","",'Excess_Workload (2)'!E9)</f>
        <v>2</v>
      </c>
      <c r="G47" s="244">
        <f>IF('Excess_Workload (2)'!D9="","",'Excess_Workload (2)'!D9)</f>
        <v>126</v>
      </c>
      <c r="H47" s="244"/>
      <c r="I47" s="194"/>
    </row>
    <row r="48" spans="1:9" x14ac:dyDescent="0.25">
      <c r="A48" s="228"/>
      <c r="B48" s="179"/>
      <c r="C48" s="184"/>
      <c r="D48" s="189" t="str">
        <f>IF('Excess_Workload (2)'!B10="","",'Excess_Workload (2)'!B10)</f>
        <v>ESM591</v>
      </c>
      <c r="E48" s="189">
        <f>IF('Excess_Workload (2)'!C10="","",'Excess_Workload (2)'!C10)</f>
        <v>2</v>
      </c>
      <c r="F48" s="189">
        <f>IF('Excess_Workload (2)'!E10="","",'Excess_Workload (2)'!E10)</f>
        <v>1</v>
      </c>
      <c r="G48" s="244">
        <f>IF('Excess_Workload (2)'!D10="","",'Excess_Workload (2)'!D10)</f>
        <v>94</v>
      </c>
      <c r="H48" s="244"/>
      <c r="I48" s="194"/>
    </row>
    <row r="49" spans="1:9" x14ac:dyDescent="0.25">
      <c r="A49" s="228"/>
      <c r="B49" s="190">
        <f>'Excess_Workload (2)'!$E$50</f>
        <v>334166.66666666669</v>
      </c>
      <c r="C49" s="184"/>
      <c r="D49" s="189" t="str">
        <f>IF('Excess_Workload (2)'!B11="","",'Excess_Workload (2)'!B11)</f>
        <v>ESM531</v>
      </c>
      <c r="E49" s="189">
        <f>IF('Excess_Workload (2)'!C11="","",'Excess_Workload (2)'!C11)</f>
        <v>2</v>
      </c>
      <c r="F49" s="189">
        <f>IF('Excess_Workload (2)'!E11="","",'Excess_Workload (2)'!E11)</f>
        <v>1</v>
      </c>
      <c r="G49" s="244">
        <f>IF('Excess_Workload (2)'!D11="","",'Excess_Workload (2)'!D11)</f>
        <v>115</v>
      </c>
      <c r="H49" s="244"/>
      <c r="I49" s="194"/>
    </row>
    <row r="50" spans="1:9" x14ac:dyDescent="0.25">
      <c r="A50" s="228"/>
      <c r="B50" s="179"/>
      <c r="C50" s="184"/>
      <c r="D50" s="189" t="str">
        <f>IF('Excess_Workload (2)'!B12="","",'Excess_Workload (2)'!B12)</f>
        <v/>
      </c>
      <c r="E50" s="189" t="str">
        <f>IF('Excess_Workload (2)'!C12="","",'Excess_Workload (2)'!C12)</f>
        <v/>
      </c>
      <c r="F50" s="189" t="str">
        <f>IF('Excess_Workload (2)'!E12="","",'Excess_Workload (2)'!E12)</f>
        <v/>
      </c>
      <c r="G50" s="244" t="str">
        <f>IF('Excess_Workload (2)'!D12="","",'Excess_Workload (2)'!D12)</f>
        <v/>
      </c>
      <c r="H50" s="244"/>
      <c r="I50" s="194"/>
    </row>
    <row r="51" spans="1:9" x14ac:dyDescent="0.25">
      <c r="A51" s="228"/>
      <c r="B51" s="179"/>
      <c r="C51" s="184"/>
      <c r="D51" s="189" t="str">
        <f>IF('Excess_Workload (2)'!B13="","",'Excess_Workload (2)'!B13)</f>
        <v/>
      </c>
      <c r="E51" s="189" t="str">
        <f>IF('Excess_Workload (2)'!C13="","",'Excess_Workload (2)'!C13)</f>
        <v/>
      </c>
      <c r="F51" s="189" t="str">
        <f>IF('Excess_Workload (2)'!E13="","",'Excess_Workload (2)'!E13)</f>
        <v/>
      </c>
      <c r="G51" s="244" t="str">
        <f>IF('Excess_Workload (2)'!D13="","",'Excess_Workload (2)'!D13)</f>
        <v/>
      </c>
      <c r="H51" s="244"/>
      <c r="I51" s="194"/>
    </row>
    <row r="52" spans="1:9" x14ac:dyDescent="0.25">
      <c r="A52" s="228"/>
      <c r="B52" s="179"/>
      <c r="C52" s="184"/>
      <c r="D52" s="189" t="str">
        <f>IF('Excess_Workload (2)'!B14="","",'Excess_Workload (2)'!B14)</f>
        <v/>
      </c>
      <c r="E52" s="189" t="str">
        <f>IF('Excess_Workload (2)'!C14="","",'Excess_Workload (2)'!C14)</f>
        <v/>
      </c>
      <c r="F52" s="189" t="str">
        <f>IF('Excess_Workload (2)'!E14="","",'Excess_Workload (2)'!E14)</f>
        <v/>
      </c>
      <c r="G52" s="244" t="str">
        <f>IF('Excess_Workload (2)'!D14="","",'Excess_Workload (2)'!D14)</f>
        <v/>
      </c>
      <c r="H52" s="244"/>
      <c r="I52" s="194"/>
    </row>
    <row r="53" spans="1:9" x14ac:dyDescent="0.25">
      <c r="A53" s="228"/>
      <c r="B53" s="179"/>
      <c r="C53" s="184"/>
      <c r="D53" s="189" t="str">
        <f>IF('Excess_Workload (2)'!B15="","",'Excess_Workload (2)'!B15)</f>
        <v/>
      </c>
      <c r="E53" s="189" t="str">
        <f>IF('Excess_Workload (2)'!C15="","",'Excess_Workload (2)'!C15)</f>
        <v/>
      </c>
      <c r="F53" s="189" t="str">
        <f>IF('Excess_Workload (2)'!E15="","",'Excess_Workload (2)'!E15)</f>
        <v/>
      </c>
      <c r="G53" s="244" t="str">
        <f>IF('Excess_Workload (2)'!D15="","",'Excess_Workload (2)'!D15)</f>
        <v/>
      </c>
      <c r="H53" s="244"/>
      <c r="I53" s="194"/>
    </row>
    <row r="54" spans="1:9" x14ac:dyDescent="0.25">
      <c r="A54" s="228"/>
      <c r="B54" s="179"/>
      <c r="C54" s="184"/>
      <c r="D54" s="189" t="str">
        <f>IF('Excess_Workload (2)'!B16="","",'Excess_Workload (2)'!B16)</f>
        <v/>
      </c>
      <c r="E54" s="189" t="str">
        <f>IF('Excess_Workload (2)'!C16="","",'Excess_Workload (2)'!C16)</f>
        <v/>
      </c>
      <c r="F54" s="189" t="str">
        <f>IF('Excess_Workload (2)'!E16="","",'Excess_Workload (2)'!E16)</f>
        <v/>
      </c>
      <c r="G54" s="244" t="str">
        <f>IF('Excess_Workload (2)'!D16="","",'Excess_Workload (2)'!D16)</f>
        <v/>
      </c>
      <c r="H54" s="244"/>
      <c r="I54" s="194"/>
    </row>
    <row r="55" spans="1:9" x14ac:dyDescent="0.25">
      <c r="A55" s="228"/>
      <c r="B55" s="179"/>
      <c r="C55" s="184"/>
      <c r="D55" s="189" t="str">
        <f>IF('Excess_Workload (2)'!B17="","",'Excess_Workload (2)'!B17)</f>
        <v/>
      </c>
      <c r="E55" s="189" t="str">
        <f>IF('Excess_Workload (2)'!C17="","",'Excess_Workload (2)'!C17)</f>
        <v/>
      </c>
      <c r="F55" s="189" t="str">
        <f>IF('Excess_Workload (2)'!E17="","",'Excess_Workload (2)'!E17)</f>
        <v/>
      </c>
      <c r="G55" s="244" t="str">
        <f>IF('Excess_Workload (2)'!D17="","",'Excess_Workload (2)'!D17)</f>
        <v/>
      </c>
      <c r="H55" s="244"/>
      <c r="I55" s="194"/>
    </row>
    <row r="56" spans="1:9" x14ac:dyDescent="0.25">
      <c r="A56" s="228"/>
      <c r="B56" s="179"/>
      <c r="C56" s="184"/>
      <c r="D56" s="189" t="str">
        <f>IF('Excess_Workload (2)'!B18="","",'Excess_Workload (2)'!B18)</f>
        <v/>
      </c>
      <c r="E56" s="189" t="str">
        <f>IF('Excess_Workload (2)'!C18="","",'Excess_Workload (2)'!C18)</f>
        <v/>
      </c>
      <c r="F56" s="189" t="str">
        <f>IF('Excess_Workload (2)'!E18="","",'Excess_Workload (2)'!E18)</f>
        <v/>
      </c>
      <c r="G56" s="244" t="str">
        <f>IF('Excess_Workload (2)'!D18="","",'Excess_Workload (2)'!D18)</f>
        <v/>
      </c>
      <c r="H56" s="244"/>
      <c r="I56" s="194"/>
    </row>
    <row r="57" spans="1:9" x14ac:dyDescent="0.25">
      <c r="A57" s="228"/>
      <c r="B57" s="179"/>
      <c r="C57" s="184"/>
      <c r="D57" s="189" t="str">
        <f>IF('Excess_Workload (2)'!B19="","",'Excess_Workload (2)'!B19)</f>
        <v/>
      </c>
      <c r="E57" s="189" t="str">
        <f>IF('Excess_Workload (2)'!C19="","",'Excess_Workload (2)'!C19)</f>
        <v/>
      </c>
      <c r="F57" s="189" t="str">
        <f>IF('Excess_Workload (2)'!E19="","",'Excess_Workload (2)'!E19)</f>
        <v/>
      </c>
      <c r="G57" s="244" t="str">
        <f>IF('Excess_Workload (2)'!D19="","",'Excess_Workload (2)'!D19)</f>
        <v/>
      </c>
      <c r="H57" s="244"/>
      <c r="I57" s="194"/>
    </row>
    <row r="58" spans="1:9" x14ac:dyDescent="0.25">
      <c r="A58" s="228"/>
      <c r="B58" s="181"/>
      <c r="C58" s="187"/>
      <c r="D58" s="189" t="str">
        <f>IF('Excess_Workload (2)'!B20="","",'Excess_Workload (2)'!B20)</f>
        <v/>
      </c>
      <c r="E58" s="189" t="str">
        <f>IF('Excess_Workload (2)'!C20="","",'Excess_Workload (2)'!C20)</f>
        <v/>
      </c>
      <c r="F58" s="189" t="str">
        <f>IF('Excess_Workload (2)'!E20="","",'Excess_Workload (2)'!E20)</f>
        <v/>
      </c>
      <c r="G58" s="244" t="str">
        <f>IF('Excess_Workload (2)'!D20="","",'Excess_Workload (2)'!D20)</f>
        <v/>
      </c>
      <c r="H58" s="244"/>
      <c r="I58" s="195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 t="s">
        <v>372</v>
      </c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</sheetData>
  <sheetProtection password="E9BA" sheet="1" scenarios="1" formatCells="0" formatColumns="0" formatRows="0" insertRows="0" deleteRows="0"/>
  <mergeCells count="81">
    <mergeCell ref="A45:A58"/>
    <mergeCell ref="B45:B46"/>
    <mergeCell ref="G46:H46"/>
    <mergeCell ref="G47:H47"/>
    <mergeCell ref="G48:H48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54:H54"/>
    <mergeCell ref="D33:E33"/>
    <mergeCell ref="G33:H33"/>
    <mergeCell ref="A34:A35"/>
    <mergeCell ref="D34:G34"/>
    <mergeCell ref="D35:H35"/>
    <mergeCell ref="A17:A33"/>
    <mergeCell ref="B17:B22"/>
    <mergeCell ref="D30:E30"/>
    <mergeCell ref="G30:H30"/>
    <mergeCell ref="D31:E31"/>
    <mergeCell ref="G31:H31"/>
    <mergeCell ref="D32:E32"/>
    <mergeCell ref="G32:H32"/>
    <mergeCell ref="D27:E27"/>
    <mergeCell ref="G27:H27"/>
    <mergeCell ref="D28:E28"/>
    <mergeCell ref="A36:A44"/>
    <mergeCell ref="B36:B37"/>
    <mergeCell ref="D37:G37"/>
    <mergeCell ref="D38:G38"/>
    <mergeCell ref="D39:G39"/>
    <mergeCell ref="D40:G40"/>
    <mergeCell ref="D41:G41"/>
    <mergeCell ref="D42:G42"/>
    <mergeCell ref="D43:G43"/>
    <mergeCell ref="D44:G44"/>
    <mergeCell ref="G28:H28"/>
    <mergeCell ref="D29:E29"/>
    <mergeCell ref="G29:H29"/>
    <mergeCell ref="D24:E24"/>
    <mergeCell ref="G24:H24"/>
    <mergeCell ref="D25:E25"/>
    <mergeCell ref="G25:H25"/>
    <mergeCell ref="D26:E26"/>
    <mergeCell ref="G26:H26"/>
    <mergeCell ref="D23:E23"/>
    <mergeCell ref="G23:H23"/>
    <mergeCell ref="G15:H15"/>
    <mergeCell ref="D16:E16"/>
    <mergeCell ref="G16:H16"/>
    <mergeCell ref="D18:E18"/>
    <mergeCell ref="G18:H18"/>
    <mergeCell ref="D19:E19"/>
    <mergeCell ref="G19:H19"/>
    <mergeCell ref="D20:E20"/>
    <mergeCell ref="G20:H20"/>
    <mergeCell ref="D21:E21"/>
    <mergeCell ref="G21:H21"/>
    <mergeCell ref="D22:E22"/>
    <mergeCell ref="G22:H22"/>
    <mergeCell ref="G14:H14"/>
    <mergeCell ref="D1:E1"/>
    <mergeCell ref="D2:F2"/>
    <mergeCell ref="D3:E3"/>
    <mergeCell ref="D4:E4"/>
    <mergeCell ref="D6:E6"/>
    <mergeCell ref="G11:H11"/>
    <mergeCell ref="D12:E12"/>
    <mergeCell ref="G12:H12"/>
    <mergeCell ref="D13:E13"/>
    <mergeCell ref="G13:H13"/>
    <mergeCell ref="A10:A16"/>
    <mergeCell ref="B10:B15"/>
    <mergeCell ref="D11:E11"/>
    <mergeCell ref="D15:E15"/>
    <mergeCell ref="D14:E14"/>
  </mergeCells>
  <dataValidations count="1">
    <dataValidation type="list" allowBlank="1" showInputMessage="1" showErrorMessage="1" sqref="D35:H35">
      <formula1>"Not Applicable,Photocopy Herewith Attached"</formula1>
    </dataValidation>
  </dataValidations>
  <pageMargins left="0.70866141732283472" right="0.70866141732283472" top="1.5354330708661419" bottom="0.74803149606299213" header="0.31496062992125984" footer="0.31496062992125984"/>
  <pageSetup paperSize="9" orientation="landscape" verticalDpi="0" r:id="rId1"/>
  <headerFooter>
    <oddHeader>&amp;C&amp;"Times New Roman,Regular"&amp;22IMPLEMENTATION MONITORING COMMITTEE
EARNED ALLOWANCES FORM&amp;"-,Regular"&amp;11
&amp;"Times New Roman,Bold"&amp;12(To be completed by Academic Staff Only)</oddHeader>
    <oddFooter>&amp;C&amp;P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F0"/>
  </sheetPr>
  <dimension ref="A1:O116"/>
  <sheetViews>
    <sheetView zoomScale="115" zoomScaleNormal="115" workbookViewId="0">
      <selection activeCell="B12" sqref="B12"/>
    </sheetView>
  </sheetViews>
  <sheetFormatPr defaultRowHeight="15" x14ac:dyDescent="0.25"/>
  <cols>
    <col min="1" max="1" width="3" style="2" bestFit="1" customWidth="1"/>
    <col min="2" max="2" width="13" style="2" customWidth="1"/>
    <col min="3" max="3" width="21.7109375" style="2" customWidth="1"/>
    <col min="4" max="4" width="7.7109375" style="2" bestFit="1" customWidth="1"/>
    <col min="5" max="5" width="18.42578125" style="2" customWidth="1"/>
    <col min="6" max="6" width="18.42578125" style="2" bestFit="1" customWidth="1"/>
    <col min="7" max="7" width="16.85546875" style="2" bestFit="1" customWidth="1"/>
    <col min="8" max="8" width="10.5703125" style="2" customWidth="1"/>
    <col min="9" max="9" width="11" style="3" bestFit="1" customWidth="1"/>
    <col min="10" max="10" width="9.85546875" style="2" customWidth="1"/>
    <col min="11" max="11" width="10" style="4" customWidth="1"/>
    <col min="12" max="16384" width="9.140625" style="2"/>
  </cols>
  <sheetData>
    <row r="1" spans="1:15" x14ac:dyDescent="0.25">
      <c r="A1" s="2" t="s">
        <v>0</v>
      </c>
      <c r="B1" s="225" t="s">
        <v>1</v>
      </c>
      <c r="C1" s="225"/>
      <c r="H1" s="3"/>
      <c r="I1" s="2"/>
      <c r="J1" s="4"/>
      <c r="K1" s="2"/>
    </row>
    <row r="2" spans="1:15" ht="15.75" x14ac:dyDescent="0.25">
      <c r="B2" s="16" t="s">
        <v>2</v>
      </c>
      <c r="C2" s="214" t="s">
        <v>393</v>
      </c>
      <c r="D2" s="214"/>
      <c r="E2" s="214"/>
      <c r="F2" s="16" t="s">
        <v>3</v>
      </c>
      <c r="G2" s="100" t="str">
        <f>IF(LOOKUP($C$2,Staff_List!$A$4:$A$53,Staff_List!$B$4:$B$53)="","",LOOKUP($C$2,Staff_List!$A$4:$A$53,Staff_List!$B$4:$B$53))</f>
        <v>A7581</v>
      </c>
      <c r="H2" s="16" t="s">
        <v>4</v>
      </c>
      <c r="I2" s="224" t="s">
        <v>103</v>
      </c>
      <c r="J2" s="224"/>
      <c r="K2" s="75"/>
      <c r="L2" s="5"/>
      <c r="M2" s="5"/>
      <c r="N2" s="6"/>
      <c r="O2" s="6"/>
    </row>
    <row r="3" spans="1:15" x14ac:dyDescent="0.25">
      <c r="G3" s="3"/>
      <c r="I3" s="2"/>
      <c r="J3" s="44"/>
      <c r="K3" s="44"/>
    </row>
    <row r="4" spans="1:15" x14ac:dyDescent="0.25">
      <c r="B4" s="16" t="s">
        <v>35</v>
      </c>
      <c r="C4" s="224" t="s">
        <v>146</v>
      </c>
      <c r="D4" s="224"/>
      <c r="E4" s="224"/>
      <c r="F4" s="16" t="s">
        <v>5</v>
      </c>
      <c r="G4" s="99" t="s">
        <v>488</v>
      </c>
      <c r="H4" s="16" t="s">
        <v>6</v>
      </c>
      <c r="I4" s="76" t="s">
        <v>61</v>
      </c>
      <c r="J4" s="101"/>
      <c r="K4" s="75"/>
      <c r="L4" s="5"/>
      <c r="M4" s="6"/>
      <c r="N4" s="6"/>
    </row>
    <row r="5" spans="1:15" customFormat="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</row>
    <row r="6" spans="1:15" x14ac:dyDescent="0.25">
      <c r="K6" s="44"/>
    </row>
    <row r="7" spans="1:15" ht="15.75" x14ac:dyDescent="0.25">
      <c r="A7" s="7" t="s">
        <v>7</v>
      </c>
      <c r="B7" s="211" t="s">
        <v>8</v>
      </c>
      <c r="C7" s="211"/>
      <c r="D7" s="7"/>
      <c r="E7" s="7"/>
      <c r="F7" s="7"/>
      <c r="G7" s="7"/>
      <c r="H7" s="7"/>
      <c r="I7" s="8"/>
      <c r="J7" s="7"/>
    </row>
    <row r="8" spans="1:15" ht="50.25" customHeight="1" x14ac:dyDescent="0.25">
      <c r="B8" s="18" t="str">
        <f>IF($I$2="Library","","Course Code")</f>
        <v>Course Code</v>
      </c>
      <c r="C8" s="18" t="str">
        <f>IF($I$2="Library","Credit Unit (hrs)        (a)","Credit weight     (a)")</f>
        <v>Credit weight     (a)</v>
      </c>
      <c r="D8" s="18" t="str">
        <f>IF($I$2="Library","Students Enrolment  (b)","Students Enrolment (b)")</f>
        <v>Students Enrolment (b)</v>
      </c>
      <c r="E8" s="18" t="str">
        <f>IF($I$2="Library","No. of Librarians Available               (n)","No. of Lecturer     (n)")</f>
        <v>No. of Lecturer     (n)</v>
      </c>
      <c r="F8" s="18" t="str">
        <f>IF($I$2="Library","Librarians Required     (r)","Ratio of Teaching (r) ")</f>
        <v xml:space="preserve">Ratio of Teaching (r) </v>
      </c>
      <c r="G8" s="18" t="str">
        <f>IF($I$2="Library","Librarians Load      M = r - n","Students Load          M = b x r")</f>
        <v>Students Load          M = b x r</v>
      </c>
      <c r="H8" s="18" t="str">
        <f>IF($I$2="Library","Excess Workload Units","Credits Load        H = a x L")</f>
        <v>Credits Load        H = a x L</v>
      </c>
      <c r="I8" s="9"/>
      <c r="J8" s="10"/>
      <c r="K8" s="2"/>
    </row>
    <row r="9" spans="1:15" ht="15.75" customHeight="1" x14ac:dyDescent="0.25">
      <c r="B9" s="208" t="s">
        <v>467</v>
      </c>
      <c r="C9" s="17">
        <f>IF($B9="","",IF($I$4="2008/2009",VLOOKUP($B9,Courses_List!$A$3:$T$102,2,FALSE),IF($I$4="2009/2010",VLOOKUP($B9,Courses_List!$E$3:$F$102,2,FALSE),IF($I$4="2010/2011",VLOOKUP($B9,Courses_List!$I$3:$J$102,2,FALSE),IF($I$4="2011/2012",VLOOKUP($B9,Courses_List!$M$3:$N$102,2,FALSE),IF($I$4="2012/2013",VLOOKUP($B9,Courses_List!$Q$3:$R$102,2,FALSE),"INVALID"))))))</f>
        <v>2</v>
      </c>
      <c r="D9" s="17">
        <f>IF($B9="","",IF($I$4="2008/2009",VLOOKUP($B9,Courses_List!$A$3:$C$102,3,FALSE),IF($I$4="2009/2010",VLOOKUP($B9,Courses_List!$E$3:$G$102,3,FALSE),IF($I$4="2010/2011",VLOOKUP($B9,Courses_List!$I$3:$K$102,3,FALSE),IF($I$4="2011/2012",VLOOKUP($B9,Courses_List!$M$3:$O$102,3,FALSE),IF($I$4="2012/2013",VLOOKUP($B9,Courses_List!$Q$3:$S$102,3,FALSE),"INVALID"))))))</f>
        <v>126</v>
      </c>
      <c r="E9" s="17">
        <f>IF($B9="","",IF($I$4="2008/2009",VLOOKUP($B9,Courses_List!$A$3:$D$102,4,FALSE),IF($I$4="2009/2010",VLOOKUP($B9,Courses_List!$E$3:$H$102,4,FALSE),IF($I$4="2010/2011",VLOOKUP($B9,Courses_List!$I$3:$L$102,4,FALSE),IF($I$4="2011/2012",VLOOKUP($B9,Courses_List!$M$3:$P$102,4,FALSE),IF($I$4="2012/2013",VLOOKUP($B9,Courses_List!$Q$3:$T$102,4,FALSE),"INVALID"))))))</f>
        <v>2</v>
      </c>
      <c r="F9" s="78">
        <f>IF($E9="","",1/$E9)</f>
        <v>0.5</v>
      </c>
      <c r="G9" s="17">
        <f>IF(OR($D9="",$E9="",$F9=""),"",$D9*$F9)</f>
        <v>63</v>
      </c>
      <c r="H9" s="17">
        <f>IF(OR($B9="",$C9=""),"",MID($B9,4,1)*$C9)</f>
        <v>8</v>
      </c>
      <c r="I9" s="8"/>
      <c r="J9" s="12"/>
      <c r="K9" s="2"/>
    </row>
    <row r="10" spans="1:15" ht="15.75" x14ac:dyDescent="0.25">
      <c r="B10" s="208" t="s">
        <v>477</v>
      </c>
      <c r="C10" s="17">
        <f>IF($B10="","",IF($I$4="2008/2009",VLOOKUP($B10,Courses_List!$A$3:$T$102,2,FALSE),IF($I$4="2009/2010",VLOOKUP($B10,Courses_List!$E$3:$F$102,2,FALSE),IF($I$4="2010/2011",VLOOKUP($B10,Courses_List!$I$3:$J$102,2,FALSE),IF($I$4="2011/2012",VLOOKUP($B10,Courses_List!$M$3:$N$102,2,FALSE),IF($I$4="2012/2013",VLOOKUP($B10,Courses_List!$Q$3:$R$102,2,FALSE),"INVALID"))))))</f>
        <v>2</v>
      </c>
      <c r="D10" s="17">
        <f>IF($B10="","",IF($I$4="2008/2009",VLOOKUP($B10,Courses_List!$A$3:$C$102,3,FALSE),IF($I$4="2009/2010",VLOOKUP($B10,Courses_List!$E$3:$G$102,3,FALSE),IF($I$4="2010/2011",VLOOKUP($B10,Courses_List!$I$3:$K$102,3,FALSE),IF($I$4="2011/2012",VLOOKUP($B10,Courses_List!$M$3:$O$102,3,FALSE),IF($I$4="2012/2013",VLOOKUP($B10,Courses_List!$Q$3:$S$102,3,FALSE),"INVALID"))))))</f>
        <v>94</v>
      </c>
      <c r="E10" s="17">
        <f>IF($B10="","",IF($I$4="2008/2009",VLOOKUP($B10,Courses_List!$A$3:$D$102,4,FALSE),IF($I$4="2009/2010",VLOOKUP($B10,Courses_List!$E$3:$H$102,4,FALSE),IF($I$4="2010/2011",VLOOKUP($B10,Courses_List!$I$3:$L$102,4,FALSE),IF($I$4="2011/2012",VLOOKUP($B10,Courses_List!$M$3:$P$102,4,FALSE),IF($I$4="2012/2013",VLOOKUP($B10,Courses_List!$Q$3:$T$102,4,FALSE),"INVALID"))))))</f>
        <v>1</v>
      </c>
      <c r="F10" s="78">
        <f>IF($E10="","",1/$E10)</f>
        <v>1</v>
      </c>
      <c r="G10" s="17">
        <f t="shared" ref="G10:G28" si="0">IF(OR($D10="",$E10="",$F10=""),"",$D10*$F10)</f>
        <v>94</v>
      </c>
      <c r="H10" s="17">
        <f t="shared" ref="H10:H28" si="1">IF(OR($B10="",$C10=""),"",MID($B10,4,1)*$C10)</f>
        <v>10</v>
      </c>
      <c r="I10" s="8"/>
      <c r="J10" s="12"/>
      <c r="K10" s="2"/>
    </row>
    <row r="11" spans="1:15" ht="15.75" x14ac:dyDescent="0.25">
      <c r="B11" s="208" t="s">
        <v>476</v>
      </c>
      <c r="C11" s="17">
        <f>IF($B11="","",IF($I$4="2008/2009",VLOOKUP($B11,Courses_List!$A$3:$T$102,2,FALSE),IF($I$4="2009/2010",VLOOKUP($B11,Courses_List!$E$3:$F$102,2,FALSE),IF($I$4="2010/2011",VLOOKUP($B11,Courses_List!$I$3:$J$102,2,FALSE),IF($I$4="2011/2012",VLOOKUP($B11,Courses_List!$M$3:$N$102,2,FALSE),IF($I$4="2012/2013",VLOOKUP($B11,Courses_List!$Q$3:$R$102,2,FALSE),"INVALID"))))))</f>
        <v>2</v>
      </c>
      <c r="D11" s="17">
        <f>IF($B11="","",IF($I$4="2008/2009",VLOOKUP($B11,Courses_List!$A$3:$C$102,3,FALSE),IF($I$4="2009/2010",VLOOKUP($B11,Courses_List!$E$3:$G$102,3,FALSE),IF($I$4="2010/2011",VLOOKUP($B11,Courses_List!$I$3:$K$102,3,FALSE),IF($I$4="2011/2012",VLOOKUP($B11,Courses_List!$M$3:$O$102,3,FALSE),IF($I$4="2012/2013",VLOOKUP($B11,Courses_List!$Q$3:$S$102,3,FALSE),"INVALID"))))))</f>
        <v>115</v>
      </c>
      <c r="E11" s="17">
        <f>IF($B11="","",IF($I$4="2008/2009",VLOOKUP($B11,Courses_List!$A$3:$D$102,4,FALSE),IF($I$4="2009/2010",VLOOKUP($B11,Courses_List!$E$3:$H$102,4,FALSE),IF($I$4="2010/2011",VLOOKUP($B11,Courses_List!$I$3:$L$102,4,FALSE),IF($I$4="2011/2012",VLOOKUP($B11,Courses_List!$M$3:$P$102,4,FALSE),IF($I$4="2012/2013",VLOOKUP($B11,Courses_List!$Q$3:$T$102,4,FALSE),"INVALID"))))))</f>
        <v>1</v>
      </c>
      <c r="F11" s="78">
        <f>IF($E11="","",1/$E11)</f>
        <v>1</v>
      </c>
      <c r="G11" s="17">
        <f t="shared" si="0"/>
        <v>115</v>
      </c>
      <c r="H11" s="17">
        <f t="shared" si="1"/>
        <v>10</v>
      </c>
      <c r="I11" s="8"/>
      <c r="J11" s="12"/>
      <c r="K11" s="2"/>
    </row>
    <row r="12" spans="1:15" ht="15.75" x14ac:dyDescent="0.25">
      <c r="B12" s="208"/>
      <c r="C12" s="17" t="str">
        <f>IF($B12="","",IF($I$4="2008/2009",VLOOKUP($B12,Courses_List!$A$3:$T$102,2,FALSE),IF($I$4="2009/2010",VLOOKUP($B12,Courses_List!$E$3:$F$102,2,FALSE),IF($I$4="2010/2011",VLOOKUP($B12,Courses_List!$I$3:$J$102,2,FALSE),IF($I$4="2011/2012",VLOOKUP($B12,Courses_List!$M$3:$N$102,2,FALSE),IF($I$4="2012/2013",VLOOKUP($B12,Courses_List!$Q$3:$R$102,2,FALSE),"INVALID"))))))</f>
        <v/>
      </c>
      <c r="D12" s="17" t="str">
        <f>IF($B12="","",IF($I$4="2008/2009",VLOOKUP($B12,Courses_List!$A$3:$C$102,3,FALSE),IF($I$4="2009/2010",VLOOKUP($B12,Courses_List!$E$3:$G$102,3,FALSE),IF($I$4="2010/2011",VLOOKUP($B12,Courses_List!$I$3:$K$102,3,FALSE),IF($I$4="2011/2012",VLOOKUP($B12,Courses_List!$M$3:$O$102,3,FALSE),IF($I$4="2012/2013",VLOOKUP($B12,Courses_List!$Q$3:$S$102,3,FALSE),"INVALID"))))))</f>
        <v/>
      </c>
      <c r="E12" s="17" t="str">
        <f>IF($B12="","",IF($I$4="2008/2009",VLOOKUP($B12,Courses_List!$A$3:$D$102,4,FALSE),IF($I$4="2009/2010",VLOOKUP($B12,Courses_List!$E$3:$H$102,4,FALSE),IF($I$4="2010/2011",VLOOKUP($B12,Courses_List!$I$3:$L$102,4,FALSE),IF($I$4="2011/2012",VLOOKUP($B12,Courses_List!$M$3:$P$102,4,FALSE),IF($I$4="2012/2013",VLOOKUP($B12,Courses_List!$Q$3:$T$102,4,FALSE),"INVALID"))))))</f>
        <v/>
      </c>
      <c r="F12" s="78" t="str">
        <f>IF($E12="","",1/$E12)</f>
        <v/>
      </c>
      <c r="G12" s="17" t="str">
        <f t="shared" si="0"/>
        <v/>
      </c>
      <c r="H12" s="17" t="str">
        <f t="shared" si="1"/>
        <v/>
      </c>
      <c r="I12" s="8"/>
      <c r="J12" s="12"/>
      <c r="K12" s="2"/>
    </row>
    <row r="13" spans="1:15" ht="15.75" x14ac:dyDescent="0.25">
      <c r="B13" s="77"/>
      <c r="C13" s="17" t="str">
        <f>IF($B13="","",IF($I$4="2008/2009",VLOOKUP($B13,Courses_List!$A$3:$T$102,2,FALSE),IF($I$4="2009/2010",VLOOKUP($B13,Courses_List!$E$3:$F$102,2,FALSE),IF($I$4="2010/2011",VLOOKUP($B13,Courses_List!$I$3:$J$102,2,FALSE),IF($I$4="2011/2012",VLOOKUP($B13,Courses_List!$M$3:$N$102,2,FALSE),IF($I$4="2012/2013",VLOOKUP($B13,Courses_List!$Q$3:$R$102,2,FALSE),"INVALID"))))))</f>
        <v/>
      </c>
      <c r="D13" s="17" t="str">
        <f>IF($B13="","",IF($I$4="2008/2009",VLOOKUP($B13,Courses_List!$A$3:$C$102,3,FALSE),IF($I$4="2009/2010",VLOOKUP($B13,Courses_List!$E$3:$G$102,3,FALSE),IF($I$4="2010/2011",VLOOKUP($B13,Courses_List!$I$3:$K$102,3,FALSE),IF($I$4="2011/2012",VLOOKUP($B13,Courses_List!$M$3:$O$102,3,FALSE),IF($I$4="2012/2013",VLOOKUP($B13,Courses_List!$Q$3:$S$102,3,FALSE),"INVALID"))))))</f>
        <v/>
      </c>
      <c r="E13" s="17" t="str">
        <f>IF($B13="","",IF($I$4="2008/2009",VLOOKUP($B13,Courses_List!$A$3:$D$102,4,FALSE),IF($I$4="2009/2010",VLOOKUP($B13,Courses_List!$E$3:$H$102,4,FALSE),IF($I$4="2010/2011",VLOOKUP($B13,Courses_List!$I$3:$L$102,4,FALSE),IF($I$4="2011/2012",VLOOKUP($B13,Courses_List!$M$3:$P$102,4,FALSE),IF($I$4="2012/2013",VLOOKUP($B13,Courses_List!$Q$3:$T$102,4,FALSE),"INVALID"))))))</f>
        <v/>
      </c>
      <c r="F13" s="78" t="str">
        <f>IF($E13="","",1/$E13)</f>
        <v/>
      </c>
      <c r="G13" s="17" t="str">
        <f t="shared" si="0"/>
        <v/>
      </c>
      <c r="H13" s="17" t="str">
        <f t="shared" si="1"/>
        <v/>
      </c>
      <c r="I13" s="8"/>
      <c r="J13" s="12"/>
      <c r="K13" s="2"/>
    </row>
    <row r="14" spans="1:15" ht="15.75" x14ac:dyDescent="0.25">
      <c r="B14" s="77"/>
      <c r="C14" s="17" t="str">
        <f>IF($B14="","",IF($I$4="2008/2009",VLOOKUP($B14,Courses_List!$A$3:$T$102,2,FALSE),IF($I$4="2009/2010",VLOOKUP($B14,Courses_List!$E$3:$F$102,2,FALSE),IF($I$4="2010/2011",VLOOKUP($B14,Courses_List!$I$3:$J$102,2,FALSE),IF($I$4="2011/2012",VLOOKUP($B14,Courses_List!$M$3:$N$102,2,FALSE),IF($I$4="2012/2013",VLOOKUP($B14,Courses_List!$Q$3:$R$102,2,FALSE),"INVALID"))))))</f>
        <v/>
      </c>
      <c r="D14" s="17" t="str">
        <f>IF($B14="","",IF($I$4="2008/2009",VLOOKUP($B14,Courses_List!$A$3:$C$102,3,FALSE),IF($I$4="2009/2010",VLOOKUP($B14,Courses_List!$E$3:$G$102,3,FALSE),IF($I$4="2010/2011",VLOOKUP($B14,Courses_List!$I$3:$K$102,3,FALSE),IF($I$4="2011/2012",VLOOKUP($B14,Courses_List!$M$3:$O$102,3,FALSE),IF($I$4="2012/2013",VLOOKUP($B14,Courses_List!$Q$3:$S$102,3,FALSE),"INVALID"))))))</f>
        <v/>
      </c>
      <c r="E14" s="17" t="str">
        <f>IF($B14="","",IF($I$4="2008/2009",VLOOKUP($B14,Courses_List!$A$3:$D$102,4,FALSE),IF($I$4="2009/2010",VLOOKUP($B14,Courses_List!$E$3:$H$102,4,FALSE),IF($I$4="2010/2011",VLOOKUP($B14,Courses_List!$I$3:$L$102,4,FALSE),IF($I$4="2011/2012",VLOOKUP($B14,Courses_List!$M$3:$P$102,4,FALSE),IF($I$4="2012/2013",VLOOKUP($B14,Courses_List!$Q$3:$T$102,4,FALSE),"INVALID"))))))</f>
        <v/>
      </c>
      <c r="F14" s="78" t="str">
        <f>IF($I$2="Library",IF(OR($C14="",$D14="",$E14=""),"",ROUND($D14/400,0)),IF($E14="","",1/$E14))</f>
        <v/>
      </c>
      <c r="G14" s="17" t="str">
        <f>IF($F14="","",IF($I$2="Library",$F14-$E14,IF(OR($D14="",$E14="",$F14=""),"",$D14*$F14)))</f>
        <v/>
      </c>
      <c r="H14" s="17" t="str">
        <f>IF($I$2="Library",IF(OR($C14="",$D14="",$E14=""),"",$C14*$E14*400*1.3/400),IF(OR($B14="",$C14=""),"",MID($B14,4,1)*$C14))</f>
        <v/>
      </c>
      <c r="I14" s="8"/>
      <c r="J14" s="12"/>
      <c r="K14" s="2"/>
    </row>
    <row r="15" spans="1:15" ht="15.75" x14ac:dyDescent="0.25">
      <c r="B15" s="77"/>
      <c r="C15" s="17" t="str">
        <f>IF($B15="","",IF($I$4="2008/2009",VLOOKUP($B15,Courses_List!$A$3:$T$102,2,FALSE),IF($I$4="2009/2010",VLOOKUP($B15,Courses_List!$E$3:$F$102,2,FALSE),IF($I$4="2010/2011",VLOOKUP($B15,Courses_List!$I$3:$J$102,2,FALSE),IF($I$4="2011/2012",VLOOKUP($B15,Courses_List!$M$3:$N$102,2,FALSE),IF($I$4="2012/2013",VLOOKUP($B15,Courses_List!$Q$3:$R$102,2,FALSE),"INVALID"))))))</f>
        <v/>
      </c>
      <c r="D15" s="17" t="str">
        <f>IF($B15="","",IF($I$4="2008/2009",VLOOKUP($B15,Courses_List!$A$3:$C$102,3,FALSE),IF($I$4="2009/2010",VLOOKUP($B15,Courses_List!$E$3:$G$102,3,FALSE),IF($I$4="2010/2011",VLOOKUP($B15,Courses_List!$I$3:$K$102,3,FALSE),IF($I$4="2011/2012",VLOOKUP($B15,Courses_List!$M$3:$O$102,3,FALSE),IF($I$4="2012/2013",VLOOKUP($B15,Courses_List!$Q$3:$S$102,3,FALSE),"INVALID"))))))</f>
        <v/>
      </c>
      <c r="E15" s="17" t="str">
        <f>IF($B15="","",IF($I$4="2008/2009",VLOOKUP($B15,Courses_List!$A$3:$D$102,4,FALSE),IF($I$4="2009/2010",VLOOKUP($B15,Courses_List!$E$3:$H$102,4,FALSE),IF($I$4="2010/2011",VLOOKUP($B15,Courses_List!$I$3:$L$102,4,FALSE),IF($I$4="2011/2012",VLOOKUP($B15,Courses_List!$M$3:$P$102,4,FALSE),IF($I$4="2012/2013",VLOOKUP($B15,Courses_List!$Q$3:$T$102,4,FALSE),"INVALID"))))))</f>
        <v/>
      </c>
      <c r="F15" s="78" t="str">
        <f t="shared" ref="F15:F28" si="2">IF($E15="","",1/$E15)</f>
        <v/>
      </c>
      <c r="G15" s="17" t="str">
        <f t="shared" si="0"/>
        <v/>
      </c>
      <c r="H15" s="17" t="str">
        <f t="shared" si="1"/>
        <v/>
      </c>
      <c r="I15" s="8"/>
      <c r="J15" s="12"/>
      <c r="K15" s="2"/>
    </row>
    <row r="16" spans="1:15" ht="15.75" x14ac:dyDescent="0.25">
      <c r="B16" s="77"/>
      <c r="C16" s="17" t="str">
        <f>IF($B16="","",IF($I$4="2008/2009",VLOOKUP($B16,Courses_List!$A$3:$T$102,2,FALSE),IF($I$4="2009/2010",VLOOKUP($B16,Courses_List!$E$3:$F$102,2,FALSE),IF($I$4="2010/2011",VLOOKUP($B16,Courses_List!$I$3:$J$102,2,FALSE),IF($I$4="2011/2012",VLOOKUP($B16,Courses_List!$M$3:$N$102,2,FALSE),IF($I$4="2012/2013",VLOOKUP($B16,Courses_List!$Q$3:$R$102,2,FALSE),"INVALID"))))))</f>
        <v/>
      </c>
      <c r="D16" s="17" t="str">
        <f>IF($B16="","",IF($I$4="2008/2009",VLOOKUP($B16,Courses_List!$A$3:$C$102,3,FALSE),IF($I$4="2009/2010",VLOOKUP($B16,Courses_List!$E$3:$G$102,3,FALSE),IF($I$4="2010/2011",VLOOKUP($B16,Courses_List!$I$3:$K$102,3,FALSE),IF($I$4="2011/2012",VLOOKUP($B16,Courses_List!$M$3:$O$102,3,FALSE),IF($I$4="2012/2013",VLOOKUP($B16,Courses_List!$Q$3:$S$102,3,FALSE),"INVALID"))))))</f>
        <v/>
      </c>
      <c r="E16" s="17" t="str">
        <f>IF($B16="","",IF($I$4="2008/2009",VLOOKUP($B16,Courses_List!$A$3:$D$102,4,FALSE),IF($I$4="2009/2010",VLOOKUP($B16,Courses_List!$E$3:$H$102,4,FALSE),IF($I$4="2010/2011",VLOOKUP($B16,Courses_List!$I$3:$L$102,4,FALSE),IF($I$4="2011/2012",VLOOKUP($B16,Courses_List!$M$3:$P$102,4,FALSE),IF($I$4="2012/2013",VLOOKUP($B16,Courses_List!$Q$3:$T$102,4,FALSE),"INVALID"))))))</f>
        <v/>
      </c>
      <c r="F16" s="78" t="str">
        <f t="shared" si="2"/>
        <v/>
      </c>
      <c r="G16" s="17" t="str">
        <f t="shared" si="0"/>
        <v/>
      </c>
      <c r="H16" s="17" t="str">
        <f t="shared" si="1"/>
        <v/>
      </c>
      <c r="I16" s="8"/>
      <c r="J16" s="12"/>
      <c r="K16" s="2"/>
    </row>
    <row r="17" spans="2:11" ht="15.75" x14ac:dyDescent="0.25">
      <c r="B17" s="77"/>
      <c r="C17" s="17" t="str">
        <f>IF($B17="","",IF($I$4="2008/2009",VLOOKUP($B17,Courses_List!$A$3:$T$102,2,FALSE),IF($I$4="2009/2010",VLOOKUP($B17,Courses_List!$E$3:$F$102,2,FALSE),IF($I$4="2010/2011",VLOOKUP($B17,Courses_List!$I$3:$J$102,2,FALSE),IF($I$4="2011/2012",VLOOKUP($B17,Courses_List!$M$3:$N$102,2,FALSE),IF($I$4="2012/2013",VLOOKUP($B17,Courses_List!$Q$3:$R$102,2,FALSE),"INVALID"))))))</f>
        <v/>
      </c>
      <c r="D17" s="17" t="str">
        <f>IF($B17="","",IF($I$4="2008/2009",VLOOKUP($B17,Courses_List!$A$3:$C$102,3,FALSE),IF($I$4="2009/2010",VLOOKUP($B17,Courses_List!$E$3:$G$102,3,FALSE),IF($I$4="2010/2011",VLOOKUP($B17,Courses_List!$I$3:$K$102,3,FALSE),IF($I$4="2011/2012",VLOOKUP($B17,Courses_List!$M$3:$O$102,3,FALSE),IF($I$4="2012/2013",VLOOKUP($B17,Courses_List!$Q$3:$S$102,3,FALSE),"INVALID"))))))</f>
        <v/>
      </c>
      <c r="E17" s="17" t="str">
        <f>IF($B17="","",IF($I$4="2008/2009",VLOOKUP($B17,Courses_List!$A$3:$D$102,4,FALSE),IF($I$4="2009/2010",VLOOKUP($B17,Courses_List!$E$3:$H$102,4,FALSE),IF($I$4="2010/2011",VLOOKUP($B17,Courses_List!$I$3:$L$102,4,FALSE),IF($I$4="2011/2012",VLOOKUP($B17,Courses_List!$M$3:$P$102,4,FALSE),IF($I$4="2012/2013",VLOOKUP($B17,Courses_List!$Q$3:$T$102,4,FALSE),"INVALID"))))))</f>
        <v/>
      </c>
      <c r="F17" s="78" t="str">
        <f t="shared" si="2"/>
        <v/>
      </c>
      <c r="G17" s="17" t="str">
        <f t="shared" si="0"/>
        <v/>
      </c>
      <c r="H17" s="17" t="str">
        <f t="shared" si="1"/>
        <v/>
      </c>
      <c r="I17" s="8"/>
      <c r="J17" s="12"/>
      <c r="K17" s="2"/>
    </row>
    <row r="18" spans="2:11" ht="15.75" x14ac:dyDescent="0.25">
      <c r="B18" s="77"/>
      <c r="C18" s="17" t="str">
        <f>IF($B18="","",IF($I$4="2008/2009",VLOOKUP($B18,Courses_List!$A$3:$T$102,2,FALSE),IF($I$4="2009/2010",VLOOKUP($B18,Courses_List!$E$3:$F$102,2,FALSE),IF($I$4="2010/2011",VLOOKUP($B18,Courses_List!$I$3:$J$102,2,FALSE),IF($I$4="2011/2012",VLOOKUP($B18,Courses_List!$M$3:$N$102,2,FALSE),IF($I$4="2012/2013",VLOOKUP($B18,Courses_List!$Q$3:$R$102,2,FALSE),"INVALID"))))))</f>
        <v/>
      </c>
      <c r="D18" s="17" t="str">
        <f>IF($B18="","",IF($I$4="2008/2009",VLOOKUP($B18,Courses_List!$A$3:$C$102,3,FALSE),IF($I$4="2009/2010",VLOOKUP($B18,Courses_List!$E$3:$G$102,3,FALSE),IF($I$4="2010/2011",VLOOKUP($B18,Courses_List!$I$3:$K$102,3,FALSE),IF($I$4="2011/2012",VLOOKUP($B18,Courses_List!$M$3:$O$102,3,FALSE),IF($I$4="2012/2013",VLOOKUP($B18,Courses_List!$Q$3:$S$102,3,FALSE),"INVALID"))))))</f>
        <v/>
      </c>
      <c r="E18" s="17" t="str">
        <f>IF($B18="","",IF($I$4="2008/2009",VLOOKUP($B18,Courses_List!$A$3:$D$102,4,FALSE),IF($I$4="2009/2010",VLOOKUP($B18,Courses_List!$E$3:$H$102,4,FALSE),IF($I$4="2010/2011",VLOOKUP($B18,Courses_List!$I$3:$L$102,4,FALSE),IF($I$4="2011/2012",VLOOKUP($B18,Courses_List!$M$3:$P$102,4,FALSE),IF($I$4="2012/2013",VLOOKUP($B18,Courses_List!$Q$3:$T$102,4,FALSE),"INVALID"))))))</f>
        <v/>
      </c>
      <c r="F18" s="78" t="str">
        <f t="shared" si="2"/>
        <v/>
      </c>
      <c r="G18" s="17" t="str">
        <f t="shared" si="0"/>
        <v/>
      </c>
      <c r="H18" s="17" t="str">
        <f t="shared" si="1"/>
        <v/>
      </c>
      <c r="I18" s="8"/>
      <c r="J18" s="12"/>
      <c r="K18" s="2"/>
    </row>
    <row r="19" spans="2:11" ht="15.75" customHeight="1" x14ac:dyDescent="0.25">
      <c r="B19" s="77"/>
      <c r="C19" s="17" t="str">
        <f>IF($B19="","",IF($I$4="2008/2009",VLOOKUP($B19,Courses_List!$A$3:$T$102,2,FALSE),IF($I$4="2009/2010",VLOOKUP($B19,Courses_List!$E$3:$F$102,2,FALSE),IF($I$4="2010/2011",VLOOKUP($B19,Courses_List!$I$3:$J$102,2,FALSE),IF($I$4="2011/2012",VLOOKUP($B19,Courses_List!$M$3:$N$102,2,FALSE),IF($I$4="2012/2013",VLOOKUP($B19,Courses_List!$Q$3:$R$102,2,FALSE),"INVALID"))))))</f>
        <v/>
      </c>
      <c r="D19" s="17" t="str">
        <f>IF($B19="","",IF($I$4="2008/2009",VLOOKUP($B19,Courses_List!$A$3:$C$102,3,FALSE),IF($I$4="2009/2010",VLOOKUP($B19,Courses_List!$E$3:$G$102,3,FALSE),IF($I$4="2010/2011",VLOOKUP($B19,Courses_List!$I$3:$K$102,3,FALSE),IF($I$4="2011/2012",VLOOKUP($B19,Courses_List!$M$3:$O$102,3,FALSE),IF($I$4="2012/2013",VLOOKUP($B19,Courses_List!$Q$3:$S$102,3,FALSE),"INVALID"))))))</f>
        <v/>
      </c>
      <c r="E19" s="17" t="str">
        <f>IF($B19="","",IF($I$4="2008/2009",VLOOKUP($B19,Courses_List!$A$3:$D$102,4,FALSE),IF($I$4="2009/2010",VLOOKUP($B19,Courses_List!$E$3:$H$102,4,FALSE),IF($I$4="2010/2011",VLOOKUP($B19,Courses_List!$I$3:$L$102,4,FALSE),IF($I$4="2011/2012",VLOOKUP($B19,Courses_List!$M$3:$P$102,4,FALSE),IF($I$4="2012/2013",VLOOKUP($B19,Courses_List!$Q$3:$T$102,4,FALSE),"INVALID"))))))</f>
        <v/>
      </c>
      <c r="F19" s="78" t="str">
        <f t="shared" si="2"/>
        <v/>
      </c>
      <c r="G19" s="17" t="str">
        <f t="shared" si="0"/>
        <v/>
      </c>
      <c r="H19" s="17" t="str">
        <f t="shared" si="1"/>
        <v/>
      </c>
      <c r="I19" s="8"/>
      <c r="J19" s="12"/>
      <c r="K19" s="2"/>
    </row>
    <row r="20" spans="2:11" ht="15.75" x14ac:dyDescent="0.25">
      <c r="B20" s="77"/>
      <c r="C20" s="17" t="str">
        <f>IF($B20="","",IF($I$4="2008/2009",VLOOKUP($B20,Courses_List!$A$3:$T$102,2,FALSE),IF($I$4="2009/2010",VLOOKUP($B20,Courses_List!$E$3:$F$102,2,FALSE),IF($I$4="2010/2011",VLOOKUP($B20,Courses_List!$I$3:$J$102,2,FALSE),IF($I$4="2011/2012",VLOOKUP($B20,Courses_List!$M$3:$N$102,2,FALSE),IF($I$4="2012/2013",VLOOKUP($B20,Courses_List!$Q$3:$R$102,2,FALSE),"INVALID"))))))</f>
        <v/>
      </c>
      <c r="D20" s="17" t="str">
        <f>IF($B20="","",IF($I$4="2008/2009",VLOOKUP($B20,Courses_List!$A$3:$C$102,3,FALSE),IF($I$4="2009/2010",VLOOKUP($B20,Courses_List!$E$3:$G$102,3,FALSE),IF($I$4="2010/2011",VLOOKUP($B20,Courses_List!$I$3:$K$102,3,FALSE),IF($I$4="2011/2012",VLOOKUP($B20,Courses_List!$M$3:$O$102,3,FALSE),IF($I$4="2012/2013",VLOOKUP($B20,Courses_List!$Q$3:$S$102,3,FALSE),"INVALID"))))))</f>
        <v/>
      </c>
      <c r="E20" s="17" t="str">
        <f>IF($B20="","",IF($I$4="2008/2009",VLOOKUP($B20,Courses_List!$A$3:$D$102,4,FALSE),IF($I$4="2009/2010",VLOOKUP($B20,Courses_List!$E$3:$H$102,4,FALSE),IF($I$4="2010/2011",VLOOKUP($B20,Courses_List!$I$3:$L$102,4,FALSE),IF($I$4="2011/2012",VLOOKUP($B20,Courses_List!$M$3:$P$102,4,FALSE),IF($I$4="2012/2013",VLOOKUP($B20,Courses_List!$Q$3:$T$102,4,FALSE),"INVALID"))))))</f>
        <v/>
      </c>
      <c r="F20" s="78" t="str">
        <f t="shared" si="2"/>
        <v/>
      </c>
      <c r="G20" s="17" t="str">
        <f t="shared" si="0"/>
        <v/>
      </c>
      <c r="H20" s="17" t="str">
        <f t="shared" si="1"/>
        <v/>
      </c>
      <c r="I20" s="8"/>
      <c r="J20" s="12"/>
      <c r="K20" s="2"/>
    </row>
    <row r="21" spans="2:11" ht="15.75" x14ac:dyDescent="0.25">
      <c r="B21" s="77"/>
      <c r="C21" s="17" t="str">
        <f>IF($B21="","",IF($I$4="2008/2009",VLOOKUP($B21,Courses_List!$A$3:$T$102,2,FALSE),IF($I$4="2009/2010",VLOOKUP($B21,Courses_List!$E$3:$F$102,2,FALSE),IF($I$4="2010/2011",VLOOKUP($B21,Courses_List!$I$3:$J$102,2,FALSE),IF($I$4="2011/2012",VLOOKUP($B21,Courses_List!$M$3:$N$102,2,FALSE),IF($I$4="2012/2013",VLOOKUP($B21,Courses_List!$Q$3:$R$102,2,FALSE),"INVALID"))))))</f>
        <v/>
      </c>
      <c r="D21" s="17" t="str">
        <f>IF($B21="","",IF($I$4="2008/2009",VLOOKUP($B21,Courses_List!$A$3:$C$102,3,FALSE),IF($I$4="2009/2010",VLOOKUP($B21,Courses_List!$E$3:$G$102,3,FALSE),IF($I$4="2010/2011",VLOOKUP($B21,Courses_List!$I$3:$K$102,3,FALSE),IF($I$4="2011/2012",VLOOKUP($B21,Courses_List!$M$3:$O$102,3,FALSE),IF($I$4="2012/2013",VLOOKUP($B21,Courses_List!$Q$3:$S$102,3,FALSE),"INVALID"))))))</f>
        <v/>
      </c>
      <c r="E21" s="17" t="str">
        <f>IF($B21="","",IF($I$4="2008/2009",VLOOKUP($B21,Courses_List!$A$3:$D$102,4,FALSE),IF($I$4="2009/2010",VLOOKUP($B21,Courses_List!$E$3:$H$102,4,FALSE),IF($I$4="2010/2011",VLOOKUP($B21,Courses_List!$I$3:$L$102,4,FALSE),IF($I$4="2011/2012",VLOOKUP($B21,Courses_List!$M$3:$P$102,4,FALSE),IF($I$4="2012/2013",VLOOKUP($B21,Courses_List!$Q$3:$T$102,4,FALSE),"INVALID"))))))</f>
        <v/>
      </c>
      <c r="F21" s="78" t="str">
        <f t="shared" si="2"/>
        <v/>
      </c>
      <c r="G21" s="17" t="str">
        <f t="shared" si="0"/>
        <v/>
      </c>
      <c r="H21" s="17" t="str">
        <f t="shared" si="1"/>
        <v/>
      </c>
      <c r="I21" s="8"/>
      <c r="J21" s="12"/>
      <c r="K21" s="2"/>
    </row>
    <row r="22" spans="2:11" ht="15.75" x14ac:dyDescent="0.25">
      <c r="B22" s="77"/>
      <c r="C22" s="17" t="str">
        <f>IF($B22="","",IF($I$4="2008/2009",VLOOKUP($B22,Courses_List!$A$3:$T$102,2,FALSE),IF($I$4="2009/2010",VLOOKUP($B22,Courses_List!$E$3:$F$102,2,FALSE),IF($I$4="2010/2011",VLOOKUP($B22,Courses_List!$I$3:$J$102,2,FALSE),IF($I$4="2011/2012",VLOOKUP($B22,Courses_List!$M$3:$N$102,2,FALSE),IF($I$4="2012/2013",VLOOKUP($B22,Courses_List!$Q$3:$R$102,2,FALSE),"INVALID"))))))</f>
        <v/>
      </c>
      <c r="D22" s="17" t="str">
        <f>IF($B22="","",IF($I$4="2008/2009",VLOOKUP($B22,Courses_List!$A$3:$C$102,3,FALSE),IF($I$4="2009/2010",VLOOKUP($B22,Courses_List!$E$3:$G$102,3,FALSE),IF($I$4="2010/2011",VLOOKUP($B22,Courses_List!$I$3:$K$102,3,FALSE),IF($I$4="2011/2012",VLOOKUP($B22,Courses_List!$M$3:$O$102,3,FALSE),IF($I$4="2012/2013",VLOOKUP($B22,Courses_List!$Q$3:$S$102,3,FALSE),"INVALID"))))))</f>
        <v/>
      </c>
      <c r="E22" s="17" t="str">
        <f>IF($B22="","",IF($I$4="2008/2009",VLOOKUP($B22,Courses_List!$A$3:$D$102,4,FALSE),IF($I$4="2009/2010",VLOOKUP($B22,Courses_List!$E$3:$H$102,4,FALSE),IF($I$4="2010/2011",VLOOKUP($B22,Courses_List!$I$3:$L$102,4,FALSE),IF($I$4="2011/2012",VLOOKUP($B22,Courses_List!$M$3:$P$102,4,FALSE),IF($I$4="2012/2013",VLOOKUP($B22,Courses_List!$Q$3:$T$102,4,FALSE),"INVALID"))))))</f>
        <v/>
      </c>
      <c r="F22" s="78" t="str">
        <f t="shared" si="2"/>
        <v/>
      </c>
      <c r="G22" s="17" t="str">
        <f t="shared" si="0"/>
        <v/>
      </c>
      <c r="H22" s="17" t="str">
        <f t="shared" si="1"/>
        <v/>
      </c>
      <c r="I22" s="8"/>
      <c r="J22" s="12"/>
      <c r="K22" s="2"/>
    </row>
    <row r="23" spans="2:11" ht="15.75" x14ac:dyDescent="0.25">
      <c r="B23" s="77"/>
      <c r="C23" s="17" t="str">
        <f>IF($B23="","",IF($I$4="2008/2009",VLOOKUP($B23,Courses_List!$A$3:$T$102,2,FALSE),IF($I$4="2009/2010",VLOOKUP($B23,Courses_List!$E$3:$F$102,2,FALSE),IF($I$4="2010/2011",VLOOKUP($B23,Courses_List!$I$3:$J$102,2,FALSE),IF($I$4="2011/2012",VLOOKUP($B23,Courses_List!$M$3:$N$102,2,FALSE),IF($I$4="2012/2013",VLOOKUP($B23,Courses_List!$Q$3:$R$102,2,FALSE),"INVALID"))))))</f>
        <v/>
      </c>
      <c r="D23" s="17" t="str">
        <f>IF($B23="","",IF($I$4="2008/2009",VLOOKUP($B23,Courses_List!$A$3:$C$102,3,FALSE),IF($I$4="2009/2010",VLOOKUP($B23,Courses_List!$E$3:$G$102,3,FALSE),IF($I$4="2010/2011",VLOOKUP($B23,Courses_List!$I$3:$K$102,3,FALSE),IF($I$4="2011/2012",VLOOKUP($B23,Courses_List!$M$3:$O$102,3,FALSE),IF($I$4="2012/2013",VLOOKUP($B23,Courses_List!$Q$3:$S$102,3,FALSE),"INVALID"))))))</f>
        <v/>
      </c>
      <c r="E23" s="17" t="str">
        <f>IF($B23="","",IF($I$4="2008/2009",VLOOKUP($B23,Courses_List!$A$3:$D$102,4,FALSE),IF($I$4="2009/2010",VLOOKUP($B23,Courses_List!$E$3:$H$102,4,FALSE),IF($I$4="2010/2011",VLOOKUP($B23,Courses_List!$I$3:$L$102,4,FALSE),IF($I$4="2011/2012",VLOOKUP($B23,Courses_List!$M$3:$P$102,4,FALSE),IF($I$4="2012/2013",VLOOKUP($B23,Courses_List!$Q$3:$T$102,4,FALSE),"INVALID"))))))</f>
        <v/>
      </c>
      <c r="F23" s="78" t="str">
        <f t="shared" si="2"/>
        <v/>
      </c>
      <c r="G23" s="17" t="str">
        <f t="shared" si="0"/>
        <v/>
      </c>
      <c r="H23" s="17" t="str">
        <f t="shared" si="1"/>
        <v/>
      </c>
      <c r="I23" s="8"/>
      <c r="J23" s="12"/>
      <c r="K23" s="2"/>
    </row>
    <row r="24" spans="2:11" ht="15.75" x14ac:dyDescent="0.25">
      <c r="B24" s="77"/>
      <c r="C24" s="17" t="str">
        <f>IF($B24="","",IF($I$4="2008/2009",VLOOKUP($B24,Courses_List!$A$3:$T$102,2,FALSE),IF($I$4="2009/2010",VLOOKUP($B24,Courses_List!$E$3:$F$102,2,FALSE),IF($I$4="2010/2011",VLOOKUP($B24,Courses_List!$I$3:$J$102,2,FALSE),IF($I$4="2011/2012",VLOOKUP($B24,Courses_List!$M$3:$N$102,2,FALSE),IF($I$4="2012/2013",VLOOKUP($B24,Courses_List!$Q$3:$R$102,2,FALSE),"INVALID"))))))</f>
        <v/>
      </c>
      <c r="D24" s="17" t="str">
        <f>IF($B24="","",IF($I$4="2008/2009",VLOOKUP($B24,Courses_List!$A$3:$C$102,3,FALSE),IF($I$4="2009/2010",VLOOKUP($B24,Courses_List!$E$3:$G$102,3,FALSE),IF($I$4="2010/2011",VLOOKUP($B24,Courses_List!$I$3:$K$102,3,FALSE),IF($I$4="2011/2012",VLOOKUP($B24,Courses_List!$M$3:$O$102,3,FALSE),IF($I$4="2012/2013",VLOOKUP($B24,Courses_List!$Q$3:$S$102,3,FALSE),"INVALID"))))))</f>
        <v/>
      </c>
      <c r="E24" s="17" t="str">
        <f>IF($B24="","",IF($I$4="2008/2009",VLOOKUP($B24,Courses_List!$A$3:$D$102,4,FALSE),IF($I$4="2009/2010",VLOOKUP($B24,Courses_List!$E$3:$H$102,4,FALSE),IF($I$4="2010/2011",VLOOKUP($B24,Courses_List!$I$3:$L$102,4,FALSE),IF($I$4="2011/2012",VLOOKUP($B24,Courses_List!$M$3:$P$102,4,FALSE),IF($I$4="2012/2013",VLOOKUP($B24,Courses_List!$Q$3:$T$102,4,FALSE),"INVALID"))))))</f>
        <v/>
      </c>
      <c r="F24" s="78" t="str">
        <f t="shared" si="2"/>
        <v/>
      </c>
      <c r="G24" s="17" t="str">
        <f t="shared" si="0"/>
        <v/>
      </c>
      <c r="H24" s="17" t="str">
        <f t="shared" si="1"/>
        <v/>
      </c>
      <c r="I24" s="8"/>
      <c r="J24" s="12"/>
      <c r="K24" s="2"/>
    </row>
    <row r="25" spans="2:11" ht="15.75" x14ac:dyDescent="0.25">
      <c r="B25" s="77"/>
      <c r="C25" s="17" t="str">
        <f>IF($B25="","",IF($I$4="2008/2009",VLOOKUP($B25,Courses_List!$A$3:$T$102,2,FALSE),IF($I$4="2009/2010",VLOOKUP($B25,Courses_List!$E$3:$F$102,2,FALSE),IF($I$4="2010/2011",VLOOKUP($B25,Courses_List!$I$3:$J$102,2,FALSE),IF($I$4="2011/2012",VLOOKUP($B25,Courses_List!$M$3:$N$102,2,FALSE),IF($I$4="2012/2013",VLOOKUP($B25,Courses_List!$Q$3:$R$102,2,FALSE),"INVALID"))))))</f>
        <v/>
      </c>
      <c r="D25" s="17" t="str">
        <f>IF($B25="","",IF($I$4="2008/2009",VLOOKUP($B25,Courses_List!$A$3:$C$102,3,FALSE),IF($I$4="2009/2010",VLOOKUP($B25,Courses_List!$E$3:$G$102,3,FALSE),IF($I$4="2010/2011",VLOOKUP($B25,Courses_List!$I$3:$K$102,3,FALSE),IF($I$4="2011/2012",VLOOKUP($B25,Courses_List!$M$3:$O$102,3,FALSE),IF($I$4="2012/2013",VLOOKUP($B25,Courses_List!$Q$3:$S$102,3,FALSE),"INVALID"))))))</f>
        <v/>
      </c>
      <c r="E25" s="17" t="str">
        <f>IF($B25="","",IF($I$4="2008/2009",VLOOKUP($B25,Courses_List!$A$3:$D$102,4,FALSE),IF($I$4="2009/2010",VLOOKUP($B25,Courses_List!$E$3:$H$102,4,FALSE),IF($I$4="2010/2011",VLOOKUP($B25,Courses_List!$I$3:$L$102,4,FALSE),IF($I$4="2011/2012",VLOOKUP($B25,Courses_List!$M$3:$P$102,4,FALSE),IF($I$4="2012/2013",VLOOKUP($B25,Courses_List!$Q$3:$T$102,4,FALSE),"INVALID"))))))</f>
        <v/>
      </c>
      <c r="F25" s="78" t="str">
        <f t="shared" si="2"/>
        <v/>
      </c>
      <c r="G25" s="17" t="str">
        <f t="shared" si="0"/>
        <v/>
      </c>
      <c r="H25" s="17" t="str">
        <f t="shared" si="1"/>
        <v/>
      </c>
      <c r="I25" s="8"/>
      <c r="J25" s="12"/>
      <c r="K25" s="2"/>
    </row>
    <row r="26" spans="2:11" ht="15.75" x14ac:dyDescent="0.25">
      <c r="B26" s="77"/>
      <c r="C26" s="17" t="str">
        <f>IF($B26="","",IF($I$4="2008/2009",VLOOKUP($B26,Courses_List!$A$3:$T$102,2,FALSE),IF($I$4="2009/2010",VLOOKUP($B26,Courses_List!$E$3:$F$102,2,FALSE),IF($I$4="2010/2011",VLOOKUP($B26,Courses_List!$I$3:$J$102,2,FALSE),IF($I$4="2011/2012",VLOOKUP($B26,Courses_List!$M$3:$N$102,2,FALSE),IF($I$4="2012/2013",VLOOKUP($B26,Courses_List!$Q$3:$R$102,2,FALSE),"INVALID"))))))</f>
        <v/>
      </c>
      <c r="D26" s="17" t="str">
        <f>IF($B26="","",IF($I$4="2008/2009",VLOOKUP($B26,Courses_List!$A$3:$C$102,3,FALSE),IF($I$4="2009/2010",VLOOKUP($B26,Courses_List!$E$3:$G$102,3,FALSE),IF($I$4="2010/2011",VLOOKUP($B26,Courses_List!$I$3:$K$102,3,FALSE),IF($I$4="2011/2012",VLOOKUP($B26,Courses_List!$M$3:$O$102,3,FALSE),IF($I$4="2012/2013",VLOOKUP($B26,Courses_List!$Q$3:$S$102,3,FALSE),"INVALID"))))))</f>
        <v/>
      </c>
      <c r="E26" s="17" t="str">
        <f>IF($B26="","",IF($I$4="2008/2009",VLOOKUP($B26,Courses_List!$A$3:$D$102,4,FALSE),IF($I$4="2009/2010",VLOOKUP($B26,Courses_List!$E$3:$H$102,4,FALSE),IF($I$4="2010/2011",VLOOKUP($B26,Courses_List!$I$3:$L$102,4,FALSE),IF($I$4="2011/2012",VLOOKUP($B26,Courses_List!$M$3:$P$102,4,FALSE),IF($I$4="2012/2013",VLOOKUP($B26,Courses_List!$Q$3:$T$102,4,FALSE),"INVALID"))))))</f>
        <v/>
      </c>
      <c r="F26" s="78" t="str">
        <f t="shared" si="2"/>
        <v/>
      </c>
      <c r="G26" s="17" t="str">
        <f t="shared" si="0"/>
        <v/>
      </c>
      <c r="H26" s="17" t="str">
        <f t="shared" si="1"/>
        <v/>
      </c>
      <c r="I26" s="8"/>
      <c r="J26" s="12"/>
      <c r="K26" s="2"/>
    </row>
    <row r="27" spans="2:11" ht="15.75" x14ac:dyDescent="0.25">
      <c r="B27" s="77"/>
      <c r="C27" s="17" t="str">
        <f>IF($B27="","",IF($I$4="2008/2009",VLOOKUP($B27,Courses_List!$A$3:$T$102,2,FALSE),IF($I$4="2009/2010",VLOOKUP($B27,Courses_List!$E$3:$F$102,2,FALSE),IF($I$4="2010/2011",VLOOKUP($B27,Courses_List!$I$3:$J$102,2,FALSE),IF($I$4="2011/2012",VLOOKUP($B27,Courses_List!$M$3:$N$102,2,FALSE),IF($I$4="2012/2013",VLOOKUP($B27,Courses_List!$Q$3:$R$102,2,FALSE),"INVALID"))))))</f>
        <v/>
      </c>
      <c r="D27" s="17" t="str">
        <f>IF($B27="","",IF($I$4="2008/2009",VLOOKUP($B27,Courses_List!$A$3:$C$102,3,FALSE),IF($I$4="2009/2010",VLOOKUP($B27,Courses_List!$E$3:$G$102,3,FALSE),IF($I$4="2010/2011",VLOOKUP($B27,Courses_List!$I$3:$K$102,3,FALSE),IF($I$4="2011/2012",VLOOKUP($B27,Courses_List!$M$3:$O$102,3,FALSE),IF($I$4="2012/2013",VLOOKUP($B27,Courses_List!$Q$3:$S$102,3,FALSE),"INVALID"))))))</f>
        <v/>
      </c>
      <c r="E27" s="17" t="str">
        <f>IF($B27="","",IF($I$4="2008/2009",VLOOKUP($B27,Courses_List!$A$3:$D$102,4,FALSE),IF($I$4="2009/2010",VLOOKUP($B27,Courses_List!$E$3:$H$102,4,FALSE),IF($I$4="2010/2011",VLOOKUP($B27,Courses_List!$I$3:$L$102,4,FALSE),IF($I$4="2011/2012",VLOOKUP($B27,Courses_List!$M$3:$P$102,4,FALSE),IF($I$4="2012/2013",VLOOKUP($B27,Courses_List!$Q$3:$T$102,4,FALSE),"INVALID"))))))</f>
        <v/>
      </c>
      <c r="F27" s="78" t="str">
        <f t="shared" si="2"/>
        <v/>
      </c>
      <c r="G27" s="17" t="str">
        <f t="shared" si="0"/>
        <v/>
      </c>
      <c r="H27" s="17" t="str">
        <f t="shared" si="1"/>
        <v/>
      </c>
      <c r="I27" s="8"/>
      <c r="J27" s="12"/>
      <c r="K27" s="2"/>
    </row>
    <row r="28" spans="2:11" ht="15.75" x14ac:dyDescent="0.25">
      <c r="B28" s="77"/>
      <c r="C28" s="17" t="str">
        <f>IF($B28="","",IF($I$4="2008/2009",VLOOKUP($B28,Courses_List!$A$3:$T$102,2,FALSE),IF($I$4="2009/2010",VLOOKUP($B28,Courses_List!$E$3:$F$102,2,FALSE),IF($I$4="2010/2011",VLOOKUP($B28,Courses_List!$I$3:$J$102,2,FALSE),IF($I$4="2011/2012",VLOOKUP($B28,Courses_List!$M$3:$N$102,2,FALSE),IF($I$4="2012/2013",VLOOKUP($B28,Courses_List!$Q$3:$R$102,2,FALSE),"INVALID"))))))</f>
        <v/>
      </c>
      <c r="D28" s="17" t="str">
        <f>IF($B28="","",IF($I$4="2008/2009",VLOOKUP($B28,Courses_List!$A$3:$C$102,3,FALSE),IF($I$4="2009/2010",VLOOKUP($B28,Courses_List!$E$3:$G$102,3,FALSE),IF($I$4="2010/2011",VLOOKUP($B28,Courses_List!$I$3:$K$102,3,FALSE),IF($I$4="2011/2012",VLOOKUP($B28,Courses_List!$M$3:$O$102,3,FALSE),IF($I$4="2012/2013",VLOOKUP($B28,Courses_List!$Q$3:$S$102,3,FALSE),"INVALID"))))))</f>
        <v/>
      </c>
      <c r="E28" s="17" t="str">
        <f>IF($B28="","",IF($I$4="2008/2009",VLOOKUP($B28,Courses_List!$A$3:$D$102,4,FALSE),IF($I$4="2009/2010",VLOOKUP($B28,Courses_List!$E$3:$H$102,4,FALSE),IF($I$4="2010/2011",VLOOKUP($B28,Courses_List!$I$3:$L$102,4,FALSE),IF($I$4="2011/2012",VLOOKUP($B28,Courses_List!$M$3:$P$102,4,FALSE),IF($I$4="2012/2013",VLOOKUP($B28,Courses_List!$Q$3:$T$102,4,FALSE),"INVALID"))))))</f>
        <v/>
      </c>
      <c r="F28" s="78" t="str">
        <f t="shared" si="2"/>
        <v/>
      </c>
      <c r="G28" s="17" t="str">
        <f t="shared" si="0"/>
        <v/>
      </c>
      <c r="H28" s="17" t="str">
        <f t="shared" si="1"/>
        <v/>
      </c>
      <c r="I28" s="8"/>
      <c r="J28" s="12"/>
      <c r="K28" s="2"/>
    </row>
    <row r="29" spans="2:11" ht="15.75" x14ac:dyDescent="0.25">
      <c r="B29" s="1"/>
      <c r="C29" s="19">
        <f>SUM(C9:C28)</f>
        <v>6</v>
      </c>
      <c r="D29" s="142" t="str">
        <f>IF($I$2="Library",SUM(D9:D28),"")</f>
        <v/>
      </c>
      <c r="E29" s="142" t="str">
        <f>IF($I$2="Library",SUM(E9:E28),"")</f>
        <v/>
      </c>
      <c r="F29" s="142"/>
      <c r="G29" s="19">
        <f>SUM(G9:G28)</f>
        <v>272</v>
      </c>
      <c r="H29" s="17">
        <f>SUM(H9:H28)</f>
        <v>28</v>
      </c>
      <c r="I29" s="8"/>
      <c r="J29" s="8"/>
      <c r="K29" s="2"/>
    </row>
    <row r="30" spans="2:11" ht="15.75" x14ac:dyDescent="0.25">
      <c r="B30" s="7"/>
      <c r="C30" s="7"/>
      <c r="D30" s="13"/>
      <c r="E30" s="7"/>
      <c r="F30" s="7"/>
      <c r="G30" s="7"/>
      <c r="H30" s="13"/>
      <c r="I30" s="7"/>
      <c r="J30" s="8"/>
      <c r="K30" s="8"/>
    </row>
    <row r="31" spans="2:11" ht="15.75" x14ac:dyDescent="0.25">
      <c r="B31" s="212" t="s">
        <v>17</v>
      </c>
      <c r="C31" s="212"/>
      <c r="D31" s="150" t="str">
        <f>IF(LEFT($I$2,4)="CMUL","10:1",IF(OR($I$2="Engineering",$I$2="Environmental Sciences"),"15:1",IF( $I$2="Sciences","20:1",IF($I$2="Library","400:1","30:1"))))</f>
        <v>15:1</v>
      </c>
      <c r="E31" s="22"/>
      <c r="F31" s="7"/>
      <c r="G31" s="7"/>
      <c r="H31" s="13"/>
      <c r="I31" s="7"/>
      <c r="J31" s="8"/>
      <c r="K31" s="8"/>
    </row>
    <row r="32" spans="2:11" ht="15.75" x14ac:dyDescent="0.25">
      <c r="B32" s="152" t="str">
        <f>IF($I$2="Library", "","K = 15 x R")</f>
        <v>K = 15 x R</v>
      </c>
      <c r="C32" s="152"/>
      <c r="D32" s="154"/>
      <c r="E32" s="20">
        <f>IF($I$2="Library","",15*LEFT($D31,2))</f>
        <v>225</v>
      </c>
      <c r="F32" s="137"/>
      <c r="G32" s="7"/>
      <c r="H32" s="13"/>
      <c r="I32" s="7"/>
      <c r="J32" s="8"/>
      <c r="K32" s="8"/>
    </row>
    <row r="33" spans="1:10" x14ac:dyDescent="0.25">
      <c r="B33" s="21"/>
      <c r="C33" s="21"/>
      <c r="D33" s="21"/>
      <c r="E33" s="21"/>
    </row>
    <row r="34" spans="1:10" ht="15.75" x14ac:dyDescent="0.25">
      <c r="B34" s="212" t="str">
        <f>IF($I$2="Library","","No. of Semesters:")</f>
        <v>No. of Semesters:</v>
      </c>
      <c r="C34" s="212"/>
      <c r="D34" s="14">
        <v>1</v>
      </c>
      <c r="E34" s="22"/>
      <c r="F34" s="7"/>
      <c r="G34" s="7"/>
      <c r="H34" s="7"/>
      <c r="I34" s="8"/>
      <c r="J34" s="7"/>
    </row>
    <row r="35" spans="1:10" ht="15.75" x14ac:dyDescent="0.25">
      <c r="B35" s="212" t="str">
        <f>IF($I$2="Library","","Normal Students Credits (NSC):")</f>
        <v>Normal Students Credits (NSC):</v>
      </c>
      <c r="C35" s="212"/>
      <c r="D35" s="8"/>
      <c r="E35" s="68">
        <f>IF($I$2="Library","",$D$34*$E$32/4)</f>
        <v>56.25</v>
      </c>
      <c r="F35" s="7"/>
      <c r="G35" s="7"/>
      <c r="H35" s="7"/>
      <c r="I35" s="8"/>
      <c r="J35" s="7"/>
    </row>
    <row r="36" spans="1:10" ht="15.75" x14ac:dyDescent="0.25">
      <c r="A36" s="7"/>
      <c r="B36" s="22"/>
      <c r="C36" s="22"/>
      <c r="D36" s="7"/>
      <c r="E36" s="42"/>
      <c r="F36" s="7"/>
      <c r="G36" s="7"/>
      <c r="H36" s="7"/>
      <c r="I36" s="8"/>
      <c r="J36" s="7"/>
    </row>
    <row r="37" spans="1:10" ht="15.75" x14ac:dyDescent="0.25">
      <c r="A37" s="7" t="s">
        <v>9</v>
      </c>
      <c r="B37" s="212" t="str">
        <f>IF($I$2="Library", "EWLU (Excess Work Load Units) Required:","HC (Hour Component):")</f>
        <v>HC (Hour Component):</v>
      </c>
      <c r="C37" s="212"/>
      <c r="D37" s="7"/>
      <c r="E37" s="24">
        <f>IF($I$2="Library","",$H$29)</f>
        <v>28</v>
      </c>
      <c r="F37" s="7"/>
      <c r="G37" s="7"/>
      <c r="H37" s="7"/>
      <c r="I37" s="8"/>
      <c r="J37" s="7"/>
    </row>
    <row r="38" spans="1:10" ht="15.75" x14ac:dyDescent="0.25">
      <c r="A38" s="7"/>
      <c r="B38" s="151"/>
      <c r="C38" s="151"/>
      <c r="D38" s="7"/>
      <c r="E38" s="42"/>
      <c r="F38" s="7"/>
      <c r="G38" s="7"/>
      <c r="H38" s="7"/>
      <c r="I38" s="8"/>
      <c r="J38" s="7"/>
    </row>
    <row r="39" spans="1:10" ht="15.75" x14ac:dyDescent="0.25">
      <c r="A39" s="7" t="s">
        <v>10</v>
      </c>
      <c r="B39" s="212" t="str">
        <f>IF($I$2="Library","","CLC (Credit Load Component):")</f>
        <v>CLC (Credit Load Component):</v>
      </c>
      <c r="C39" s="212"/>
      <c r="D39" s="7"/>
      <c r="E39" s="24">
        <f>IF($I$2="Library",ROUND($D$29*8*1.3/400,2),$C$29*15)</f>
        <v>90</v>
      </c>
      <c r="F39" s="7"/>
      <c r="G39" s="7"/>
      <c r="H39" s="7"/>
      <c r="I39" s="8"/>
      <c r="J39" s="7"/>
    </row>
    <row r="40" spans="1:10" ht="15.75" x14ac:dyDescent="0.25">
      <c r="A40" s="7"/>
      <c r="B40" s="22"/>
      <c r="C40" s="22"/>
      <c r="D40" s="7"/>
      <c r="E40" s="42"/>
      <c r="F40" s="7"/>
      <c r="G40" s="7"/>
      <c r="H40" s="7"/>
      <c r="I40" s="8"/>
      <c r="J40" s="7"/>
    </row>
    <row r="41" spans="1:10" ht="15.75" x14ac:dyDescent="0.25">
      <c r="A41" s="7" t="s">
        <v>11</v>
      </c>
      <c r="B41" s="212" t="str">
        <f>IF($I$2="Library", "EWLU (Excess Work Load Units) Available:","PSC (Project Supervision Component):")</f>
        <v>PSC (Project Supervision Component):</v>
      </c>
      <c r="C41" s="212"/>
      <c r="D41" s="7"/>
      <c r="E41" s="42"/>
      <c r="F41" s="7"/>
      <c r="G41" s="7"/>
      <c r="H41" s="7"/>
      <c r="I41" s="8"/>
      <c r="J41" s="7"/>
    </row>
    <row r="42" spans="1:10" ht="15.75" x14ac:dyDescent="0.25">
      <c r="A42" s="7"/>
      <c r="B42" s="212" t="str">
        <f>IF($I$2="Library","","No. of Students:")</f>
        <v>No. of Students:</v>
      </c>
      <c r="C42" s="212"/>
      <c r="D42" s="14">
        <v>6</v>
      </c>
      <c r="E42" s="42"/>
      <c r="F42" s="7"/>
      <c r="G42" s="7"/>
      <c r="H42" s="7"/>
      <c r="I42" s="8"/>
      <c r="J42" s="7"/>
    </row>
    <row r="43" spans="1:10" ht="15.75" x14ac:dyDescent="0.25">
      <c r="A43" s="7"/>
      <c r="B43" s="212" t="str">
        <f>IF($I$2="Library","","Project Credit Unit(s):")</f>
        <v>Project Credit Unit(s):</v>
      </c>
      <c r="C43" s="212"/>
      <c r="D43" s="14">
        <v>4</v>
      </c>
      <c r="E43" s="42"/>
      <c r="F43" s="7"/>
      <c r="G43" s="7"/>
      <c r="H43" s="7"/>
      <c r="I43" s="8"/>
      <c r="J43" s="7"/>
    </row>
    <row r="44" spans="1:10" ht="15.75" x14ac:dyDescent="0.25">
      <c r="A44" s="7"/>
      <c r="B44" s="212" t="str">
        <f>IF($I$2="Library","","PSC:")</f>
        <v>PSC:</v>
      </c>
      <c r="C44" s="212"/>
      <c r="D44" s="7"/>
      <c r="E44" s="24">
        <f>IF($I$2="Library",ROUND($E$29*8*1.3,2),IF(AND($D$42&gt;=6,$D$42&lt;=10),1*$D$43*15,IF($D$42&gt;10,1.5*$D$43*15,0)))</f>
        <v>60</v>
      </c>
      <c r="F44" s="7"/>
      <c r="G44" s="7"/>
      <c r="H44" s="7"/>
      <c r="I44" s="8"/>
      <c r="J44" s="7"/>
    </row>
    <row r="45" spans="1:10" ht="15.75" x14ac:dyDescent="0.25">
      <c r="A45" s="7"/>
      <c r="B45" s="22"/>
      <c r="C45" s="22"/>
      <c r="D45" s="7"/>
      <c r="E45" s="23"/>
      <c r="F45" s="7"/>
      <c r="G45" s="7"/>
      <c r="H45" s="7"/>
      <c r="I45" s="8"/>
      <c r="J45" s="7"/>
    </row>
    <row r="46" spans="1:10" ht="15.75" x14ac:dyDescent="0.25">
      <c r="A46" s="7" t="s">
        <v>12</v>
      </c>
      <c r="B46" s="212" t="str">
        <f>IF($I$2="Library","","MR (Marking Ratio):")</f>
        <v>MR (Marking Ratio):</v>
      </c>
      <c r="C46" s="212"/>
      <c r="D46" s="7"/>
      <c r="E46" s="24">
        <f>IF($I$2="Library","",IF($C29=0,0,$G$29/$C$29))</f>
        <v>45.333333333333336</v>
      </c>
      <c r="F46" s="7"/>
      <c r="G46" s="7"/>
      <c r="H46" s="7"/>
      <c r="I46" s="8"/>
      <c r="J46" s="7"/>
    </row>
    <row r="47" spans="1:10" ht="15.75" x14ac:dyDescent="0.25">
      <c r="A47" s="7"/>
      <c r="B47" s="22"/>
      <c r="C47" s="22"/>
      <c r="D47" s="7"/>
      <c r="E47" s="23"/>
      <c r="F47" s="7"/>
      <c r="G47" s="7"/>
      <c r="H47" s="7"/>
      <c r="I47" s="8"/>
      <c r="J47" s="7"/>
    </row>
    <row r="48" spans="1:10" ht="15.75" x14ac:dyDescent="0.25">
      <c r="A48" s="7" t="s">
        <v>13</v>
      </c>
      <c r="B48" s="212" t="s">
        <v>15</v>
      </c>
      <c r="C48" s="212"/>
      <c r="D48" s="7"/>
      <c r="E48" s="68">
        <f>IF($I$2="Library",$E$39-$E$44,IF(SUM(E37:E46)-$E$35&lt;0,0,SUM(E37:E46)-$E$35))</f>
        <v>167.08333333333334</v>
      </c>
      <c r="F48" s="7"/>
      <c r="G48" s="7"/>
      <c r="H48" s="7"/>
      <c r="I48" s="8"/>
      <c r="J48" s="7"/>
    </row>
    <row r="49" spans="1:10" ht="15.75" x14ac:dyDescent="0.25">
      <c r="A49" s="7"/>
      <c r="B49" s="22"/>
      <c r="C49" s="22"/>
      <c r="D49" s="7"/>
      <c r="E49" s="25"/>
      <c r="F49" s="7"/>
      <c r="G49" s="7"/>
      <c r="H49" s="7"/>
      <c r="I49" s="8"/>
      <c r="J49" s="7"/>
    </row>
    <row r="50" spans="1:10" ht="15.75" x14ac:dyDescent="0.25">
      <c r="A50" s="7" t="s">
        <v>14</v>
      </c>
      <c r="B50" s="212" t="s">
        <v>16</v>
      </c>
      <c r="C50" s="212"/>
      <c r="D50" s="7"/>
      <c r="E50" s="26">
        <f>IF(OR(LEFT($G$4,1)="U",LEFT($G$4,1)="P",LEFT($G$4,1)="R",LEFT($G$4,1)="S"),$E$48*3500,$E$48*2000)</f>
        <v>334166.66666666669</v>
      </c>
      <c r="F50" s="7"/>
      <c r="G50" s="7"/>
      <c r="H50" s="7"/>
      <c r="I50" s="8"/>
      <c r="J50" s="7"/>
    </row>
    <row r="51" spans="1:10" ht="15.75" x14ac:dyDescent="0.25">
      <c r="A51" s="7"/>
      <c r="B51" s="22"/>
      <c r="C51" s="22"/>
      <c r="D51" s="7"/>
      <c r="E51" s="7"/>
      <c r="F51" s="7"/>
      <c r="G51" s="7"/>
      <c r="H51" s="7"/>
      <c r="I51" s="8"/>
      <c r="J51" s="7"/>
    </row>
    <row r="52" spans="1:10" ht="15.75" x14ac:dyDescent="0.25">
      <c r="A52" s="7" t="s">
        <v>18</v>
      </c>
      <c r="B52" s="212" t="s">
        <v>41</v>
      </c>
      <c r="C52" s="212"/>
      <c r="D52" s="216" t="s">
        <v>19</v>
      </c>
      <c r="E52" s="216"/>
      <c r="F52" s="216"/>
      <c r="G52" s="216"/>
      <c r="H52" s="7"/>
      <c r="I52" s="8"/>
      <c r="J52" s="7"/>
    </row>
    <row r="53" spans="1:10" ht="15.75" x14ac:dyDescent="0.25">
      <c r="A53" s="7"/>
      <c r="B53" s="98"/>
      <c r="C53" s="98"/>
      <c r="D53" s="98"/>
      <c r="E53" s="98"/>
      <c r="F53" s="98"/>
      <c r="G53" s="98"/>
      <c r="H53" s="7"/>
      <c r="I53" s="8"/>
      <c r="J53" s="7"/>
    </row>
    <row r="54" spans="1:10" ht="15.75" x14ac:dyDescent="0.25">
      <c r="A54" s="7"/>
      <c r="B54" s="216" t="s">
        <v>20</v>
      </c>
      <c r="C54" s="216"/>
      <c r="D54" s="214"/>
      <c r="E54" s="214"/>
      <c r="F54" s="7" t="s">
        <v>21</v>
      </c>
      <c r="G54" s="215"/>
      <c r="H54" s="215"/>
      <c r="I54" s="8"/>
      <c r="J54" s="7"/>
    </row>
    <row r="55" spans="1:10" ht="15.75" x14ac:dyDescent="0.25">
      <c r="A55" s="7"/>
      <c r="B55" s="7"/>
      <c r="C55" s="7"/>
      <c r="D55" s="7"/>
      <c r="E55" s="7"/>
      <c r="F55" s="7"/>
      <c r="G55" s="7"/>
      <c r="H55" s="7"/>
      <c r="I55" s="8"/>
      <c r="J55" s="7"/>
    </row>
    <row r="56" spans="1:10" ht="15.75" x14ac:dyDescent="0.25">
      <c r="A56" s="7" t="s">
        <v>22</v>
      </c>
      <c r="B56" s="212" t="s">
        <v>23</v>
      </c>
      <c r="C56" s="212"/>
      <c r="D56" s="212"/>
      <c r="E56" s="7"/>
      <c r="F56" s="7"/>
      <c r="G56" s="7"/>
      <c r="H56" s="7"/>
      <c r="I56" s="8"/>
      <c r="J56" s="7"/>
    </row>
    <row r="57" spans="1:10" ht="15.75" x14ac:dyDescent="0.25">
      <c r="A57" s="7"/>
      <c r="B57" s="216" t="s">
        <v>24</v>
      </c>
      <c r="C57" s="216"/>
      <c r="D57" s="216"/>
      <c r="E57" s="216"/>
      <c r="F57" s="26">
        <f>$E$50</f>
        <v>334166.66666666669</v>
      </c>
      <c r="G57" s="7"/>
      <c r="H57" s="7"/>
      <c r="I57" s="8"/>
      <c r="J57" s="7"/>
    </row>
    <row r="58" spans="1:10" ht="15.75" x14ac:dyDescent="0.25">
      <c r="A58" s="7"/>
      <c r="B58" s="98"/>
      <c r="C58" s="98"/>
      <c r="D58" s="98"/>
      <c r="E58" s="98"/>
      <c r="F58" s="15"/>
      <c r="G58" s="7"/>
      <c r="H58" s="7"/>
      <c r="I58" s="8"/>
      <c r="J58" s="7"/>
    </row>
    <row r="59" spans="1:10" ht="15.75" x14ac:dyDescent="0.25">
      <c r="A59" s="7"/>
      <c r="B59" s="7" t="s">
        <v>25</v>
      </c>
      <c r="C59" s="7"/>
      <c r="D59" s="214"/>
      <c r="E59" s="214"/>
      <c r="F59" s="7" t="s">
        <v>21</v>
      </c>
      <c r="G59" s="214"/>
      <c r="H59" s="214"/>
      <c r="I59" s="8"/>
      <c r="J59" s="7"/>
    </row>
    <row r="60" spans="1:10" ht="15.75" x14ac:dyDescent="0.25">
      <c r="A60" s="7"/>
      <c r="B60" s="7"/>
      <c r="C60" s="7"/>
      <c r="D60" s="7"/>
      <c r="E60" s="7"/>
      <c r="F60" s="7"/>
      <c r="G60" s="7"/>
      <c r="H60" s="7"/>
      <c r="I60" s="8"/>
      <c r="J60" s="7"/>
    </row>
    <row r="61" spans="1:10" ht="15.75" x14ac:dyDescent="0.25">
      <c r="A61" s="7" t="s">
        <v>26</v>
      </c>
      <c r="B61" s="212" t="s">
        <v>27</v>
      </c>
      <c r="C61" s="212"/>
      <c r="D61" s="212"/>
      <c r="E61" s="212"/>
      <c r="F61" s="7"/>
      <c r="G61" s="7"/>
      <c r="H61" s="7"/>
      <c r="I61" s="8"/>
      <c r="J61" s="7"/>
    </row>
    <row r="62" spans="1:10" ht="15.75" x14ac:dyDescent="0.25">
      <c r="A62" s="7"/>
      <c r="B62" s="216" t="s">
        <v>28</v>
      </c>
      <c r="C62" s="216"/>
      <c r="D62" s="216"/>
      <c r="E62" s="216"/>
      <c r="F62" s="26">
        <f>$E$50</f>
        <v>334166.66666666669</v>
      </c>
      <c r="G62" s="7"/>
      <c r="H62" s="7"/>
      <c r="I62" s="8"/>
      <c r="J62" s="7"/>
    </row>
    <row r="63" spans="1:10" ht="15.75" x14ac:dyDescent="0.25">
      <c r="A63" s="7"/>
      <c r="B63" s="7"/>
      <c r="C63" s="7"/>
      <c r="D63" s="7"/>
      <c r="E63" s="7"/>
      <c r="F63" s="7"/>
      <c r="G63" s="7"/>
      <c r="H63" s="7"/>
      <c r="I63" s="8"/>
      <c r="J63" s="7"/>
    </row>
    <row r="64" spans="1:10" ht="15.75" x14ac:dyDescent="0.25">
      <c r="A64" s="7"/>
      <c r="B64" s="7" t="s">
        <v>29</v>
      </c>
      <c r="C64" s="215"/>
      <c r="D64" s="215"/>
      <c r="E64" s="7"/>
      <c r="F64" s="7" t="s">
        <v>21</v>
      </c>
      <c r="G64" s="214"/>
      <c r="H64" s="214"/>
      <c r="I64" s="8"/>
      <c r="J64" s="7"/>
    </row>
    <row r="65" spans="1:10" ht="15.75" x14ac:dyDescent="0.25">
      <c r="A65" s="7"/>
      <c r="B65" s="7"/>
      <c r="C65" s="7"/>
      <c r="D65" s="7"/>
      <c r="E65" s="7"/>
      <c r="F65" s="7"/>
      <c r="G65" s="7"/>
      <c r="H65" s="7"/>
      <c r="I65" s="8"/>
      <c r="J65" s="7"/>
    </row>
    <row r="66" spans="1:10" ht="15.75" x14ac:dyDescent="0.25">
      <c r="A66" s="7"/>
      <c r="B66" s="7"/>
      <c r="C66" s="7"/>
      <c r="D66" s="7"/>
      <c r="E66" s="7"/>
      <c r="F66" s="7"/>
      <c r="G66" s="7"/>
      <c r="H66" s="7"/>
      <c r="I66" s="8"/>
      <c r="J66" s="7"/>
    </row>
    <row r="67" spans="1:10" ht="15.75" x14ac:dyDescent="0.25">
      <c r="A67" s="7"/>
      <c r="B67" s="7"/>
      <c r="C67" s="7"/>
      <c r="D67" s="7"/>
      <c r="E67" s="7"/>
      <c r="F67" s="7"/>
      <c r="G67" s="7"/>
      <c r="H67" s="7"/>
      <c r="I67" s="8"/>
      <c r="J67" s="7"/>
    </row>
    <row r="68" spans="1:10" ht="15.75" x14ac:dyDescent="0.25">
      <c r="A68" s="7"/>
      <c r="B68" s="7"/>
      <c r="C68" s="7"/>
      <c r="D68" s="7"/>
      <c r="E68" s="7"/>
      <c r="F68" s="7"/>
      <c r="G68" s="7"/>
      <c r="H68" s="7"/>
      <c r="I68" s="8"/>
      <c r="J68" s="7"/>
    </row>
    <row r="69" spans="1:10" ht="15.75" x14ac:dyDescent="0.25">
      <c r="A69" s="7"/>
      <c r="B69" s="7"/>
      <c r="C69" s="7"/>
      <c r="D69" s="7"/>
      <c r="E69" s="7"/>
      <c r="F69" s="7"/>
      <c r="G69" s="7"/>
      <c r="H69" s="7"/>
      <c r="I69" s="8"/>
      <c r="J69" s="7"/>
    </row>
    <row r="70" spans="1:10" ht="15.75" x14ac:dyDescent="0.25">
      <c r="A70" s="7"/>
      <c r="B70" s="7"/>
      <c r="C70" s="7"/>
      <c r="D70" s="7"/>
      <c r="E70" s="7"/>
      <c r="F70" s="7"/>
      <c r="G70" s="7"/>
      <c r="H70" s="7"/>
      <c r="I70" s="8"/>
      <c r="J70" s="7"/>
    </row>
    <row r="71" spans="1:10" ht="15.75" x14ac:dyDescent="0.25">
      <c r="A71" s="7"/>
      <c r="B71" s="7"/>
      <c r="C71" s="7"/>
      <c r="D71" s="7"/>
      <c r="E71" s="7"/>
      <c r="F71" s="7"/>
      <c r="G71" s="7"/>
      <c r="H71" s="7"/>
      <c r="I71" s="8"/>
      <c r="J71" s="7"/>
    </row>
    <row r="72" spans="1:10" ht="15.75" x14ac:dyDescent="0.25">
      <c r="A72" s="7"/>
      <c r="B72" s="7"/>
      <c r="C72" s="7"/>
      <c r="D72" s="7"/>
      <c r="E72" s="7"/>
      <c r="F72" s="7"/>
      <c r="G72" s="7"/>
      <c r="H72" s="7"/>
      <c r="I72" s="8"/>
      <c r="J72" s="7"/>
    </row>
    <row r="73" spans="1:10" ht="15.75" x14ac:dyDescent="0.25">
      <c r="A73" s="7"/>
      <c r="B73" s="7"/>
      <c r="C73" s="7"/>
      <c r="D73" s="7"/>
      <c r="E73" s="7"/>
      <c r="F73" s="7"/>
      <c r="G73" s="7"/>
      <c r="H73" s="7"/>
      <c r="I73" s="8"/>
      <c r="J73" s="7"/>
    </row>
    <row r="74" spans="1:10" ht="15.75" x14ac:dyDescent="0.25">
      <c r="A74" s="7"/>
      <c r="B74" s="7"/>
      <c r="C74" s="7"/>
      <c r="D74" s="7"/>
      <c r="E74" s="7"/>
      <c r="F74" s="7"/>
      <c r="G74" s="7"/>
      <c r="H74" s="7"/>
      <c r="I74" s="8"/>
      <c r="J74" s="7"/>
    </row>
    <row r="75" spans="1:10" ht="15.75" x14ac:dyDescent="0.25">
      <c r="A75" s="7"/>
      <c r="B75" s="7"/>
      <c r="C75" s="7"/>
      <c r="D75" s="7"/>
      <c r="E75" s="7"/>
      <c r="F75" s="7"/>
      <c r="G75" s="7"/>
      <c r="H75" s="7"/>
      <c r="I75" s="8"/>
      <c r="J75" s="7"/>
    </row>
    <row r="76" spans="1:10" ht="15.75" x14ac:dyDescent="0.25">
      <c r="A76" s="7"/>
      <c r="B76" s="7"/>
      <c r="C76" s="7"/>
      <c r="D76" s="7"/>
      <c r="E76" s="7"/>
      <c r="F76" s="7"/>
      <c r="G76" s="7"/>
      <c r="H76" s="7"/>
      <c r="I76" s="8"/>
      <c r="J76" s="7"/>
    </row>
    <row r="77" spans="1:10" ht="15.75" x14ac:dyDescent="0.25">
      <c r="A77" s="7"/>
      <c r="B77" s="7"/>
      <c r="C77" s="7"/>
      <c r="D77" s="7"/>
      <c r="E77" s="7"/>
      <c r="F77" s="7"/>
      <c r="G77" s="7"/>
      <c r="H77" s="7"/>
      <c r="I77" s="8"/>
      <c r="J77" s="7"/>
    </row>
    <row r="78" spans="1:10" ht="15.75" x14ac:dyDescent="0.25">
      <c r="A78" s="7"/>
      <c r="B78" s="7"/>
      <c r="C78" s="7"/>
      <c r="D78" s="7"/>
      <c r="E78" s="7"/>
      <c r="F78" s="7"/>
      <c r="G78" s="7"/>
      <c r="H78" s="7"/>
      <c r="I78" s="8"/>
      <c r="J78" s="7"/>
    </row>
    <row r="79" spans="1:10" ht="15.75" x14ac:dyDescent="0.25">
      <c r="A79" s="7"/>
      <c r="B79" s="7"/>
      <c r="C79" s="7"/>
      <c r="D79" s="7"/>
      <c r="E79" s="7"/>
      <c r="F79" s="7"/>
      <c r="G79" s="7"/>
      <c r="H79" s="7"/>
      <c r="I79" s="8"/>
      <c r="J79" s="7"/>
    </row>
    <row r="80" spans="1:10" ht="15.75" x14ac:dyDescent="0.25">
      <c r="A80" s="7"/>
      <c r="B80" s="7"/>
      <c r="C80" s="7"/>
      <c r="D80" s="7"/>
      <c r="E80" s="7"/>
      <c r="F80" s="7"/>
      <c r="G80" s="7"/>
      <c r="H80" s="7"/>
      <c r="I80" s="8"/>
      <c r="J80" s="7"/>
    </row>
    <row r="81" spans="1:10" ht="15.75" x14ac:dyDescent="0.25">
      <c r="A81" s="7"/>
      <c r="B81" s="7"/>
      <c r="C81" s="7"/>
      <c r="D81" s="7"/>
      <c r="E81" s="7"/>
      <c r="F81" s="7"/>
      <c r="G81" s="7"/>
      <c r="H81" s="7"/>
      <c r="I81" s="8"/>
      <c r="J81" s="7"/>
    </row>
    <row r="82" spans="1:10" ht="15.75" x14ac:dyDescent="0.25">
      <c r="A82" s="7"/>
      <c r="B82" s="7"/>
      <c r="C82" s="7"/>
      <c r="D82" s="7"/>
      <c r="E82" s="7"/>
      <c r="F82" s="7"/>
      <c r="G82" s="7"/>
      <c r="H82" s="7"/>
      <c r="I82" s="8"/>
      <c r="J82" s="7"/>
    </row>
    <row r="83" spans="1:10" ht="15.75" x14ac:dyDescent="0.25">
      <c r="A83" s="7"/>
      <c r="B83" s="7"/>
      <c r="C83" s="7"/>
      <c r="D83" s="7"/>
      <c r="E83" s="7"/>
      <c r="F83" s="7"/>
      <c r="G83" s="7"/>
      <c r="H83" s="7"/>
      <c r="I83" s="8"/>
      <c r="J83" s="7"/>
    </row>
    <row r="84" spans="1:10" ht="15.75" x14ac:dyDescent="0.25">
      <c r="A84" s="7"/>
      <c r="B84" s="7"/>
      <c r="C84" s="7"/>
      <c r="D84" s="7"/>
      <c r="E84" s="7"/>
      <c r="F84" s="7"/>
      <c r="G84" s="7"/>
      <c r="H84" s="7"/>
      <c r="I84" s="8"/>
      <c r="J84" s="7"/>
    </row>
    <row r="85" spans="1:10" ht="15.75" x14ac:dyDescent="0.25">
      <c r="A85" s="7"/>
      <c r="B85" s="7"/>
      <c r="C85" s="7"/>
      <c r="D85" s="7"/>
      <c r="E85" s="7"/>
      <c r="F85" s="7"/>
      <c r="G85" s="7"/>
      <c r="H85" s="7"/>
      <c r="I85" s="8"/>
      <c r="J85" s="7"/>
    </row>
    <row r="86" spans="1:10" ht="15.75" x14ac:dyDescent="0.25">
      <c r="A86" s="7"/>
      <c r="B86" s="7"/>
      <c r="C86" s="7"/>
      <c r="D86" s="7"/>
      <c r="E86" s="7"/>
      <c r="F86" s="7"/>
      <c r="G86" s="7"/>
      <c r="H86" s="7"/>
      <c r="I86" s="8"/>
      <c r="J86" s="7"/>
    </row>
    <row r="87" spans="1:10" ht="15.75" x14ac:dyDescent="0.25">
      <c r="A87" s="7"/>
      <c r="B87" s="7"/>
      <c r="C87" s="7"/>
      <c r="D87" s="7"/>
      <c r="E87" s="7"/>
      <c r="F87" s="7"/>
      <c r="G87" s="7"/>
      <c r="H87" s="7"/>
      <c r="I87" s="8"/>
      <c r="J87" s="7"/>
    </row>
    <row r="88" spans="1:10" ht="15.75" x14ac:dyDescent="0.25">
      <c r="A88" s="7"/>
      <c r="B88" s="7"/>
      <c r="C88" s="7"/>
      <c r="D88" s="7"/>
      <c r="E88" s="7"/>
      <c r="F88" s="7"/>
      <c r="G88" s="7"/>
      <c r="H88" s="7"/>
      <c r="I88" s="8"/>
      <c r="J88" s="7"/>
    </row>
    <row r="89" spans="1:10" ht="15.75" x14ac:dyDescent="0.25">
      <c r="A89" s="7"/>
      <c r="B89" s="7"/>
      <c r="C89" s="7"/>
      <c r="D89" s="7"/>
      <c r="E89" s="7"/>
      <c r="F89" s="7"/>
      <c r="G89" s="7"/>
      <c r="H89" s="7"/>
      <c r="I89" s="8"/>
      <c r="J89" s="7"/>
    </row>
    <row r="90" spans="1:10" ht="15.75" x14ac:dyDescent="0.25">
      <c r="A90" s="7"/>
      <c r="B90" s="7"/>
      <c r="C90" s="7"/>
      <c r="D90" s="7"/>
      <c r="E90" s="7"/>
      <c r="F90" s="7"/>
      <c r="G90" s="7"/>
      <c r="H90" s="7"/>
      <c r="I90" s="8"/>
      <c r="J90" s="7"/>
    </row>
    <row r="91" spans="1:10" ht="15.75" x14ac:dyDescent="0.25">
      <c r="A91" s="7"/>
      <c r="B91" s="7"/>
      <c r="C91" s="7"/>
      <c r="D91" s="7"/>
      <c r="E91" s="7"/>
      <c r="F91" s="7"/>
      <c r="G91" s="7"/>
      <c r="H91" s="7"/>
      <c r="I91" s="8"/>
      <c r="J91" s="7"/>
    </row>
    <row r="92" spans="1:10" ht="15.75" x14ac:dyDescent="0.25">
      <c r="A92" s="7"/>
      <c r="B92" s="7"/>
      <c r="C92" s="7"/>
      <c r="D92" s="7"/>
      <c r="E92" s="7"/>
      <c r="F92" s="7"/>
      <c r="G92" s="7"/>
      <c r="H92" s="7"/>
      <c r="I92" s="8"/>
      <c r="J92" s="7"/>
    </row>
    <row r="93" spans="1:10" ht="15.75" x14ac:dyDescent="0.25">
      <c r="A93" s="7"/>
      <c r="B93" s="7"/>
      <c r="C93" s="7"/>
      <c r="D93" s="7"/>
      <c r="E93" s="7"/>
      <c r="F93" s="7"/>
      <c r="G93" s="7"/>
      <c r="H93" s="7"/>
      <c r="I93" s="8"/>
      <c r="J93" s="7"/>
    </row>
    <row r="94" spans="1:10" ht="15.75" x14ac:dyDescent="0.25">
      <c r="A94" s="7"/>
      <c r="B94" s="7"/>
      <c r="C94" s="7"/>
      <c r="D94" s="7"/>
      <c r="E94" s="7"/>
      <c r="F94" s="7"/>
      <c r="G94" s="7"/>
      <c r="H94" s="7"/>
      <c r="I94" s="8"/>
      <c r="J94" s="7"/>
    </row>
    <row r="95" spans="1:10" ht="15.75" x14ac:dyDescent="0.25">
      <c r="A95" s="7"/>
      <c r="B95" s="7"/>
      <c r="C95" s="7"/>
      <c r="D95" s="7"/>
      <c r="E95" s="7"/>
      <c r="F95" s="7"/>
      <c r="G95" s="7"/>
      <c r="H95" s="7"/>
      <c r="I95" s="8"/>
      <c r="J95" s="7"/>
    </row>
    <row r="96" spans="1:10" ht="15.75" x14ac:dyDescent="0.25">
      <c r="A96" s="7"/>
      <c r="B96" s="7"/>
      <c r="C96" s="7"/>
      <c r="D96" s="7"/>
      <c r="E96" s="7"/>
      <c r="F96" s="7"/>
      <c r="G96" s="7"/>
      <c r="H96" s="7"/>
      <c r="I96" s="8"/>
      <c r="J96" s="7"/>
    </row>
    <row r="97" spans="1:10" ht="15.75" x14ac:dyDescent="0.25">
      <c r="A97" s="7"/>
      <c r="B97" s="7"/>
      <c r="C97" s="7"/>
      <c r="D97" s="7"/>
      <c r="E97" s="7"/>
      <c r="F97" s="7"/>
      <c r="G97" s="7"/>
      <c r="H97" s="7"/>
      <c r="I97" s="8"/>
      <c r="J97" s="7"/>
    </row>
    <row r="98" spans="1:10" ht="15.75" x14ac:dyDescent="0.25">
      <c r="A98" s="7"/>
      <c r="B98" s="7"/>
      <c r="C98" s="7"/>
      <c r="D98" s="7"/>
      <c r="E98" s="7"/>
      <c r="F98" s="7"/>
      <c r="G98" s="7"/>
      <c r="H98" s="7"/>
      <c r="I98" s="8"/>
      <c r="J98" s="7"/>
    </row>
    <row r="99" spans="1:10" ht="15.75" x14ac:dyDescent="0.25">
      <c r="A99" s="7"/>
      <c r="B99" s="7"/>
      <c r="C99" s="7"/>
      <c r="D99" s="7"/>
      <c r="E99" s="7"/>
      <c r="F99" s="7"/>
      <c r="G99" s="7"/>
      <c r="H99" s="7"/>
      <c r="I99" s="8"/>
      <c r="J99" s="7"/>
    </row>
    <row r="100" spans="1:10" ht="15.75" x14ac:dyDescent="0.25">
      <c r="A100" s="7"/>
      <c r="B100" s="7"/>
      <c r="C100" s="7"/>
      <c r="D100" s="7"/>
      <c r="E100" s="7"/>
      <c r="F100" s="7"/>
      <c r="G100" s="7"/>
      <c r="H100" s="7"/>
      <c r="I100" s="8"/>
      <c r="J100" s="7"/>
    </row>
    <row r="101" spans="1:10" ht="15.75" x14ac:dyDescent="0.25">
      <c r="A101" s="7"/>
      <c r="B101" s="7"/>
      <c r="C101" s="7"/>
      <c r="D101" s="7"/>
      <c r="E101" s="7"/>
      <c r="F101" s="7"/>
      <c r="G101" s="7"/>
      <c r="H101" s="7"/>
      <c r="I101" s="8"/>
      <c r="J101" s="7"/>
    </row>
    <row r="102" spans="1:10" ht="15.75" x14ac:dyDescent="0.25">
      <c r="A102" s="7"/>
      <c r="B102" s="7"/>
      <c r="C102" s="7"/>
      <c r="D102" s="7"/>
      <c r="E102" s="7"/>
      <c r="F102" s="7"/>
      <c r="G102" s="7"/>
      <c r="H102" s="7"/>
      <c r="I102" s="8"/>
      <c r="J102" s="7"/>
    </row>
    <row r="103" spans="1:10" ht="15.75" x14ac:dyDescent="0.25">
      <c r="A103" s="7"/>
      <c r="B103" s="7"/>
      <c r="C103" s="7"/>
      <c r="D103" s="7"/>
      <c r="E103" s="7"/>
      <c r="F103" s="7"/>
      <c r="G103" s="7"/>
      <c r="H103" s="7"/>
      <c r="I103" s="8"/>
      <c r="J103" s="7"/>
    </row>
    <row r="104" spans="1:10" ht="15.75" x14ac:dyDescent="0.25">
      <c r="A104" s="7"/>
      <c r="B104" s="7"/>
      <c r="C104" s="7"/>
      <c r="D104" s="7"/>
      <c r="E104" s="7"/>
      <c r="F104" s="7"/>
      <c r="G104" s="7"/>
      <c r="H104" s="7"/>
      <c r="I104" s="8"/>
      <c r="J104" s="7"/>
    </row>
    <row r="105" spans="1:10" ht="15.75" x14ac:dyDescent="0.25">
      <c r="A105" s="7"/>
      <c r="B105" s="7"/>
      <c r="C105" s="7"/>
      <c r="D105" s="7"/>
      <c r="E105" s="7"/>
      <c r="F105" s="7"/>
      <c r="G105" s="7"/>
      <c r="H105" s="7"/>
      <c r="I105" s="8"/>
      <c r="J105" s="7"/>
    </row>
    <row r="106" spans="1:10" ht="15.75" x14ac:dyDescent="0.25">
      <c r="A106" s="7"/>
      <c r="B106" s="7"/>
      <c r="C106" s="7"/>
      <c r="D106" s="7"/>
      <c r="E106" s="7"/>
      <c r="F106" s="7"/>
      <c r="G106" s="7"/>
      <c r="H106" s="7"/>
      <c r="I106" s="8"/>
      <c r="J106" s="7"/>
    </row>
    <row r="107" spans="1:10" ht="15.75" x14ac:dyDescent="0.25">
      <c r="A107" s="7"/>
      <c r="B107" s="7"/>
      <c r="C107" s="7"/>
      <c r="D107" s="7"/>
      <c r="E107" s="7"/>
      <c r="F107" s="7"/>
      <c r="G107" s="7"/>
      <c r="H107" s="7"/>
      <c r="I107" s="8"/>
      <c r="J107" s="7"/>
    </row>
    <row r="108" spans="1:10" ht="15.75" x14ac:dyDescent="0.25">
      <c r="A108" s="7"/>
      <c r="B108" s="7"/>
      <c r="C108" s="7"/>
      <c r="D108" s="7"/>
      <c r="E108" s="7"/>
      <c r="F108" s="7"/>
      <c r="G108" s="7"/>
      <c r="H108" s="7"/>
      <c r="I108" s="8"/>
      <c r="J108" s="7"/>
    </row>
    <row r="109" spans="1:10" ht="15.75" x14ac:dyDescent="0.25">
      <c r="A109" s="7"/>
      <c r="B109" s="7"/>
      <c r="C109" s="7"/>
      <c r="D109" s="7"/>
      <c r="E109" s="7"/>
      <c r="F109" s="7"/>
      <c r="G109" s="7"/>
      <c r="H109" s="7"/>
      <c r="I109" s="8"/>
      <c r="J109" s="7"/>
    </row>
    <row r="110" spans="1:10" ht="15.75" x14ac:dyDescent="0.25">
      <c r="A110" s="7"/>
      <c r="B110" s="7"/>
      <c r="C110" s="7"/>
      <c r="D110" s="7"/>
      <c r="E110" s="7"/>
      <c r="F110" s="7"/>
      <c r="G110" s="7"/>
      <c r="H110" s="7"/>
      <c r="I110" s="8"/>
      <c r="J110" s="7"/>
    </row>
    <row r="111" spans="1:10" ht="15.75" x14ac:dyDescent="0.25">
      <c r="A111" s="7"/>
      <c r="B111" s="7"/>
      <c r="C111" s="7"/>
      <c r="D111" s="7"/>
      <c r="E111" s="7"/>
      <c r="F111" s="7"/>
      <c r="G111" s="7"/>
      <c r="H111" s="7"/>
      <c r="I111" s="8"/>
      <c r="J111" s="7"/>
    </row>
    <row r="112" spans="1:10" ht="15.75" x14ac:dyDescent="0.25">
      <c r="A112" s="7"/>
      <c r="B112" s="7"/>
      <c r="C112" s="7"/>
      <c r="D112" s="7"/>
      <c r="E112" s="7"/>
      <c r="F112" s="7"/>
      <c r="G112" s="7"/>
      <c r="H112" s="7"/>
      <c r="I112" s="8"/>
      <c r="J112" s="7"/>
    </row>
    <row r="113" spans="1:10" ht="15.75" x14ac:dyDescent="0.25">
      <c r="A113" s="7"/>
      <c r="B113" s="7"/>
      <c r="C113" s="7"/>
      <c r="D113" s="7"/>
      <c r="E113" s="7"/>
      <c r="F113" s="7"/>
      <c r="G113" s="7"/>
      <c r="H113" s="7"/>
      <c r="I113" s="8"/>
      <c r="J113" s="7"/>
    </row>
    <row r="114" spans="1:10" ht="15.75" x14ac:dyDescent="0.25">
      <c r="A114" s="7"/>
      <c r="B114" s="7"/>
      <c r="C114" s="7"/>
      <c r="D114" s="7"/>
      <c r="E114" s="7"/>
      <c r="F114" s="7"/>
      <c r="G114" s="7"/>
      <c r="H114" s="7"/>
      <c r="I114" s="8"/>
      <c r="J114" s="7"/>
    </row>
    <row r="115" spans="1:10" ht="15.75" x14ac:dyDescent="0.25">
      <c r="A115" s="7"/>
      <c r="B115" s="7"/>
      <c r="C115" s="7"/>
      <c r="D115" s="7"/>
      <c r="E115" s="7"/>
      <c r="F115" s="7"/>
      <c r="G115" s="7"/>
      <c r="H115" s="7"/>
      <c r="I115" s="8"/>
      <c r="J115" s="7"/>
    </row>
    <row r="116" spans="1:10" ht="15.75" x14ac:dyDescent="0.25">
      <c r="A116" s="7"/>
      <c r="B116" s="7"/>
      <c r="C116" s="7"/>
      <c r="D116" s="7"/>
      <c r="E116" s="7"/>
      <c r="F116" s="7"/>
      <c r="G116" s="7"/>
      <c r="H116" s="7"/>
      <c r="I116" s="8"/>
      <c r="J116" s="7"/>
    </row>
  </sheetData>
  <sheetProtection password="E9BA" sheet="1" objects="1" scenarios="1" formatCells="0" formatColumns="0" formatRows="0" insertRows="0" deleteColumns="0" deleteRows="0"/>
  <mergeCells count="31">
    <mergeCell ref="B31:C31"/>
    <mergeCell ref="B7:C7"/>
    <mergeCell ref="B1:C1"/>
    <mergeCell ref="C2:E2"/>
    <mergeCell ref="I2:J2"/>
    <mergeCell ref="C4:E4"/>
    <mergeCell ref="C5:E5"/>
    <mergeCell ref="B50:C50"/>
    <mergeCell ref="B52:C52"/>
    <mergeCell ref="D52:G52"/>
    <mergeCell ref="B54:C54"/>
    <mergeCell ref="D54:E54"/>
    <mergeCell ref="G54:H54"/>
    <mergeCell ref="B48:C48"/>
    <mergeCell ref="B34:C34"/>
    <mergeCell ref="B35:C35"/>
    <mergeCell ref="B37:C37"/>
    <mergeCell ref="B39:C39"/>
    <mergeCell ref="B41:C41"/>
    <mergeCell ref="B42:C42"/>
    <mergeCell ref="B43:C43"/>
    <mergeCell ref="B44:C44"/>
    <mergeCell ref="B46:C46"/>
    <mergeCell ref="C64:D64"/>
    <mergeCell ref="G64:H64"/>
    <mergeCell ref="B56:D56"/>
    <mergeCell ref="B57:E57"/>
    <mergeCell ref="D59:E59"/>
    <mergeCell ref="G59:H59"/>
    <mergeCell ref="B61:E61"/>
    <mergeCell ref="B62:E62"/>
  </mergeCells>
  <dataValidations count="5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showInputMessage="1" showErrorMessage="1" sqref="J4 D31"/>
    <dataValidation type="list" allowBlank="1" showInputMessage="1" showErrorMessage="1" sqref="H5">
      <formula1>"2009/2010,2010/2011,2011/2012"</formula1>
    </dataValidation>
    <dataValidation type="list" allowBlank="1" showInputMessage="1" showErrorMessage="1" sqref="D34">
      <formula1>"1,2"</formula1>
    </dataValidation>
    <dataValidation type="list" allowBlank="1" showInputMessage="1" showErrorMessage="1" sqref="F5">
      <formula1>$B$2:$B$7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verticalDpi="0" r:id="rId1"/>
  <headerFooter>
    <oddHeader>&amp;C&amp;"-,Bold"&amp;16UNIVERSITY OF LAGOS&amp;14
Excess Workload Allowance
Claim Form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Info_Lists!$B$2:$B$7</xm:f>
          </x14:formula1>
          <xm:sqref>I4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I2</xm:sqref>
        </x14:dataValidation>
        <x14:dataValidation type="list" allowBlank="1" showInputMessage="1" showErrorMessage="1">
          <x14:formula1>
            <xm:f>IF($I$4="2008/2009",Courses_List!$A$3:$A$102,IF($I$4="2009/2010",Courses_List!$E$3:$E$102,IF($I$4="2010/2011",Courses_List!$I$3:$I$102,IF($I$4="2011/2012",Courses_List!$M$3:$M$102,IF($I$4="2012/2013",Courses_List!$Q$3:$Q$102,"INVALID")))))</xm:f>
          </x14:formula1>
          <xm:sqref>B9:B28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F0"/>
  </sheetPr>
  <dimension ref="A1:K29"/>
  <sheetViews>
    <sheetView workbookViewId="0">
      <selection activeCell="E15" sqref="E15"/>
    </sheetView>
  </sheetViews>
  <sheetFormatPr defaultRowHeight="15" x14ac:dyDescent="0.25"/>
  <cols>
    <col min="1" max="1" width="2.85546875" style="2" bestFit="1" customWidth="1"/>
    <col min="2" max="2" width="14.85546875" style="2" customWidth="1"/>
    <col min="3" max="3" width="4.7109375" style="2" bestFit="1" customWidth="1"/>
    <col min="4" max="4" width="12" style="2" customWidth="1"/>
    <col min="5" max="5" width="37.7109375" style="2" customWidth="1"/>
    <col min="6" max="6" width="15.42578125" style="2" bestFit="1" customWidth="1"/>
    <col min="7" max="9" width="9.140625" style="2"/>
    <col min="10" max="10" width="9.85546875" style="2" bestFit="1" customWidth="1"/>
    <col min="11" max="11" width="14.85546875" style="2" customWidth="1"/>
    <col min="12" max="16384" width="9.140625" style="2"/>
  </cols>
  <sheetData>
    <row r="1" spans="1:11" x14ac:dyDescent="0.25">
      <c r="A1" s="2" t="s">
        <v>0</v>
      </c>
      <c r="B1" s="113" t="s">
        <v>1</v>
      </c>
      <c r="H1" s="3"/>
      <c r="J1" s="4"/>
    </row>
    <row r="2" spans="1:11" ht="15.75" x14ac:dyDescent="0.25">
      <c r="B2" s="16" t="s">
        <v>2</v>
      </c>
      <c r="C2" s="214" t="s">
        <v>393</v>
      </c>
      <c r="D2" s="214"/>
      <c r="E2" s="214"/>
      <c r="F2" s="16" t="s">
        <v>3</v>
      </c>
      <c r="G2" s="255" t="str">
        <f>IF(LOOKUP($C$2,Staff_List!$A$4:$A$53,Staff_List!$B$4:$B$53)="","",LOOKUP($C$2,Staff_List!$A$4:$A$53,Staff_List!$B$4:$B$53))</f>
        <v>A7581</v>
      </c>
      <c r="H2" s="255"/>
      <c r="I2" s="16" t="s">
        <v>4</v>
      </c>
      <c r="J2" s="224" t="s">
        <v>103</v>
      </c>
      <c r="K2" s="224"/>
    </row>
    <row r="3" spans="1:11" x14ac:dyDescent="0.25">
      <c r="B3" s="21"/>
      <c r="F3" s="21"/>
      <c r="G3" s="3"/>
      <c r="K3" s="44"/>
    </row>
    <row r="4" spans="1:11" x14ac:dyDescent="0.25">
      <c r="B4" s="16" t="s">
        <v>35</v>
      </c>
      <c r="C4" s="224" t="s">
        <v>146</v>
      </c>
      <c r="D4" s="224"/>
      <c r="E4" s="224"/>
      <c r="F4" s="16" t="s">
        <v>5</v>
      </c>
      <c r="G4" s="224" t="s">
        <v>525</v>
      </c>
      <c r="H4" s="224"/>
      <c r="I4" s="16" t="s">
        <v>6</v>
      </c>
      <c r="J4" s="76" t="s">
        <v>61</v>
      </c>
      <c r="K4" s="101"/>
    </row>
    <row r="5" spans="1:11" customFormat="1" x14ac:dyDescent="0.25">
      <c r="A5" s="2"/>
      <c r="B5" s="16" t="s">
        <v>172</v>
      </c>
      <c r="C5" s="224" t="s">
        <v>146</v>
      </c>
      <c r="D5" s="224"/>
      <c r="E5" s="224"/>
      <c r="F5" s="101"/>
      <c r="G5" s="110"/>
      <c r="H5" s="101"/>
      <c r="I5" s="2"/>
      <c r="J5" s="2"/>
      <c r="K5" s="2"/>
    </row>
    <row r="6" spans="1:11" x14ac:dyDescent="0.25">
      <c r="B6" s="27"/>
      <c r="I6" s="3"/>
      <c r="K6" s="44"/>
    </row>
    <row r="7" spans="1:11" ht="15.75" x14ac:dyDescent="0.25">
      <c r="A7" s="7" t="s">
        <v>7</v>
      </c>
      <c r="B7" s="212" t="s">
        <v>30</v>
      </c>
      <c r="C7" s="212"/>
      <c r="D7" s="7"/>
      <c r="E7" s="7"/>
      <c r="F7" s="7"/>
      <c r="G7" s="7"/>
      <c r="H7" s="7"/>
      <c r="I7" s="8"/>
      <c r="J7" s="7"/>
      <c r="K7" s="4"/>
    </row>
    <row r="8" spans="1:11" ht="20.25" customHeight="1" x14ac:dyDescent="0.25">
      <c r="C8" s="19" t="s">
        <v>31</v>
      </c>
      <c r="D8" s="32" t="s">
        <v>32</v>
      </c>
      <c r="E8" s="33" t="s">
        <v>33</v>
      </c>
      <c r="F8" s="28"/>
      <c r="G8" s="28"/>
      <c r="H8" s="28"/>
      <c r="I8" s="28"/>
      <c r="J8" s="9"/>
      <c r="K8" s="10"/>
    </row>
    <row r="9" spans="1:11" ht="15.75" customHeight="1" x14ac:dyDescent="0.25">
      <c r="C9" s="31">
        <f>IF(AND(ISTEXT($D9),ISTEXT($E9)),1,"")</f>
        <v>1</v>
      </c>
      <c r="D9" s="202" t="s">
        <v>526</v>
      </c>
      <c r="E9" s="203" t="s">
        <v>527</v>
      </c>
      <c r="F9" s="7"/>
      <c r="G9" s="7"/>
      <c r="H9" s="7"/>
      <c r="I9" s="7"/>
      <c r="J9" s="8"/>
      <c r="K9" s="12"/>
    </row>
    <row r="10" spans="1:11" ht="15.75" x14ac:dyDescent="0.25">
      <c r="C10" s="31">
        <f>IF(AND(ISTEXT($D10),ISTEXT($E10)),2,"")</f>
        <v>2</v>
      </c>
      <c r="D10" s="202" t="s">
        <v>528</v>
      </c>
      <c r="E10" s="203" t="s">
        <v>531</v>
      </c>
      <c r="F10" s="7"/>
      <c r="G10" s="7"/>
      <c r="H10" s="7"/>
      <c r="I10" s="7"/>
      <c r="J10" s="8"/>
      <c r="K10" s="12"/>
    </row>
    <row r="11" spans="1:11" ht="15.75" x14ac:dyDescent="0.25">
      <c r="C11" s="31">
        <f>IF(AND(ISTEXT($D11),ISTEXT($E11)),3,"")</f>
        <v>3</v>
      </c>
      <c r="D11" s="202" t="s">
        <v>529</v>
      </c>
      <c r="E11" s="203" t="s">
        <v>530</v>
      </c>
      <c r="F11" s="7"/>
      <c r="G11" s="7"/>
      <c r="H11" s="7"/>
      <c r="I11" s="7"/>
      <c r="J11" s="8"/>
      <c r="K11" s="12"/>
    </row>
    <row r="12" spans="1:11" ht="15.75" x14ac:dyDescent="0.25">
      <c r="C12" s="31">
        <f>IF(AND(ISTEXT($D12),ISTEXT($E12)),4,"")</f>
        <v>4</v>
      </c>
      <c r="D12" s="202" t="s">
        <v>532</v>
      </c>
      <c r="E12" s="203" t="s">
        <v>533</v>
      </c>
      <c r="F12" s="7"/>
      <c r="G12" s="7"/>
      <c r="H12" s="7"/>
      <c r="I12" s="7"/>
      <c r="J12" s="8"/>
      <c r="K12" s="12"/>
    </row>
    <row r="13" spans="1:11" ht="15.75" x14ac:dyDescent="0.25">
      <c r="C13" s="31">
        <f>IF(AND(ISTEXT($D13),ISTEXT($E13)),5,"")</f>
        <v>5</v>
      </c>
      <c r="D13" s="202" t="s">
        <v>534</v>
      </c>
      <c r="E13" s="203" t="s">
        <v>535</v>
      </c>
      <c r="F13" s="7"/>
      <c r="G13" s="7"/>
      <c r="H13" s="7"/>
      <c r="I13" s="7"/>
      <c r="J13" s="8"/>
      <c r="K13" s="12"/>
    </row>
    <row r="14" spans="1:11" ht="15.75" x14ac:dyDescent="0.25">
      <c r="B14" s="30"/>
      <c r="C14" s="7"/>
      <c r="D14" s="7"/>
      <c r="E14" s="7"/>
      <c r="F14" s="7"/>
      <c r="G14" s="7"/>
      <c r="H14" s="7"/>
      <c r="I14" s="7"/>
      <c r="J14" s="8"/>
      <c r="K14" s="12"/>
    </row>
    <row r="15" spans="1:11" ht="15.75" x14ac:dyDescent="0.25">
      <c r="A15" s="2" t="s">
        <v>9</v>
      </c>
      <c r="B15" s="212" t="s">
        <v>34</v>
      </c>
      <c r="C15" s="212"/>
      <c r="D15" s="212"/>
      <c r="E15" s="26">
        <f>IF($J$4="2008/2009",(IF(OR(LEFT($G$4,1)="P",LEFT($G$4,1)="R"),25000*(IF(ISTEXT($E9),1,0)+IF(ISTEXT($E10),1,0)+IF(ISTEXT($E11),1,0)+IF(ISTEXT($E12),1,0)+IF(ISTEXT($E13),1,0)),IF(LEFT($G$4,1)="S",20000*(IF(ISTEXT($E9),1,0)+IF(ISTEXT($E10),1,0)+IF(ISTEXT($E11),1,0)+IF(ISTEXT($E12),1,0)+IF(ISTEXT($E13),1,0)),IF(AND(LEFT($G$4,1)="L",OR(RIGHT($G$4,2)=" I",RIGHT($G$4,2)="II")),15000*(IF(ISTEXT($E9),1,0)+IF(ISTEXT($E10),1,0)+IF(ISTEXT($E11),1,0)+IF(ISTEXT($E12),1,0)+IF(ISTEXT($E13),1,0)),0))))/2,IF(OR(LEFT($G$4,1)="P",LEFT($G$4,1)="R"),25000*(IF(ISTEXT($E9),1,0)+IF(ISTEXT($E10),1,0)+IF(ISTEXT($E11),1,0)+IF(ISTEXT($E12),1,0)+IF(ISTEXT($E13),1,0)),IF(LEFT($G$4,1)="S",20000*(IF(ISTEXT($E9),1,0)+IF(ISTEXT($E10),1,0)+IF(ISTEXT($E11),1,0)+IF(ISTEXT($E12),1,0)+IF(ISTEXT($E13),1,0)),IF(AND(LEFT($G$4,1)="L",OR(RIGHT($G$4,2)=" I",RIGHT($G$4,2)="II")),15000*(IF(ISTEXT($E9),1,0)+IF(ISTEXT($E10),1,0)+IF(ISTEXT($E11),1,0)+IF(ISTEXT($E12),1,0)+IF(ISTEXT($E13),1,0)),0))))</f>
        <v>75000</v>
      </c>
      <c r="F15" s="7"/>
      <c r="G15" s="7"/>
      <c r="H15" s="7"/>
      <c r="I15" s="7"/>
      <c r="J15" s="8"/>
      <c r="K15" s="12"/>
    </row>
    <row r="16" spans="1:11" ht="15.75" x14ac:dyDescent="0.25">
      <c r="B16" s="30"/>
      <c r="C16" s="7"/>
      <c r="D16" s="7"/>
      <c r="E16" s="7"/>
      <c r="F16" s="7"/>
      <c r="G16" s="7"/>
      <c r="H16" s="7"/>
      <c r="I16" s="7"/>
      <c r="J16" s="8"/>
      <c r="K16" s="12"/>
    </row>
    <row r="17" spans="1:11" ht="15.75" x14ac:dyDescent="0.25">
      <c r="A17" s="7" t="s">
        <v>10</v>
      </c>
      <c r="B17" s="212" t="s">
        <v>41</v>
      </c>
      <c r="C17" s="212"/>
      <c r="D17" s="212"/>
      <c r="E17" s="98" t="s">
        <v>19</v>
      </c>
      <c r="F17" s="98"/>
      <c r="G17" s="98"/>
      <c r="H17" s="7"/>
      <c r="I17" s="7"/>
      <c r="J17" s="8"/>
      <c r="K17" s="12"/>
    </row>
    <row r="18" spans="1:11" ht="15.75" x14ac:dyDescent="0.25">
      <c r="A18" s="7"/>
      <c r="B18" s="98"/>
      <c r="C18" s="98"/>
      <c r="D18" s="98"/>
      <c r="E18" s="98"/>
      <c r="F18" s="98"/>
      <c r="G18" s="98"/>
      <c r="H18" s="7"/>
    </row>
    <row r="19" spans="1:11" ht="15.75" x14ac:dyDescent="0.25">
      <c r="A19" s="7"/>
      <c r="B19" s="216" t="s">
        <v>20</v>
      </c>
      <c r="C19" s="216"/>
      <c r="D19" s="216"/>
      <c r="E19" s="98"/>
      <c r="F19" s="7" t="s">
        <v>21</v>
      </c>
      <c r="G19" s="254"/>
      <c r="H19" s="254"/>
    </row>
    <row r="20" spans="1:11" ht="15.75" x14ac:dyDescent="0.25">
      <c r="A20" s="7"/>
      <c r="B20" s="7"/>
      <c r="C20" s="7"/>
      <c r="D20" s="7"/>
      <c r="E20" s="7"/>
      <c r="F20" s="7"/>
      <c r="G20" s="7"/>
      <c r="H20" s="7"/>
    </row>
    <row r="21" spans="1:11" ht="15.75" x14ac:dyDescent="0.25">
      <c r="A21" s="7" t="s">
        <v>11</v>
      </c>
      <c r="B21" s="212" t="s">
        <v>23</v>
      </c>
      <c r="C21" s="212"/>
      <c r="D21" s="212"/>
      <c r="E21" s="212"/>
      <c r="F21" s="7"/>
      <c r="G21" s="7"/>
      <c r="H21" s="7"/>
    </row>
    <row r="22" spans="1:11" ht="15.75" x14ac:dyDescent="0.25">
      <c r="A22" s="7"/>
      <c r="B22" s="216" t="s">
        <v>24</v>
      </c>
      <c r="C22" s="216"/>
      <c r="D22" s="216"/>
      <c r="E22" s="216"/>
      <c r="F22" s="26">
        <f>$E$15</f>
        <v>75000</v>
      </c>
      <c r="G22" s="7"/>
      <c r="H22" s="7"/>
    </row>
    <row r="23" spans="1:11" ht="15.75" x14ac:dyDescent="0.25">
      <c r="A23" s="7"/>
      <c r="B23" s="98"/>
      <c r="C23" s="98"/>
      <c r="D23" s="98"/>
      <c r="E23" s="98"/>
      <c r="F23" s="15"/>
      <c r="G23" s="7"/>
      <c r="H23" s="7"/>
    </row>
    <row r="24" spans="1:11" ht="15.75" x14ac:dyDescent="0.25">
      <c r="A24" s="7"/>
      <c r="B24" s="216" t="s">
        <v>25</v>
      </c>
      <c r="C24" s="216"/>
      <c r="D24" s="216"/>
      <c r="E24" s="216"/>
      <c r="F24" s="7" t="s">
        <v>21</v>
      </c>
      <c r="G24" s="216"/>
      <c r="H24" s="216"/>
    </row>
    <row r="25" spans="1:11" ht="15.75" x14ac:dyDescent="0.25">
      <c r="A25" s="7"/>
      <c r="B25" s="7"/>
      <c r="C25" s="7"/>
      <c r="D25" s="7"/>
      <c r="E25" s="7"/>
      <c r="F25" s="7"/>
      <c r="G25" s="7"/>
      <c r="H25" s="7"/>
    </row>
    <row r="26" spans="1:11" ht="15.75" x14ac:dyDescent="0.25">
      <c r="A26" s="7" t="s">
        <v>12</v>
      </c>
      <c r="B26" s="212" t="s">
        <v>27</v>
      </c>
      <c r="C26" s="212"/>
      <c r="D26" s="212"/>
      <c r="E26" s="212"/>
      <c r="F26" s="7"/>
      <c r="G26" s="7"/>
      <c r="H26" s="7"/>
    </row>
    <row r="27" spans="1:11" ht="15.75" x14ac:dyDescent="0.25">
      <c r="A27" s="7"/>
      <c r="B27" s="216" t="s">
        <v>28</v>
      </c>
      <c r="C27" s="216"/>
      <c r="D27" s="216"/>
      <c r="E27" s="216"/>
      <c r="F27" s="26">
        <f>$E$15</f>
        <v>75000</v>
      </c>
      <c r="G27" s="7"/>
      <c r="H27" s="7"/>
    </row>
    <row r="28" spans="1:11" ht="15.75" x14ac:dyDescent="0.25">
      <c r="A28" s="7"/>
      <c r="B28" s="7"/>
      <c r="C28" s="7"/>
      <c r="D28" s="7"/>
      <c r="E28" s="7"/>
      <c r="F28" s="7"/>
      <c r="G28" s="7"/>
      <c r="H28" s="7"/>
    </row>
    <row r="29" spans="1:11" ht="15.75" x14ac:dyDescent="0.25">
      <c r="A29" s="7"/>
      <c r="B29" s="7" t="s">
        <v>29</v>
      </c>
      <c r="C29" s="216"/>
      <c r="D29" s="216"/>
      <c r="E29" s="216"/>
      <c r="F29" s="7" t="s">
        <v>21</v>
      </c>
      <c r="G29" s="216"/>
      <c r="H29" s="216"/>
    </row>
  </sheetData>
  <sheetProtection password="E9BA" sheet="1" objects="1" scenarios="1" formatCells="0" formatColumns="0" formatRows="0" insertRows="0" deleteColumns="0" deleteRows="0"/>
  <mergeCells count="20">
    <mergeCell ref="C5:E5"/>
    <mergeCell ref="C2:E2"/>
    <mergeCell ref="G2:H2"/>
    <mergeCell ref="J2:K2"/>
    <mergeCell ref="C4:E4"/>
    <mergeCell ref="G4:H4"/>
    <mergeCell ref="B7:C7"/>
    <mergeCell ref="C29:E29"/>
    <mergeCell ref="G29:H29"/>
    <mergeCell ref="B15:D15"/>
    <mergeCell ref="B17:D17"/>
    <mergeCell ref="B19:D19"/>
    <mergeCell ref="G19:H19"/>
    <mergeCell ref="B21:E21"/>
    <mergeCell ref="B22:E22"/>
    <mergeCell ref="B24:C24"/>
    <mergeCell ref="D24:E24"/>
    <mergeCell ref="G24:H24"/>
    <mergeCell ref="B26:E26"/>
    <mergeCell ref="B27:E27"/>
  </mergeCells>
  <dataValidations count="3">
    <dataValidation type="list" showInputMessage="1" showErrorMessage="1" sqref="G4">
      <formula1>"Assistant Lecturer,Assistant Librarian,Graduate Assistant,Lecturer I,Lecturer II,Librarian I,Librarian II,Professor,Reader,Reader Librarian,Senior Lecturer,Senior Librarian, University Librarian"</formula1>
    </dataValidation>
    <dataValidation type="list" allowBlank="1" showInputMessage="1" showErrorMessage="1" sqref="H5">
      <formula1>"2009/2010,2010/2011,2011/2012"</formula1>
    </dataValidation>
    <dataValidation type="list" allowBlank="1" showInputMessage="1" showErrorMessage="1" sqref="F5">
      <formula1>$B$2:$B$13</formula1>
    </dataValidation>
  </dataValidations>
  <pageMargins left="0.31496062992125984" right="0.11811023622047245" top="1.1417322834645669" bottom="0.74803149606299213" header="0.31496062992125984" footer="0.31496062992125984"/>
  <pageSetup paperSize="9" orientation="landscape" blackAndWhite="1" verticalDpi="0" r:id="rId1"/>
  <headerFooter>
    <oddHeader>&amp;C&amp;"-,Bold"&amp;16UNIVERSITY OF LAGOS&amp;14
Postgraduate Supervision Allowance
Claim Form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Staff_List!$A$2:$A$53</xm:f>
          </x14:formula1>
          <xm:sqref>C2:E2</xm:sqref>
        </x14:dataValidation>
        <x14:dataValidation type="list" showInputMessage="1" showErrorMessage="1">
          <x14:formula1>
            <xm:f>Info_Lists!$D$2:$D$83</xm:f>
          </x14:formula1>
          <xm:sqref>C4:E4</xm:sqref>
        </x14:dataValidation>
        <x14:dataValidation type="list" allowBlank="1" showInputMessage="1" showErrorMessage="1">
          <x14:formula1>
            <xm:f>Info_Lists!$B$2:$B$7</xm:f>
          </x14:formula1>
          <xm:sqref>J4</xm:sqref>
        </x14:dataValidation>
        <x14:dataValidation type="list" showInputMessage="1" showErrorMessage="1">
          <x14:formula1>
            <xm:f>Info_Lists!$E$14:$E$94</xm:f>
          </x14:formula1>
          <xm:sqref>C5</xm:sqref>
        </x14:dataValidation>
        <x14:dataValidation type="list" allowBlank="1" showInputMessage="1" showErrorMessage="1">
          <x14:formula1>
            <xm:f>Info_Lists!$C$2:$C$14</xm:f>
          </x14:formula1>
          <xm:sqref>J2:K2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7</vt:i4>
      </vt:variant>
    </vt:vector>
  </HeadingPairs>
  <TitlesOfParts>
    <vt:vector size="46" baseType="lpstr">
      <vt:lpstr>Summary_Overall</vt:lpstr>
      <vt:lpstr>Excess_Workload</vt:lpstr>
      <vt:lpstr>IMC_Form</vt:lpstr>
      <vt:lpstr>PG_Supervision</vt:lpstr>
      <vt:lpstr>TP_IS_FT_Allowance</vt:lpstr>
      <vt:lpstr>Responsibility</vt:lpstr>
      <vt:lpstr>IMC_Form (2)</vt:lpstr>
      <vt:lpstr>Excess_Workload (2)</vt:lpstr>
      <vt:lpstr>PG_Supervision (2)</vt:lpstr>
      <vt:lpstr>TP_IS_FT_Allowance (2)</vt:lpstr>
      <vt:lpstr>Responsibility (2)</vt:lpstr>
      <vt:lpstr>IMC_Form (3)</vt:lpstr>
      <vt:lpstr>Excess_Workload (3)</vt:lpstr>
      <vt:lpstr>PG_Supervision (3)</vt:lpstr>
      <vt:lpstr>TP_IS_FT_Allowance (3)</vt:lpstr>
      <vt:lpstr>Responsibility (3)</vt:lpstr>
      <vt:lpstr>IMC_Form (4)</vt:lpstr>
      <vt:lpstr>Excess_Workload (4)</vt:lpstr>
      <vt:lpstr>PG_Supervision (4)</vt:lpstr>
      <vt:lpstr>TP_IS_FT_Allowance (4)</vt:lpstr>
      <vt:lpstr>Responsibility (4)</vt:lpstr>
      <vt:lpstr>IMC_Form (5)</vt:lpstr>
      <vt:lpstr>Excess_Workload (5)</vt:lpstr>
      <vt:lpstr>TP_IS_FT_Allowance (5)</vt:lpstr>
      <vt:lpstr>PG_Supervision (5)</vt:lpstr>
      <vt:lpstr>Responsibility (5)</vt:lpstr>
      <vt:lpstr>Statistics</vt:lpstr>
      <vt:lpstr>OthersDept</vt:lpstr>
      <vt:lpstr>CA_Prog_1</vt:lpstr>
      <vt:lpstr>CA_Prog_2</vt:lpstr>
      <vt:lpstr>CA_Prog_3</vt:lpstr>
      <vt:lpstr>CA_Prog_4</vt:lpstr>
      <vt:lpstr>CA_Prog_5</vt:lpstr>
      <vt:lpstr>CA_Prog_6</vt:lpstr>
      <vt:lpstr>CA_Prog_7</vt:lpstr>
      <vt:lpstr>CA_Prog_8</vt:lpstr>
      <vt:lpstr>Staff_List</vt:lpstr>
      <vt:lpstr>Courses_List</vt:lpstr>
      <vt:lpstr>Info_Lists</vt:lpstr>
      <vt:lpstr>Responsibility!Extract</vt:lpstr>
      <vt:lpstr>'Responsibility (2)'!Extract</vt:lpstr>
      <vt:lpstr>'Responsibility (3)'!Extract</vt:lpstr>
      <vt:lpstr>'Responsibility (4)'!Extract</vt:lpstr>
      <vt:lpstr>'Responsibility (5)'!Extract</vt:lpstr>
      <vt:lpstr>Info_Lists!Faculty</vt:lpstr>
      <vt:lpstr>Info_Lists!Responsibility_Dept_Claims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</dc:creator>
  <cp:lastModifiedBy>ESTATE MANAGEMENT</cp:lastModifiedBy>
  <cp:lastPrinted>2014-07-11T12:27:43Z</cp:lastPrinted>
  <dcterms:created xsi:type="dcterms:W3CDTF">2013-12-13T10:39:06Z</dcterms:created>
  <dcterms:modified xsi:type="dcterms:W3CDTF">2014-07-25T14:48:19Z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c515590a-85a8-48c3-8c7b-d04943307d5b</vt:lpwstr>
  </property>
</Properties>
</file>